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24226"/>
  <mc:AlternateContent xmlns:mc="http://schemas.openxmlformats.org/markup-compatibility/2006">
    <mc:Choice Requires="x15">
      <x15ac:absPath xmlns:x15ac="http://schemas.microsoft.com/office/spreadsheetml/2010/11/ac" url="https://usepa-my.sharepoint.com/personal/wrigley_william_epa_gov/Documents/Desktop/temp/"/>
    </mc:Choice>
  </mc:AlternateContent>
  <xr:revisionPtr revIDLastSave="0" documentId="8_{D499593D-A74C-4C03-BC40-CEA854EC8D44}" xr6:coauthVersionLast="45" xr6:coauthVersionMax="45" xr10:uidLastSave="{00000000-0000-0000-0000-000000000000}"/>
  <bookViews>
    <workbookView xWindow="-110" yWindow="-110" windowWidth="19420" windowHeight="10420" tabRatio="890" xr2:uid="{00000000-000D-0000-FFFF-FFFF00000000}"/>
  </bookViews>
  <sheets>
    <sheet name="Table 1A-Private" sheetId="50" r:id="rId1"/>
    <sheet name="Table 1B-Public" sheetId="49" r:id="rId2"/>
    <sheet name="Table 1C-State and Local" sheetId="56" r:id="rId3"/>
    <sheet name="Table 2" sheetId="51" r:id="rId4"/>
    <sheet name="Number of Respondents" sheetId="52" r:id="rId5"/>
    <sheet name="SP-FP Respondents" sheetId="57" r:id="rId6"/>
    <sheet name="Capital O&amp;M" sheetId="44" r:id="rId7"/>
  </sheets>
  <externalReferences>
    <externalReference r:id="rId8"/>
  </externalReferences>
  <definedNames>
    <definedName name="\b" localSheetId="4">#REF!</definedName>
    <definedName name="\b" localSheetId="0">#REF!</definedName>
    <definedName name="\b" localSheetId="1">#REF!</definedName>
    <definedName name="\b" localSheetId="2">#REF!</definedName>
    <definedName name="\b">#REF!</definedName>
    <definedName name="\c" localSheetId="4">#REF!</definedName>
    <definedName name="\c" localSheetId="0">#REF!</definedName>
    <definedName name="\c" localSheetId="1">#REF!</definedName>
    <definedName name="\c" localSheetId="2">#REF!</definedName>
    <definedName name="\c">#REF!</definedName>
    <definedName name="\p">#N/A</definedName>
    <definedName name="\z" localSheetId="4">#REF!</definedName>
    <definedName name="\z" localSheetId="0">#REF!</definedName>
    <definedName name="\z" localSheetId="1">#REF!</definedName>
    <definedName name="\z" localSheetId="2">#REF!</definedName>
    <definedName name="\z">#REF!</definedName>
    <definedName name="APPC" localSheetId="4">#REF!</definedName>
    <definedName name="APPC" localSheetId="0">#REF!</definedName>
    <definedName name="APPC" localSheetId="1">#REF!</definedName>
    <definedName name="APPC" localSheetId="2">#REF!</definedName>
    <definedName name="APPC">#REF!</definedName>
    <definedName name="cler" localSheetId="2">[1]basis!$C$26</definedName>
    <definedName name="cler">[1]basis!$C$26</definedName>
    <definedName name="comptime" localSheetId="3">'Table 2'!#REF!</definedName>
    <definedName name="DUST" localSheetId="4">#REF!</definedName>
    <definedName name="DUST" localSheetId="0">#REF!</definedName>
    <definedName name="DUST" localSheetId="1">#REF!</definedName>
    <definedName name="DUST" localSheetId="2">#REF!</definedName>
    <definedName name="DUST">#REF!</definedName>
    <definedName name="excd" localSheetId="2">[1]basis!$C$19</definedName>
    <definedName name="excd">[1]basis!$C$19</definedName>
    <definedName name="GOVERNMENT" localSheetId="4">#REF!</definedName>
    <definedName name="GOVERNMENT" localSheetId="0">#REF!</definedName>
    <definedName name="GOVERNMENT" localSheetId="1">#REF!</definedName>
    <definedName name="GOVERNMENT" localSheetId="2">#REF!</definedName>
    <definedName name="GOVERNMENT">#REF!</definedName>
    <definedName name="INDUSTRY" localSheetId="4">#REF!</definedName>
    <definedName name="INDUSTRY" localSheetId="0">#REF!</definedName>
    <definedName name="INDUSTRY" localSheetId="1">#REF!</definedName>
    <definedName name="INDUSTRY" localSheetId="2">#REF!</definedName>
    <definedName name="INDUSTRY">#REF!</definedName>
    <definedName name="June_2003_HMIWI_Inventory" localSheetId="4">#REF!</definedName>
    <definedName name="June_2003_HMIWI_Inventory" localSheetId="0">#REF!</definedName>
    <definedName name="June_2003_HMIWI_Inventory" localSheetId="1">#REF!</definedName>
    <definedName name="June_2003_HMIWI_Inventory" localSheetId="2">#REF!</definedName>
    <definedName name="June_2003_HMIWI_Inventory">#REF!</definedName>
    <definedName name="LIME" localSheetId="4">#REF!</definedName>
    <definedName name="LIME" localSheetId="0">#REF!</definedName>
    <definedName name="LIME" localSheetId="1">#REF!</definedName>
    <definedName name="LIME">#REF!</definedName>
    <definedName name="lit" localSheetId="2">[1]basis!$C$13</definedName>
    <definedName name="lit">[1]basis!$C$13</definedName>
    <definedName name="mang" localSheetId="2">[1]basis!$C$25</definedName>
    <definedName name="mang">[1]basis!$C$25</definedName>
    <definedName name="new_respondents" localSheetId="2">[1]basis!$C$17</definedName>
    <definedName name="new_respondents">[1]basis!$C$17</definedName>
    <definedName name="noexcd" localSheetId="2">[1]basis!$C$20</definedName>
    <definedName name="noexcd">[1]basis!$C$20</definedName>
    <definedName name="_xlnm.Print_Area" localSheetId="4">'Number of Respondents'!$A$1:$J$60</definedName>
    <definedName name="_xlnm.Print_Area" localSheetId="0">'Table 1A-Private'!$A$1:$T$66</definedName>
    <definedName name="_xlnm.Print_Area" localSheetId="1">'Table 1B-Public'!$A$1:$Q$65</definedName>
    <definedName name="_xlnm.Print_Area" localSheetId="3">'Table 2'!$A$1:$O$45</definedName>
    <definedName name="_xlnm.Print_Titles" localSheetId="4">'Number of Respondents'!$1:$6</definedName>
    <definedName name="_xlnm.Print_Titles" localSheetId="0">'Table 1A-Private'!$1:$3</definedName>
    <definedName name="_xlnm.Print_Titles" localSheetId="1">'Table 1B-Public'!$1:$3</definedName>
    <definedName name="read1" localSheetId="4">#REF!</definedName>
    <definedName name="read1" localSheetId="0">#REF!</definedName>
    <definedName name="read1" localSheetId="1">#REF!</definedName>
    <definedName name="read1" localSheetId="2">#REF!</definedName>
    <definedName name="read1">#REF!</definedName>
    <definedName name="respondents" localSheetId="3">'Table 2'!#REF!</definedName>
    <definedName name="retest" localSheetId="3">'Table 2'!#REF!</definedName>
    <definedName name="sperfac" localSheetId="3">'Table 2'!#REF!</definedName>
    <definedName name="ssmalf" localSheetId="2">[1]basis!$C$21</definedName>
    <definedName name="ssmalf">[1]basis!$C$21</definedName>
    <definedName name="TABLE1" localSheetId="4">#REF!</definedName>
    <definedName name="TABLE1" localSheetId="0">#REF!</definedName>
    <definedName name="TABLE1" localSheetId="1">#REF!</definedName>
    <definedName name="TABLE1" localSheetId="2">#REF!</definedName>
    <definedName name="TABLE1">#REF!</definedName>
    <definedName name="TABLE16">#N/A</definedName>
    <definedName name="TABLE17">#N/A</definedName>
    <definedName name="TABLE2" localSheetId="4">#REF!</definedName>
    <definedName name="TABLE2" localSheetId="0">#REF!</definedName>
    <definedName name="TABLE2" localSheetId="1">#REF!</definedName>
    <definedName name="TABLE2" localSheetId="2">#REF!</definedName>
    <definedName name="TABLE2">#REF!</definedName>
    <definedName name="TABLE23">#N/A</definedName>
    <definedName name="tech" localSheetId="2">[1]basis!$C$24</definedName>
    <definedName name="tech">[1]basis!$C$24</definedName>
    <definedName name="TOTAL" localSheetId="4">#REF!</definedName>
    <definedName name="TOTAL" localSheetId="0">#REF!</definedName>
    <definedName name="TOTAL" localSheetId="1">#REF!</definedName>
    <definedName name="TOTAL" localSheetId="2">#REF!</definedName>
    <definedName name="TOTAL">#REF!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89" i="44" l="1"/>
  <c r="C7" i="50"/>
  <c r="C7" i="49"/>
  <c r="E7" i="49" l="1"/>
  <c r="K28" i="51" l="1"/>
  <c r="E84" i="44"/>
  <c r="C28" i="44"/>
  <c r="C29" i="44" l="1"/>
  <c r="C30" i="44" s="1"/>
  <c r="H13" i="44" l="1"/>
  <c r="E13" i="44"/>
  <c r="N44" i="49"/>
  <c r="D13" i="57"/>
  <c r="D23" i="57" l="1"/>
  <c r="F18" i="57"/>
  <c r="F16" i="57"/>
  <c r="K42" i="49" l="1"/>
  <c r="I4" i="56" l="1"/>
  <c r="G11" i="50"/>
  <c r="G10" i="50"/>
  <c r="H19" i="50"/>
  <c r="H15" i="50"/>
  <c r="H25" i="50"/>
  <c r="H29" i="50"/>
  <c r="H39" i="50"/>
  <c r="H38" i="50"/>
  <c r="H37" i="50"/>
  <c r="G42" i="50"/>
  <c r="D89" i="44" s="1"/>
  <c r="G42" i="49"/>
  <c r="D90" i="44"/>
  <c r="B72" i="44"/>
  <c r="B74" i="44"/>
  <c r="B75" i="44"/>
  <c r="B76" i="44"/>
  <c r="B77" i="44"/>
  <c r="B79" i="44"/>
  <c r="B80" i="44"/>
  <c r="B81" i="44"/>
  <c r="B82" i="44"/>
  <c r="B70" i="44"/>
  <c r="F4" i="56" l="1"/>
  <c r="E4" i="56"/>
  <c r="D27" i="57"/>
  <c r="H27" i="57" s="1"/>
  <c r="D26" i="57"/>
  <c r="H26" i="57" s="1"/>
  <c r="D25" i="57"/>
  <c r="H25" i="57" s="1"/>
  <c r="D24" i="57"/>
  <c r="H24" i="57" s="1"/>
  <c r="F23" i="57"/>
  <c r="D20" i="57"/>
  <c r="H20" i="57" s="1"/>
  <c r="D19" i="57"/>
  <c r="H19" i="57" s="1"/>
  <c r="D18" i="57"/>
  <c r="H18" i="57" s="1"/>
  <c r="D17" i="57"/>
  <c r="F17" i="57" s="1"/>
  <c r="D16" i="57"/>
  <c r="H16" i="57" s="1"/>
  <c r="D15" i="57"/>
  <c r="F15" i="57" s="1"/>
  <c r="D9" i="57"/>
  <c r="D8" i="57"/>
  <c r="D12" i="57" s="1"/>
  <c r="F12" i="57" s="1"/>
  <c r="H8" i="57" l="1"/>
  <c r="D10" i="57"/>
  <c r="D22" i="57"/>
  <c r="H22" i="57" s="1"/>
  <c r="F20" i="57"/>
  <c r="D28" i="57"/>
  <c r="H28" i="57" s="1"/>
  <c r="H23" i="57"/>
  <c r="H15" i="57"/>
  <c r="F19" i="57"/>
  <c r="H17" i="57"/>
  <c r="F27" i="57"/>
  <c r="H13" i="57"/>
  <c r="F13" i="57"/>
  <c r="F26" i="57"/>
  <c r="H9" i="57"/>
  <c r="H12" i="57"/>
  <c r="F24" i="57"/>
  <c r="F9" i="57"/>
  <c r="F8" i="57"/>
  <c r="D11" i="57"/>
  <c r="F25" i="57"/>
  <c r="F22" i="57" l="1"/>
  <c r="E21" i="56" s="1"/>
  <c r="H10" i="57"/>
  <c r="F10" i="57"/>
  <c r="F28" i="57"/>
  <c r="E27" i="56" s="1"/>
  <c r="I27" i="56" s="1"/>
  <c r="F11" i="57"/>
  <c r="E10" i="56" s="1"/>
  <c r="H11" i="57"/>
  <c r="J21" i="51"/>
  <c r="J11" i="51"/>
  <c r="E8" i="56"/>
  <c r="E9" i="56"/>
  <c r="E11" i="56"/>
  <c r="E14" i="56"/>
  <c r="E15" i="56"/>
  <c r="B71" i="44" s="1"/>
  <c r="E16" i="56"/>
  <c r="E17" i="56"/>
  <c r="E18" i="56"/>
  <c r="E19" i="56"/>
  <c r="E22" i="56"/>
  <c r="B78" i="44" s="1"/>
  <c r="E23" i="56"/>
  <c r="E24" i="56"/>
  <c r="E25" i="56"/>
  <c r="E26" i="56"/>
  <c r="F26" i="56" s="1"/>
  <c r="E7" i="56"/>
  <c r="F7" i="56" s="1"/>
  <c r="D26" i="56"/>
  <c r="D25" i="56"/>
  <c r="D24" i="56"/>
  <c r="D23" i="56"/>
  <c r="D22" i="56"/>
  <c r="D21" i="56"/>
  <c r="D20" i="56"/>
  <c r="D19" i="56"/>
  <c r="D18" i="56"/>
  <c r="D17" i="56"/>
  <c r="D16" i="56"/>
  <c r="D15" i="56"/>
  <c r="D14" i="56"/>
  <c r="D12" i="56"/>
  <c r="D11" i="56"/>
  <c r="D10" i="56"/>
  <c r="D9" i="56"/>
  <c r="D8" i="56"/>
  <c r="D7" i="56"/>
  <c r="D5" i="56"/>
  <c r="J27" i="51"/>
  <c r="J26" i="51"/>
  <c r="J23" i="51"/>
  <c r="J24" i="51"/>
  <c r="J25" i="51"/>
  <c r="J22" i="51"/>
  <c r="J18" i="51"/>
  <c r="J19" i="51"/>
  <c r="J14" i="51"/>
  <c r="J16" i="51"/>
  <c r="J15" i="51"/>
  <c r="J10" i="51"/>
  <c r="J7" i="51"/>
  <c r="J8" i="51"/>
  <c r="J4" i="51"/>
  <c r="J9" i="51"/>
  <c r="I18" i="52"/>
  <c r="F18" i="56" l="1"/>
  <c r="F17" i="56"/>
  <c r="B73" i="44"/>
  <c r="F25" i="56"/>
  <c r="F24" i="56"/>
  <c r="F8" i="56"/>
  <c r="F16" i="56"/>
  <c r="F10" i="56"/>
  <c r="F19" i="56"/>
  <c r="F15" i="56"/>
  <c r="F23" i="56"/>
  <c r="F14" i="56"/>
  <c r="F22" i="56"/>
  <c r="F11" i="56"/>
  <c r="F21" i="56"/>
  <c r="F9" i="56"/>
  <c r="J17" i="51"/>
  <c r="E12" i="56" l="1"/>
  <c r="F12" i="56" s="1"/>
  <c r="J12" i="51"/>
  <c r="O8" i="49" l="1"/>
  <c r="E82" i="44" l="1"/>
  <c r="E81" i="44"/>
  <c r="E80" i="44"/>
  <c r="E79" i="44"/>
  <c r="E78" i="44"/>
  <c r="E77" i="44"/>
  <c r="E76" i="44"/>
  <c r="E75" i="44"/>
  <c r="E74" i="44"/>
  <c r="E73" i="44"/>
  <c r="E72" i="44"/>
  <c r="E71" i="44"/>
  <c r="I42" i="52" l="1"/>
  <c r="G42" i="52"/>
  <c r="H26" i="56" l="1"/>
  <c r="H25" i="56"/>
  <c r="G24" i="56" l="1"/>
  <c r="H24" i="56"/>
  <c r="G23" i="56"/>
  <c r="H23" i="56"/>
  <c r="G26" i="56"/>
  <c r="I26" i="56" s="1"/>
  <c r="G25" i="56"/>
  <c r="I25" i="56" s="1"/>
  <c r="I23" i="56" l="1"/>
  <c r="I24" i="56"/>
  <c r="G4" i="56" l="1"/>
  <c r="H4" i="56"/>
  <c r="H15" i="56" l="1"/>
  <c r="G15" i="56"/>
  <c r="G12" i="56"/>
  <c r="H12" i="56"/>
  <c r="I12" i="56" l="1"/>
  <c r="I15" i="56"/>
  <c r="H7" i="56"/>
  <c r="G7" i="56"/>
  <c r="I7" i="56" l="1"/>
  <c r="H10" i="56"/>
  <c r="G10" i="56"/>
  <c r="G8" i="56"/>
  <c r="H8" i="56"/>
  <c r="H9" i="56"/>
  <c r="G9" i="56"/>
  <c r="H14" i="56"/>
  <c r="G14" i="56"/>
  <c r="I9" i="56" l="1"/>
  <c r="I8" i="56"/>
  <c r="I14" i="56"/>
  <c r="I10" i="56"/>
  <c r="G16" i="56"/>
  <c r="H16" i="56"/>
  <c r="H11" i="56"/>
  <c r="G11" i="56"/>
  <c r="I16" i="56" l="1"/>
  <c r="I11" i="56"/>
  <c r="H17" i="56"/>
  <c r="G17" i="56"/>
  <c r="I17" i="56" l="1"/>
  <c r="H18" i="56"/>
  <c r="G18" i="56"/>
  <c r="I18" i="56" l="1"/>
  <c r="H19" i="56"/>
  <c r="G19" i="56"/>
  <c r="I19" i="56" l="1"/>
  <c r="H21" i="56" l="1"/>
  <c r="G21" i="56"/>
  <c r="I21" i="56" l="1"/>
  <c r="H22" i="56"/>
  <c r="G22" i="56"/>
  <c r="D91" i="44" l="1"/>
  <c r="I22" i="56"/>
  <c r="D92" i="44" l="1"/>
  <c r="C10" i="49"/>
  <c r="I9" i="51" l="1"/>
  <c r="I8" i="51"/>
  <c r="I22" i="52" l="1"/>
  <c r="I23" i="52"/>
  <c r="G22" i="52"/>
  <c r="G23" i="52"/>
  <c r="I19" i="52"/>
  <c r="G19" i="52"/>
  <c r="G24" i="51" l="1"/>
  <c r="G25" i="51"/>
  <c r="G23" i="51"/>
  <c r="H15" i="51"/>
  <c r="I15" i="51" s="1"/>
  <c r="K15" i="51" s="1"/>
  <c r="M15" i="51" l="1"/>
  <c r="L15" i="51"/>
  <c r="D25" i="52"/>
  <c r="E25" i="52"/>
  <c r="C25" i="52"/>
  <c r="D21" i="57" s="1"/>
  <c r="F21" i="57" l="1"/>
  <c r="E20" i="56" s="1"/>
  <c r="F20" i="56" s="1"/>
  <c r="H21" i="57"/>
  <c r="J20" i="51" s="1"/>
  <c r="N15" i="51"/>
  <c r="I25" i="52"/>
  <c r="G25" i="52"/>
  <c r="G20" i="56" l="1"/>
  <c r="H20" i="56"/>
  <c r="F22" i="50"/>
  <c r="B46" i="44" s="1"/>
  <c r="E46" i="44" s="1"/>
  <c r="C10" i="50"/>
  <c r="F8" i="44"/>
  <c r="F9" i="44"/>
  <c r="E9" i="44"/>
  <c r="E8" i="44"/>
  <c r="G12" i="52"/>
  <c r="D31" i="44"/>
  <c r="E31" i="44"/>
  <c r="B31" i="44"/>
  <c r="I20" i="56" l="1"/>
  <c r="J11" i="44"/>
  <c r="J6" i="44"/>
  <c r="F30" i="44"/>
  <c r="E10" i="52" s="1"/>
  <c r="F29" i="44"/>
  <c r="D10" i="52" s="1"/>
  <c r="F28" i="44"/>
  <c r="C10" i="52" s="1"/>
  <c r="D6" i="57" l="1"/>
  <c r="F6" i="57" s="1"/>
  <c r="E5" i="56" s="1"/>
  <c r="F5" i="56" s="1"/>
  <c r="C31" i="44"/>
  <c r="F31" i="44"/>
  <c r="H6" i="57" l="1"/>
  <c r="J5" i="51" s="1"/>
  <c r="H5" i="56"/>
  <c r="G5" i="56"/>
  <c r="H7" i="51"/>
  <c r="I7" i="51" s="1"/>
  <c r="K7" i="51" s="1"/>
  <c r="H16" i="51"/>
  <c r="H14" i="51"/>
  <c r="F39" i="50"/>
  <c r="E70" i="44" s="1"/>
  <c r="E83" i="44" s="1"/>
  <c r="C91" i="44" s="1"/>
  <c r="F29" i="50"/>
  <c r="B51" i="44" s="1"/>
  <c r="E51" i="44" s="1"/>
  <c r="F20" i="50"/>
  <c r="B44" i="44" s="1"/>
  <c r="E44" i="44" s="1"/>
  <c r="F19" i="50"/>
  <c r="B43" i="44" s="1"/>
  <c r="E43" i="44" s="1"/>
  <c r="F16" i="50"/>
  <c r="B40" i="44" s="1"/>
  <c r="E40" i="44" s="1"/>
  <c r="F39" i="49"/>
  <c r="F29" i="49"/>
  <c r="B67" i="44" s="1"/>
  <c r="E67" i="44" s="1"/>
  <c r="F20" i="49"/>
  <c r="B60" i="44" s="1"/>
  <c r="E60" i="44" s="1"/>
  <c r="F19" i="49"/>
  <c r="B59" i="44" s="1"/>
  <c r="E59" i="44" s="1"/>
  <c r="F16" i="49"/>
  <c r="B56" i="44" s="1"/>
  <c r="E56" i="44" s="1"/>
  <c r="I10" i="52"/>
  <c r="B90" i="44" s="1"/>
  <c r="I41" i="52"/>
  <c r="F38" i="49" s="1"/>
  <c r="I40" i="52"/>
  <c r="F37" i="49" s="1"/>
  <c r="I31" i="52"/>
  <c r="I30" i="52"/>
  <c r="F27" i="49" s="1"/>
  <c r="B65" i="44" s="1"/>
  <c r="E65" i="44" s="1"/>
  <c r="I29" i="52"/>
  <c r="F26" i="49" s="1"/>
  <c r="B64" i="44" s="1"/>
  <c r="E64" i="44" s="1"/>
  <c r="I28" i="52"/>
  <c r="F25" i="49" s="1"/>
  <c r="B63" i="44" s="1"/>
  <c r="E63" i="44" s="1"/>
  <c r="F22" i="49"/>
  <c r="B62" i="44" s="1"/>
  <c r="E62" i="44" s="1"/>
  <c r="I24" i="52"/>
  <c r="I21" i="52"/>
  <c r="I20" i="52"/>
  <c r="F17" i="49" s="1"/>
  <c r="B57" i="44" s="1"/>
  <c r="E57" i="44" s="1"/>
  <c r="F15" i="49"/>
  <c r="B55" i="44" s="1"/>
  <c r="E55" i="44" s="1"/>
  <c r="I14" i="52"/>
  <c r="I13" i="52"/>
  <c r="I12" i="52"/>
  <c r="G41" i="52"/>
  <c r="F38" i="50" s="1"/>
  <c r="G40" i="52"/>
  <c r="F37" i="50" s="1"/>
  <c r="G31" i="52"/>
  <c r="F28" i="50" s="1"/>
  <c r="B50" i="44" s="1"/>
  <c r="E50" i="44" s="1"/>
  <c r="G30" i="52"/>
  <c r="G29" i="52"/>
  <c r="F26" i="50" s="1"/>
  <c r="B48" i="44" s="1"/>
  <c r="E48" i="44" s="1"/>
  <c r="G28" i="52"/>
  <c r="F25" i="50" s="1"/>
  <c r="B47" i="44" s="1"/>
  <c r="E47" i="44" s="1"/>
  <c r="G24" i="52"/>
  <c r="F21" i="50" s="1"/>
  <c r="B45" i="44" s="1"/>
  <c r="E45" i="44" s="1"/>
  <c r="G21" i="52"/>
  <c r="J7" i="44" s="1"/>
  <c r="G20" i="52"/>
  <c r="G18" i="52"/>
  <c r="G14" i="52"/>
  <c r="J9" i="44" s="1"/>
  <c r="J10" i="44" s="1"/>
  <c r="G13" i="52"/>
  <c r="G10" i="52"/>
  <c r="B89" i="44" s="1"/>
  <c r="E91" i="44" l="1"/>
  <c r="F91" i="44" s="1"/>
  <c r="H91" i="44" s="1"/>
  <c r="F28" i="56"/>
  <c r="I5" i="56"/>
  <c r="I28" i="56" s="1"/>
  <c r="G91" i="44"/>
  <c r="C92" i="44"/>
  <c r="F7" i="49"/>
  <c r="F7" i="50"/>
  <c r="F17" i="50"/>
  <c r="B41" i="44" s="1"/>
  <c r="E41" i="44" s="1"/>
  <c r="F10" i="49"/>
  <c r="K8" i="44"/>
  <c r="F11" i="49"/>
  <c r="K9" i="44"/>
  <c r="K10" i="44" s="1"/>
  <c r="F18" i="49"/>
  <c r="B58" i="44" s="1"/>
  <c r="E58" i="44" s="1"/>
  <c r="K7" i="44"/>
  <c r="J8" i="44"/>
  <c r="G8" i="44"/>
  <c r="K11" i="44"/>
  <c r="K6" i="44"/>
  <c r="D6" i="44"/>
  <c r="F11" i="50"/>
  <c r="G9" i="44"/>
  <c r="H9" i="44" s="1"/>
  <c r="F18" i="50"/>
  <c r="B42" i="44" s="1"/>
  <c r="E42" i="44" s="1"/>
  <c r="D7" i="44"/>
  <c r="E7" i="44" s="1"/>
  <c r="F9" i="49"/>
  <c r="B54" i="44" s="1"/>
  <c r="E54" i="44" s="1"/>
  <c r="F28" i="49"/>
  <c r="B66" i="44" s="1"/>
  <c r="E66" i="44" s="1"/>
  <c r="F15" i="50"/>
  <c r="B39" i="44" s="1"/>
  <c r="E39" i="44" s="1"/>
  <c r="F21" i="49"/>
  <c r="B61" i="44" s="1"/>
  <c r="E61" i="44" s="1"/>
  <c r="F9" i="50"/>
  <c r="B38" i="44" s="1"/>
  <c r="E38" i="44" s="1"/>
  <c r="E52" i="44" s="1"/>
  <c r="F10" i="50"/>
  <c r="F27" i="50"/>
  <c r="B49" i="44" s="1"/>
  <c r="E49" i="44" s="1"/>
  <c r="E39" i="50"/>
  <c r="E38" i="50"/>
  <c r="E37" i="50"/>
  <c r="E21" i="50"/>
  <c r="H21" i="50" s="1"/>
  <c r="E19" i="50"/>
  <c r="E18" i="50"/>
  <c r="E7" i="50"/>
  <c r="E15" i="50"/>
  <c r="E9" i="50"/>
  <c r="O9" i="50"/>
  <c r="O8" i="50"/>
  <c r="O7" i="50"/>
  <c r="O6" i="50"/>
  <c r="H7" i="50" l="1"/>
  <c r="C89" i="44"/>
  <c r="E68" i="44"/>
  <c r="C90" i="44" s="1"/>
  <c r="L7" i="44"/>
  <c r="M7" i="44"/>
  <c r="L9" i="44"/>
  <c r="M9" i="44"/>
  <c r="K8" i="51"/>
  <c r="N27" i="51"/>
  <c r="G10" i="44"/>
  <c r="H10" i="44" s="1"/>
  <c r="H8" i="44"/>
  <c r="D10" i="44"/>
  <c r="E10" i="44" s="1"/>
  <c r="D12" i="44"/>
  <c r="E6" i="44"/>
  <c r="D11" i="44"/>
  <c r="I26" i="51"/>
  <c r="K26" i="51" s="1"/>
  <c r="I25" i="51"/>
  <c r="K25" i="51" s="1"/>
  <c r="I24" i="51"/>
  <c r="K24" i="51" s="1"/>
  <c r="I20" i="51"/>
  <c r="K20" i="51" s="1"/>
  <c r="I19" i="51"/>
  <c r="K19" i="51" s="1"/>
  <c r="I18" i="51"/>
  <c r="K18" i="51" s="1"/>
  <c r="I17" i="51"/>
  <c r="I16" i="51"/>
  <c r="K16" i="51" s="1"/>
  <c r="I14" i="51"/>
  <c r="K14" i="51" s="1"/>
  <c r="I21" i="51"/>
  <c r="K21" i="51" s="1"/>
  <c r="I10" i="51"/>
  <c r="I5" i="51"/>
  <c r="K5" i="51" s="1"/>
  <c r="I4" i="51"/>
  <c r="E29" i="50"/>
  <c r="E28" i="50"/>
  <c r="H28" i="50" s="1"/>
  <c r="E27" i="50"/>
  <c r="H27" i="50" s="1"/>
  <c r="E26" i="50"/>
  <c r="H26" i="50" s="1"/>
  <c r="E25" i="50"/>
  <c r="E22" i="50"/>
  <c r="C20" i="50"/>
  <c r="E20" i="50" s="1"/>
  <c r="H20" i="50" s="1"/>
  <c r="H18" i="50"/>
  <c r="E17" i="50"/>
  <c r="E16" i="50"/>
  <c r="H16" i="50" s="1"/>
  <c r="C11" i="50"/>
  <c r="E11" i="50" s="1"/>
  <c r="K11" i="50" s="1"/>
  <c r="E10" i="50"/>
  <c r="K10" i="50" s="1"/>
  <c r="H9" i="50"/>
  <c r="E39" i="49"/>
  <c r="E38" i="49"/>
  <c r="E37" i="49"/>
  <c r="E29" i="49"/>
  <c r="E28" i="49"/>
  <c r="H28" i="49" s="1"/>
  <c r="E27" i="49"/>
  <c r="H27" i="49" s="1"/>
  <c r="E26" i="49"/>
  <c r="H26" i="49" s="1"/>
  <c r="E25" i="49"/>
  <c r="E22" i="49"/>
  <c r="E21" i="49"/>
  <c r="C20" i="49"/>
  <c r="E20" i="49" s="1"/>
  <c r="H20" i="49" s="1"/>
  <c r="E19" i="49"/>
  <c r="H19" i="49" s="1"/>
  <c r="E18" i="49"/>
  <c r="E17" i="49"/>
  <c r="E16" i="49"/>
  <c r="E15" i="49"/>
  <c r="C11" i="49"/>
  <c r="E11" i="49" s="1"/>
  <c r="G11" i="49" s="1"/>
  <c r="K11" i="49" s="1"/>
  <c r="E10" i="49"/>
  <c r="G10" i="49" s="1"/>
  <c r="K10" i="49" s="1"/>
  <c r="E9" i="49"/>
  <c r="H9" i="49" s="1"/>
  <c r="H7" i="49"/>
  <c r="N7" i="44" l="1"/>
  <c r="N9" i="44"/>
  <c r="L10" i="44"/>
  <c r="M10" i="44"/>
  <c r="L8" i="44"/>
  <c r="M8" i="44"/>
  <c r="M13" i="44" s="1"/>
  <c r="L6" i="44"/>
  <c r="M6" i="44"/>
  <c r="K4" i="51"/>
  <c r="M4" i="51" s="1"/>
  <c r="K10" i="51"/>
  <c r="M10" i="51" s="1"/>
  <c r="K9" i="51"/>
  <c r="M9" i="51" s="1"/>
  <c r="J26" i="49"/>
  <c r="K17" i="51"/>
  <c r="M17" i="51" s="1"/>
  <c r="I12" i="51"/>
  <c r="K12" i="51" s="1"/>
  <c r="M12" i="51" s="1"/>
  <c r="I23" i="51"/>
  <c r="K23" i="51" s="1"/>
  <c r="L23" i="51" s="1"/>
  <c r="H17" i="50"/>
  <c r="J16" i="50"/>
  <c r="I18" i="50"/>
  <c r="J29" i="50"/>
  <c r="I7" i="49"/>
  <c r="H15" i="49"/>
  <c r="J15" i="49" s="1"/>
  <c r="H16" i="49"/>
  <c r="J16" i="49" s="1"/>
  <c r="H29" i="49"/>
  <c r="J27" i="49"/>
  <c r="I27" i="49"/>
  <c r="J26" i="50"/>
  <c r="I26" i="50"/>
  <c r="I20" i="50"/>
  <c r="J20" i="50"/>
  <c r="I19" i="50"/>
  <c r="J19" i="50"/>
  <c r="I28" i="49"/>
  <c r="J28" i="49"/>
  <c r="H17" i="49"/>
  <c r="M14" i="51"/>
  <c r="L14" i="51"/>
  <c r="M16" i="51"/>
  <c r="L16" i="51"/>
  <c r="M24" i="51"/>
  <c r="L24" i="51"/>
  <c r="L26" i="51"/>
  <c r="M26" i="51"/>
  <c r="M20" i="51"/>
  <c r="L20" i="51"/>
  <c r="M8" i="51"/>
  <c r="L8" i="51"/>
  <c r="M18" i="51"/>
  <c r="L18" i="51"/>
  <c r="M21" i="51"/>
  <c r="L21" i="51"/>
  <c r="L5" i="51"/>
  <c r="M5" i="51"/>
  <c r="M19" i="51"/>
  <c r="L19" i="51"/>
  <c r="M25" i="51"/>
  <c r="L25" i="51"/>
  <c r="I11" i="51"/>
  <c r="K11" i="51" s="1"/>
  <c r="I22" i="51"/>
  <c r="K22" i="51" s="1"/>
  <c r="I16" i="50"/>
  <c r="I27" i="50"/>
  <c r="J27" i="50"/>
  <c r="J28" i="50"/>
  <c r="I28" i="50"/>
  <c r="J19" i="49"/>
  <c r="I19" i="49"/>
  <c r="I20" i="49"/>
  <c r="J20" i="49"/>
  <c r="H37" i="49"/>
  <c r="I26" i="49"/>
  <c r="H18" i="49"/>
  <c r="L13" i="44" l="1"/>
  <c r="N13" i="44" s="1"/>
  <c r="N8" i="44"/>
  <c r="N10" i="44"/>
  <c r="N6" i="44"/>
  <c r="L4" i="51"/>
  <c r="N4" i="51" s="1"/>
  <c r="L10" i="51"/>
  <c r="N10" i="51" s="1"/>
  <c r="L9" i="51"/>
  <c r="N9" i="51" s="1"/>
  <c r="K19" i="49"/>
  <c r="N25" i="51"/>
  <c r="K19" i="50"/>
  <c r="N18" i="51"/>
  <c r="N26" i="51"/>
  <c r="I7" i="50"/>
  <c r="K27" i="49"/>
  <c r="K16" i="50"/>
  <c r="K26" i="50"/>
  <c r="K27" i="50"/>
  <c r="K28" i="49"/>
  <c r="K20" i="49"/>
  <c r="N19" i="51"/>
  <c r="N16" i="51"/>
  <c r="L12" i="51"/>
  <c r="N12" i="51" s="1"/>
  <c r="N21" i="51"/>
  <c r="M23" i="51"/>
  <c r="N23" i="51" s="1"/>
  <c r="L17" i="51"/>
  <c r="N17" i="51" s="1"/>
  <c r="N14" i="51"/>
  <c r="K28" i="50"/>
  <c r="K20" i="50"/>
  <c r="K26" i="49"/>
  <c r="I16" i="49"/>
  <c r="K16" i="49" s="1"/>
  <c r="N24" i="51"/>
  <c r="N20" i="51"/>
  <c r="N8" i="51"/>
  <c r="N5" i="51"/>
  <c r="I17" i="50"/>
  <c r="I15" i="50"/>
  <c r="J17" i="50"/>
  <c r="I29" i="50"/>
  <c r="K29" i="50" s="1"/>
  <c r="J15" i="50"/>
  <c r="K15" i="50" s="1"/>
  <c r="J7" i="50"/>
  <c r="J18" i="50"/>
  <c r="K18" i="50" s="1"/>
  <c r="H21" i="49"/>
  <c r="I21" i="49" s="1"/>
  <c r="J17" i="49"/>
  <c r="I29" i="49"/>
  <c r="I15" i="49"/>
  <c r="K15" i="49" s="1"/>
  <c r="H25" i="49"/>
  <c r="J29" i="49"/>
  <c r="J7" i="49"/>
  <c r="K7" i="49" s="1"/>
  <c r="I17" i="49"/>
  <c r="I9" i="50"/>
  <c r="J9" i="50"/>
  <c r="M7" i="51"/>
  <c r="L7" i="51"/>
  <c r="M22" i="51"/>
  <c r="L22" i="51"/>
  <c r="M11" i="51"/>
  <c r="L11" i="51"/>
  <c r="H22" i="50"/>
  <c r="I18" i="49"/>
  <c r="J18" i="49"/>
  <c r="J37" i="49"/>
  <c r="I37" i="49"/>
  <c r="H38" i="49"/>
  <c r="J9" i="49"/>
  <c r="I9" i="49"/>
  <c r="G30" i="50" l="1"/>
  <c r="E89" i="44" s="1"/>
  <c r="G30" i="49"/>
  <c r="K9" i="49"/>
  <c r="K17" i="49"/>
  <c r="K7" i="50"/>
  <c r="K9" i="50"/>
  <c r="K17" i="50"/>
  <c r="K29" i="49"/>
  <c r="N11" i="51"/>
  <c r="N22" i="51"/>
  <c r="J21" i="49"/>
  <c r="K21" i="49" s="1"/>
  <c r="N7" i="51"/>
  <c r="K37" i="49"/>
  <c r="K18" i="49"/>
  <c r="I25" i="49"/>
  <c r="J25" i="49"/>
  <c r="H22" i="49"/>
  <c r="I37" i="50"/>
  <c r="J37" i="50"/>
  <c r="I38" i="50"/>
  <c r="J38" i="50"/>
  <c r="J21" i="50"/>
  <c r="I21" i="50"/>
  <c r="J25" i="50"/>
  <c r="I25" i="50"/>
  <c r="I38" i="49"/>
  <c r="J38" i="49"/>
  <c r="H39" i="49"/>
  <c r="N42" i="49" l="1"/>
  <c r="H84" i="44" s="1"/>
  <c r="E90" i="44"/>
  <c r="N28" i="51"/>
  <c r="K38" i="50"/>
  <c r="K37" i="50"/>
  <c r="K25" i="50"/>
  <c r="K21" i="50"/>
  <c r="K25" i="49"/>
  <c r="K38" i="49"/>
  <c r="I22" i="49"/>
  <c r="J22" i="49"/>
  <c r="I39" i="50"/>
  <c r="J39" i="50"/>
  <c r="J22" i="50"/>
  <c r="I22" i="50"/>
  <c r="I39" i="49"/>
  <c r="J39" i="49"/>
  <c r="F90" i="44" l="1"/>
  <c r="E92" i="44"/>
  <c r="G43" i="50"/>
  <c r="K22" i="50"/>
  <c r="K30" i="50" s="1"/>
  <c r="K39" i="50"/>
  <c r="K42" i="50" s="1"/>
  <c r="K39" i="49"/>
  <c r="K22" i="49"/>
  <c r="K30" i="49" s="1"/>
  <c r="N43" i="49" l="1"/>
  <c r="N45" i="49" s="1"/>
  <c r="H90" i="44"/>
  <c r="G90" i="44"/>
  <c r="F92" i="44"/>
  <c r="G92" i="44" s="1"/>
  <c r="G89" i="44"/>
  <c r="H89" i="44"/>
  <c r="K43" i="50"/>
  <c r="K43" i="49"/>
  <c r="G43" i="49"/>
  <c r="H6" i="44" l="1"/>
  <c r="H7" i="44"/>
  <c r="E11" i="44"/>
  <c r="E12" i="44"/>
  <c r="M11" i="44" l="1"/>
  <c r="M12" i="44" s="1"/>
  <c r="M14" i="44" s="1"/>
  <c r="K44" i="49" s="1"/>
  <c r="K45" i="49" s="1"/>
  <c r="L11" i="44"/>
  <c r="H14" i="44" l="1"/>
  <c r="L12" i="44"/>
  <c r="N11" i="44"/>
  <c r="L14" i="44" l="1"/>
  <c r="N12" i="44"/>
  <c r="K44" i="50" l="1"/>
  <c r="K45" i="50" s="1"/>
  <c r="N14" i="44"/>
</calcChain>
</file>

<file path=xl/sharedStrings.xml><?xml version="1.0" encoding="utf-8"?>
<sst xmlns="http://schemas.openxmlformats.org/spreadsheetml/2006/main" count="841" uniqueCount="383">
  <si>
    <t>Labor Rates</t>
  </si>
  <si>
    <t>43-9061</t>
  </si>
  <si>
    <t>17-2051</t>
  </si>
  <si>
    <t>Occupation Code</t>
  </si>
  <si>
    <t>17-3022</t>
  </si>
  <si>
    <t>k</t>
  </si>
  <si>
    <t>c</t>
  </si>
  <si>
    <t>e</t>
  </si>
  <si>
    <t>Included in 3a</t>
  </si>
  <si>
    <t>4.  Recordkeeping Requirements</t>
  </si>
  <si>
    <t>a</t>
  </si>
  <si>
    <t>3. Reporting Requirements</t>
  </si>
  <si>
    <t>2. Surveys and Studies</t>
  </si>
  <si>
    <t>1. Applications</t>
  </si>
  <si>
    <t>Footnotes</t>
  </si>
  <si>
    <t>Burden Item</t>
  </si>
  <si>
    <t>Total</t>
  </si>
  <si>
    <t>Included in 3B</t>
  </si>
  <si>
    <t>b</t>
  </si>
  <si>
    <t>d</t>
  </si>
  <si>
    <t>f</t>
  </si>
  <si>
    <t>g</t>
  </si>
  <si>
    <t>h</t>
  </si>
  <si>
    <t>i</t>
  </si>
  <si>
    <t>j</t>
  </si>
  <si>
    <t>l</t>
  </si>
  <si>
    <t>m</t>
  </si>
  <si>
    <t>n</t>
  </si>
  <si>
    <t>1. Initial design capacity report</t>
  </si>
  <si>
    <t>Hours</t>
  </si>
  <si>
    <t>Technical</t>
  </si>
  <si>
    <t>Clerical</t>
  </si>
  <si>
    <t>D.</t>
  </si>
  <si>
    <t>C.</t>
  </si>
  <si>
    <t>B.</t>
  </si>
  <si>
    <t>A.</t>
  </si>
  <si>
    <t>Reporting requirements</t>
  </si>
  <si>
    <t>6.</t>
  </si>
  <si>
    <t>4</t>
  </si>
  <si>
    <t>Review continuous parameter monitoring</t>
  </si>
  <si>
    <t>F.</t>
  </si>
  <si>
    <t>Review operating parameters</t>
  </si>
  <si>
    <t>E.</t>
  </si>
  <si>
    <t>Required activities</t>
  </si>
  <si>
    <t>3.</t>
  </si>
  <si>
    <t>Enter and update information into agency recordkeeping system</t>
  </si>
  <si>
    <t>2.</t>
  </si>
  <si>
    <t>1.</t>
  </si>
  <si>
    <t>Observe initial performance test</t>
  </si>
  <si>
    <t xml:space="preserve">Observe surface methane monitoring quarterly </t>
  </si>
  <si>
    <t>Review initial design capacity report</t>
  </si>
  <si>
    <t>Review Collection and Control System Design Plan</t>
  </si>
  <si>
    <t>Excess Emissions Enforcement Activities</t>
  </si>
  <si>
    <t>Review annual NMOC emission rate report</t>
  </si>
  <si>
    <t>Review Annual Report</t>
  </si>
  <si>
    <t>Review landfill closure report</t>
  </si>
  <si>
    <t>Review equipment removal report</t>
  </si>
  <si>
    <t>G.</t>
  </si>
  <si>
    <t>Review Revised Collection and Control System Design Plan</t>
  </si>
  <si>
    <t>H.</t>
  </si>
  <si>
    <t>Review notification of performance test</t>
  </si>
  <si>
    <t>Public</t>
  </si>
  <si>
    <t>Private</t>
  </si>
  <si>
    <t>Review amended design capacity report</t>
  </si>
  <si>
    <t>p</t>
  </si>
  <si>
    <t>o</t>
  </si>
  <si>
    <t>2. Amended design capacity report</t>
  </si>
  <si>
    <t>3. Report of NMOC rate (Tier 1)</t>
  </si>
  <si>
    <t>4. Report of NMOC rate (Tier 2)</t>
  </si>
  <si>
    <t>5. Landfill Closure Report</t>
  </si>
  <si>
    <t>6. Equipment Removal Report</t>
  </si>
  <si>
    <t>7. Collection and Control System Design Plan</t>
  </si>
  <si>
    <t>9. Initial Performance Test</t>
  </si>
  <si>
    <t>10. Compliance Report</t>
  </si>
  <si>
    <t>11. Annual Report</t>
  </si>
  <si>
    <t>3. Recordkeeping and Data Storage (others)</t>
  </si>
  <si>
    <t>2. Recordkeeping and Data Storage (controllers)</t>
  </si>
  <si>
    <t>q</t>
  </si>
  <si>
    <t>1. Data Compilation and Review (controllers)</t>
  </si>
  <si>
    <t>(A)</t>
  </si>
  <si>
    <t>(B)</t>
  </si>
  <si>
    <t>Capital/Startup Cost for One Respondent</t>
  </si>
  <si>
    <t>(C)</t>
  </si>
  <si>
    <t>Annualized Capital/Startup Cost for One Respondent</t>
  </si>
  <si>
    <t>(D)</t>
  </si>
  <si>
    <t>Average Number of Respondents per Year</t>
  </si>
  <si>
    <t>(E)</t>
  </si>
  <si>
    <t>(F)</t>
  </si>
  <si>
    <t>Annual O&amp;M Costs for One Respondent</t>
  </si>
  <si>
    <t>(G)</t>
  </si>
  <si>
    <t>Number of Respondents with O&amp;M</t>
  </si>
  <si>
    <t>(H)</t>
  </si>
  <si>
    <t>Review Corrective Action Analysis</t>
  </si>
  <si>
    <t>Review Implementation Timeline</t>
  </si>
  <si>
    <t>Review Root Cause Analysis</t>
  </si>
  <si>
    <t>I.</t>
  </si>
  <si>
    <t>J.</t>
  </si>
  <si>
    <t>K.</t>
  </si>
  <si>
    <t>L.</t>
  </si>
  <si>
    <t>r</t>
  </si>
  <si>
    <t>Wet Landfills Monitoring Report</t>
  </si>
  <si>
    <t>12. Corrective Action Analysis</t>
  </si>
  <si>
    <t>13. Implementation Timeline</t>
  </si>
  <si>
    <t>14. Root Cause Analysis</t>
  </si>
  <si>
    <t>15. Wet Landfill Monitoring Report</t>
  </si>
  <si>
    <t>Management</t>
  </si>
  <si>
    <t>Technical - Civil Engineer</t>
  </si>
  <si>
    <t>Labor</t>
  </si>
  <si>
    <t>Rates</t>
  </si>
  <si>
    <t>Category</t>
  </si>
  <si>
    <t>Subtotal for Reporting Requirements</t>
  </si>
  <si>
    <t>Subtotal for Recordkeeping Requirements</t>
  </si>
  <si>
    <t>11-9198</t>
  </si>
  <si>
    <t>Technical - Civil Engineering Technician</t>
  </si>
  <si>
    <t xml:space="preserve">https://www.bls.gov/oes/current/oes_nat.htm#11-0000 </t>
  </si>
  <si>
    <t>(A)
EPA hours per occurrence</t>
  </si>
  <si>
    <t>(B)
Number of occurrences per plant per year</t>
  </si>
  <si>
    <t>(C)
EPA person-hours per plant per year (C=AxB)</t>
  </si>
  <si>
    <t>(E)
Technical hours per year (CxD)</t>
  </si>
  <si>
    <t>(F)
Management hours per year (F=Ex0.05)</t>
  </si>
  <si>
    <t>(G)
Clerical hours per year (G=Ex0.1)</t>
  </si>
  <si>
    <t>Assumptions:</t>
  </si>
  <si>
    <t>Totals have been rounded to 3 significant figures. Figures may not add exactly due to rounding.</t>
  </si>
  <si>
    <t>Year 2022</t>
  </si>
  <si>
    <t>Year 2023</t>
  </si>
  <si>
    <t>Year 2024</t>
  </si>
  <si>
    <t>Number of Respondents</t>
  </si>
  <si>
    <t>Sector</t>
  </si>
  <si>
    <t>% Respondents</t>
  </si>
  <si>
    <t>3-Year Average Number Respondents</t>
  </si>
  <si>
    <t>Total (Rounded)</t>
  </si>
  <si>
    <t>Included in 3A</t>
  </si>
  <si>
    <t>NA</t>
  </si>
  <si>
    <t>Review Initial Performance Test Report</t>
  </si>
  <si>
    <t>(B) 
Number of Occurrences Per Respondent Per Year</t>
  </si>
  <si>
    <t>(C) 
Technical Person-Hours per Respondent Per Year
 (A x B)</t>
  </si>
  <si>
    <t>(A) 
Person Hours per Occurrence</t>
  </si>
  <si>
    <t>(E) 
Civil Engineer Technician Hours per Year (C x D)</t>
  </si>
  <si>
    <t>(F) 
Civil Engineer Hours per Year 
(C x D)</t>
  </si>
  <si>
    <t>(G)       Management Person-Hours per Year (F x .05)</t>
  </si>
  <si>
    <t>(H)         Clerical Person-Hours per Year (F x 0.1)</t>
  </si>
  <si>
    <r>
      <t xml:space="preserve">(H) 
Costs, $ </t>
    </r>
    <r>
      <rPr>
        <vertAlign val="superscript"/>
        <sz val="10"/>
        <rFont val="Times New Roman"/>
        <family val="1"/>
      </rPr>
      <t>b</t>
    </r>
  </si>
  <si>
    <r>
      <t xml:space="preserve">(D) 
Average Number of Respondents Per Year </t>
    </r>
    <r>
      <rPr>
        <vertAlign val="superscript"/>
        <sz val="10"/>
        <rFont val="Times New Roman"/>
        <family val="1"/>
      </rPr>
      <t>a</t>
    </r>
  </si>
  <si>
    <r>
      <t xml:space="preserve">(I)  
Total Labor Costs Per Year </t>
    </r>
    <r>
      <rPr>
        <vertAlign val="superscript"/>
        <sz val="10"/>
        <rFont val="Times New Roman"/>
        <family val="1"/>
      </rPr>
      <t>b</t>
    </r>
  </si>
  <si>
    <t>Total Annualized Capital / Startup Cost, (C x D) per Year</t>
  </si>
  <si>
    <t>Total O&amp;M 
(F x G)</t>
  </si>
  <si>
    <t>Respondents That Submit Reports</t>
  </si>
  <si>
    <t>Respondents That Do Not Submit Any Reports</t>
  </si>
  <si>
    <t>Year</t>
  </si>
  <si>
    <t>Number of Existing Respondents that keep records but do not submit reports</t>
  </si>
  <si>
    <t>Number of Existing Respondents That Are Also New Respondents</t>
  </si>
  <si>
    <t>Number of Respondents
(E=A+B+C-D)</t>
  </si>
  <si>
    <t>Average</t>
  </si>
  <si>
    <r>
      <t xml:space="preserve">Number of New Respondents </t>
    </r>
    <r>
      <rPr>
        <vertAlign val="superscript"/>
        <sz val="10"/>
        <color rgb="FF000000"/>
        <rFont val="Times New Roman"/>
        <family val="1"/>
      </rPr>
      <t>a</t>
    </r>
  </si>
  <si>
    <r>
      <t xml:space="preserve">Number of Existing Respondents </t>
    </r>
    <r>
      <rPr>
        <vertAlign val="superscript"/>
        <sz val="10"/>
        <color rgb="FF000000"/>
        <rFont val="Times New Roman"/>
        <family val="1"/>
      </rPr>
      <t>b</t>
    </r>
  </si>
  <si>
    <r>
      <t xml:space="preserve">Method 25 or 25C testing costs for initial performance test </t>
    </r>
    <r>
      <rPr>
        <vertAlign val="superscript"/>
        <sz val="10"/>
        <color theme="1"/>
        <rFont val="Times New Roman"/>
        <family val="1"/>
      </rPr>
      <t>a</t>
    </r>
  </si>
  <si>
    <r>
      <t xml:space="preserve">Sampling probe and Method 25 or 25C testing costs for Tier 2 test </t>
    </r>
    <r>
      <rPr>
        <vertAlign val="superscript"/>
        <sz val="10"/>
        <color theme="1"/>
        <rFont val="Times New Roman"/>
        <family val="1"/>
      </rPr>
      <t>b</t>
    </r>
  </si>
  <si>
    <r>
      <t xml:space="preserve">Method 21 Surface Emission Monitor </t>
    </r>
    <r>
      <rPr>
        <vertAlign val="superscript"/>
        <sz val="10"/>
        <color theme="1"/>
        <rFont val="Times New Roman"/>
        <family val="1"/>
      </rPr>
      <t>c</t>
    </r>
  </si>
  <si>
    <r>
      <t xml:space="preserve">Portable Wellhead Monitor </t>
    </r>
    <r>
      <rPr>
        <vertAlign val="superscript"/>
        <sz val="10"/>
        <color theme="1"/>
        <rFont val="Times New Roman"/>
        <family val="1"/>
      </rPr>
      <t>d</t>
    </r>
  </si>
  <si>
    <r>
      <rPr>
        <vertAlign val="superscript"/>
        <sz val="10"/>
        <color theme="1"/>
        <rFont val="Times New Roman"/>
        <family val="1"/>
      </rPr>
      <t>d</t>
    </r>
    <r>
      <rPr>
        <sz val="10"/>
        <color theme="1"/>
        <rFont val="Times New Roman"/>
        <family val="1"/>
      </rPr>
      <t xml:space="preserve"> All controlled landfills must conduct monthly wellhead monitoring.</t>
    </r>
  </si>
  <si>
    <r>
      <rPr>
        <vertAlign val="superscript"/>
        <sz val="10"/>
        <color theme="1"/>
        <rFont val="Times New Roman"/>
        <family val="1"/>
      </rPr>
      <t>e</t>
    </r>
    <r>
      <rPr>
        <sz val="10"/>
        <color theme="1"/>
        <rFont val="Times New Roman"/>
        <family val="1"/>
      </rPr>
      <t xml:space="preserve"> Sources required to install a control system purchase and install this equipment prior to their initial performance test. All sources operating controls maintain this equipment annually. Annualized cost is figured at 7% over 15 years.</t>
    </r>
  </si>
  <si>
    <r>
      <rPr>
        <vertAlign val="superscript"/>
        <sz val="10"/>
        <color theme="1"/>
        <rFont val="Times New Roman"/>
        <family val="1"/>
      </rPr>
      <t xml:space="preserve">f </t>
    </r>
    <r>
      <rPr>
        <sz val="10"/>
        <color theme="1"/>
        <rFont val="Times New Roman"/>
        <family val="1"/>
      </rPr>
      <t xml:space="preserve"> All sources operating controls maintain the flow meter, thermocouple, and data recorder annually at a cost of $1,000.</t>
    </r>
  </si>
  <si>
    <r>
      <t xml:space="preserve">Flow Meter </t>
    </r>
    <r>
      <rPr>
        <vertAlign val="superscript"/>
        <sz val="10"/>
        <color theme="1"/>
        <rFont val="Times New Roman"/>
        <family val="1"/>
      </rPr>
      <t>e, f</t>
    </r>
  </si>
  <si>
    <r>
      <t xml:space="preserve">Thermocouple </t>
    </r>
    <r>
      <rPr>
        <vertAlign val="superscript"/>
        <sz val="10"/>
        <color theme="1"/>
        <rFont val="Times New Roman"/>
        <family val="1"/>
      </rPr>
      <t>e, f</t>
    </r>
  </si>
  <si>
    <r>
      <t xml:space="preserve">Data Recorder </t>
    </r>
    <r>
      <rPr>
        <vertAlign val="superscript"/>
        <sz val="10"/>
        <color theme="1"/>
        <rFont val="Times New Roman"/>
        <family val="1"/>
      </rPr>
      <t>e, f</t>
    </r>
  </si>
  <si>
    <t>This ICR uses mean hourly wage for the following labor categories from the United States Department of Labor, Bureau of Labor Statistics, May 2019, “National Occupational Employment and Wage Estimates United States” for employees at privately-owned landfills:  Managers, All Other for Managerial Labor, Civil Engineers, Civil Engineer Technicians, and Office Clerks, General for Clerical Labor.  The rates have been increased by 110 percent to account for the benefit packages available to those employed by private industry.</t>
  </si>
  <si>
    <t>e, l</t>
  </si>
  <si>
    <t>8. Revised C&amp;C System design plan</t>
  </si>
  <si>
    <t xml:space="preserve">We assume that, during the three-year period of this ICR, an average of one privately-owned landfill per year and one publicly-owned landfill per year will be required to conduct a root cause analysis, corrective action analysis, and implementation timeline. These items are not required by the rule for controlling landfills. A root cause analysis is only required if the landfill has an exceedance of a wellhead parameter that is identified and cannot be corrected within 15 days. If the exceedance cannot be corrected within 60 days the owner or operator must also conduct a corrective action analysis and develop and implementation schedule. These items must only be submitted for approval if the corrective action will take longer than 120 days to correct. </t>
  </si>
  <si>
    <t>i, j</t>
  </si>
  <si>
    <t>d, k</t>
  </si>
  <si>
    <t>Total Labor Burden and Costs (rounded)</t>
  </si>
  <si>
    <t>Total Capital and O&amp;M Cost (rounded)</t>
  </si>
  <si>
    <t>Grand Total (rounded)</t>
  </si>
  <si>
    <t>A.  Read and Understand Rule Requirements</t>
  </si>
  <si>
    <t>B.  Required Activities</t>
  </si>
  <si>
    <t xml:space="preserve">1.   Initial performance test report </t>
  </si>
  <si>
    <t xml:space="preserve">2.   Surface methane monitoring quarterly </t>
  </si>
  <si>
    <t>3.   Wellhead monitoring monthly</t>
  </si>
  <si>
    <t xml:space="preserve">C.  Create Information </t>
  </si>
  <si>
    <t>D.  Gather Information</t>
  </si>
  <si>
    <t>E.  Report Preparation</t>
  </si>
  <si>
    <t>A.  Read Instructions</t>
  </si>
  <si>
    <t>B.  Plan Activities</t>
  </si>
  <si>
    <t>C.  Implement Activities</t>
  </si>
  <si>
    <t>D.  Develop Record System</t>
  </si>
  <si>
    <t>E.  Record Information</t>
  </si>
  <si>
    <t>E.  Personnel Training</t>
  </si>
  <si>
    <t>F.  Time for Audits</t>
  </si>
  <si>
    <r>
      <rPr>
        <vertAlign val="superscript"/>
        <sz val="10"/>
        <color theme="1"/>
        <rFont val="Times New Roman"/>
        <family val="1"/>
      </rPr>
      <t>c</t>
    </r>
    <r>
      <rPr>
        <sz val="10"/>
        <color theme="1"/>
        <rFont val="Times New Roman"/>
        <family val="1"/>
      </rPr>
      <t xml:space="preserve"> All controlled landfills must conduct quarterly surface emissions testing at all penetrations of the cover. We assume weekly equipment rental costs at $600/week, and one week per occurrence. In addition, the landfill will need to purchase calibration gases and hydrogen fuel (at a cost of $103.50 per event) to operate the surface monitoring equipment.</t>
    </r>
  </si>
  <si>
    <r>
      <rPr>
        <vertAlign val="superscript"/>
        <sz val="10"/>
        <color theme="1"/>
        <rFont val="Times New Roman"/>
        <family val="1"/>
      </rPr>
      <t>b</t>
    </r>
    <r>
      <rPr>
        <sz val="10"/>
        <color theme="1"/>
        <rFont val="Times New Roman"/>
        <family val="1"/>
      </rPr>
      <t xml:space="preserve"> Tier 2 testing is done by operating landfills that do not meet control thresholds but meet the size thresholds of 2.5 million Mg. Of these 58 landfills, 50% assumed to do Tier 1 testing and 50% assumed to do Tier 2 testing. Since a Tier 2 test must be repeated every 5 years, annualized capital cost is based on the cost for conducting a method 25, method 25A or 25C test, figured at 7% over 5 years. </t>
    </r>
  </si>
  <si>
    <t>This ICR uses the following labor rates: $68.37 for managerial, $50.72 for technical,  and $27.46 for clerical labor. These rates are from the Office of Personnel Management (OPM), 2020 General Schedule, which excludes locality rates of pay.  The rates have been increased by 60 percent to account for the benefit packages available to government employees.</t>
  </si>
  <si>
    <t>We assume that 10 percent of respondents submitting a collection and control system design plan will submit a revised design plan to account for changes to the landfill or the GCCS as allowed for in 60.767(h).</t>
  </si>
  <si>
    <t>TOTAL (Rounded)</t>
  </si>
  <si>
    <t>(A)
Information Collection Activity</t>
  </si>
  <si>
    <t>(C)
Number of Responses per Respondent</t>
  </si>
  <si>
    <t>(D)
Number of Existing Respondents That Keep Records But Do Not Submit Reports</t>
  </si>
  <si>
    <t xml:space="preserve">Initial performance test report </t>
  </si>
  <si>
    <t>Initial design capacity report</t>
  </si>
  <si>
    <t>Amended design capacity report</t>
  </si>
  <si>
    <t>Report of NMOC rate (Tier 1)</t>
  </si>
  <si>
    <t>Report of NMOC rate (Tier 2)</t>
  </si>
  <si>
    <t>Landfill Closure Report</t>
  </si>
  <si>
    <t>Equipment Removal Report</t>
  </si>
  <si>
    <t>Collection and Control System Design Plan</t>
  </si>
  <si>
    <t>Revised C&amp;C System design plan</t>
  </si>
  <si>
    <t>Annual Report</t>
  </si>
  <si>
    <t>Corrective Action Analysis</t>
  </si>
  <si>
    <t>Implementation Timeline</t>
  </si>
  <si>
    <t>Root Cause Analysis</t>
  </si>
  <si>
    <t>Wet Landfill Monitoring Report</t>
  </si>
  <si>
    <t>Total Annual Number of Responses</t>
  </si>
  <si>
    <t>Capital/Startup vs. Operation and Maintenance (O&amp;M) Costs</t>
  </si>
  <si>
    <t>Continuous Monitoring Device</t>
  </si>
  <si>
    <t>Totals for 1A + 1B</t>
  </si>
  <si>
    <t>$ Labor</t>
  </si>
  <si>
    <t>$ Capital/O&amp;M</t>
  </si>
  <si>
    <t>$ Grand</t>
  </si>
  <si>
    <t>Hours/response</t>
  </si>
  <si>
    <t>Table 1B:  Annual Respondent Burden and Cost: Publicly-Owned Municipal Solid Waste Landfills - Emission Guidelines and Compliance Times for Municipal Solid Waste Landfills (40 CFR Part 60, Subpart Cf) (Renewal)</t>
  </si>
  <si>
    <t>Table 1A:  Annual Respondent Burden and Cost: Privately-Owned Municipal Solid Waste Landfills - Emission Guidelines and Compliance Times for Municipal Solid Waste Landfills (40 CFR Part 60, Subpart Cf) (Renewal)</t>
  </si>
  <si>
    <t>Table 2: Average Annual EPA Burden and Cost –  Emission Guidelines and Compliance Times for Municipal Solid Waste Landfills (40 CFR Part 60, Subpart Cf) (Renewal)</t>
  </si>
  <si>
    <t>M.</t>
  </si>
  <si>
    <t>3 days * ($118 hotel + $58 meals/incidentals) + ($600 round trip) = $1,128 per trip</t>
  </si>
  <si>
    <t>Travel Expenses for Tests Attended (EPA attends 20% of tests and surface monitoring)</t>
  </si>
  <si>
    <r>
      <t>a</t>
    </r>
    <r>
      <rPr>
        <sz val="10"/>
        <color rgb="FF000000"/>
        <rFont val="Times New Roman"/>
        <family val="1"/>
      </rPr>
      <t xml:space="preserve"> There are no new respondents. Once a source constructs or modifies, they become subject to NSPS Subpart XXX.</t>
    </r>
  </si>
  <si>
    <r>
      <rPr>
        <vertAlign val="superscript"/>
        <sz val="10"/>
        <color theme="1"/>
        <rFont val="Times New Roman"/>
        <family val="1"/>
      </rPr>
      <t>a</t>
    </r>
    <r>
      <rPr>
        <sz val="10"/>
        <color theme="1"/>
        <rFont val="Times New Roman"/>
        <family val="1"/>
      </rPr>
      <t xml:space="preserve"> This requirement applies to existing landfills requiring controls. Annualized cost is figured for method 25 or 25C test at 7% over 15 years, which is the expected lifetime of the flare or other destruction device. </t>
    </r>
  </si>
  <si>
    <t xml:space="preserve">We estimate that, over the three-year period of this ICR, an average of 32 respondents per year (18 privately-owned and 14 publicly-owned) will need to install controls, perform the initial performance test, and submit an intial performance test report. We assume that each respondent will take 12 hours to attend the test, review the report (written by the testing company), and submit the report. </t>
  </si>
  <si>
    <t>We estimate that, over the three-year period of this ICR, an average of 652 respondents per year (365 privately-owned and 287 publicly-owned) operating controlled landfills will need to conduct quarterly surface emissions monitoring and monthly well emissions monitoring. For surface monitoring, the average acreage of controlled sites is estimated to be 174 acres and we estimate monitoring labor at 0.25 hours per acre for a total of 44 labor hours (174 acres x 0.25 hr/acre = 43.5 hours, rounded to 44) per monitoring event.  For wellhead monitoring, the estimated burden was based on industry consultation of $2000 per month during the most recent ICR renewal for subpart WWW (ICR# 1557.09), or approximately 40 hours of technician labor time. Cost of re-monitoring for exceedances of surface monitoring or wellhead monitoring are not included because the rule does not require remonitoring unless an exceedance is found. Landfills can minimize the number of exceedances found by ensuring the GCCS is well-operated and the surface is well sealed.</t>
  </si>
  <si>
    <t>5.</t>
  </si>
  <si>
    <t xml:space="preserve">Prior to installing a collection and control system, a landfill is required to submit a Collection and Control System Design Plan for approval. We estimate that an average of 32 landfills per year (18 privately-owned and 14 publicly-owned) will submit a Collection and Control System Design Plan for approval during the three-year period of this ICR. This requirement applies only to landfills required to control under the revised 34 Mg/yr requirement. </t>
  </si>
  <si>
    <t>We have assumed that 10% of  landfills installing a collection and control system will revise their collection and control system design plan. We estimate that, over the three-year period of this ICR, an average of 32 respondents per year (18 privately-owned and 14 publicly-owned) will submit a Collection and Control System Design Plan. This results in submittal of 3.2 C&amp;C System Design Plan revisions per year (18 x 0.1 + 14 x 0.1 = 3.2 revisions/year).</t>
  </si>
  <si>
    <t>All controlled landfills are required to submit an annual report. We estimate that, over the three-year period of this ICR, an average of 652 respondents per year (365 privately-owned and 287 publicly-owned) operating controlled landfills will need to submit this report. The estimated burden was based on industry consultation of $5000 per year for compliance reporting (see comment on recent ICR renewal for subpart WWW, ICR# 1557.09). Since this estimate included an assumption of a semi-annual report to satisfy the requirements of the landfills NESHAP, we adjusted this estimate by half to account for the single report required by this NSPS, or $2500, which is approximately 27 technical hours per occurrence.</t>
  </si>
  <si>
    <t>Landfills with a design capacity equal to or greater than 2.5 million megagrams and 2.5 million cubic meters that have employed leachate recirculation or added liquids based on a Research, Development, and Demonstration permit must file this report. We assume that, during the three-year period of this ICR, 175 privately-owned landfills and 82 publicly-owned landfills will be required to file this report each year.</t>
  </si>
  <si>
    <t>We estimate that, over the three-year period of this ICR, an average of 652 respondents per year operating controlled landfills will need to compile, review and store these data records. The estimated burden was based on industry consultation of $1000 per month for recordkeeping and data storage per month and $500 for data compilation and review per month (see comment on recent ICR renewal for subpart WWW, ICR# 1557.09). This is approximately 5 technical hours per occurrence for data compilation and review and 11  hours for recordkeeping and data storage.</t>
  </si>
  <si>
    <t>The average number of respondents per year subject to this recordkeeping requirement is based on the total number of landfills that are subject to the standard but not controlling.  These records are simpler for these sources than for landfills controlling emissions.</t>
  </si>
  <si>
    <t>Respondent Counts</t>
  </si>
  <si>
    <t>Respondent Costs</t>
  </si>
  <si>
    <t>Capital/Startup</t>
  </si>
  <si>
    <t>O&amp;M</t>
  </si>
  <si>
    <t>QA check</t>
  </si>
  <si>
    <t>Emission Guidelines Only (Sources constructed or modified prior to July 2014)</t>
  </si>
  <si>
    <t>These are landfills that are smaller than 2.5 million Mg. This is a one-time requirement so 0 in later years. Legacy controllers are exempt from this requirement.</t>
  </si>
  <si>
    <t>EPA estimates that 1,912 MSW landfills are subject to the requirements of Subparts Cf which are implemented under state plans and a federal plan. The federal plan is currently pending but expected to be finalized at part 62 subpart OOO. EPA assumes that 81 percent of sources (1,552) will be subject to the federal plan by 2022 for which EPA is the enforcing agency and that 19 percent of sources (360) are covered by the State Plans. As of August, 18, 2020 EPA data indicates that 8 State and local agencies enforce the State plans and two other state agencies are expected to have their plans effective by 2022.</t>
  </si>
  <si>
    <t>3. Required activities</t>
  </si>
  <si>
    <t>Number of plants is based on the assumption that one landfill subject to controls will have at least one wellhead exceedance that takes longer than 60 days to correct.</t>
  </si>
  <si>
    <t>Table 1C: Average Annual State/Local Agency Burden and Cost – Emission Guidelines and Compliance Times for Existing Municipal Solid Waste Landfills (40 CFR Part 60, Subpart Cf and Federal Plan) (Renewal)</t>
  </si>
  <si>
    <t>We assume EPA will attend 20% of performance tests (26 per year) and surface monitoring (528 per year). ((26+528) x 0.2 = 111) Total cost is based on the number of trips taken by EPA to observe performance tests and surface monitoring, multiplied by $1,128 per trip.  The source for hotel and meals/incidental costs is based on FY' 15 per diem rates, averaged across all locations in the United States.  Airfares are estimated based on experience from other rulemakings. See: http://www.gsa.gov/portal/category/100120</t>
  </si>
  <si>
    <t>Total Responses (rounded)</t>
  </si>
  <si>
    <t>Total Responses for Publicly-Owned Landfills (rounded)</t>
  </si>
  <si>
    <t>Total Responses for Privately-Owned Landfills (rounded)</t>
  </si>
  <si>
    <t>Total Responses for State/Local Agencies (rounded)</t>
  </si>
  <si>
    <t xml:space="preserve">Privately-Owned Landfills </t>
  </si>
  <si>
    <t>Publicly-Owned Landfills</t>
  </si>
  <si>
    <t>State/Local Agencies</t>
  </si>
  <si>
    <t>Respondents, Responses, and Hours</t>
  </si>
  <si>
    <t>Respondent</t>
  </si>
  <si>
    <t>Number of Responses</t>
  </si>
  <si>
    <t>Reporting Hours</t>
  </si>
  <si>
    <t>Recordkeeping Hours</t>
  </si>
  <si>
    <t>Total Hours</t>
  </si>
  <si>
    <t>Hours per Response</t>
  </si>
  <si>
    <t>Hours Per Respondent</t>
  </si>
  <si>
    <t>State &amp; Local Agency</t>
  </si>
  <si>
    <t>-</t>
  </si>
  <si>
    <t xml:space="preserve">The number of plants per year is the number of EPA Regions (10 regions). We assume one EPA employee at each Region offices will familiarize themselves with the requirements of Subparts Cf and OOO each year, to account for staff transitions. </t>
  </si>
  <si>
    <t>A.  Familiarize with Rule Requirements</t>
  </si>
  <si>
    <t>We estimate that, during the three-year period of this ICR, there will be an average of 1,912 landfills per year (1,185 privately-owned and 727 publicly-owned) subject to the requirements of Emission Guidelines Subpart Cf. Of these, an average of 652 landfills per year (365 privately-owned and 287 publicly-owned) are controlling emissions.</t>
  </si>
  <si>
    <t>We assume that 25 landfills per year (13 privately-owned and 12 publicly-owned) will have modifications requiring the submittal of an amended design capacity report during the three-year period of this ICR. Upon modification, these landfills become subject to NSPS Subpart XXX. Burden for the amended design capacity report is calculated under Subpart Cf.</t>
  </si>
  <si>
    <t xml:space="preserve">Landfills that do not meet control thresholds but meet the size thresholds of 2.5 million Mg must file Tier1 or Tier 2 reports. We estimate that, over the three-year period of this ICR, an average of 29 respondents per year (8 privately-owned and 21 publicly-owned) will submit Tier 1 reports and another 29 respondents will submit Tier 2 reports. We assume that 50 percent of uncontrolled landfills will use Tier 1 calculations annually and 50 percent will use Tier 2 calculations once every 5 years for their NMOC reports.  </t>
  </si>
  <si>
    <t>Familiarization with regulatory requirements (10 EPA Regions)</t>
  </si>
  <si>
    <t>5. Reporting requirements</t>
  </si>
  <si>
    <r>
      <t xml:space="preserve">(D)
Landfills per year </t>
    </r>
    <r>
      <rPr>
        <vertAlign val="superscript"/>
        <sz val="10"/>
        <rFont val="Times New Roman"/>
        <family val="1"/>
      </rPr>
      <t>a</t>
    </r>
  </si>
  <si>
    <t>3-Year Average Number of Respondents</t>
  </si>
  <si>
    <t>3 days * ($134 hotel + $63 meals/incidentals) + ($600 round trip) = $1191 per trip</t>
  </si>
  <si>
    <t xml:space="preserve">(A)
State/Local Agency hours per occurrence </t>
  </si>
  <si>
    <t xml:space="preserve">(B)
Number of occurrences per landfill per year </t>
  </si>
  <si>
    <t>(C)
Agency person-hours per occurrence per year 
(C=AxB)</t>
  </si>
  <si>
    <r>
      <rPr>
        <vertAlign val="superscript"/>
        <sz val="10"/>
        <rFont val="Times New Roman"/>
        <family val="1"/>
      </rPr>
      <t>c</t>
    </r>
    <r>
      <rPr>
        <sz val="10"/>
        <rFont val="Times New Roman"/>
        <family val="1"/>
      </rPr>
      <t xml:space="preserve">  This ICR estimates that staff from each State or Local Agency will familiarize themselves with the requirements of Subparts Cf and OOO each year, to account for staff transitions. </t>
    </r>
  </si>
  <si>
    <t>1. Familiarization with Regulatory Requirements</t>
  </si>
  <si>
    <t>2. Enter and update information into agency recordkeeping system</t>
  </si>
  <si>
    <r>
      <rPr>
        <vertAlign val="superscript"/>
        <sz val="10"/>
        <rFont val="Times New Roman"/>
        <family val="1"/>
      </rPr>
      <t>d</t>
    </r>
    <r>
      <rPr>
        <sz val="10"/>
        <rFont val="Times New Roman"/>
        <family val="1"/>
      </rPr>
      <t xml:space="preserve">   Every year, Agencies enter and update information for each of the 360 landfills that are subject to the standard and under State/Local agency jurisdiction. </t>
    </r>
  </si>
  <si>
    <r>
      <rPr>
        <vertAlign val="superscript"/>
        <sz val="10"/>
        <rFont val="Times New Roman"/>
        <family val="1"/>
      </rPr>
      <t>e</t>
    </r>
    <r>
      <rPr>
        <sz val="10"/>
        <rFont val="Times New Roman"/>
        <family val="1"/>
      </rPr>
      <t xml:space="preserve">   Initial performance tests under Subpart Cf/Subpart OOO are only needed if the landfill is not a legacy controller that had previously submitted a performance test unless the landfill installs new destruction equipment that has not been tested. We assume 96 landfills will perform an initial performance test during the three-year period of this ICR for an average of 32 landfills per year. 19 percent of these landfills are in states that enforce state plans (32 * 0.19 = 6 landfills per year). The remaining 81% are in states subject to a federal plan (32 * 0.81 = 26). We expect each Agency to observe/review 20% of the initial performance tests and 20% of the surface methane monitoring tests. </t>
    </r>
  </si>
  <si>
    <t xml:space="preserve">  A. Observe initial performance test</t>
  </si>
  <si>
    <t xml:space="preserve">  B. Observe surface methane monitoring quarterly</t>
  </si>
  <si>
    <t xml:space="preserve">The number of landfills is based on the average number of landfills per year expected to install controls, perform the initial performance test, begin monitoring operating parameters, and submit an intial performance test report during the three-year period of this ICR. </t>
  </si>
  <si>
    <t xml:space="preserve">  C. Review operating parameters </t>
  </si>
  <si>
    <t xml:space="preserve">  D. Review continuous parameter monitoring </t>
  </si>
  <si>
    <t xml:space="preserve">  E. Review notification of performance test </t>
  </si>
  <si>
    <r>
      <rPr>
        <vertAlign val="superscript"/>
        <sz val="10"/>
        <rFont val="Times New Roman"/>
        <family val="1"/>
      </rPr>
      <t xml:space="preserve">f </t>
    </r>
    <r>
      <rPr>
        <sz val="10"/>
        <rFont val="Times New Roman"/>
        <family val="1"/>
      </rPr>
      <t xml:space="preserve"> The number of landfills is based on the average number of landfills per year expected to install controls, perform the initial performance test, begin monitoring operating parameters, and submit an intial performance test report during the three-year period of this ICR. 
</t>
    </r>
  </si>
  <si>
    <r>
      <t xml:space="preserve">% Respondents </t>
    </r>
    <r>
      <rPr>
        <b/>
        <vertAlign val="superscript"/>
        <sz val="10"/>
        <rFont val="Times New Roman"/>
        <family val="1"/>
      </rPr>
      <t>a</t>
    </r>
  </si>
  <si>
    <r>
      <rPr>
        <vertAlign val="superscript"/>
        <sz val="10"/>
        <rFont val="Times New Roman"/>
        <family val="1"/>
      </rPr>
      <t>a</t>
    </r>
    <r>
      <rPr>
        <sz val="10"/>
        <rFont val="Times New Roman"/>
        <family val="1"/>
      </rPr>
      <t xml:space="preserve">  19% of landfills subject to Subpart Cf are in a jurisdiction covered by a State or Local Agency. The remaining 81% of landfills subject to Subpart Cf are administered by one of ten U.S. EPA Regions</t>
    </r>
  </si>
  <si>
    <r>
      <t xml:space="preserve">Familiarization with regulatory requirements (State/Local Agencies and EPA Regions) </t>
    </r>
    <r>
      <rPr>
        <vertAlign val="superscript"/>
        <sz val="10"/>
        <rFont val="Times New Roman"/>
        <family val="1"/>
      </rPr>
      <t>b</t>
    </r>
  </si>
  <si>
    <r>
      <rPr>
        <vertAlign val="superscript"/>
        <sz val="10"/>
        <rFont val="Times New Roman"/>
        <family val="1"/>
      </rPr>
      <t>b</t>
    </r>
    <r>
      <rPr>
        <sz val="10"/>
        <rFont val="Times New Roman"/>
        <family val="1"/>
      </rPr>
      <t xml:space="preserve">  As of August, 18, 2020 EPA data indicates that 8 State and local agencies enforce the State plans and two other state agencies are expected to have their plans effective by 2022. Therefore, 10 State and local agencies will be enforcing State plans. The number of respondents per year is the number of EPA Regions (10 regions). We assume one EPA employee at each Region offices will familiarize themselves with the requirements of Subparts Cf and OOO each year, to account for staff transitions. </t>
    </r>
  </si>
  <si>
    <r>
      <t xml:space="preserve">Enter and update information into agency recordkeeping system </t>
    </r>
    <r>
      <rPr>
        <vertAlign val="superscript"/>
        <sz val="10"/>
        <rFont val="Times New Roman"/>
        <family val="1"/>
      </rPr>
      <t>c</t>
    </r>
  </si>
  <si>
    <r>
      <rPr>
        <vertAlign val="superscript"/>
        <sz val="10"/>
        <rFont val="Times New Roman"/>
        <family val="1"/>
      </rPr>
      <t xml:space="preserve">c </t>
    </r>
    <r>
      <rPr>
        <sz val="10"/>
        <rFont val="Times New Roman"/>
        <family val="1"/>
      </rPr>
      <t xml:space="preserve"> Every year, State and local gencies enter and update information for each of the 360 landfills that are subject to the standard and under State/Local agency jurisdiction. The remainder of the landfills (1,552) are under the jurisdiction of the 10 U.S. EPA Regions, who will enter and update information. </t>
    </r>
  </si>
  <si>
    <r>
      <t xml:space="preserve">Excess Emissions Enforcement Activities </t>
    </r>
    <r>
      <rPr>
        <vertAlign val="superscript"/>
        <sz val="10"/>
        <rFont val="Times New Roman"/>
        <family val="1"/>
      </rPr>
      <t>d</t>
    </r>
  </si>
  <si>
    <r>
      <rPr>
        <vertAlign val="superscript"/>
        <sz val="10"/>
        <rFont val="Times New Roman"/>
        <family val="1"/>
      </rPr>
      <t>d</t>
    </r>
    <r>
      <rPr>
        <sz val="10"/>
        <rFont val="Times New Roman"/>
        <family val="1"/>
      </rPr>
      <t xml:space="preserve">  We assume that 10% of landfills controlling emissions will have exceedances and require enforcement action.</t>
    </r>
  </si>
  <si>
    <t xml:space="preserve">4. Excess Emissions Enforcement Activities </t>
  </si>
  <si>
    <t xml:space="preserve">  A. Review initial design capacity report </t>
  </si>
  <si>
    <r>
      <rPr>
        <vertAlign val="superscript"/>
        <sz val="10"/>
        <rFont val="Times New Roman"/>
        <family val="1"/>
      </rPr>
      <t>h</t>
    </r>
    <r>
      <rPr>
        <sz val="10"/>
        <rFont val="Times New Roman"/>
        <family val="1"/>
      </rPr>
      <t xml:space="preserve">  The initial design capacity reports under Subpart Cf are only needed if the landfill is not a legacy controller that had previously submitted a report. Over the three-year period of this ICR, we expect an average of 55 landfills per year to file this report. Of this 55, approximately 19% or 10 landfills are in states that enforce state plans. </t>
    </r>
  </si>
  <si>
    <t xml:space="preserve">  C. Review annual NMOC emission rate report </t>
  </si>
  <si>
    <t xml:space="preserve">  B. Review amended design capacity report </t>
  </si>
  <si>
    <r>
      <rPr>
        <vertAlign val="superscript"/>
        <sz val="10"/>
        <rFont val="Times New Roman"/>
        <family val="1"/>
      </rPr>
      <t>i</t>
    </r>
    <r>
      <rPr>
        <sz val="10"/>
        <rFont val="Times New Roman"/>
        <family val="1"/>
      </rPr>
      <t xml:space="preserve">  Amended design capacity reports are submitted as landfills are modified to add additional capacity. At this point, the landfill becomes subject to Subpart XXX. EPA estimates there will be an average of 25 modifications per year during the three-year period of this ICR. Of these 25 landfills approximately 19% or 5 landfills are in states that enforce state plans.  Burden for the amended design capacity report is calculated under Subpart Cf.</t>
    </r>
  </si>
  <si>
    <r>
      <rPr>
        <vertAlign val="superscript"/>
        <sz val="10"/>
        <rFont val="Times New Roman"/>
        <family val="1"/>
      </rPr>
      <t>j</t>
    </r>
    <r>
      <rPr>
        <sz val="10"/>
        <rFont val="Times New Roman"/>
        <family val="1"/>
      </rPr>
      <t xml:space="preserve">  Annual NMOC emission rate reports are filed by uncontrolled landfills that use Tier 1 or Tier 2 calculations for their NMOC reports. EPA estimates that, over the three-year period of this ICR, an average of 58 respondents per year will submit Tier 1 or Tier 2 reports. Of these, 11 are in states that enforce state plans.  (58 * 0.19 = 11)</t>
    </r>
  </si>
  <si>
    <t xml:space="preserve">  D. Review landfill closure report </t>
  </si>
  <si>
    <r>
      <rPr>
        <vertAlign val="superscript"/>
        <sz val="10"/>
        <rFont val="Times New Roman"/>
        <family val="1"/>
      </rPr>
      <t>k</t>
    </r>
    <r>
      <rPr>
        <sz val="10"/>
        <rFont val="Times New Roman"/>
        <family val="1"/>
      </rPr>
      <t xml:space="preserve">  The EPA estimates that an average 29 landfills will submit a landfill closure report per year over the three-year period of this ICR. Of these, approximately 19% are in states that enforce state plans. (29 * 0.19 = 5.51, rounded to 6)</t>
    </r>
  </si>
  <si>
    <t xml:space="preserve">  E. Review equipment removal report </t>
  </si>
  <si>
    <r>
      <rPr>
        <vertAlign val="superscript"/>
        <sz val="10"/>
        <rFont val="Times New Roman"/>
        <family val="1"/>
      </rPr>
      <t>l</t>
    </r>
    <r>
      <rPr>
        <sz val="10"/>
        <rFont val="Times New Roman"/>
        <family val="1"/>
      </rPr>
      <t xml:space="preserve">  The EPA estimates that no equipment removal reports were submitted during the three-year period of this ICR.</t>
    </r>
  </si>
  <si>
    <t xml:space="preserve">  F. Review Collection and Control System Design Plan </t>
  </si>
  <si>
    <r>
      <rPr>
        <vertAlign val="superscript"/>
        <sz val="10"/>
        <rFont val="Times New Roman"/>
        <family val="1"/>
      </rPr>
      <t>n</t>
    </r>
    <r>
      <rPr>
        <sz val="10"/>
        <rFont val="Times New Roman"/>
        <family val="1"/>
      </rPr>
      <t xml:space="preserve">  EPA assumes that 10% of respondents submitting a collection and control system design plan will submit a revised design plan to account for changes to the landfill or the GCCS as allowed for in 60.767(h).</t>
    </r>
  </si>
  <si>
    <r>
      <t xml:space="preserve">  G. Review Revised Collection and Control System Design Plan</t>
    </r>
    <r>
      <rPr>
        <vertAlign val="superscript"/>
        <sz val="10"/>
        <rFont val="Times New Roman"/>
        <family val="1"/>
      </rPr>
      <t xml:space="preserve"> </t>
    </r>
  </si>
  <si>
    <r>
      <rPr>
        <vertAlign val="superscript"/>
        <sz val="10"/>
        <rFont val="Times New Roman"/>
        <family val="1"/>
      </rPr>
      <t>m</t>
    </r>
    <r>
      <rPr>
        <sz val="10"/>
        <rFont val="Times New Roman"/>
        <family val="1"/>
      </rPr>
      <t xml:space="preserve">  Landfills required to control emissions must submit a landfill gas Collection and Control System Design Plan. EPA assumes that 96 landfills will be required to install controls during the three-year period of this ICR for an average of 32 landfills per year. 19% of these landfills are in states that enforce state plans (32 * 0.19 = 6 landfills per year). The remaining 81% are in states subject to a federal plan (32 * 0.81 = 26). </t>
    </r>
  </si>
  <si>
    <t xml:space="preserve">  H. Review Initial Performance Test </t>
  </si>
  <si>
    <r>
      <rPr>
        <vertAlign val="superscript"/>
        <sz val="10"/>
        <rFont val="Times New Roman"/>
        <family val="1"/>
      </rPr>
      <t>o</t>
    </r>
    <r>
      <rPr>
        <sz val="10"/>
        <rFont val="Times New Roman"/>
        <family val="1"/>
      </rPr>
      <t xml:space="preserve">  EPA reviews all initial performance test reports. EPA assumes 96 landfills will perform an initial performance test during the three-year period of this ICR for an average of 32 landfills per year. 19 percent of these landfills are in states that enforce state plans (32 * 0.19 = 6 landfills per year). </t>
    </r>
  </si>
  <si>
    <t xml:space="preserve">  I. Review Annual Report </t>
  </si>
  <si>
    <r>
      <rPr>
        <vertAlign val="superscript"/>
        <sz val="10"/>
        <rFont val="Times New Roman"/>
        <family val="1"/>
      </rPr>
      <t>p</t>
    </r>
    <r>
      <rPr>
        <sz val="10"/>
        <rFont val="Times New Roman"/>
        <family val="1"/>
      </rPr>
      <t xml:space="preserve">  All controlled landfills are required to submit an annual report. EPA estimates that, over the three-year period of this ICR, an average of 124 respondents per year (653 x 0.19 = 124) operating controlled landfills are in states that enforce state plans and will need to submit this report.</t>
    </r>
  </si>
  <si>
    <t xml:space="preserve">  J. Review Corrective Action Analysis </t>
  </si>
  <si>
    <t xml:space="preserve">  K. Review Implementation Timeline </t>
  </si>
  <si>
    <t xml:space="preserve">  L. Review Root Cause Analysis </t>
  </si>
  <si>
    <r>
      <rPr>
        <vertAlign val="superscript"/>
        <sz val="10"/>
        <rFont val="Times New Roman"/>
        <family val="1"/>
      </rPr>
      <t>q</t>
    </r>
    <r>
      <rPr>
        <sz val="10"/>
        <rFont val="Times New Roman"/>
        <family val="1"/>
      </rPr>
      <t xml:space="preserve">  EPA assumes that an average of one landfill per year subject to controls will have at least one wellhead exceedance that takes longer than 60 days to correct.</t>
    </r>
  </si>
  <si>
    <r>
      <rPr>
        <vertAlign val="superscript"/>
        <sz val="10"/>
        <rFont val="Times New Roman"/>
        <family val="1"/>
      </rPr>
      <t>r</t>
    </r>
    <r>
      <rPr>
        <sz val="10"/>
        <rFont val="Times New Roman"/>
        <family val="1"/>
      </rPr>
      <t xml:space="preserve">  EPA assumes that, during the three-year period of this ICR, an average of 266 landfills will be required to file this report each year. Of these, 19% are in that states enforce state plans (266 * 0.19 = 51) and the remaining 215 are in states subject to a federal plan (an average of 26 landfills per year). </t>
    </r>
  </si>
  <si>
    <t xml:space="preserve">6. Travel Expenses for Tests Attended </t>
  </si>
  <si>
    <t>s</t>
  </si>
  <si>
    <r>
      <rPr>
        <vertAlign val="superscript"/>
        <sz val="10"/>
        <rFont val="Times New Roman"/>
        <family val="1"/>
      </rPr>
      <t>s</t>
    </r>
    <r>
      <rPr>
        <sz val="10"/>
        <rFont val="Times New Roman"/>
        <family val="1"/>
      </rPr>
      <t xml:space="preserve">  We assume State/Local agencies will attend 20% of performance tests (6 per year) and surface monitoring (124 per year). ((6 + 124) x 0.2 = 26) Total cost is based on the number of trips taken by EPA to observe performance tests and surface monitoring, multiplied by $1,128 per trip.  The source for hotel and meals/incidental costs is based on FY' 15 per diem rates, averaged across all locations in the United States.  Airfares are estimated based on experience from other rulemakings. See: http://www.gsa.gov/portal/category/100120</t>
    </r>
  </si>
  <si>
    <t>t</t>
  </si>
  <si>
    <t xml:space="preserve">TOTAL (rounded) </t>
  </si>
  <si>
    <r>
      <rPr>
        <vertAlign val="superscript"/>
        <sz val="10"/>
        <rFont val="Times New Roman"/>
        <family val="1"/>
      </rPr>
      <t>t</t>
    </r>
    <r>
      <rPr>
        <sz val="10"/>
        <rFont val="Times New Roman"/>
        <family val="1"/>
      </rPr>
      <t xml:space="preserve">  Totals have been rounded to 3 significant figures. Figures may not add exactly due to rounding.</t>
    </r>
  </si>
  <si>
    <t xml:space="preserve">This is a one time requirement. Only additional controllers from previous years are subject. Initial year burden is high since most state plans or federal plans have not yet taken effect. </t>
  </si>
  <si>
    <t>Total number of controllers each year must conduct SEM. This is a recurring requirement. New greenfield sources coming online are not expected to trigger requirements.</t>
  </si>
  <si>
    <t>Total number of controllers each year must conduct wellhead monitoring. This is a recurring requirement.</t>
  </si>
  <si>
    <t xml:space="preserve">Landfills filing an amended design capacity report (modified landfill) under the EG will become subject to subpart XXX. </t>
  </si>
  <si>
    <t>This is the sum of reporters at open landfills that do not meet control thresholds but meet the size thresholds of 2.5 million Mg. Of these, 50% are assumed to do Tier 1 and 50% assumed to do Tier 2. Closed landfills do not have to keep doing the annual NMOC report.</t>
  </si>
  <si>
    <t xml:space="preserve">We assume that only landfills subject to the EG would close during the three-year period of this ICR. </t>
  </si>
  <si>
    <t>EPA assumes that no sources remove equipment during the three-year period of this ICR.</t>
  </si>
  <si>
    <t xml:space="preserve">The initial year burden is higher since most state plans or federal plans have not yet taken effect. </t>
  </si>
  <si>
    <t>EPA assumes that 10% of controllers will prepare revised GCCS</t>
  </si>
  <si>
    <t>All landfills that control emissions must file an annual report.</t>
  </si>
  <si>
    <t>It is unknown how many landfills will be required to conduct a root cause analysis, corrective action analysis, or implementation timeline. These items are not required by the rule for controlling landfills. A root cause analysis is only required if the landfill has an exceedance of the wellhead parameter is identified and cannot be corrected within 15 days. If the exceedance cannot be corrected within 60 days the owner or operator must also conduct a corrective action analysis and develop and implementation schedule. These items must only be submitted for approval if the corrective action will take longer than 120 days to correct. Landfills can minimize the number of exceedances found by ensuring the GCCS is well-operated.  For the purposes of estimating ICR burden, EPA estimates that one of the landfills subject to controls will have at least one wellhead exceedance that takes longer than 60 days to correct.</t>
  </si>
  <si>
    <t>Only landfills with leachate recirculation or RDD that have capacity &gt;2.5 million Mg must file this report. This number is based on data from the 2016 Landfills NSPS/EG  database.</t>
  </si>
  <si>
    <t>All landfills that control emissions must keep these records.</t>
  </si>
  <si>
    <t xml:space="preserve">Landfills that have at least one report but do not control. </t>
  </si>
  <si>
    <t xml:space="preserve">  M. Review Wet Landfills Monitoring Report </t>
  </si>
  <si>
    <t xml:space="preserve">Review amended design capacity report </t>
  </si>
  <si>
    <t xml:space="preserve">Review landfill closure report </t>
  </si>
  <si>
    <t xml:space="preserve">Review equipment removal report </t>
  </si>
  <si>
    <t xml:space="preserve">Review Collection and Control System Design Plan </t>
  </si>
  <si>
    <r>
      <t>Review Revised Collection and Control System Design Plan</t>
    </r>
    <r>
      <rPr>
        <vertAlign val="superscript"/>
        <sz val="10"/>
        <rFont val="Times New Roman"/>
        <family val="1"/>
      </rPr>
      <t xml:space="preserve"> </t>
    </r>
  </si>
  <si>
    <t xml:space="preserve">Review Annual Report </t>
  </si>
  <si>
    <t xml:space="preserve">Review Corrective Action Analysis </t>
  </si>
  <si>
    <t xml:space="preserve">Review Implementation Timeline </t>
  </si>
  <si>
    <t xml:space="preserve">Review Root Cause Analysis </t>
  </si>
  <si>
    <t xml:space="preserve">Review Wet Landfills Monitoring Report </t>
  </si>
  <si>
    <t>Review annual NMOC emission rate reports (Tier 1 and Tier 2)</t>
  </si>
  <si>
    <t>Review Initial Performance Test report</t>
  </si>
  <si>
    <t>(B) 
Number of  Respondents</t>
  </si>
  <si>
    <t>(E)
Total Responses
E=BxC+D</t>
  </si>
  <si>
    <t xml:space="preserve">The number of plants is the number of uncontrolled landfills that use Tier 1 or Tier 2 calculations for their NMOC reports. We estimate that, over the three-year period of this ICR, an average of 58 respondents per year will submit Tier 1 or Tier 2 reports. Of these 58 landfills, 47 are located in states that subject to a federal plan. (58 * 0.81 = 47) </t>
  </si>
  <si>
    <t xml:space="preserve">This ICR assumes that on average 29 landfills will submit a landfill closure report per year. Of these 29 landfills, 81% are in states that are subject to a federal plan (29 * 0.81 = 23.49, rounded to 23). EPA estimates that no equipment removal reports will be submitted during the three-year period of this ICR. </t>
  </si>
  <si>
    <t xml:space="preserve">Initial performance tests under Subpart Cf/Subpart OOO are only needed if the landfill is not a legacy controller that had previously submitted a performance test unless the landfill installs new destruction equipment that has not been tested. Over the three-year period of this ICR, a total of 96 landfills, or 32 landfills per year, are expected to submit a collection and control system design plan. Approximately 81% of these landfills (32 * 0.81 = 26) are in states subject to a federal plan. </t>
  </si>
  <si>
    <t>All controlled landfills are required to submit an annual report. We estimate that, over the three-year period of this ICR, an average of 528 respondents per year (653 * 0.81 = 528) operating controlled landfills will need to submit this report under the Federal Plan.</t>
  </si>
  <si>
    <t xml:space="preserve">We assume that, during the three-year period of this ICR, an average of 266 landfills per year will be required to file this report each year. Of these 266 landfills, 81 percent are in states subject to a federal plan. (266 * 0.81 = 215) </t>
  </si>
  <si>
    <t>Based on the regulatory database, there are 164 landfills with design capacity less than 2.5 million megagrams by mass or 2.5 million cubic meters by volume and thus will complete the initial design capacity report in the first year of this ICR. This averages to 55 landfills annually over the three-year period of this ICR. This is a one-time requirement. Based on the regulatory database, 73% (40) of these respondents are public and 27% (15) are private.</t>
  </si>
  <si>
    <t xml:space="preserve">We assume that 29 controlled landfills (10 privately-owned and 19 publicly-owned) will close during the three-year period of this ICR. </t>
  </si>
  <si>
    <t xml:space="preserve">We assume no landfills will remove control equipment during the three-year period of this ICR. Equipment Removal Report requires inclusion of 3 successive NMOC rates using Tier 2 calculations to demonstrate landfill is below the NMOC threshold. </t>
  </si>
  <si>
    <r>
      <rPr>
        <vertAlign val="superscript"/>
        <sz val="10"/>
        <rFont val="Times New Roman"/>
        <family val="1"/>
      </rPr>
      <t>b</t>
    </r>
    <r>
      <rPr>
        <sz val="10"/>
        <rFont val="Times New Roman"/>
        <family val="1"/>
      </rPr>
      <t xml:space="preserve">  This cost is based on the following hourly labor rates: $68.37 for Managerial (GS-13, Step 5, $42.73 + 60%), $50.72 for Technical (GS-12, Step 1, $31.70 + 60%) and $27.46 Clerical (GS-6, Step 3, $17.16 + 60%).  These rates are from the Office of Personnel Management (OPM) “2020 General Schedule” which excludes locality rates of pay. These rates have been increased by 60 percent to account for the benefit packages available to government employees.</t>
    </r>
  </si>
  <si>
    <t>EPA (Federal Plan)</t>
  </si>
  <si>
    <t>State/Local Agency (State Plan)</t>
  </si>
  <si>
    <r>
      <t xml:space="preserve">(D)
Landfills per Year Administered By State/Local Agencies </t>
    </r>
    <r>
      <rPr>
        <vertAlign val="superscript"/>
        <sz val="10"/>
        <rFont val="Times New Roman"/>
        <family val="1"/>
      </rPr>
      <t>a</t>
    </r>
  </si>
  <si>
    <r>
      <rPr>
        <vertAlign val="superscript"/>
        <sz val="10"/>
        <rFont val="Times New Roman"/>
        <family val="1"/>
      </rPr>
      <t>g</t>
    </r>
    <r>
      <rPr>
        <sz val="10"/>
        <rFont val="Times New Roman"/>
        <family val="1"/>
      </rPr>
      <t xml:space="preserve">  The number of occurrences for enforcement is based on the assumption that of the landfills that test (6), 10% of them will have exceedances and need enforcement once per year (6 * 0.1 = 0.6, rounded to 1).</t>
    </r>
  </si>
  <si>
    <t>The number of landfills per year is based on the assumption that of the landfills that test and are located in states subject to a federal plan (26), 10% of them will have exceedances and need enforcement once per year. (26* 0.1 = 2.6, rounded to 3).</t>
  </si>
  <si>
    <t>The number of plants per year is based on the total number of landfills that are subject to the Federal Plan.</t>
  </si>
  <si>
    <t>Initial performance tests under Subpart Cf/Subpart OOO are only needed if the landfill is not a legacy controller that had previously submitted a performance test unless the landfill installs new destruction equipment that has not been tested. Over the three-year period of this ICR, a total of 96 landfills, or 32 landfills per year, are expected to perform initial testing. Approximately 81% of these landfills (32 * 0.81 = 26) are in states subject to a federal plan. Surface methane monitoring is performed at landfills that control emissions. Of the 653 landfills that control emissions, approximately 81% of these (653 * 0.81 = 528) are in states subject to a federal plan. The number of observations of initial performance tests and surface methane monitoring per year is based on the assumption that EPA personnel will observe 20% of the landfills where initial performance tests and surface methane monitoring occurs. ((26 + 528) * 0.2 = 111)</t>
  </si>
  <si>
    <t xml:space="preserve">Initial design capacity reports under Subpart Cf are only needed if the landfill is not a legacy controller that had previously submitted a report. EPA estimates that, during the three-year period of this ICR, a total of 164 landfills, or an average of 55 landfills per year, meet this category. Of these 55 landfills, approximately 81% (55 * 0.81 = 45 landfills per year) are in states subject to the federal plan. </t>
  </si>
  <si>
    <t>EPA assumes that 25 landfills per year currently subject to Subpart Cf will have modifications requiring the submittal of an amended design capacity report during the three-year period of this ICR. Of these 25 landfills, approximately 81% (25 * 0.81 = 20 landfills per year) are in states subject to the federal plan. Upon modification, these landfills become subject to NSPS Subpart XXX. The burden to EPA for the amended design capacity report is calculated under Subpart Cf.</t>
  </si>
  <si>
    <t xml:space="preserve">Review initial design capacity report </t>
  </si>
  <si>
    <t>Totals (Rounded)</t>
  </si>
  <si>
    <t>EPA estimates that an average of 1,924 respondents per year are subject based on waste acceptance data found in the regulatory database developed for the 2016 rule.</t>
  </si>
  <si>
    <r>
      <rPr>
        <vertAlign val="superscript"/>
        <sz val="10"/>
        <rFont val="Times New Roman"/>
        <family val="1"/>
      </rPr>
      <t>a</t>
    </r>
    <r>
      <rPr>
        <sz val="10"/>
        <rFont val="Times New Roman"/>
        <family val="1"/>
      </rPr>
      <t xml:space="preserve">  EPA estimates that an average of 1,912 MSW landfills per year are subject to the requirements of Subparts Cf which are implemented under state plans and a federal plan. The federal plan is currently pending but expected to be finalized at part 62 subpart OOO. As of August, 18, 2020 EPA data indicates that 8 State and local agencies enforce the State plans and two other state agencies are expected to have their plans effective by 2022. Therefore, 10 State and local agencies will be enforcing State plans.  EPA assumes that approximately 19 percent of sources (370) are covered by the State Plans. Thus, each agency is expected to review reports for an average of 37 landfills (370 / 10 = 37). The remainder of these landfills (1,554) will be covered by a federal plan once it becomes effective.</t>
    </r>
  </si>
  <si>
    <r>
      <rPr>
        <vertAlign val="superscript"/>
        <sz val="10"/>
        <color theme="1"/>
        <rFont val="Times New Roman"/>
        <family val="1"/>
      </rPr>
      <t>b</t>
    </r>
    <r>
      <rPr>
        <sz val="10"/>
        <color theme="1"/>
        <rFont val="Times New Roman"/>
        <family val="1"/>
      </rPr>
      <t xml:space="preserve"> We assume that 25 sources per year will modify and become subject to Subpart XXX. The previous ICR (2522.02) estimated respondents based on data collected during the 2016 final rule. Due to the gap year between the expiration of the previous ICR and Year 1 of this ICR, the 'Number of Existing Respondents' from the previous ICR has been adjusted to reflect the expected number of landfills controlling between years 2022 through 2024 based on projected emissions, as waste disposal quantities increase over time at active landfills, and assuming that in these years landfills will be controlling under the more stringent 34 Mg/yr requirements.</t>
    </r>
  </si>
  <si>
    <t>Table 3:  Universe of Existing Landfills Subject to Emission Guidelines and Compliance Times for Municipal Solid Waste Landfills (40 CFR Part 60, Subpart Cf) (Renewal)</t>
  </si>
  <si>
    <t xml:space="preserve">Table 4:  Universe of Existing Landfills Subject to Emission Guidelines and Compliance Times for Municipal Solid Waste Landfills and Subject to State Plan or Federal Plan (40 CFR Part 60, Subpart Cf) (Renewal) </t>
  </si>
  <si>
    <t xml:space="preserve">We estimate that, over the three-year period of this ICR, all respondents will need to familiarize with the requirements of the rule. We have assumed that each respondent will take 40 hours in the first year to familiarize with the rule as the Federal Plan and State Plans are implemented, and 2 hours per year in the following two years to refamiliarize with the requirements. Therefore we have assumed an average of 15 hrs per occurance per year over the three year period of this ICR (40 + 2 + 2 hrs / 3 years = 14.6 hrs).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</si>
</sst>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6" formatCode="&quot;$&quot;#,##0_);[Red]\(&quot;$&quot;#,##0\)"/>
    <numFmt numFmtId="44" formatCode="_(&quot;$&quot;* #,##0.00_);_(&quot;$&quot;* \(#,##0.00\);_(&quot;$&quot;* &quot;-&quot;??_);_(@_)"/>
    <numFmt numFmtId="43" formatCode="_(* #,##0.00_);_(* \(#,##0.00\);_(* &quot;-&quot;??_);_(@_)"/>
    <numFmt numFmtId="164" formatCode="0.00000"/>
    <numFmt numFmtId="165" formatCode="&quot;$&quot;#,##0"/>
    <numFmt numFmtId="166" formatCode="&quot;$&quot;#,##0.00"/>
    <numFmt numFmtId="167" formatCode="General_)"/>
    <numFmt numFmtId="168" formatCode="#,##0.0"/>
    <numFmt numFmtId="169" formatCode="0.0"/>
  </numFmts>
  <fonts count="26" x14ac:knownFonts="1">
    <font>
      <sz val="11"/>
      <color theme="1"/>
      <name val="Calibri"/>
      <family val="2"/>
      <scheme val="minor"/>
    </font>
    <font>
      <sz val="8"/>
      <name val="Arial"/>
      <family val="2"/>
    </font>
    <font>
      <sz val="10"/>
      <name val="Arial"/>
      <family val="2"/>
    </font>
    <font>
      <sz val="10"/>
      <name val="MS Sans Serif"/>
      <family val="2"/>
    </font>
    <font>
      <sz val="11"/>
      <color theme="1"/>
      <name val="Arial"/>
      <family val="2"/>
    </font>
    <font>
      <sz val="11"/>
      <color theme="1"/>
      <name val="Calibri"/>
      <family val="2"/>
      <scheme val="minor"/>
    </font>
    <font>
      <sz val="8"/>
      <name val="Helv"/>
    </font>
    <font>
      <sz val="10"/>
      <name val="Arial"/>
      <family val="2"/>
    </font>
    <font>
      <sz val="10"/>
      <color theme="1"/>
      <name val="Times New Roman"/>
      <family val="1"/>
    </font>
    <font>
      <b/>
      <sz val="10"/>
      <color theme="1"/>
      <name val="Times New Roman"/>
      <family val="1"/>
    </font>
    <font>
      <sz val="10"/>
      <name val="Times New Roman"/>
      <family val="1"/>
    </font>
    <font>
      <sz val="10"/>
      <color rgb="FF000000"/>
      <name val="Times New Roman"/>
      <family val="1"/>
    </font>
    <font>
      <b/>
      <sz val="10"/>
      <color rgb="FF000000"/>
      <name val="Times New Roman"/>
      <family val="1"/>
    </font>
    <font>
      <b/>
      <sz val="10"/>
      <name val="Times New Roman"/>
      <family val="1"/>
    </font>
    <font>
      <vertAlign val="superscript"/>
      <sz val="10"/>
      <name val="Times New Roman"/>
      <family val="1"/>
    </font>
    <font>
      <b/>
      <vertAlign val="superscript"/>
      <sz val="10"/>
      <name val="Times New Roman"/>
      <family val="1"/>
    </font>
    <font>
      <b/>
      <i/>
      <sz val="10"/>
      <name val="Times New Roman"/>
      <family val="1"/>
    </font>
    <font>
      <vertAlign val="superscript"/>
      <sz val="10"/>
      <color rgb="FF000000"/>
      <name val="Times New Roman"/>
      <family val="1"/>
    </font>
    <font>
      <vertAlign val="superscript"/>
      <sz val="10"/>
      <color theme="1"/>
      <name val="Times New Roman"/>
      <family val="1"/>
    </font>
    <font>
      <i/>
      <sz val="10"/>
      <name val="Times New Roman"/>
      <family val="1"/>
    </font>
    <font>
      <b/>
      <sz val="12"/>
      <color theme="1"/>
      <name val="Times New Roman"/>
      <family val="1"/>
    </font>
    <font>
      <b/>
      <sz val="12"/>
      <color rgb="FF000000"/>
      <name val="Times New Roman"/>
      <family val="1"/>
    </font>
    <font>
      <sz val="10"/>
      <color rgb="FFFF0000"/>
      <name val="Times New Roman"/>
      <family val="1"/>
    </font>
    <font>
      <b/>
      <sz val="10"/>
      <color rgb="FFFF0000"/>
      <name val="Times New Roman"/>
      <family val="1"/>
    </font>
    <font>
      <sz val="10"/>
      <color rgb="FF7030A0"/>
      <name val="Times New Roman"/>
      <family val="1"/>
    </font>
    <font>
      <b/>
      <sz val="12"/>
      <name val="Times New Roman"/>
      <family val="1"/>
    </font>
  </fonts>
  <fills count="3">
    <fill>
      <patternFill patternType="none"/>
    </fill>
    <fill>
      <patternFill patternType="gray125"/>
    </fill>
    <fill>
      <patternFill patternType="solid">
        <fgColor rgb="FFFFFFFF"/>
        <bgColor rgb="FF000000"/>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s>
  <cellStyleXfs count="20">
    <xf numFmtId="0" fontId="0" fillId="0" borderId="0"/>
    <xf numFmtId="43" fontId="1" fillId="0" borderId="0" applyFont="0" applyFill="0" applyBorder="0" applyAlignment="0" applyProtection="0"/>
    <xf numFmtId="0" fontId="2" fillId="0" borderId="0" applyNumberFormat="0" applyFont="0" applyFill="0" applyBorder="0" applyAlignment="0" applyProtection="0"/>
    <xf numFmtId="0" fontId="1" fillId="0" borderId="0"/>
    <xf numFmtId="0" fontId="3" fillId="0" borderId="0"/>
    <xf numFmtId="0" fontId="4" fillId="0" borderId="0"/>
    <xf numFmtId="0" fontId="2" fillId="0" borderId="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5" fillId="0" borderId="0"/>
    <xf numFmtId="167" fontId="6" fillId="0" borderId="0"/>
    <xf numFmtId="9" fontId="2" fillId="0" borderId="0" applyFont="0" applyFill="0" applyBorder="0" applyAlignment="0" applyProtection="0"/>
    <xf numFmtId="0" fontId="7" fillId="0" borderId="0"/>
    <xf numFmtId="0" fontId="2" fillId="0" borderId="0"/>
    <xf numFmtId="9"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cellStyleXfs>
  <cellXfs count="349">
    <xf numFmtId="0" fontId="0" fillId="0" borderId="0" xfId="0"/>
    <xf numFmtId="0" fontId="10" fillId="0" borderId="0" xfId="15" applyFont="1" applyFill="1"/>
    <xf numFmtId="0" fontId="10" fillId="0" borderId="0" xfId="15" applyFont="1" applyFill="1" applyAlignment="1">
      <alignment horizontal="center" wrapText="1"/>
    </xf>
    <xf numFmtId="3" fontId="10" fillId="0" borderId="0" xfId="15" applyNumberFormat="1" applyFont="1" applyFill="1" applyAlignment="1">
      <alignment horizontal="center" wrapText="1"/>
    </xf>
    <xf numFmtId="0" fontId="10" fillId="0" borderId="0" xfId="15" applyFont="1" applyFill="1" applyAlignment="1">
      <alignment horizontal="center"/>
    </xf>
    <xf numFmtId="0" fontId="10" fillId="0" borderId="1" xfId="15" applyFont="1" applyFill="1" applyBorder="1" applyAlignment="1">
      <alignment horizontal="center" vertical="center" wrapText="1"/>
    </xf>
    <xf numFmtId="0" fontId="13" fillId="0" borderId="0" xfId="15" applyFont="1" applyFill="1"/>
    <xf numFmtId="0" fontId="10" fillId="0" borderId="1" xfId="15" applyFont="1" applyFill="1" applyBorder="1" applyAlignment="1">
      <alignment horizontal="center" wrapText="1"/>
    </xf>
    <xf numFmtId="3" fontId="10" fillId="0" borderId="1" xfId="15" applyNumberFormat="1" applyFont="1" applyFill="1" applyBorder="1" applyAlignment="1">
      <alignment horizontal="center" wrapText="1"/>
    </xf>
    <xf numFmtId="168" fontId="10" fillId="0" borderId="1" xfId="15" applyNumberFormat="1" applyFont="1" applyFill="1" applyBorder="1" applyAlignment="1">
      <alignment horizontal="center" wrapText="1"/>
    </xf>
    <xf numFmtId="0" fontId="10" fillId="0" borderId="1" xfId="15" applyFont="1" applyFill="1" applyBorder="1" applyAlignment="1">
      <alignment vertical="top" wrapText="1"/>
    </xf>
    <xf numFmtId="39" fontId="10" fillId="0" borderId="1" xfId="15" applyNumberFormat="1" applyFont="1" applyFill="1" applyBorder="1" applyAlignment="1">
      <alignment horizontal="center" wrapText="1"/>
    </xf>
    <xf numFmtId="3" fontId="10" fillId="0" borderId="1" xfId="15" applyNumberFormat="1" applyFont="1" applyFill="1" applyBorder="1" applyAlignment="1">
      <alignment horizontal="center"/>
    </xf>
    <xf numFmtId="0" fontId="10" fillId="0" borderId="2" xfId="15" applyFont="1" applyFill="1" applyBorder="1" applyAlignment="1">
      <alignment horizontal="center" wrapText="1"/>
    </xf>
    <xf numFmtId="0" fontId="10" fillId="0" borderId="0" xfId="15" applyFont="1" applyFill="1" applyBorder="1"/>
    <xf numFmtId="167" fontId="10" fillId="0" borderId="0" xfId="0" applyNumberFormat="1" applyFont="1" applyFill="1" applyBorder="1"/>
    <xf numFmtId="167" fontId="10" fillId="0" borderId="0" xfId="0" applyNumberFormat="1" applyFont="1" applyFill="1"/>
    <xf numFmtId="0" fontId="10" fillId="0" borderId="0" xfId="6" applyFont="1" applyFill="1"/>
    <xf numFmtId="0" fontId="10" fillId="0" borderId="0" xfId="6" applyFont="1" applyFill="1" applyAlignment="1">
      <alignment wrapText="1"/>
    </xf>
    <xf numFmtId="0" fontId="10" fillId="0" borderId="0" xfId="6" applyFont="1" applyFill="1" applyBorder="1" applyAlignment="1">
      <alignment wrapText="1"/>
    </xf>
    <xf numFmtId="0" fontId="10" fillId="0" borderId="1" xfId="6" applyFont="1" applyFill="1" applyBorder="1"/>
    <xf numFmtId="0" fontId="10" fillId="0" borderId="1" xfId="6" applyFont="1" applyFill="1" applyBorder="1" applyAlignment="1">
      <alignment horizontal="center"/>
    </xf>
    <xf numFmtId="3" fontId="10" fillId="0" borderId="1" xfId="6" applyNumberFormat="1" applyFont="1" applyFill="1" applyBorder="1" applyAlignment="1">
      <alignment horizontal="center"/>
    </xf>
    <xf numFmtId="0" fontId="10" fillId="0" borderId="1" xfId="6" applyFont="1" applyFill="1" applyBorder="1" applyAlignment="1"/>
    <xf numFmtId="0" fontId="10" fillId="0" borderId="0" xfId="6" applyFont="1" applyFill="1" applyBorder="1"/>
    <xf numFmtId="0" fontId="10" fillId="0" borderId="1" xfId="6" applyFont="1" applyFill="1" applyBorder="1" applyAlignment="1">
      <alignment wrapText="1"/>
    </xf>
    <xf numFmtId="3" fontId="10" fillId="0" borderId="1" xfId="7" applyNumberFormat="1" applyFont="1" applyFill="1" applyBorder="1" applyAlignment="1">
      <alignment horizontal="center"/>
    </xf>
    <xf numFmtId="1" fontId="10" fillId="0" borderId="1" xfId="6" applyNumberFormat="1" applyFont="1" applyFill="1" applyBorder="1" applyAlignment="1">
      <alignment horizontal="center"/>
    </xf>
    <xf numFmtId="0" fontId="10" fillId="0" borderId="1" xfId="6" applyFont="1" applyFill="1" applyBorder="1" applyAlignment="1">
      <alignment horizontal="left" wrapText="1" indent="2"/>
    </xf>
    <xf numFmtId="0" fontId="10" fillId="0" borderId="0" xfId="6" applyFont="1" applyFill="1" applyAlignment="1">
      <alignment horizontal="center"/>
    </xf>
    <xf numFmtId="0" fontId="16" fillId="0" borderId="1" xfId="6" applyFont="1" applyFill="1" applyBorder="1" applyAlignment="1">
      <alignment horizontal="center"/>
    </xf>
    <xf numFmtId="3" fontId="16" fillId="0" borderId="1" xfId="7" applyNumberFormat="1" applyFont="1" applyFill="1" applyBorder="1" applyAlignment="1">
      <alignment horizontal="center"/>
    </xf>
    <xf numFmtId="0" fontId="13" fillId="0" borderId="0" xfId="6" applyFont="1" applyFill="1"/>
    <xf numFmtId="165" fontId="13" fillId="0" borderId="0" xfId="6" applyNumberFormat="1" applyFont="1" applyFill="1" applyBorder="1" applyAlignment="1">
      <alignment horizontal="center"/>
    </xf>
    <xf numFmtId="0" fontId="10" fillId="0" borderId="0" xfId="6" applyFont="1" applyFill="1" applyBorder="1" applyAlignment="1">
      <alignment horizontal="center"/>
    </xf>
    <xf numFmtId="0" fontId="13" fillId="0" borderId="0" xfId="6" applyFont="1" applyFill="1" applyAlignment="1">
      <alignment wrapText="1"/>
    </xf>
    <xf numFmtId="0" fontId="10" fillId="0" borderId="0" xfId="6" applyFont="1" applyFill="1" applyAlignment="1">
      <alignment horizontal="left"/>
    </xf>
    <xf numFmtId="0" fontId="10" fillId="0" borderId="0" xfId="6" applyFont="1" applyFill="1" applyAlignment="1">
      <alignment horizontal="left" wrapText="1"/>
    </xf>
    <xf numFmtId="3" fontId="10" fillId="0" borderId="0" xfId="6" applyNumberFormat="1" applyFont="1" applyFill="1" applyAlignment="1">
      <alignment horizontal="center"/>
    </xf>
    <xf numFmtId="0" fontId="10" fillId="0" borderId="0" xfId="6" applyFont="1" applyFill="1" applyAlignment="1">
      <alignment vertical="top"/>
    </xf>
    <xf numFmtId="0" fontId="10" fillId="0" borderId="0" xfId="6" applyFont="1" applyFill="1" applyAlignment="1">
      <alignment horizontal="left" vertical="top"/>
    </xf>
    <xf numFmtId="0" fontId="10" fillId="0" borderId="1" xfId="6" quotePrefix="1" applyNumberFormat="1" applyFont="1" applyFill="1" applyBorder="1"/>
    <xf numFmtId="0" fontId="10" fillId="0" borderId="1" xfId="6" quotePrefix="1" applyFont="1" applyFill="1" applyBorder="1"/>
    <xf numFmtId="1" fontId="10" fillId="0" borderId="0" xfId="6" applyNumberFormat="1" applyFont="1" applyFill="1" applyAlignment="1">
      <alignment horizontal="center"/>
    </xf>
    <xf numFmtId="0" fontId="10" fillId="0" borderId="0" xfId="6" applyFont="1" applyFill="1" applyAlignment="1">
      <alignment horizontal="right" vertical="top"/>
    </xf>
    <xf numFmtId="0" fontId="13" fillId="0" borderId="1" xfId="6" applyFont="1" applyFill="1" applyBorder="1" applyAlignment="1">
      <alignment horizontal="center" vertical="center" wrapText="1"/>
    </xf>
    <xf numFmtId="0" fontId="10" fillId="0" borderId="0" xfId="6" applyFont="1" applyFill="1" applyBorder="1" applyAlignment="1">
      <alignment horizontal="center" wrapText="1"/>
    </xf>
    <xf numFmtId="0" fontId="10" fillId="0" borderId="0" xfId="6" applyFont="1" applyFill="1" applyBorder="1" applyAlignment="1">
      <alignment horizontal="center" textRotation="90" wrapText="1"/>
    </xf>
    <xf numFmtId="165" fontId="10" fillId="0" borderId="0" xfId="6" applyNumberFormat="1" applyFont="1" applyFill="1" applyBorder="1" applyAlignment="1">
      <alignment horizontal="center"/>
    </xf>
    <xf numFmtId="9" fontId="10" fillId="0" borderId="1" xfId="17" applyFont="1" applyFill="1" applyBorder="1" applyAlignment="1">
      <alignment horizontal="center"/>
    </xf>
    <xf numFmtId="1" fontId="10" fillId="0" borderId="1" xfId="17" applyNumberFormat="1" applyFont="1" applyFill="1" applyBorder="1" applyAlignment="1">
      <alignment horizontal="center"/>
    </xf>
    <xf numFmtId="1" fontId="10" fillId="0" borderId="1" xfId="6" applyNumberFormat="1" applyFont="1" applyFill="1" applyBorder="1" applyAlignment="1"/>
    <xf numFmtId="0" fontId="16" fillId="0" borderId="2" xfId="6" applyFont="1" applyFill="1" applyBorder="1" applyAlignment="1"/>
    <xf numFmtId="1" fontId="16" fillId="0" borderId="1" xfId="6" applyNumberFormat="1" applyFont="1" applyFill="1" applyBorder="1" applyAlignment="1">
      <alignment horizontal="center"/>
    </xf>
    <xf numFmtId="1" fontId="13" fillId="0" borderId="0" xfId="6" applyNumberFormat="1" applyFont="1" applyFill="1" applyBorder="1" applyAlignment="1">
      <alignment horizontal="center"/>
    </xf>
    <xf numFmtId="0" fontId="8" fillId="0" borderId="0" xfId="0" applyFont="1"/>
    <xf numFmtId="6" fontId="8" fillId="0" borderId="0" xfId="0" applyNumberFormat="1" applyFont="1"/>
    <xf numFmtId="0" fontId="13" fillId="0" borderId="0" xfId="6" applyFont="1" applyFill="1" applyAlignment="1">
      <alignment horizontal="left" vertical="top" wrapText="1"/>
    </xf>
    <xf numFmtId="0" fontId="10" fillId="0" borderId="0" xfId="6" applyFont="1" applyFill="1" applyAlignment="1">
      <alignment horizontal="center" wrapText="1"/>
    </xf>
    <xf numFmtId="0" fontId="10" fillId="0" borderId="0" xfId="6" applyFont="1" applyFill="1" applyAlignment="1">
      <alignment horizontal="left" vertical="top" wrapText="1"/>
    </xf>
    <xf numFmtId="169" fontId="10" fillId="0" borderId="1" xfId="6" applyNumberFormat="1" applyFont="1" applyFill="1" applyBorder="1" applyAlignment="1">
      <alignment horizontal="center"/>
    </xf>
    <xf numFmtId="169" fontId="10" fillId="0" borderId="1" xfId="17" applyNumberFormat="1" applyFont="1" applyFill="1" applyBorder="1" applyAlignment="1">
      <alignment horizontal="center"/>
    </xf>
    <xf numFmtId="0" fontId="8" fillId="0" borderId="0" xfId="6" applyFont="1" applyFill="1" applyAlignment="1">
      <alignment horizontal="left"/>
    </xf>
    <xf numFmtId="3" fontId="10" fillId="0" borderId="0" xfId="6" applyNumberFormat="1" applyFont="1" applyFill="1" applyAlignment="1">
      <alignment horizontal="left"/>
    </xf>
    <xf numFmtId="0" fontId="10" fillId="0" borderId="1" xfId="6" applyFont="1" applyFill="1" applyBorder="1" applyAlignment="1">
      <alignment horizontal="left" wrapText="1" indent="1"/>
    </xf>
    <xf numFmtId="1" fontId="13" fillId="0" borderId="0" xfId="6" applyNumberFormat="1" applyFont="1" applyFill="1" applyBorder="1" applyAlignment="1">
      <alignment horizontal="center" wrapText="1"/>
    </xf>
    <xf numFmtId="0" fontId="10" fillId="0" borderId="0" xfId="6" applyFont="1" applyFill="1" applyBorder="1" applyAlignment="1">
      <alignment vertical="top"/>
    </xf>
    <xf numFmtId="164" fontId="13" fillId="0" borderId="0" xfId="17" applyNumberFormat="1" applyFont="1" applyFill="1" applyBorder="1" applyAlignment="1">
      <alignment horizontal="center" wrapText="1"/>
    </xf>
    <xf numFmtId="0" fontId="8" fillId="0" borderId="0" xfId="6" applyFont="1" applyFill="1" applyAlignment="1">
      <alignment wrapText="1"/>
    </xf>
    <xf numFmtId="49" fontId="10" fillId="0" borderId="3" xfId="15" applyNumberFormat="1" applyFont="1" applyFill="1" applyBorder="1" applyAlignment="1">
      <alignment vertical="top"/>
    </xf>
    <xf numFmtId="0" fontId="13" fillId="0" borderId="0" xfId="6" applyFont="1" applyFill="1" applyBorder="1" applyAlignment="1">
      <alignment horizontal="left" vertical="top" wrapText="1"/>
    </xf>
    <xf numFmtId="0" fontId="13" fillId="0" borderId="0" xfId="6" applyFont="1" applyFill="1" applyBorder="1" applyAlignment="1">
      <alignment vertical="top"/>
    </xf>
    <xf numFmtId="0" fontId="13" fillId="0" borderId="3" xfId="6" applyFont="1" applyFill="1" applyBorder="1" applyAlignment="1"/>
    <xf numFmtId="0" fontId="13" fillId="0" borderId="0" xfId="6" applyFont="1" applyFill="1" applyBorder="1" applyAlignment="1"/>
    <xf numFmtId="0" fontId="14" fillId="0" borderId="0" xfId="6" applyFont="1" applyFill="1" applyAlignment="1">
      <alignment horizontal="left" vertical="top" wrapText="1"/>
    </xf>
    <xf numFmtId="167" fontId="14" fillId="0" borderId="0" xfId="0" applyNumberFormat="1" applyFont="1" applyFill="1" applyAlignment="1">
      <alignment horizontal="left" vertical="top" wrapText="1"/>
    </xf>
    <xf numFmtId="167" fontId="18" fillId="0" borderId="0" xfId="0" applyNumberFormat="1" applyFont="1" applyFill="1" applyAlignment="1">
      <alignment horizontal="left" vertical="top" wrapText="1"/>
    </xf>
    <xf numFmtId="0" fontId="10" fillId="0" borderId="0" xfId="15" applyFont="1" applyFill="1" applyAlignment="1">
      <alignment horizontal="left" vertical="top"/>
    </xf>
    <xf numFmtId="0" fontId="10" fillId="0" borderId="0" xfId="15" applyFont="1" applyFill="1" applyAlignment="1">
      <alignment horizontal="left" vertical="top" wrapText="1"/>
    </xf>
    <xf numFmtId="0" fontId="14" fillId="0" borderId="0" xfId="15" applyFont="1" applyFill="1" applyAlignment="1">
      <alignment horizontal="left" vertical="top"/>
    </xf>
    <xf numFmtId="0" fontId="14" fillId="0" borderId="0" xfId="15" applyFont="1" applyFill="1" applyAlignment="1">
      <alignment horizontal="left" vertical="top" wrapText="1"/>
    </xf>
    <xf numFmtId="3" fontId="10" fillId="0" borderId="1" xfId="15" applyNumberFormat="1" applyFont="1" applyFill="1" applyBorder="1" applyAlignment="1">
      <alignment horizontal="center" vertical="center" wrapText="1"/>
    </xf>
    <xf numFmtId="0" fontId="10" fillId="0" borderId="0" xfId="15" applyFont="1" applyFill="1" applyBorder="1" applyAlignment="1">
      <alignment horizontal="center" textRotation="90"/>
    </xf>
    <xf numFmtId="0" fontId="11" fillId="0" borderId="0" xfId="0" applyFont="1" applyBorder="1" applyAlignment="1">
      <alignment vertical="center" wrapText="1"/>
    </xf>
    <xf numFmtId="0" fontId="11" fillId="0" borderId="0" xfId="0" applyFont="1" applyBorder="1" applyAlignment="1">
      <alignment horizontal="center" vertical="center" wrapText="1"/>
    </xf>
    <xf numFmtId="0" fontId="0" fillId="0" borderId="0" xfId="0" applyBorder="1" applyAlignment="1">
      <alignment vertical="top" wrapText="1"/>
    </xf>
    <xf numFmtId="165" fontId="10" fillId="0" borderId="1" xfId="6" applyNumberFormat="1" applyFont="1" applyFill="1" applyBorder="1" applyAlignment="1">
      <alignment horizontal="center"/>
    </xf>
    <xf numFmtId="0" fontId="13" fillId="0" borderId="3" xfId="6" applyFont="1" applyFill="1" applyBorder="1" applyAlignment="1">
      <alignment horizontal="center"/>
    </xf>
    <xf numFmtId="0" fontId="13" fillId="0" borderId="0" xfId="6" applyFont="1" applyFill="1" applyBorder="1" applyAlignment="1">
      <alignment horizontal="center"/>
    </xf>
    <xf numFmtId="0" fontId="10" fillId="0" borderId="0" xfId="15" applyFont="1" applyFill="1" applyAlignment="1">
      <alignment horizontal="left" vertical="top" wrapText="1"/>
    </xf>
    <xf numFmtId="0" fontId="10" fillId="0" borderId="1" xfId="6" applyFont="1" applyFill="1" applyBorder="1" applyAlignment="1">
      <alignment horizontal="center" wrapText="1"/>
    </xf>
    <xf numFmtId="0" fontId="10" fillId="0" borderId="0" xfId="6" applyFont="1" applyFill="1" applyBorder="1" applyAlignment="1">
      <alignment horizontal="left" vertical="top" wrapText="1"/>
    </xf>
    <xf numFmtId="0" fontId="13" fillId="0" borderId="1" xfId="6" applyFont="1" applyFill="1" applyBorder="1" applyAlignment="1">
      <alignment horizontal="center" wrapText="1"/>
    </xf>
    <xf numFmtId="0" fontId="13" fillId="0" borderId="1" xfId="6" applyFont="1" applyFill="1" applyBorder="1" applyAlignment="1">
      <alignment horizontal="center"/>
    </xf>
    <xf numFmtId="0" fontId="11" fillId="0" borderId="1" xfId="0" applyFont="1" applyFill="1" applyBorder="1" applyAlignment="1"/>
    <xf numFmtId="0" fontId="10" fillId="0" borderId="1" xfId="0" applyFont="1" applyFill="1" applyBorder="1"/>
    <xf numFmtId="166" fontId="8" fillId="0" borderId="1" xfId="0" applyNumberFormat="1" applyFont="1" applyFill="1" applyBorder="1"/>
    <xf numFmtId="166" fontId="11" fillId="0" borderId="1" xfId="0" applyNumberFormat="1" applyFont="1" applyFill="1" applyBorder="1"/>
    <xf numFmtId="0" fontId="10" fillId="0" borderId="6" xfId="0" applyFont="1" applyFill="1" applyBorder="1"/>
    <xf numFmtId="4" fontId="10" fillId="0" borderId="1" xfId="15" applyNumberFormat="1" applyFont="1" applyFill="1" applyBorder="1" applyAlignment="1">
      <alignment horizontal="center" wrapText="1"/>
    </xf>
    <xf numFmtId="49" fontId="10" fillId="0" borderId="2" xfId="15" applyNumberFormat="1" applyFont="1" applyFill="1" applyBorder="1"/>
    <xf numFmtId="49" fontId="10" fillId="0" borderId="4" xfId="15" applyNumberFormat="1" applyFont="1" applyFill="1" applyBorder="1" applyAlignment="1">
      <alignment vertical="top"/>
    </xf>
    <xf numFmtId="0" fontId="8" fillId="0" borderId="0" xfId="0" applyFont="1" applyFill="1"/>
    <xf numFmtId="0" fontId="12" fillId="0" borderId="1" xfId="0" applyFont="1" applyFill="1" applyBorder="1" applyAlignment="1">
      <alignment vertical="center" wrapText="1"/>
    </xf>
    <xf numFmtId="0" fontId="11" fillId="0" borderId="1" xfId="0" applyFont="1" applyFill="1" applyBorder="1" applyAlignment="1">
      <alignment vertical="center" wrapText="1"/>
    </xf>
    <xf numFmtId="0" fontId="11" fillId="0" borderId="1" xfId="0" applyFont="1" applyFill="1" applyBorder="1" applyAlignment="1">
      <alignment horizontal="center" vertical="center" wrapText="1"/>
    </xf>
    <xf numFmtId="3" fontId="11"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1" xfId="0" applyFont="1" applyFill="1" applyBorder="1" applyAlignment="1">
      <alignment vertical="center" wrapText="1"/>
    </xf>
    <xf numFmtId="6" fontId="8" fillId="0" borderId="1" xfId="0" applyNumberFormat="1" applyFont="1" applyFill="1" applyBorder="1" applyAlignment="1">
      <alignment horizontal="center" vertical="center" wrapText="1"/>
    </xf>
    <xf numFmtId="1" fontId="8" fillId="0" borderId="1" xfId="0" applyNumberFormat="1" applyFont="1" applyFill="1" applyBorder="1" applyAlignment="1">
      <alignment horizontal="center" vertical="center" wrapText="1"/>
    </xf>
    <xf numFmtId="3" fontId="8" fillId="0" borderId="1" xfId="0" applyNumberFormat="1" applyFont="1" applyFill="1" applyBorder="1" applyAlignment="1">
      <alignment horizontal="center" vertical="center" wrapText="1"/>
    </xf>
    <xf numFmtId="165" fontId="8" fillId="0" borderId="1" xfId="18" applyNumberFormat="1" applyFont="1" applyFill="1" applyBorder="1" applyAlignment="1">
      <alignment horizontal="center" vertical="center"/>
    </xf>
    <xf numFmtId="0" fontId="9" fillId="0" borderId="1" xfId="0" applyFont="1" applyFill="1" applyBorder="1" applyAlignment="1">
      <alignment vertical="center" wrapText="1"/>
    </xf>
    <xf numFmtId="0" fontId="9" fillId="0" borderId="1" xfId="0" applyFont="1" applyFill="1" applyBorder="1"/>
    <xf numFmtId="6" fontId="9" fillId="0" borderId="1" xfId="0" applyNumberFormat="1" applyFont="1" applyFill="1" applyBorder="1" applyAlignment="1">
      <alignment horizontal="center"/>
    </xf>
    <xf numFmtId="0" fontId="8" fillId="0" borderId="1" xfId="0" applyFont="1" applyFill="1" applyBorder="1"/>
    <xf numFmtId="165" fontId="9" fillId="0" borderId="1" xfId="0" applyNumberFormat="1" applyFont="1" applyFill="1" applyBorder="1" applyAlignment="1">
      <alignment horizontal="center"/>
    </xf>
    <xf numFmtId="1" fontId="10" fillId="0" borderId="1" xfId="6" applyNumberFormat="1" applyFont="1" applyFill="1" applyBorder="1" applyAlignment="1">
      <alignment horizontal="center" wrapText="1"/>
    </xf>
    <xf numFmtId="168" fontId="10" fillId="0" borderId="1" xfId="7" applyNumberFormat="1" applyFont="1" applyFill="1" applyBorder="1" applyAlignment="1">
      <alignment horizontal="center"/>
    </xf>
    <xf numFmtId="3" fontId="16" fillId="0" borderId="1" xfId="6" applyNumberFormat="1" applyFont="1" applyFill="1" applyBorder="1" applyAlignment="1">
      <alignment horizontal="center"/>
    </xf>
    <xf numFmtId="1" fontId="13" fillId="0" borderId="1" xfId="6" applyNumberFormat="1" applyFont="1" applyFill="1" applyBorder="1" applyAlignment="1">
      <alignment horizontal="center"/>
    </xf>
    <xf numFmtId="0" fontId="22" fillId="0" borderId="0" xfId="15" applyFont="1" applyFill="1"/>
    <xf numFmtId="0" fontId="10" fillId="0" borderId="1" xfId="15" applyFont="1" applyFill="1" applyBorder="1" applyAlignment="1">
      <alignment horizontal="center" textRotation="90"/>
    </xf>
    <xf numFmtId="0" fontId="10" fillId="0" borderId="1" xfId="15" applyFont="1" applyFill="1" applyBorder="1" applyAlignment="1">
      <alignment horizontal="center"/>
    </xf>
    <xf numFmtId="0" fontId="10" fillId="0" borderId="0" xfId="15" applyFont="1" applyFill="1" applyAlignment="1">
      <alignment wrapText="1"/>
    </xf>
    <xf numFmtId="0" fontId="15" fillId="0" borderId="0" xfId="15" applyFont="1" applyFill="1" applyAlignment="1">
      <alignment horizontal="left" vertical="top"/>
    </xf>
    <xf numFmtId="165" fontId="16" fillId="0" borderId="0" xfId="6" applyNumberFormat="1" applyFont="1" applyFill="1" applyBorder="1" applyAlignment="1">
      <alignment horizontal="center"/>
    </xf>
    <xf numFmtId="0" fontId="13" fillId="0" borderId="0" xfId="6" applyFont="1" applyFill="1" applyBorder="1" applyAlignment="1">
      <alignment wrapText="1"/>
    </xf>
    <xf numFmtId="0" fontId="8" fillId="0" borderId="0" xfId="6" applyFont="1" applyFill="1" applyBorder="1" applyAlignment="1">
      <alignment horizontal="left" vertical="top" wrapText="1"/>
    </xf>
    <xf numFmtId="0" fontId="10" fillId="0" borderId="0" xfId="6" applyFont="1" applyFill="1" applyBorder="1" applyAlignment="1">
      <alignment horizontal="left"/>
    </xf>
    <xf numFmtId="0" fontId="10" fillId="0" borderId="0" xfId="6" quotePrefix="1" applyNumberFormat="1" applyFont="1" applyFill="1" applyBorder="1"/>
    <xf numFmtId="0" fontId="10" fillId="0" borderId="0" xfId="6" quotePrefix="1" applyFont="1" applyFill="1" applyBorder="1"/>
    <xf numFmtId="165" fontId="13" fillId="0" borderId="0" xfId="6" applyNumberFormat="1" applyFont="1" applyFill="1" applyBorder="1" applyAlignment="1"/>
    <xf numFmtId="0" fontId="10" fillId="0" borderId="0" xfId="6" applyFont="1" applyFill="1" applyBorder="1" applyAlignment="1">
      <alignment horizontal="left" wrapText="1"/>
    </xf>
    <xf numFmtId="167" fontId="18" fillId="0" borderId="0" xfId="0" applyNumberFormat="1" applyFont="1" applyFill="1" applyAlignment="1">
      <alignment horizontal="left" vertical="top"/>
    </xf>
    <xf numFmtId="0" fontId="22" fillId="0" borderId="0" xfId="6" applyFont="1" applyFill="1" applyBorder="1" applyAlignment="1">
      <alignment horizontal="left" vertical="top" wrapText="1"/>
    </xf>
    <xf numFmtId="167" fontId="14" fillId="0" borderId="0" xfId="0" applyNumberFormat="1" applyFont="1" applyFill="1" applyAlignment="1">
      <alignment horizontal="left" vertical="top"/>
    </xf>
    <xf numFmtId="0" fontId="10" fillId="0" borderId="1" xfId="6" applyFont="1" applyFill="1" applyBorder="1" applyAlignment="1">
      <alignment horizontal="center" vertical="center" wrapText="1"/>
    </xf>
    <xf numFmtId="0" fontId="10" fillId="0" borderId="1" xfId="6" applyFont="1" applyFill="1" applyBorder="1" applyAlignment="1">
      <alignment horizontal="center" textRotation="90" wrapText="1"/>
    </xf>
    <xf numFmtId="0" fontId="16" fillId="0" borderId="1" xfId="6" applyFont="1" applyFill="1" applyBorder="1" applyAlignment="1">
      <alignment wrapText="1"/>
    </xf>
    <xf numFmtId="0" fontId="16" fillId="0" borderId="1" xfId="6" applyFont="1" applyFill="1" applyBorder="1" applyAlignment="1">
      <alignment horizontal="center" wrapText="1"/>
    </xf>
    <xf numFmtId="165" fontId="19" fillId="0" borderId="1" xfId="6" applyNumberFormat="1" applyFont="1" applyFill="1" applyBorder="1" applyAlignment="1">
      <alignment horizontal="center"/>
    </xf>
    <xf numFmtId="167" fontId="13" fillId="0" borderId="0" xfId="0" applyNumberFormat="1" applyFont="1" applyFill="1" applyAlignment="1"/>
    <xf numFmtId="0" fontId="14" fillId="0" borderId="0" xfId="6" applyFont="1" applyFill="1" applyAlignment="1">
      <alignment horizontal="left" vertical="top"/>
    </xf>
    <xf numFmtId="165" fontId="19" fillId="0" borderId="0" xfId="6" applyNumberFormat="1" applyFont="1" applyFill="1" applyBorder="1" applyAlignment="1">
      <alignment horizontal="center"/>
    </xf>
    <xf numFmtId="0" fontId="10" fillId="0" borderId="0" xfId="6" applyFont="1" applyFill="1" applyBorder="1" applyAlignment="1">
      <alignment horizontal="left" vertical="top"/>
    </xf>
    <xf numFmtId="165" fontId="10" fillId="0" borderId="1" xfId="6" applyNumberFormat="1" applyFont="1" applyFill="1" applyBorder="1" applyAlignment="1">
      <alignment horizontal="left"/>
    </xf>
    <xf numFmtId="0" fontId="8" fillId="0" borderId="0" xfId="0" applyFont="1" applyFill="1" applyAlignment="1">
      <alignment horizontal="left" vertical="top" wrapText="1"/>
    </xf>
    <xf numFmtId="3" fontId="8" fillId="0" borderId="1" xfId="0" applyNumberFormat="1" applyFont="1" applyFill="1" applyBorder="1" applyAlignment="1">
      <alignment horizontal="center"/>
    </xf>
    <xf numFmtId="0" fontId="8" fillId="0" borderId="1" xfId="0" applyFont="1" applyFill="1" applyBorder="1" applyAlignment="1">
      <alignment horizontal="center"/>
    </xf>
    <xf numFmtId="168" fontId="8" fillId="0" borderId="1" xfId="0" applyNumberFormat="1" applyFont="1" applyFill="1" applyBorder="1" applyAlignment="1">
      <alignment horizontal="center"/>
    </xf>
    <xf numFmtId="1" fontId="8" fillId="0" borderId="0" xfId="0" applyNumberFormat="1" applyFont="1" applyFill="1"/>
    <xf numFmtId="0" fontId="16" fillId="0" borderId="1" xfId="6" applyFont="1" applyFill="1" applyBorder="1"/>
    <xf numFmtId="1" fontId="8" fillId="0" borderId="1" xfId="0" applyNumberFormat="1" applyFont="1" applyBorder="1"/>
    <xf numFmtId="165" fontId="8" fillId="0" borderId="0" xfId="0" applyNumberFormat="1" applyFont="1"/>
    <xf numFmtId="1" fontId="8" fillId="0" borderId="2" xfId="0" applyNumberFormat="1" applyFont="1" applyBorder="1"/>
    <xf numFmtId="165" fontId="8" fillId="0" borderId="1" xfId="0" applyNumberFormat="1" applyFont="1" applyBorder="1" applyAlignment="1">
      <alignment horizontal="center"/>
    </xf>
    <xf numFmtId="165" fontId="8" fillId="0" borderId="0" xfId="6" applyNumberFormat="1" applyFont="1" applyFill="1" applyBorder="1" applyAlignment="1">
      <alignment horizontal="left" vertical="top" wrapText="1"/>
    </xf>
    <xf numFmtId="0" fontId="12" fillId="0" borderId="1" xfId="0" applyFont="1" applyFill="1" applyBorder="1" applyAlignment="1">
      <alignment wrapText="1"/>
    </xf>
    <xf numFmtId="0" fontId="12" fillId="0" borderId="1" xfId="0" applyFont="1" applyFill="1" applyBorder="1" applyAlignment="1">
      <alignment horizontal="left" wrapText="1"/>
    </xf>
    <xf numFmtId="3" fontId="13" fillId="0" borderId="1" xfId="6" applyNumberFormat="1" applyFont="1" applyFill="1" applyBorder="1" applyAlignment="1">
      <alignment horizontal="center"/>
    </xf>
    <xf numFmtId="3" fontId="13" fillId="0" borderId="2" xfId="6" applyNumberFormat="1" applyFont="1" applyFill="1" applyBorder="1" applyAlignment="1">
      <alignment horizontal="center"/>
    </xf>
    <xf numFmtId="0" fontId="12" fillId="0" borderId="1" xfId="0" applyFont="1" applyFill="1" applyBorder="1"/>
    <xf numFmtId="0" fontId="12" fillId="0" borderId="1" xfId="0" applyFont="1" applyFill="1" applyBorder="1" applyAlignment="1">
      <alignment horizontal="left"/>
    </xf>
    <xf numFmtId="3" fontId="22" fillId="0" borderId="0" xfId="6" applyNumberFormat="1" applyFont="1" applyFill="1" applyBorder="1" applyAlignment="1">
      <alignment horizontal="left"/>
    </xf>
    <xf numFmtId="0" fontId="22" fillId="0" borderId="0" xfId="0" applyFont="1" applyFill="1"/>
    <xf numFmtId="0" fontId="8" fillId="0" borderId="1" xfId="0" applyFont="1" applyBorder="1" applyAlignment="1">
      <alignment horizontal="center" wrapText="1"/>
    </xf>
    <xf numFmtId="0" fontId="8" fillId="0" borderId="0" xfId="0" applyFont="1" applyBorder="1" applyAlignment="1">
      <alignment wrapText="1"/>
    </xf>
    <xf numFmtId="0" fontId="10" fillId="0" borderId="0" xfId="6" applyFont="1" applyFill="1" applyAlignment="1">
      <alignment horizontal="left" vertical="top" wrapText="1"/>
    </xf>
    <xf numFmtId="0" fontId="10" fillId="0" borderId="1" xfId="16" applyFont="1" applyBorder="1" applyAlignment="1">
      <alignment horizontal="center"/>
    </xf>
    <xf numFmtId="0" fontId="10" fillId="0" borderId="0" xfId="16" applyFont="1"/>
    <xf numFmtId="0" fontId="10" fillId="0" borderId="1" xfId="16" applyFont="1" applyBorder="1" applyAlignment="1">
      <alignment horizontal="center" vertical="top" wrapText="1"/>
    </xf>
    <xf numFmtId="0" fontId="23" fillId="0" borderId="0" xfId="16" applyFont="1"/>
    <xf numFmtId="0" fontId="13" fillId="0" borderId="0" xfId="16" applyFont="1"/>
    <xf numFmtId="0" fontId="10" fillId="0" borderId="1" xfId="16" applyFont="1" applyBorder="1"/>
    <xf numFmtId="0" fontId="10" fillId="0" borderId="1" xfId="16" applyFont="1" applyBorder="1" applyAlignment="1">
      <alignment horizontal="center" wrapText="1"/>
    </xf>
    <xf numFmtId="3" fontId="10" fillId="0" borderId="1" xfId="16" applyNumberFormat="1" applyFont="1" applyBorder="1" applyAlignment="1">
      <alignment horizontal="center" wrapText="1"/>
    </xf>
    <xf numFmtId="168" fontId="10" fillId="0" borderId="1" xfId="16" applyNumberFormat="1" applyFont="1" applyBorder="1" applyAlignment="1">
      <alignment horizontal="center" wrapText="1"/>
    </xf>
    <xf numFmtId="49" fontId="10" fillId="0" borderId="1" xfId="16" applyNumberFormat="1" applyFont="1" applyBorder="1" applyAlignment="1">
      <alignment vertical="top" wrapText="1"/>
    </xf>
    <xf numFmtId="0" fontId="10" fillId="0" borderId="1" xfId="0" applyFont="1" applyBorder="1" applyAlignment="1">
      <alignment vertical="center"/>
    </xf>
    <xf numFmtId="49" fontId="10" fillId="0" borderId="1" xfId="16" applyNumberFormat="1" applyFont="1" applyBorder="1" applyAlignment="1">
      <alignment vertical="top"/>
    </xf>
    <xf numFmtId="0" fontId="10" fillId="0" borderId="0" xfId="16" applyFont="1" applyAlignment="1">
      <alignment horizontal="center"/>
    </xf>
    <xf numFmtId="4" fontId="10" fillId="0" borderId="1" xfId="16" applyNumberFormat="1" applyFont="1" applyBorder="1" applyAlignment="1">
      <alignment horizontal="center" wrapText="1"/>
    </xf>
    <xf numFmtId="3" fontId="10" fillId="0" borderId="1" xfId="16" applyNumberFormat="1" applyFont="1" applyBorder="1" applyAlignment="1">
      <alignment vertical="top" wrapText="1"/>
    </xf>
    <xf numFmtId="0" fontId="10" fillId="0" borderId="2" xfId="16" applyFont="1" applyBorder="1" applyAlignment="1">
      <alignment horizontal="center" wrapText="1"/>
    </xf>
    <xf numFmtId="0" fontId="13" fillId="0" borderId="1" xfId="16" applyFont="1" applyBorder="1" applyAlignment="1">
      <alignment vertical="center"/>
    </xf>
    <xf numFmtId="3" fontId="10" fillId="0" borderId="0" xfId="16" applyNumberFormat="1" applyFont="1"/>
    <xf numFmtId="0" fontId="10" fillId="0" borderId="0" xfId="16" applyFont="1" applyAlignment="1">
      <alignment horizontal="center" wrapText="1"/>
    </xf>
    <xf numFmtId="3" fontId="10" fillId="0" borderId="0" xfId="16" applyNumberFormat="1" applyFont="1" applyAlignment="1">
      <alignment horizontal="center" wrapText="1"/>
    </xf>
    <xf numFmtId="165" fontId="13" fillId="0" borderId="1" xfId="19" applyNumberFormat="1" applyFont="1" applyFill="1" applyBorder="1" applyAlignment="1">
      <alignment horizontal="right" wrapText="1"/>
    </xf>
    <xf numFmtId="165" fontId="10" fillId="0" borderId="1" xfId="16" applyNumberFormat="1" applyFont="1" applyBorder="1" applyAlignment="1">
      <alignment horizontal="right" wrapText="1"/>
    </xf>
    <xf numFmtId="0" fontId="8" fillId="0" borderId="0" xfId="0" applyFont="1"/>
    <xf numFmtId="49" fontId="8" fillId="0" borderId="0" xfId="0" applyNumberFormat="1" applyFont="1"/>
    <xf numFmtId="0" fontId="22" fillId="0" borderId="0" xfId="16" applyFont="1"/>
    <xf numFmtId="0" fontId="24" fillId="0" borderId="0" xfId="0" applyFont="1" applyFill="1"/>
    <xf numFmtId="0" fontId="22" fillId="0" borderId="0" xfId="6" applyFont="1" applyFill="1" applyAlignment="1">
      <alignment horizontal="left" vertical="top" wrapText="1"/>
    </xf>
    <xf numFmtId="0" fontId="22" fillId="0" borderId="0" xfId="6" applyFont="1" applyFill="1" applyAlignment="1">
      <alignment horizontal="left" vertical="top"/>
    </xf>
    <xf numFmtId="165" fontId="24" fillId="0" borderId="0" xfId="6" applyNumberFormat="1" applyFont="1" applyFill="1" applyBorder="1" applyAlignment="1">
      <alignment horizontal="left"/>
    </xf>
    <xf numFmtId="0" fontId="10" fillId="0" borderId="1" xfId="16" applyFont="1" applyBorder="1" applyAlignment="1">
      <alignment horizontal="center" vertical="center"/>
    </xf>
    <xf numFmtId="3" fontId="10" fillId="0" borderId="1" xfId="0" applyNumberFormat="1" applyFont="1" applyBorder="1" applyAlignment="1">
      <alignment horizontal="center"/>
    </xf>
    <xf numFmtId="167" fontId="10" fillId="2" borderId="1" xfId="0" applyNumberFormat="1" applyFont="1" applyFill="1" applyBorder="1" applyAlignment="1">
      <alignment horizontal="center"/>
    </xf>
    <xf numFmtId="167" fontId="10" fillId="2" borderId="1" xfId="0" applyNumberFormat="1" applyFont="1" applyFill="1" applyBorder="1" applyAlignment="1">
      <alignment horizontal="center" wrapText="1"/>
    </xf>
    <xf numFmtId="167" fontId="10" fillId="0" borderId="1" xfId="0" applyNumberFormat="1" applyFont="1" applyBorder="1" applyAlignment="1">
      <alignment horizontal="center" wrapText="1"/>
    </xf>
    <xf numFmtId="3" fontId="10" fillId="0" borderId="1" xfId="0" quotePrefix="1" applyNumberFormat="1" applyFont="1" applyBorder="1" applyAlignment="1">
      <alignment horizontal="center"/>
    </xf>
    <xf numFmtId="3" fontId="10" fillId="2" borderId="1" xfId="0" applyNumberFormat="1" applyFont="1" applyFill="1" applyBorder="1" applyAlignment="1">
      <alignment horizontal="center"/>
    </xf>
    <xf numFmtId="168" fontId="10" fillId="2" borderId="1" xfId="0" applyNumberFormat="1" applyFont="1" applyFill="1" applyBorder="1" applyAlignment="1">
      <alignment horizontal="center"/>
    </xf>
    <xf numFmtId="0" fontId="10" fillId="0" borderId="1" xfId="6" quotePrefix="1" applyNumberFormat="1" applyFont="1" applyFill="1" applyBorder="1" applyAlignment="1">
      <alignment horizontal="right"/>
    </xf>
    <xf numFmtId="0" fontId="10" fillId="0" borderId="1" xfId="6" quotePrefix="1" applyFont="1" applyFill="1" applyBorder="1" applyAlignment="1">
      <alignment horizontal="right"/>
    </xf>
    <xf numFmtId="3" fontId="10" fillId="0" borderId="1" xfId="0" applyNumberFormat="1" applyFont="1" applyBorder="1" applyAlignment="1">
      <alignment horizontal="center"/>
    </xf>
    <xf numFmtId="9" fontId="10" fillId="0" borderId="1" xfId="6" applyNumberFormat="1" applyFont="1" applyFill="1" applyBorder="1" applyAlignment="1">
      <alignment horizontal="center"/>
    </xf>
    <xf numFmtId="9" fontId="10" fillId="0" borderId="1" xfId="7" applyNumberFormat="1" applyFont="1" applyFill="1" applyBorder="1" applyAlignment="1">
      <alignment horizontal="center"/>
    </xf>
    <xf numFmtId="0" fontId="10" fillId="0" borderId="1" xfId="6" applyFont="1" applyFill="1" applyBorder="1" applyAlignment="1">
      <alignment horizontal="center" vertical="top" wrapText="1"/>
    </xf>
    <xf numFmtId="1" fontId="10" fillId="0" borderId="1" xfId="6" applyNumberFormat="1" applyFont="1" applyFill="1" applyBorder="1" applyAlignment="1">
      <alignment horizontal="center" vertical="top" wrapText="1"/>
    </xf>
    <xf numFmtId="3" fontId="10" fillId="0" borderId="1" xfId="6" applyNumberFormat="1" applyFont="1" applyFill="1" applyBorder="1" applyAlignment="1">
      <alignment horizontal="center" vertical="top" wrapText="1"/>
    </xf>
    <xf numFmtId="0" fontId="21" fillId="0" borderId="0" xfId="0" applyFont="1" applyFill="1" applyAlignment="1">
      <alignment horizontal="center" wrapText="1"/>
    </xf>
    <xf numFmtId="166" fontId="10" fillId="0" borderId="1" xfId="16" applyNumberFormat="1" applyFont="1" applyBorder="1" applyAlignment="1">
      <alignment horizontal="center" wrapText="1"/>
    </xf>
    <xf numFmtId="165" fontId="10" fillId="0" borderId="1" xfId="16" applyNumberFormat="1" applyFont="1" applyBorder="1" applyAlignment="1">
      <alignment horizontal="center" wrapText="1"/>
    </xf>
    <xf numFmtId="0" fontId="8" fillId="0" borderId="0" xfId="0" applyFont="1" applyAlignment="1">
      <alignment horizontal="center"/>
    </xf>
    <xf numFmtId="0" fontId="10" fillId="0" borderId="0" xfId="16" applyFont="1" applyFill="1" applyAlignment="1">
      <alignment horizontal="center" wrapText="1"/>
    </xf>
    <xf numFmtId="49" fontId="10" fillId="0" borderId="1" xfId="15" applyNumberFormat="1" applyFont="1" applyFill="1" applyBorder="1" applyAlignment="1">
      <alignment vertical="top"/>
    </xf>
    <xf numFmtId="49" fontId="10" fillId="0" borderId="1" xfId="15" applyNumberFormat="1" applyFont="1" applyFill="1" applyBorder="1" applyAlignment="1">
      <alignment horizontal="left" vertical="top"/>
    </xf>
    <xf numFmtId="3" fontId="10" fillId="0" borderId="0" xfId="6" applyNumberFormat="1" applyFont="1" applyFill="1"/>
    <xf numFmtId="168" fontId="10" fillId="0" borderId="1" xfId="6" applyNumberFormat="1" applyFont="1" applyFill="1" applyBorder="1" applyAlignment="1">
      <alignment horizontal="center"/>
    </xf>
    <xf numFmtId="0" fontId="10" fillId="0" borderId="1" xfId="15" applyFont="1" applyFill="1" applyBorder="1" applyAlignment="1">
      <alignment horizontal="center" vertical="top" wrapText="1"/>
    </xf>
    <xf numFmtId="3" fontId="10" fillId="0" borderId="1" xfId="15" applyNumberFormat="1" applyFont="1" applyFill="1" applyBorder="1" applyAlignment="1">
      <alignment horizontal="center" vertical="top" wrapText="1"/>
    </xf>
    <xf numFmtId="3" fontId="10" fillId="0" borderId="1" xfId="16" applyNumberFormat="1" applyFont="1" applyFill="1" applyBorder="1" applyAlignment="1">
      <alignment horizontal="center" wrapText="1"/>
    </xf>
    <xf numFmtId="168" fontId="10" fillId="0" borderId="1" xfId="16" applyNumberFormat="1" applyFont="1" applyFill="1" applyBorder="1" applyAlignment="1">
      <alignment horizontal="center" wrapText="1"/>
    </xf>
    <xf numFmtId="0" fontId="8" fillId="0" borderId="0" xfId="0" applyFont="1" applyAlignment="1">
      <alignment vertical="top" wrapText="1"/>
    </xf>
    <xf numFmtId="0" fontId="10" fillId="0" borderId="0" xfId="16" applyFont="1" applyFill="1"/>
    <xf numFmtId="49" fontId="10" fillId="0" borderId="1" xfId="16" applyNumberFormat="1" applyFont="1" applyFill="1" applyBorder="1" applyAlignment="1">
      <alignment vertical="top"/>
    </xf>
    <xf numFmtId="0" fontId="10" fillId="0" borderId="1" xfId="6" applyFont="1" applyFill="1" applyBorder="1" applyAlignment="1">
      <alignment textRotation="90" wrapText="1"/>
    </xf>
    <xf numFmtId="1" fontId="13" fillId="0" borderId="0" xfId="6" applyNumberFormat="1" applyFont="1" applyFill="1" applyBorder="1" applyAlignment="1"/>
    <xf numFmtId="49" fontId="10" fillId="0" borderId="5" xfId="15" applyNumberFormat="1" applyFont="1" applyFill="1" applyBorder="1" applyAlignment="1">
      <alignment vertical="top"/>
    </xf>
    <xf numFmtId="49" fontId="10" fillId="0" borderId="1" xfId="15" applyNumberFormat="1" applyFont="1" applyFill="1" applyBorder="1"/>
    <xf numFmtId="2" fontId="10" fillId="0" borderId="0" xfId="16" applyNumberFormat="1" applyFont="1" applyFill="1"/>
    <xf numFmtId="165" fontId="10" fillId="0" borderId="1" xfId="19" applyNumberFormat="1" applyFont="1" applyFill="1" applyBorder="1" applyAlignment="1">
      <alignment horizontal="center" wrapText="1"/>
    </xf>
    <xf numFmtId="49" fontId="10" fillId="0" borderId="16" xfId="16" applyNumberFormat="1" applyFont="1" applyBorder="1" applyAlignment="1">
      <alignment vertical="top"/>
    </xf>
    <xf numFmtId="0" fontId="8" fillId="0" borderId="17" xfId="0" applyFont="1" applyFill="1" applyBorder="1" applyAlignment="1">
      <alignment horizontal="center"/>
    </xf>
    <xf numFmtId="49" fontId="10" fillId="0" borderId="16" xfId="16" applyNumberFormat="1" applyFont="1" applyBorder="1" applyAlignment="1">
      <alignment vertical="top" wrapText="1"/>
    </xf>
    <xf numFmtId="1" fontId="8" fillId="0" borderId="17" xfId="0" applyNumberFormat="1" applyFont="1" applyFill="1" applyBorder="1" applyAlignment="1">
      <alignment horizontal="center"/>
    </xf>
    <xf numFmtId="49" fontId="10" fillId="0" borderId="16" xfId="16" applyNumberFormat="1" applyFont="1" applyFill="1" applyBorder="1" applyAlignment="1">
      <alignment vertical="top"/>
    </xf>
    <xf numFmtId="3" fontId="9" fillId="0" borderId="21" xfId="0" applyNumberFormat="1" applyFont="1" applyFill="1" applyBorder="1" applyAlignment="1">
      <alignment horizontal="center" vertical="center"/>
    </xf>
    <xf numFmtId="0" fontId="8" fillId="0" borderId="16" xfId="0" applyFont="1" applyFill="1" applyBorder="1" applyAlignment="1">
      <alignment wrapText="1"/>
    </xf>
    <xf numFmtId="169" fontId="8" fillId="0" borderId="17" xfId="0" applyNumberFormat="1" applyFont="1" applyFill="1" applyBorder="1" applyAlignment="1">
      <alignment horizontal="center"/>
    </xf>
    <xf numFmtId="0" fontId="8" fillId="0" borderId="12" xfId="0" applyFont="1" applyFill="1" applyBorder="1" applyAlignment="1">
      <alignment horizontal="center" vertical="center" wrapText="1"/>
    </xf>
    <xf numFmtId="0" fontId="8" fillId="0" borderId="22" xfId="0" applyFont="1" applyFill="1" applyBorder="1" applyAlignment="1">
      <alignment horizontal="center" vertical="center" wrapText="1"/>
    </xf>
    <xf numFmtId="0" fontId="8" fillId="0" borderId="23" xfId="0" applyFont="1" applyFill="1" applyBorder="1" applyAlignment="1">
      <alignment horizontal="center" vertical="center" wrapText="1"/>
    </xf>
    <xf numFmtId="3" fontId="20" fillId="0" borderId="27" xfId="0" applyNumberFormat="1" applyFont="1" applyFill="1" applyBorder="1" applyAlignment="1">
      <alignment horizontal="center" vertical="center"/>
    </xf>
    <xf numFmtId="3" fontId="10" fillId="0" borderId="2" xfId="0" applyNumberFormat="1" applyFont="1" applyBorder="1" applyAlignment="1">
      <alignment horizontal="center"/>
    </xf>
    <xf numFmtId="165" fontId="10" fillId="0" borderId="1" xfId="6" applyNumberFormat="1" applyFont="1" applyFill="1" applyBorder="1" applyAlignment="1">
      <alignment horizontal="right"/>
    </xf>
    <xf numFmtId="165" fontId="16" fillId="0" borderId="1" xfId="6" applyNumberFormat="1" applyFont="1" applyFill="1" applyBorder="1" applyAlignment="1">
      <alignment horizontal="right"/>
    </xf>
    <xf numFmtId="165" fontId="13" fillId="0" borderId="1" xfId="6" applyNumberFormat="1" applyFont="1" applyFill="1" applyBorder="1" applyAlignment="1">
      <alignment horizontal="right"/>
    </xf>
    <xf numFmtId="165" fontId="10" fillId="0" borderId="1" xfId="15" applyNumberFormat="1" applyFont="1" applyFill="1" applyBorder="1" applyAlignment="1">
      <alignment horizontal="right" wrapText="1"/>
    </xf>
    <xf numFmtId="165" fontId="13" fillId="0" borderId="1" xfId="15" applyNumberFormat="1" applyFont="1" applyFill="1" applyBorder="1" applyAlignment="1">
      <alignment horizontal="right" wrapText="1"/>
    </xf>
    <xf numFmtId="1" fontId="10" fillId="0" borderId="0" xfId="6" applyNumberFormat="1" applyFont="1" applyFill="1"/>
    <xf numFmtId="0" fontId="10" fillId="0" borderId="0" xfId="16" applyFont="1" applyFill="1" applyAlignment="1">
      <alignment horizontal="center"/>
    </xf>
    <xf numFmtId="165" fontId="10" fillId="0" borderId="1" xfId="16" applyNumberFormat="1" applyFont="1" applyFill="1" applyBorder="1" applyAlignment="1">
      <alignment horizontal="right" wrapText="1"/>
    </xf>
    <xf numFmtId="3" fontId="8" fillId="0" borderId="0" xfId="0" applyNumberFormat="1" applyFont="1"/>
    <xf numFmtId="0" fontId="8" fillId="0" borderId="0" xfId="6" applyFont="1" applyFill="1" applyAlignment="1">
      <alignment horizontal="left" vertical="top" wrapText="1"/>
    </xf>
    <xf numFmtId="0" fontId="10" fillId="0" borderId="0" xfId="6" applyFont="1" applyFill="1" applyAlignment="1">
      <alignment horizontal="left" vertical="top" wrapText="1"/>
    </xf>
    <xf numFmtId="0" fontId="10" fillId="0" borderId="1" xfId="6" applyFont="1" applyFill="1" applyBorder="1" applyAlignment="1">
      <alignment horizontal="left" vertical="top"/>
    </xf>
    <xf numFmtId="0" fontId="10" fillId="0" borderId="1" xfId="6" applyFont="1" applyFill="1" applyBorder="1" applyAlignment="1">
      <alignment horizontal="center" wrapText="1"/>
    </xf>
    <xf numFmtId="167" fontId="13" fillId="0" borderId="0" xfId="0" applyNumberFormat="1" applyFont="1" applyFill="1" applyAlignment="1">
      <alignment horizontal="left"/>
    </xf>
    <xf numFmtId="0" fontId="25" fillId="0" borderId="0" xfId="6" applyFont="1" applyFill="1" applyAlignment="1">
      <alignment horizontal="left" vertical="top" wrapText="1"/>
    </xf>
    <xf numFmtId="3" fontId="16" fillId="0" borderId="2" xfId="6" applyNumberFormat="1" applyFont="1" applyFill="1" applyBorder="1" applyAlignment="1">
      <alignment horizontal="center"/>
    </xf>
    <xf numFmtId="3" fontId="16" fillId="0" borderId="11" xfId="6" applyNumberFormat="1" applyFont="1" applyFill="1" applyBorder="1" applyAlignment="1">
      <alignment horizontal="center"/>
    </xf>
    <xf numFmtId="3" fontId="16" fillId="0" borderId="5" xfId="6" applyNumberFormat="1" applyFont="1" applyFill="1" applyBorder="1" applyAlignment="1">
      <alignment horizontal="center"/>
    </xf>
    <xf numFmtId="3" fontId="13" fillId="0" borderId="2" xfId="6" applyNumberFormat="1" applyFont="1" applyFill="1" applyBorder="1" applyAlignment="1">
      <alignment horizontal="center"/>
    </xf>
    <xf numFmtId="3" fontId="13" fillId="0" borderId="11" xfId="6" applyNumberFormat="1" applyFont="1" applyFill="1" applyBorder="1" applyAlignment="1">
      <alignment horizontal="center"/>
    </xf>
    <xf numFmtId="165" fontId="10" fillId="0" borderId="1" xfId="6" applyNumberFormat="1" applyFont="1" applyFill="1" applyBorder="1" applyAlignment="1">
      <alignment horizontal="center"/>
    </xf>
    <xf numFmtId="3" fontId="13" fillId="0" borderId="5" xfId="6" applyNumberFormat="1" applyFont="1" applyFill="1" applyBorder="1" applyAlignment="1">
      <alignment horizontal="center"/>
    </xf>
    <xf numFmtId="0" fontId="10" fillId="0" borderId="0" xfId="16" applyFont="1" applyFill="1" applyAlignment="1">
      <alignment horizontal="left" vertical="top" wrapText="1"/>
    </xf>
    <xf numFmtId="0" fontId="10" fillId="0" borderId="2" xfId="16" applyFont="1" applyBorder="1" applyAlignment="1">
      <alignment horizontal="center" vertical="center" wrapText="1"/>
    </xf>
    <xf numFmtId="0" fontId="10" fillId="0" borderId="11" xfId="16" applyFont="1" applyBorder="1" applyAlignment="1">
      <alignment horizontal="center" vertical="center" wrapText="1"/>
    </xf>
    <xf numFmtId="0" fontId="10" fillId="0" borderId="5" xfId="16" applyFont="1" applyBorder="1" applyAlignment="1">
      <alignment horizontal="center" vertical="center" wrapText="1"/>
    </xf>
    <xf numFmtId="0" fontId="21" fillId="0" borderId="0" xfId="0" applyFont="1" applyFill="1" applyAlignment="1">
      <alignment horizontal="left" vertical="top" wrapText="1"/>
    </xf>
    <xf numFmtId="0" fontId="10" fillId="0" borderId="1" xfId="0" applyFont="1" applyBorder="1" applyAlignment="1">
      <alignment horizontal="center"/>
    </xf>
    <xf numFmtId="3" fontId="13" fillId="0" borderId="1" xfId="16" applyNumberFormat="1" applyFont="1" applyBorder="1" applyAlignment="1">
      <alignment horizontal="center" wrapText="1"/>
    </xf>
    <xf numFmtId="0" fontId="25" fillId="0" borderId="0" xfId="15" applyFont="1" applyFill="1" applyAlignment="1">
      <alignment horizontal="left" vertical="top"/>
    </xf>
    <xf numFmtId="49" fontId="10" fillId="0" borderId="11" xfId="15" applyNumberFormat="1" applyFont="1" applyFill="1" applyBorder="1" applyAlignment="1">
      <alignment horizontal="left" vertical="top" wrapText="1"/>
    </xf>
    <xf numFmtId="49" fontId="10" fillId="0" borderId="5" xfId="15" applyNumberFormat="1" applyFont="1" applyFill="1" applyBorder="1" applyAlignment="1">
      <alignment horizontal="left" vertical="top" wrapText="1"/>
    </xf>
    <xf numFmtId="0" fontId="10" fillId="0" borderId="3" xfId="15" applyFont="1" applyFill="1" applyBorder="1" applyAlignment="1">
      <alignment horizontal="center"/>
    </xf>
    <xf numFmtId="49" fontId="10" fillId="0" borderId="11" xfId="15" applyNumberFormat="1" applyFont="1" applyFill="1" applyBorder="1" applyAlignment="1">
      <alignment horizontal="left" vertical="top"/>
    </xf>
    <xf numFmtId="49" fontId="10" fillId="0" borderId="5" xfId="15" applyNumberFormat="1" applyFont="1" applyFill="1" applyBorder="1" applyAlignment="1">
      <alignment horizontal="left" vertical="top"/>
    </xf>
    <xf numFmtId="0" fontId="11" fillId="0" borderId="2" xfId="0" applyFont="1" applyFill="1" applyBorder="1" applyAlignment="1">
      <alignment horizontal="center"/>
    </xf>
    <xf numFmtId="0" fontId="11" fillId="0" borderId="5" xfId="0" applyFont="1" applyFill="1" applyBorder="1" applyAlignment="1">
      <alignment horizontal="center"/>
    </xf>
    <xf numFmtId="0" fontId="10" fillId="0" borderId="1" xfId="15" applyFont="1" applyFill="1" applyBorder="1" applyAlignment="1">
      <alignment horizontal="center" vertical="center"/>
    </xf>
    <xf numFmtId="3" fontId="13" fillId="0" borderId="2" xfId="15" applyNumberFormat="1" applyFont="1" applyFill="1" applyBorder="1" applyAlignment="1">
      <alignment horizontal="center" wrapText="1"/>
    </xf>
    <xf numFmtId="3" fontId="13" fillId="0" borderId="11" xfId="15" applyNumberFormat="1" applyFont="1" applyFill="1" applyBorder="1" applyAlignment="1">
      <alignment horizontal="center" wrapText="1"/>
    </xf>
    <xf numFmtId="3" fontId="13" fillId="0" borderId="5" xfId="15" applyNumberFormat="1" applyFont="1" applyFill="1" applyBorder="1" applyAlignment="1">
      <alignment horizontal="center" wrapText="1"/>
    </xf>
    <xf numFmtId="0" fontId="10" fillId="0" borderId="2" xfId="15" applyFont="1" applyFill="1" applyBorder="1" applyAlignment="1">
      <alignment horizontal="left" vertical="top" wrapText="1"/>
    </xf>
    <xf numFmtId="0" fontId="10" fillId="0" borderId="11" xfId="15" applyFont="1" applyFill="1" applyBorder="1" applyAlignment="1">
      <alignment horizontal="left" vertical="top" wrapText="1"/>
    </xf>
    <xf numFmtId="0" fontId="10" fillId="0" borderId="5" xfId="15" applyFont="1" applyFill="1" applyBorder="1" applyAlignment="1">
      <alignment horizontal="left" vertical="top" wrapText="1"/>
    </xf>
    <xf numFmtId="0" fontId="10" fillId="0" borderId="0" xfId="15" applyFont="1" applyFill="1" applyAlignment="1">
      <alignment horizontal="left" vertical="top" wrapText="1"/>
    </xf>
    <xf numFmtId="0" fontId="10" fillId="0" borderId="11" xfId="15" applyFont="1" applyFill="1" applyBorder="1" applyAlignment="1">
      <alignment horizontal="left"/>
    </xf>
    <xf numFmtId="0" fontId="10" fillId="0" borderId="5" xfId="15" applyFont="1" applyFill="1" applyBorder="1" applyAlignment="1">
      <alignment horizontal="left"/>
    </xf>
    <xf numFmtId="3" fontId="10" fillId="0" borderId="11" xfId="15" applyNumberFormat="1" applyFont="1" applyFill="1" applyBorder="1" applyAlignment="1">
      <alignment horizontal="left" vertical="top" wrapText="1"/>
    </xf>
    <xf numFmtId="3" fontId="10" fillId="0" borderId="5" xfId="15" applyNumberFormat="1" applyFont="1" applyFill="1" applyBorder="1" applyAlignment="1">
      <alignment horizontal="left" vertical="top" wrapText="1"/>
    </xf>
    <xf numFmtId="49" fontId="13" fillId="0" borderId="2" xfId="15" applyNumberFormat="1" applyFont="1" applyFill="1" applyBorder="1" applyAlignment="1">
      <alignment horizontal="left" vertical="center"/>
    </xf>
    <xf numFmtId="49" fontId="13" fillId="0" borderId="11" xfId="15" applyNumberFormat="1" applyFont="1" applyFill="1" applyBorder="1" applyAlignment="1">
      <alignment horizontal="left" vertical="center"/>
    </xf>
    <xf numFmtId="49" fontId="13" fillId="0" borderId="5" xfId="15" applyNumberFormat="1" applyFont="1" applyFill="1" applyBorder="1" applyAlignment="1">
      <alignment horizontal="left" vertical="center"/>
    </xf>
    <xf numFmtId="0" fontId="13" fillId="0" borderId="7" xfId="15" applyFont="1" applyFill="1" applyBorder="1" applyAlignment="1">
      <alignment horizontal="left"/>
    </xf>
    <xf numFmtId="0" fontId="11" fillId="0" borderId="0" xfId="0" applyFont="1" applyFill="1" applyBorder="1" applyAlignment="1">
      <alignment horizontal="left" vertical="top" wrapText="1"/>
    </xf>
    <xf numFmtId="0" fontId="13" fillId="0" borderId="1" xfId="6" applyFont="1" applyFill="1" applyBorder="1" applyAlignment="1">
      <alignment horizontal="center" wrapText="1"/>
    </xf>
    <xf numFmtId="1" fontId="13" fillId="0" borderId="1" xfId="6" applyNumberFormat="1" applyFont="1" applyFill="1" applyBorder="1" applyAlignment="1">
      <alignment horizontal="center" wrapText="1"/>
    </xf>
    <xf numFmtId="0" fontId="13" fillId="0" borderId="1" xfId="6" applyFont="1" applyFill="1" applyBorder="1" applyAlignment="1">
      <alignment horizontal="center"/>
    </xf>
    <xf numFmtId="0" fontId="13" fillId="0" borderId="8" xfId="6" applyFont="1" applyFill="1" applyBorder="1" applyAlignment="1">
      <alignment horizontal="center" vertical="center" wrapText="1"/>
    </xf>
    <xf numFmtId="0" fontId="13" fillId="0" borderId="9" xfId="6" applyFont="1" applyFill="1" applyBorder="1" applyAlignment="1">
      <alignment horizontal="center" vertical="center" wrapText="1"/>
    </xf>
    <xf numFmtId="0" fontId="13" fillId="0" borderId="10" xfId="6" applyFont="1" applyFill="1" applyBorder="1" applyAlignment="1">
      <alignment horizontal="center" vertical="center" wrapText="1"/>
    </xf>
    <xf numFmtId="0" fontId="13" fillId="0" borderId="1" xfId="6" applyFont="1" applyFill="1" applyBorder="1" applyAlignment="1">
      <alignment horizontal="center" vertical="center"/>
    </xf>
    <xf numFmtId="0" fontId="13" fillId="0" borderId="1" xfId="6" applyFont="1" applyFill="1" applyBorder="1" applyAlignment="1">
      <alignment horizontal="center" textRotation="90"/>
    </xf>
    <xf numFmtId="0" fontId="10" fillId="0" borderId="0" xfId="6" applyFont="1" applyFill="1" applyBorder="1" applyAlignment="1">
      <alignment horizontal="left" vertical="top" wrapText="1"/>
    </xf>
    <xf numFmtId="0" fontId="13" fillId="0" borderId="0" xfId="6" applyFont="1" applyFill="1" applyBorder="1" applyAlignment="1">
      <alignment horizontal="left" vertical="top"/>
    </xf>
    <xf numFmtId="0" fontId="10" fillId="0" borderId="0" xfId="6" applyFont="1" applyFill="1" applyAlignment="1">
      <alignment horizontal="left" vertical="top"/>
    </xf>
    <xf numFmtId="0" fontId="13" fillId="0" borderId="1" xfId="15" applyFont="1" applyFill="1" applyBorder="1" applyAlignment="1">
      <alignment horizontal="center" vertical="center"/>
    </xf>
    <xf numFmtId="0" fontId="13" fillId="0" borderId="12" xfId="15" applyFont="1" applyFill="1" applyBorder="1" applyAlignment="1">
      <alignment horizontal="center" vertical="center"/>
    </xf>
    <xf numFmtId="0" fontId="13" fillId="0" borderId="1" xfId="6" applyFont="1" applyFill="1" applyBorder="1" applyAlignment="1">
      <alignment horizontal="center" vertical="center" wrapText="1"/>
    </xf>
    <xf numFmtId="3" fontId="10" fillId="0" borderId="1" xfId="15" applyNumberFormat="1" applyFont="1" applyFill="1" applyBorder="1" applyAlignment="1">
      <alignment horizontal="left" vertical="top" wrapText="1"/>
    </xf>
    <xf numFmtId="49" fontId="10" fillId="0" borderId="1" xfId="15" applyNumberFormat="1" applyFont="1" applyFill="1" applyBorder="1" applyAlignment="1">
      <alignment horizontal="left" vertical="top"/>
    </xf>
    <xf numFmtId="0" fontId="10" fillId="0" borderId="10" xfId="15" applyFont="1" applyFill="1" applyBorder="1" applyAlignment="1">
      <alignment horizontal="left" wrapText="1"/>
    </xf>
    <xf numFmtId="0" fontId="10" fillId="0" borderId="6" xfId="15" applyFont="1" applyFill="1" applyBorder="1" applyAlignment="1">
      <alignment horizontal="left" wrapText="1"/>
    </xf>
    <xf numFmtId="49" fontId="10" fillId="0" borderId="5" xfId="15" applyNumberFormat="1" applyFont="1" applyFill="1" applyBorder="1" applyAlignment="1">
      <alignment horizontal="left" vertical="center" wrapText="1"/>
    </xf>
    <xf numFmtId="49" fontId="10" fillId="0" borderId="1" xfId="15" applyNumberFormat="1" applyFont="1" applyFill="1" applyBorder="1" applyAlignment="1">
      <alignment horizontal="left" vertical="center" wrapText="1"/>
    </xf>
    <xf numFmtId="1" fontId="8" fillId="0" borderId="1" xfId="0" applyNumberFormat="1" applyFont="1" applyFill="1" applyBorder="1" applyAlignment="1">
      <alignment horizontal="center" vertical="center" wrapText="1"/>
    </xf>
    <xf numFmtId="6" fontId="8" fillId="0" borderId="1" xfId="0" applyNumberFormat="1" applyFont="1" applyFill="1" applyBorder="1" applyAlignment="1">
      <alignment horizontal="center" vertical="center" wrapText="1"/>
    </xf>
    <xf numFmtId="0" fontId="20" fillId="0" borderId="1" xfId="0" applyFont="1" applyFill="1" applyBorder="1" applyAlignment="1">
      <alignment horizontal="center"/>
    </xf>
    <xf numFmtId="0" fontId="21" fillId="0" borderId="1" xfId="0" applyFont="1" applyFill="1" applyBorder="1" applyAlignment="1">
      <alignment horizontal="center" vertical="center" wrapText="1"/>
    </xf>
    <xf numFmtId="0" fontId="12" fillId="0" borderId="1" xfId="0" applyFont="1" applyBorder="1" applyAlignment="1">
      <alignment horizontal="center"/>
    </xf>
    <xf numFmtId="0" fontId="9" fillId="0" borderId="13" xfId="0" applyFont="1" applyFill="1" applyBorder="1" applyAlignment="1">
      <alignment horizontal="center" vertical="center" wrapText="1"/>
    </xf>
    <xf numFmtId="0" fontId="9" fillId="0" borderId="14" xfId="0" applyFont="1" applyFill="1" applyBorder="1" applyAlignment="1">
      <alignment horizontal="center" vertical="center" wrapText="1"/>
    </xf>
    <xf numFmtId="0" fontId="9" fillId="0" borderId="15" xfId="0" applyFont="1" applyFill="1" applyBorder="1" applyAlignment="1">
      <alignment horizontal="center" vertical="center" wrapText="1"/>
    </xf>
    <xf numFmtId="0" fontId="9" fillId="0" borderId="18" xfId="0" applyFont="1" applyFill="1" applyBorder="1" applyAlignment="1">
      <alignment horizontal="left" vertical="center" wrapText="1"/>
    </xf>
    <xf numFmtId="0" fontId="9" fillId="0" borderId="19" xfId="0" applyFont="1" applyFill="1" applyBorder="1" applyAlignment="1">
      <alignment horizontal="left" vertical="center" wrapText="1"/>
    </xf>
    <xf numFmtId="0" fontId="9" fillId="0" borderId="20" xfId="0" applyFont="1" applyFill="1" applyBorder="1" applyAlignment="1">
      <alignment horizontal="left" vertical="center" wrapText="1"/>
    </xf>
    <xf numFmtId="0" fontId="20" fillId="0" borderId="24" xfId="0" applyFont="1" applyFill="1" applyBorder="1" applyAlignment="1">
      <alignment horizontal="left" vertical="center" wrapText="1"/>
    </xf>
    <xf numFmtId="0" fontId="20" fillId="0" borderId="25" xfId="0" applyFont="1" applyFill="1" applyBorder="1" applyAlignment="1">
      <alignment horizontal="left" vertical="center" wrapText="1"/>
    </xf>
    <xf numFmtId="0" fontId="20" fillId="0" borderId="26" xfId="0" applyFont="1" applyFill="1" applyBorder="1" applyAlignment="1">
      <alignment horizontal="left" vertical="center" wrapText="1"/>
    </xf>
    <xf numFmtId="0" fontId="20" fillId="0" borderId="13" xfId="0" applyFont="1" applyFill="1" applyBorder="1" applyAlignment="1">
      <alignment horizontal="center"/>
    </xf>
    <xf numFmtId="0" fontId="20" fillId="0" borderId="14" xfId="0" applyFont="1" applyFill="1" applyBorder="1" applyAlignment="1">
      <alignment horizontal="center"/>
    </xf>
    <xf numFmtId="0" fontId="20" fillId="0" borderId="15" xfId="0" applyFont="1" applyFill="1" applyBorder="1" applyAlignment="1">
      <alignment horizontal="center"/>
    </xf>
    <xf numFmtId="0" fontId="11" fillId="0" borderId="1" xfId="0" applyFont="1" applyBorder="1" applyAlignment="1">
      <alignment horizontal="center" vertical="center" wrapText="1"/>
    </xf>
    <xf numFmtId="0" fontId="9" fillId="0" borderId="1" xfId="0" applyFont="1" applyBorder="1" applyAlignment="1">
      <alignment horizontal="center"/>
    </xf>
    <xf numFmtId="6" fontId="9" fillId="0" borderId="1" xfId="0" applyNumberFormat="1" applyFont="1" applyBorder="1" applyAlignment="1">
      <alignment horizontal="center"/>
    </xf>
    <xf numFmtId="0" fontId="11" fillId="0" borderId="1" xfId="0" applyFont="1" applyFill="1" applyBorder="1" applyAlignment="1">
      <alignment vertical="center" wrapText="1"/>
    </xf>
    <xf numFmtId="0" fontId="17" fillId="0" borderId="7" xfId="0" applyFont="1" applyFill="1" applyBorder="1" applyAlignment="1">
      <alignment horizontal="left" vertical="top" wrapText="1"/>
    </xf>
    <xf numFmtId="0" fontId="8" fillId="0" borderId="0" xfId="0" applyFont="1" applyFill="1" applyAlignment="1">
      <alignment horizontal="left" vertical="top" wrapText="1"/>
    </xf>
    <xf numFmtId="0" fontId="8" fillId="0" borderId="7" xfId="0" applyFont="1" applyFill="1" applyBorder="1" applyAlignment="1">
      <alignment horizontal="left" vertical="top" wrapText="1"/>
    </xf>
    <xf numFmtId="0" fontId="8" fillId="0" borderId="0" xfId="0" applyFont="1" applyFill="1" applyAlignment="1">
      <alignment horizontal="left" vertical="top"/>
    </xf>
  </cellXfs>
  <cellStyles count="20">
    <cellStyle name="Comma" xfId="18" builtinId="3"/>
    <cellStyle name="Comma 2" xfId="1" xr:uid="{00000000-0005-0000-0000-000004000000}"/>
    <cellStyle name="Comma 3" xfId="7" xr:uid="{00000000-0005-0000-0000-000005000000}"/>
    <cellStyle name="Currency" xfId="19" builtinId="4"/>
    <cellStyle name="Currency 2" xfId="8" xr:uid="{00000000-0005-0000-0000-000007000000}"/>
    <cellStyle name="Currency 3" xfId="9" xr:uid="{00000000-0005-0000-0000-000008000000}"/>
    <cellStyle name="Normal" xfId="0" builtinId="0"/>
    <cellStyle name="Normal 2" xfId="2" xr:uid="{00000000-0005-0000-0000-00000D000000}"/>
    <cellStyle name="Normal 2 2" xfId="10" xr:uid="{00000000-0005-0000-0000-00000E000000}"/>
    <cellStyle name="Normal 2 3" xfId="11" xr:uid="{00000000-0005-0000-0000-00000F000000}"/>
    <cellStyle name="Normal 3" xfId="3" xr:uid="{00000000-0005-0000-0000-000010000000}"/>
    <cellStyle name="Normal 3 2" xfId="12" xr:uid="{00000000-0005-0000-0000-000011000000}"/>
    <cellStyle name="Normal 4" xfId="4" xr:uid="{00000000-0005-0000-0000-000012000000}"/>
    <cellStyle name="Normal 5" xfId="5" xr:uid="{00000000-0005-0000-0000-000013000000}"/>
    <cellStyle name="Normal 6" xfId="13" xr:uid="{00000000-0005-0000-0000-000014000000}"/>
    <cellStyle name="Normal 7" xfId="6" xr:uid="{00000000-0005-0000-0000-000015000000}"/>
    <cellStyle name="Normal 8" xfId="15" xr:uid="{00000000-0005-0000-0000-000016000000}"/>
    <cellStyle name="Normal 8 2" xfId="16" xr:uid="{00000000-0005-0000-0000-000017000000}"/>
    <cellStyle name="Percent" xfId="17" builtinId="5"/>
    <cellStyle name="Percent 2" xfId="14" xr:uid="{00000000-0005-0000-0000-00001E000000}"/>
  </cellStyles>
  <dxfs count="0"/>
  <tableStyles count="0" defaultTableStyle="TableStyleMedium9" defaultPivotStyle="PivotStyleLight16"/>
  <colors>
    <mruColors>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BOATS\SURVEY\COST\MRR\MRRBOAT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RRcost-ref"/>
      <sheetName val="MRRCostbyFac"/>
      <sheetName val="basis"/>
      <sheetName val="process"/>
      <sheetName val="IndustryTotalYR1"/>
      <sheetName val="IndustryTotalYR2"/>
      <sheetName val="IndustryTotalYR3"/>
      <sheetName val="AgencyTotal"/>
      <sheetName val="Sheet5"/>
      <sheetName val="Sheet6"/>
      <sheetName val="Sheet7"/>
      <sheetName val="Sheet8"/>
      <sheetName val="Sheet9"/>
      <sheetName val="Sheet10"/>
      <sheetName val="Sheet11"/>
      <sheetName val="Sheet12"/>
      <sheetName val="Sheet13"/>
      <sheetName val="Sheet14"/>
      <sheetName val="Sheet15"/>
      <sheetName val="Sheet16"/>
    </sheetNames>
    <sheetDataSet>
      <sheetData sheetId="0"/>
      <sheetData sheetId="1"/>
      <sheetData sheetId="2">
        <row r="13">
          <cell r="C13">
            <v>1</v>
          </cell>
        </row>
        <row r="17">
          <cell r="C17">
            <v>5</v>
          </cell>
        </row>
        <row r="19">
          <cell r="C19">
            <v>0.2</v>
          </cell>
        </row>
        <row r="20">
          <cell r="C20">
            <v>0.8</v>
          </cell>
        </row>
        <row r="21">
          <cell r="C21">
            <v>1</v>
          </cell>
        </row>
        <row r="24">
          <cell r="C24">
            <v>33</v>
          </cell>
        </row>
        <row r="25">
          <cell r="C25">
            <v>49</v>
          </cell>
        </row>
        <row r="26">
          <cell r="C26">
            <v>15</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0D5629-C5A2-4CC0-8D1C-17828D2CB3EC}">
  <sheetPr>
    <pageSetUpPr fitToPage="1"/>
  </sheetPr>
  <dimension ref="A1:W66"/>
  <sheetViews>
    <sheetView tabSelected="1" zoomScaleNormal="100" zoomScaleSheetLayoutView="100" workbookViewId="0">
      <selection activeCell="B50" sqref="B50:L50"/>
    </sheetView>
  </sheetViews>
  <sheetFormatPr defaultColWidth="9.1796875" defaultRowHeight="13" x14ac:dyDescent="0.3"/>
  <cols>
    <col min="1" max="1" width="2" style="17" customWidth="1"/>
    <col min="2" max="2" width="34.54296875" style="17" customWidth="1"/>
    <col min="3" max="3" width="9.81640625" style="29" customWidth="1"/>
    <col min="4" max="4" width="10.1796875" style="29" customWidth="1"/>
    <col min="5" max="5" width="13.54296875" style="29" customWidth="1"/>
    <col min="6" max="6" width="13.81640625" style="29" customWidth="1"/>
    <col min="7" max="7" width="11.81640625" style="29" customWidth="1"/>
    <col min="8" max="9" width="9.81640625" style="29" customWidth="1"/>
    <col min="10" max="10" width="9.54296875" style="43" bestFit="1" customWidth="1"/>
    <col min="11" max="11" width="11" style="29" customWidth="1"/>
    <col min="12" max="12" width="4.54296875" style="29" customWidth="1"/>
    <col min="13" max="13" width="2.81640625" style="34" customWidth="1"/>
    <col min="14" max="14" width="22.1796875" style="34" customWidth="1"/>
    <col min="15" max="15" width="11.81640625" style="34" customWidth="1"/>
    <col min="16" max="17" width="15.453125" style="34" customWidth="1"/>
    <col min="18" max="18" width="19.7265625" style="38" customWidth="1"/>
    <col min="19" max="19" width="19.7265625" style="29" customWidth="1"/>
    <col min="20" max="21" width="19.7265625" style="17" customWidth="1"/>
    <col min="22" max="22" width="7.7265625" style="17" customWidth="1"/>
    <col min="23" max="23" width="9.1796875" style="17"/>
    <col min="24" max="24" width="14.26953125" style="17" customWidth="1"/>
    <col min="25" max="16384" width="9.1796875" style="17"/>
  </cols>
  <sheetData>
    <row r="1" spans="2:19" ht="36" customHeight="1" x14ac:dyDescent="0.3">
      <c r="B1" s="264" t="s">
        <v>220</v>
      </c>
      <c r="C1" s="264"/>
      <c r="D1" s="264"/>
      <c r="E1" s="264"/>
      <c r="F1" s="264"/>
      <c r="G1" s="264"/>
      <c r="H1" s="264"/>
      <c r="I1" s="264"/>
      <c r="J1" s="264"/>
      <c r="K1" s="264"/>
      <c r="L1" s="57"/>
      <c r="M1" s="70"/>
      <c r="N1" s="70"/>
      <c r="O1" s="70"/>
      <c r="P1" s="71"/>
      <c r="Q1" s="71"/>
      <c r="R1" s="71"/>
      <c r="S1" s="71"/>
    </row>
    <row r="2" spans="2:19" x14ac:dyDescent="0.3">
      <c r="B2" s="72"/>
      <c r="C2" s="72"/>
      <c r="D2" s="72"/>
      <c r="E2" s="72"/>
      <c r="F2" s="72"/>
      <c r="G2" s="72"/>
      <c r="H2" s="72"/>
      <c r="I2" s="72"/>
      <c r="J2" s="72"/>
      <c r="K2" s="72"/>
      <c r="L2" s="72"/>
      <c r="M2" s="73"/>
      <c r="N2" s="73"/>
      <c r="O2" s="73"/>
      <c r="P2" s="73"/>
      <c r="Q2" s="73"/>
      <c r="R2" s="73"/>
      <c r="S2" s="73"/>
    </row>
    <row r="3" spans="2:19" s="18" customFormat="1" ht="82.5" customHeight="1" x14ac:dyDescent="0.3">
      <c r="B3" s="138" t="s">
        <v>15</v>
      </c>
      <c r="C3" s="212" t="s">
        <v>136</v>
      </c>
      <c r="D3" s="212" t="s">
        <v>134</v>
      </c>
      <c r="E3" s="212" t="s">
        <v>135</v>
      </c>
      <c r="F3" s="213" t="s">
        <v>142</v>
      </c>
      <c r="G3" s="214" t="s">
        <v>137</v>
      </c>
      <c r="H3" s="214" t="s">
        <v>138</v>
      </c>
      <c r="I3" s="214" t="s">
        <v>139</v>
      </c>
      <c r="J3" s="214" t="s">
        <v>140</v>
      </c>
      <c r="K3" s="212" t="s">
        <v>143</v>
      </c>
      <c r="L3" s="139" t="s">
        <v>14</v>
      </c>
      <c r="M3" s="47"/>
      <c r="N3" s="47"/>
      <c r="O3" s="47"/>
      <c r="P3" s="46"/>
      <c r="Q3" s="46"/>
    </row>
    <row r="4" spans="2:19" ht="19.5" customHeight="1" x14ac:dyDescent="0.3">
      <c r="B4" s="25" t="s">
        <v>13</v>
      </c>
      <c r="C4" s="90" t="s">
        <v>132</v>
      </c>
      <c r="D4" s="21"/>
      <c r="E4" s="21"/>
      <c r="F4" s="22"/>
      <c r="G4" s="22"/>
      <c r="H4" s="22"/>
      <c r="I4" s="22"/>
      <c r="J4" s="22"/>
      <c r="K4" s="250"/>
      <c r="L4" s="86"/>
      <c r="M4" s="48"/>
      <c r="N4" s="262" t="s">
        <v>107</v>
      </c>
      <c r="O4" s="262"/>
      <c r="P4" s="262"/>
      <c r="Q4" s="46"/>
    </row>
    <row r="5" spans="2:19" x14ac:dyDescent="0.3">
      <c r="B5" s="25" t="s">
        <v>12</v>
      </c>
      <c r="C5" s="90" t="s">
        <v>132</v>
      </c>
      <c r="D5" s="21"/>
      <c r="E5" s="21"/>
      <c r="F5" s="22"/>
      <c r="G5" s="22"/>
      <c r="H5" s="22"/>
      <c r="I5" s="22"/>
      <c r="J5" s="22"/>
      <c r="K5" s="250"/>
      <c r="L5" s="86"/>
      <c r="M5" s="48"/>
      <c r="N5" s="94" t="s">
        <v>109</v>
      </c>
      <c r="O5" s="94" t="s">
        <v>108</v>
      </c>
      <c r="P5" s="20" t="s">
        <v>3</v>
      </c>
      <c r="Q5" s="24"/>
    </row>
    <row r="6" spans="2:19" x14ac:dyDescent="0.3">
      <c r="B6" s="25" t="s">
        <v>11</v>
      </c>
      <c r="C6" s="90"/>
      <c r="D6" s="21"/>
      <c r="E6" s="21"/>
      <c r="F6" s="22"/>
      <c r="G6" s="22"/>
      <c r="H6" s="22"/>
      <c r="I6" s="22"/>
      <c r="J6" s="22"/>
      <c r="K6" s="250"/>
      <c r="L6" s="86"/>
      <c r="M6" s="48"/>
      <c r="N6" s="95" t="s">
        <v>105</v>
      </c>
      <c r="O6" s="96">
        <f>57.07+(1.1*57.07)</f>
        <v>119.84700000000001</v>
      </c>
      <c r="P6" s="41" t="s">
        <v>112</v>
      </c>
      <c r="Q6" s="131"/>
    </row>
    <row r="7" spans="2:19" x14ac:dyDescent="0.3">
      <c r="B7" s="64" t="s">
        <v>266</v>
      </c>
      <c r="C7" s="118">
        <f>(40+2+2)/3</f>
        <v>14.666666666666666</v>
      </c>
      <c r="D7" s="27">
        <v>1</v>
      </c>
      <c r="E7" s="27">
        <f>C7*D7</f>
        <v>14.666666666666666</v>
      </c>
      <c r="F7" s="26">
        <f>'Number of Respondents'!G10</f>
        <v>1185</v>
      </c>
      <c r="G7" s="22">
        <v>0</v>
      </c>
      <c r="H7" s="22">
        <f>E7*F7</f>
        <v>17380</v>
      </c>
      <c r="I7" s="26">
        <f>H7*0.05</f>
        <v>869</v>
      </c>
      <c r="J7" s="22">
        <f>H7*0.1</f>
        <v>1738</v>
      </c>
      <c r="K7" s="250">
        <f>(G7*O$8)+(H7*O$7)+(J7*O$9)+(I7*O$6)</f>
        <v>1823494.827</v>
      </c>
      <c r="L7" s="86" t="s">
        <v>6</v>
      </c>
      <c r="M7" s="48"/>
      <c r="N7" s="95" t="s">
        <v>106</v>
      </c>
      <c r="O7" s="96">
        <f>45.36+(1.1*45.36)</f>
        <v>95.256</v>
      </c>
      <c r="P7" s="42" t="s">
        <v>2</v>
      </c>
      <c r="Q7" s="132"/>
    </row>
    <row r="8" spans="2:19" x14ac:dyDescent="0.3">
      <c r="B8" s="64" t="s">
        <v>175</v>
      </c>
      <c r="C8" s="90"/>
      <c r="D8" s="21"/>
      <c r="E8" s="21"/>
      <c r="F8" s="22"/>
      <c r="G8" s="22"/>
      <c r="H8" s="22"/>
      <c r="I8" s="22"/>
      <c r="J8" s="22"/>
      <c r="K8" s="250"/>
      <c r="L8" s="86"/>
      <c r="M8" s="48"/>
      <c r="N8" s="20" t="s">
        <v>113</v>
      </c>
      <c r="O8" s="96">
        <f>26.67+(1.1*26.67)</f>
        <v>56.007000000000005</v>
      </c>
      <c r="P8" s="42" t="s">
        <v>4</v>
      </c>
      <c r="Q8" s="132"/>
    </row>
    <row r="9" spans="2:19" x14ac:dyDescent="0.3">
      <c r="B9" s="28" t="s">
        <v>176</v>
      </c>
      <c r="C9" s="90">
        <v>12</v>
      </c>
      <c r="D9" s="21">
        <v>1</v>
      </c>
      <c r="E9" s="21">
        <f>C9*D9</f>
        <v>12</v>
      </c>
      <c r="F9" s="26">
        <f>'Number of Respondents'!G12</f>
        <v>18</v>
      </c>
      <c r="G9" s="22">
        <v>0</v>
      </c>
      <c r="H9" s="22">
        <f>E9*F9</f>
        <v>216</v>
      </c>
      <c r="I9" s="22">
        <f>H9*0.05</f>
        <v>10.8</v>
      </c>
      <c r="J9" s="22">
        <f>H9*0.1</f>
        <v>21.6</v>
      </c>
      <c r="K9" s="250">
        <f>(G9*O$8)+(H9*O$7)+(J9*O$9)+(I9*O$6)</f>
        <v>22662.536400000001</v>
      </c>
      <c r="L9" s="86" t="s">
        <v>19</v>
      </c>
      <c r="M9" s="48"/>
      <c r="N9" s="95" t="s">
        <v>31</v>
      </c>
      <c r="O9" s="96">
        <f>17.48+(1.1*17.48)</f>
        <v>36.707999999999998</v>
      </c>
      <c r="P9" s="42" t="s">
        <v>1</v>
      </c>
      <c r="Q9" s="132"/>
    </row>
    <row r="10" spans="2:19" ht="17.25" customHeight="1" x14ac:dyDescent="0.3">
      <c r="B10" s="28" t="s">
        <v>177</v>
      </c>
      <c r="C10" s="118">
        <f>ROUND(174*0.25,0)</f>
        <v>44</v>
      </c>
      <c r="D10" s="21">
        <v>4</v>
      </c>
      <c r="E10" s="21">
        <f>C10*D10</f>
        <v>176</v>
      </c>
      <c r="F10" s="26">
        <f>'Number of Respondents'!G13</f>
        <v>365</v>
      </c>
      <c r="G10" s="22">
        <f>E10*F10</f>
        <v>64240</v>
      </c>
      <c r="H10" s="22">
        <v>0</v>
      </c>
      <c r="I10" s="22">
        <v>0</v>
      </c>
      <c r="J10" s="22">
        <v>0</v>
      </c>
      <c r="K10" s="250">
        <f>(G10*O$8)+(H10*O$7)+(J10*O$9)+(I10*O$6)</f>
        <v>3597889.68</v>
      </c>
      <c r="L10" s="86" t="s">
        <v>7</v>
      </c>
      <c r="M10" s="48"/>
      <c r="N10" s="261" t="s">
        <v>114</v>
      </c>
      <c r="O10" s="261"/>
      <c r="P10" s="261"/>
      <c r="Q10" s="24"/>
      <c r="R10" s="17"/>
      <c r="S10" s="17"/>
    </row>
    <row r="11" spans="2:19" x14ac:dyDescent="0.3">
      <c r="B11" s="28" t="s">
        <v>178</v>
      </c>
      <c r="C11" s="118">
        <f>ROUND(2000/49.85,0)</f>
        <v>40</v>
      </c>
      <c r="D11" s="21">
        <v>12</v>
      </c>
      <c r="E11" s="21">
        <f>C11*D11</f>
        <v>480</v>
      </c>
      <c r="F11" s="26">
        <f>'Number of Respondents'!G14</f>
        <v>365</v>
      </c>
      <c r="G11" s="22">
        <f>E11*F11</f>
        <v>175200</v>
      </c>
      <c r="H11" s="22">
        <v>0</v>
      </c>
      <c r="I11" s="22">
        <v>0</v>
      </c>
      <c r="J11" s="22">
        <v>0</v>
      </c>
      <c r="K11" s="250">
        <f>(G11*O$8)+(H11*O$7)+(J11*O$9)+(I11*O$6)</f>
        <v>9812426.4000000004</v>
      </c>
      <c r="L11" s="86" t="s">
        <v>7</v>
      </c>
      <c r="M11" s="48"/>
      <c r="N11" s="48"/>
      <c r="O11" s="48"/>
      <c r="P11" s="48"/>
      <c r="Q11" s="48"/>
      <c r="R11" s="17"/>
      <c r="S11" s="17"/>
    </row>
    <row r="12" spans="2:19" ht="26" x14ac:dyDescent="0.3">
      <c r="B12" s="64" t="s">
        <v>179</v>
      </c>
      <c r="C12" s="90" t="s">
        <v>17</v>
      </c>
      <c r="D12" s="21"/>
      <c r="E12" s="21"/>
      <c r="F12" s="22"/>
      <c r="G12" s="22"/>
      <c r="H12" s="22"/>
      <c r="I12" s="22"/>
      <c r="J12" s="22"/>
      <c r="K12" s="250"/>
      <c r="L12" s="86"/>
      <c r="M12" s="48"/>
      <c r="N12" s="48"/>
      <c r="O12" s="48"/>
      <c r="P12" s="48"/>
      <c r="Q12" s="48"/>
      <c r="R12" s="17"/>
      <c r="S12" s="17"/>
    </row>
    <row r="13" spans="2:19" ht="26" x14ac:dyDescent="0.3">
      <c r="B13" s="64" t="s">
        <v>180</v>
      </c>
      <c r="C13" s="90" t="s">
        <v>17</v>
      </c>
      <c r="D13" s="21"/>
      <c r="E13" s="21"/>
      <c r="F13" s="22"/>
      <c r="G13" s="22"/>
      <c r="H13" s="22"/>
      <c r="I13" s="22"/>
      <c r="J13" s="22"/>
      <c r="K13" s="250"/>
      <c r="L13" s="86"/>
      <c r="M13" s="48"/>
      <c r="N13" s="48"/>
      <c r="O13" s="48"/>
      <c r="P13" s="48"/>
      <c r="Q13" s="48"/>
      <c r="R13" s="17"/>
      <c r="S13" s="17"/>
    </row>
    <row r="14" spans="2:19" x14ac:dyDescent="0.3">
      <c r="B14" s="64" t="s">
        <v>181</v>
      </c>
      <c r="C14" s="90"/>
      <c r="D14" s="21"/>
      <c r="E14" s="21"/>
      <c r="F14" s="22"/>
      <c r="G14" s="22"/>
      <c r="H14" s="22"/>
      <c r="I14" s="22"/>
      <c r="J14" s="22"/>
      <c r="K14" s="250"/>
      <c r="L14" s="86"/>
      <c r="M14" s="48"/>
      <c r="N14" s="48"/>
      <c r="O14" s="48"/>
      <c r="P14" s="48"/>
      <c r="Q14" s="48"/>
      <c r="R14" s="17"/>
      <c r="S14" s="17"/>
    </row>
    <row r="15" spans="2:19" x14ac:dyDescent="0.3">
      <c r="B15" s="28" t="s">
        <v>28</v>
      </c>
      <c r="C15" s="90">
        <v>2</v>
      </c>
      <c r="D15" s="21">
        <v>1</v>
      </c>
      <c r="E15" s="21">
        <f t="shared" ref="E15:E22" si="0">C15*D15</f>
        <v>2</v>
      </c>
      <c r="F15" s="26">
        <f>'Number of Respondents'!G18</f>
        <v>15</v>
      </c>
      <c r="G15" s="22">
        <v>0</v>
      </c>
      <c r="H15" s="22">
        <f>E15*F15</f>
        <v>30</v>
      </c>
      <c r="I15" s="22">
        <f t="shared" ref="I15:I22" si="1">H15*0.05</f>
        <v>1.5</v>
      </c>
      <c r="J15" s="22">
        <f t="shared" ref="J15:J22" si="2">H15*0.1</f>
        <v>3</v>
      </c>
      <c r="K15" s="250">
        <f>(G15*O$8)+(H15*O$7)+(J15*O$9)+(I15*O$6)</f>
        <v>3147.5744999999997</v>
      </c>
      <c r="L15" s="86" t="s">
        <v>20</v>
      </c>
      <c r="M15" s="48"/>
      <c r="N15" s="122"/>
      <c r="O15" s="48"/>
      <c r="P15" s="48"/>
      <c r="Q15" s="48"/>
      <c r="R15" s="17"/>
      <c r="S15" s="17"/>
    </row>
    <row r="16" spans="2:19" x14ac:dyDescent="0.3">
      <c r="B16" s="28" t="s">
        <v>66</v>
      </c>
      <c r="C16" s="90">
        <v>2</v>
      </c>
      <c r="D16" s="21">
        <v>1</v>
      </c>
      <c r="E16" s="21">
        <f t="shared" si="0"/>
        <v>2</v>
      </c>
      <c r="F16" s="26">
        <f>'Number of Respondents'!G19</f>
        <v>13</v>
      </c>
      <c r="G16" s="22">
        <v>0</v>
      </c>
      <c r="H16" s="22">
        <f t="shared" ref="H16:H22" si="3">E16*F16</f>
        <v>26</v>
      </c>
      <c r="I16" s="22">
        <f t="shared" si="1"/>
        <v>1.3</v>
      </c>
      <c r="J16" s="22">
        <f t="shared" si="2"/>
        <v>2.6</v>
      </c>
      <c r="K16" s="250">
        <f t="shared" ref="K16:K22" si="4">(G16*O$8)+(H16*O$7)+(J16*O$9)+(I16*O$6)</f>
        <v>2727.8978999999999</v>
      </c>
      <c r="L16" s="86" t="s">
        <v>21</v>
      </c>
      <c r="M16" s="48"/>
      <c r="N16" s="198"/>
      <c r="O16" s="48"/>
      <c r="P16" s="48"/>
      <c r="Q16" s="48"/>
      <c r="R16" s="17"/>
      <c r="S16" s="17"/>
    </row>
    <row r="17" spans="2:19" x14ac:dyDescent="0.3">
      <c r="B17" s="28" t="s">
        <v>67</v>
      </c>
      <c r="C17" s="90">
        <v>8</v>
      </c>
      <c r="D17" s="21">
        <v>1</v>
      </c>
      <c r="E17" s="21">
        <f t="shared" si="0"/>
        <v>8</v>
      </c>
      <c r="F17" s="26">
        <f>'Number of Respondents'!G20</f>
        <v>8</v>
      </c>
      <c r="G17" s="22">
        <v>0</v>
      </c>
      <c r="H17" s="22">
        <f t="shared" si="3"/>
        <v>64</v>
      </c>
      <c r="I17" s="22">
        <f t="shared" si="1"/>
        <v>3.2</v>
      </c>
      <c r="J17" s="22">
        <f t="shared" si="2"/>
        <v>6.4</v>
      </c>
      <c r="K17" s="250">
        <f t="shared" si="4"/>
        <v>6714.8256000000001</v>
      </c>
      <c r="L17" s="86" t="s">
        <v>22</v>
      </c>
      <c r="M17" s="48"/>
      <c r="N17" s="48"/>
      <c r="O17" s="48"/>
      <c r="P17" s="48"/>
      <c r="Q17" s="48"/>
      <c r="R17" s="17"/>
      <c r="S17" s="17"/>
    </row>
    <row r="18" spans="2:19" x14ac:dyDescent="0.3">
      <c r="B18" s="28" t="s">
        <v>68</v>
      </c>
      <c r="C18" s="118">
        <v>12</v>
      </c>
      <c r="D18" s="21">
        <v>1</v>
      </c>
      <c r="E18" s="27">
        <f t="shared" si="0"/>
        <v>12</v>
      </c>
      <c r="F18" s="26">
        <f>'Number of Respondents'!G21</f>
        <v>8</v>
      </c>
      <c r="G18" s="22">
        <v>0</v>
      </c>
      <c r="H18" s="22">
        <f t="shared" si="3"/>
        <v>96</v>
      </c>
      <c r="I18" s="22">
        <f t="shared" si="1"/>
        <v>4.8000000000000007</v>
      </c>
      <c r="J18" s="22">
        <f t="shared" si="2"/>
        <v>9.6000000000000014</v>
      </c>
      <c r="K18" s="250">
        <f t="shared" si="4"/>
        <v>10072.238400000002</v>
      </c>
      <c r="L18" s="86" t="s">
        <v>22</v>
      </c>
      <c r="M18" s="48"/>
      <c r="N18" s="48"/>
      <c r="O18" s="48"/>
      <c r="P18" s="48"/>
      <c r="Q18" s="48"/>
      <c r="R18" s="17"/>
      <c r="S18" s="17"/>
    </row>
    <row r="19" spans="2:19" ht="13.5" customHeight="1" x14ac:dyDescent="0.3">
      <c r="B19" s="28" t="s">
        <v>69</v>
      </c>
      <c r="C19" s="90">
        <v>1</v>
      </c>
      <c r="D19" s="21">
        <v>1</v>
      </c>
      <c r="E19" s="21">
        <f t="shared" si="0"/>
        <v>1</v>
      </c>
      <c r="F19" s="26">
        <f>'Number of Respondents'!G22</f>
        <v>10</v>
      </c>
      <c r="G19" s="22">
        <v>0</v>
      </c>
      <c r="H19" s="22">
        <f>E19*F19</f>
        <v>10</v>
      </c>
      <c r="I19" s="22">
        <f t="shared" si="1"/>
        <v>0.5</v>
      </c>
      <c r="J19" s="22">
        <f t="shared" si="2"/>
        <v>1</v>
      </c>
      <c r="K19" s="250">
        <f t="shared" si="4"/>
        <v>1049.1914999999999</v>
      </c>
      <c r="L19" s="86" t="s">
        <v>23</v>
      </c>
      <c r="M19" s="48"/>
      <c r="N19" s="48"/>
      <c r="O19" s="48"/>
      <c r="P19" s="48"/>
      <c r="Q19" s="48"/>
      <c r="R19" s="17"/>
      <c r="S19" s="17"/>
    </row>
    <row r="20" spans="2:19" x14ac:dyDescent="0.3">
      <c r="B20" s="28" t="s">
        <v>70</v>
      </c>
      <c r="C20" s="90">
        <f>3*C18</f>
        <v>36</v>
      </c>
      <c r="D20" s="21">
        <v>1</v>
      </c>
      <c r="E20" s="21">
        <f t="shared" si="0"/>
        <v>36</v>
      </c>
      <c r="F20" s="26">
        <f>'Number of Respondents'!G23</f>
        <v>0</v>
      </c>
      <c r="G20" s="22">
        <v>0</v>
      </c>
      <c r="H20" s="22">
        <f t="shared" si="3"/>
        <v>0</v>
      </c>
      <c r="I20" s="22">
        <f t="shared" si="1"/>
        <v>0</v>
      </c>
      <c r="J20" s="22">
        <f t="shared" si="2"/>
        <v>0</v>
      </c>
      <c r="K20" s="250">
        <f t="shared" si="4"/>
        <v>0</v>
      </c>
      <c r="L20" s="86" t="s">
        <v>169</v>
      </c>
      <c r="M20" s="48"/>
      <c r="N20" s="48"/>
      <c r="O20" s="48"/>
      <c r="P20" s="48"/>
      <c r="Q20" s="48"/>
      <c r="R20" s="17"/>
      <c r="S20" s="17"/>
    </row>
    <row r="21" spans="2:19" ht="26" x14ac:dyDescent="0.3">
      <c r="B21" s="28" t="s">
        <v>71</v>
      </c>
      <c r="C21" s="90">
        <v>80</v>
      </c>
      <c r="D21" s="21">
        <v>1</v>
      </c>
      <c r="E21" s="21">
        <f t="shared" si="0"/>
        <v>80</v>
      </c>
      <c r="F21" s="26">
        <f>'Number of Respondents'!G24</f>
        <v>18</v>
      </c>
      <c r="G21" s="22">
        <v>0</v>
      </c>
      <c r="H21" s="22">
        <f>E21*F21</f>
        <v>1440</v>
      </c>
      <c r="I21" s="22">
        <f t="shared" si="1"/>
        <v>72</v>
      </c>
      <c r="J21" s="22">
        <f t="shared" si="2"/>
        <v>144</v>
      </c>
      <c r="K21" s="250">
        <f t="shared" si="4"/>
        <v>151083.576</v>
      </c>
      <c r="L21" s="86" t="s">
        <v>170</v>
      </c>
      <c r="M21" s="48"/>
      <c r="N21" s="48"/>
      <c r="O21" s="48"/>
      <c r="P21" s="48"/>
      <c r="Q21" s="48"/>
      <c r="R21" s="17"/>
      <c r="S21" s="17"/>
    </row>
    <row r="22" spans="2:19" x14ac:dyDescent="0.3">
      <c r="B22" s="28" t="s">
        <v>167</v>
      </c>
      <c r="C22" s="90">
        <v>20</v>
      </c>
      <c r="D22" s="21">
        <v>1</v>
      </c>
      <c r="E22" s="21">
        <f t="shared" si="0"/>
        <v>20</v>
      </c>
      <c r="F22" s="119">
        <f>'Number of Respondents'!G25</f>
        <v>1.7920000000000005</v>
      </c>
      <c r="G22" s="22">
        <v>0</v>
      </c>
      <c r="H22" s="22">
        <f t="shared" si="3"/>
        <v>35.840000000000011</v>
      </c>
      <c r="I22" s="22">
        <f t="shared" si="1"/>
        <v>1.7920000000000007</v>
      </c>
      <c r="J22" s="22">
        <f t="shared" si="2"/>
        <v>3.5840000000000014</v>
      </c>
      <c r="K22" s="250">
        <f t="shared" si="4"/>
        <v>3760.3023360000011</v>
      </c>
      <c r="L22" s="86" t="s">
        <v>25</v>
      </c>
      <c r="M22" s="48"/>
      <c r="N22" s="48"/>
      <c r="O22" s="48"/>
      <c r="P22" s="48"/>
      <c r="Q22" s="48"/>
      <c r="R22" s="17"/>
      <c r="S22" s="17"/>
    </row>
    <row r="23" spans="2:19" ht="26" x14ac:dyDescent="0.3">
      <c r="B23" s="28" t="s">
        <v>72</v>
      </c>
      <c r="C23" s="90" t="s">
        <v>17</v>
      </c>
      <c r="D23" s="21"/>
      <c r="E23" s="21"/>
      <c r="F23" s="26"/>
      <c r="G23" s="22"/>
      <c r="H23" s="22"/>
      <c r="I23" s="22"/>
      <c r="J23" s="22"/>
      <c r="K23" s="250"/>
      <c r="L23" s="86"/>
      <c r="M23" s="48"/>
      <c r="N23" s="48"/>
      <c r="O23" s="48"/>
      <c r="P23" s="48"/>
      <c r="Q23" s="48"/>
      <c r="R23" s="17"/>
      <c r="S23" s="17"/>
    </row>
    <row r="24" spans="2:19" ht="26" x14ac:dyDescent="0.3">
      <c r="B24" s="28" t="s">
        <v>73</v>
      </c>
      <c r="C24" s="90" t="s">
        <v>17</v>
      </c>
      <c r="D24" s="21"/>
      <c r="E24" s="21"/>
      <c r="F24" s="26"/>
      <c r="G24" s="22"/>
      <c r="H24" s="22"/>
      <c r="I24" s="22"/>
      <c r="J24" s="22"/>
      <c r="K24" s="250"/>
      <c r="L24" s="86"/>
      <c r="M24" s="48"/>
      <c r="N24" s="48"/>
      <c r="O24" s="48"/>
      <c r="P24" s="48"/>
      <c r="Q24" s="48"/>
      <c r="R24" s="17"/>
      <c r="S24" s="17"/>
    </row>
    <row r="25" spans="2:19" x14ac:dyDescent="0.3">
      <c r="B25" s="28" t="s">
        <v>74</v>
      </c>
      <c r="C25" s="90">
        <v>27</v>
      </c>
      <c r="D25" s="21">
        <v>1</v>
      </c>
      <c r="E25" s="21">
        <f>C25*D25</f>
        <v>27</v>
      </c>
      <c r="F25" s="26">
        <f>'Number of Respondents'!G28</f>
        <v>365</v>
      </c>
      <c r="G25" s="22">
        <v>0</v>
      </c>
      <c r="H25" s="22">
        <f>E25*F25</f>
        <v>9855</v>
      </c>
      <c r="I25" s="22">
        <f>H25*0.05</f>
        <v>492.75</v>
      </c>
      <c r="J25" s="22">
        <f>H25*0.1</f>
        <v>985.5</v>
      </c>
      <c r="K25" s="250">
        <f>(G25*O$8)+(H25*O$7)+(J25*O$9)+(I25*O$6)</f>
        <v>1033978.22325</v>
      </c>
      <c r="L25" s="86" t="s">
        <v>26</v>
      </c>
      <c r="M25" s="48"/>
      <c r="N25" s="48"/>
      <c r="O25" s="48"/>
      <c r="P25" s="48"/>
      <c r="Q25" s="48"/>
      <c r="R25" s="17"/>
      <c r="S25" s="17"/>
    </row>
    <row r="26" spans="2:19" x14ac:dyDescent="0.3">
      <c r="B26" s="28" t="s">
        <v>101</v>
      </c>
      <c r="C26" s="90">
        <v>15</v>
      </c>
      <c r="D26" s="21">
        <v>1</v>
      </c>
      <c r="E26" s="21">
        <f>C26*D26</f>
        <v>15</v>
      </c>
      <c r="F26" s="26">
        <f>'Number of Respondents'!G29</f>
        <v>1</v>
      </c>
      <c r="G26" s="22">
        <v>0</v>
      </c>
      <c r="H26" s="22">
        <f>E26*F26</f>
        <v>15</v>
      </c>
      <c r="I26" s="22">
        <f>H26*0.05</f>
        <v>0.75</v>
      </c>
      <c r="J26" s="22">
        <f>H26*0.1</f>
        <v>1.5</v>
      </c>
      <c r="K26" s="250">
        <f>(G26*O$8)+(H26*O$7)+(J26*O$9)+(I26*O$6)</f>
        <v>1573.7872499999999</v>
      </c>
      <c r="L26" s="86" t="s">
        <v>27</v>
      </c>
      <c r="M26" s="48"/>
      <c r="N26" s="48"/>
      <c r="O26" s="48"/>
      <c r="P26" s="48"/>
      <c r="Q26" s="48"/>
      <c r="R26" s="17"/>
      <c r="S26" s="17"/>
    </row>
    <row r="27" spans="2:19" x14ac:dyDescent="0.3">
      <c r="B27" s="28" t="s">
        <v>102</v>
      </c>
      <c r="C27" s="90">
        <v>15</v>
      </c>
      <c r="D27" s="21">
        <v>1</v>
      </c>
      <c r="E27" s="21">
        <f>C27*D27</f>
        <v>15</v>
      </c>
      <c r="F27" s="26">
        <f>'Number of Respondents'!G30</f>
        <v>1</v>
      </c>
      <c r="G27" s="22">
        <v>0</v>
      </c>
      <c r="H27" s="22">
        <f>E27*F27</f>
        <v>15</v>
      </c>
      <c r="I27" s="22">
        <f>H27*0.05</f>
        <v>0.75</v>
      </c>
      <c r="J27" s="22">
        <f>H27*0.1</f>
        <v>1.5</v>
      </c>
      <c r="K27" s="250">
        <f>(G27*O$8)+(H27*O$7)+(J27*O$9)+(I27*O$6)</f>
        <v>1573.7872499999999</v>
      </c>
      <c r="L27" s="86" t="s">
        <v>27</v>
      </c>
      <c r="M27" s="48"/>
      <c r="N27" s="48"/>
      <c r="O27" s="48"/>
      <c r="P27" s="48"/>
      <c r="Q27" s="48"/>
      <c r="R27" s="17"/>
      <c r="S27" s="17"/>
    </row>
    <row r="28" spans="2:19" x14ac:dyDescent="0.3">
      <c r="B28" s="28" t="s">
        <v>103</v>
      </c>
      <c r="C28" s="90">
        <v>15</v>
      </c>
      <c r="D28" s="21">
        <v>1</v>
      </c>
      <c r="E28" s="21">
        <f>C28*D28</f>
        <v>15</v>
      </c>
      <c r="F28" s="26">
        <f>'Number of Respondents'!G31</f>
        <v>1</v>
      </c>
      <c r="G28" s="22">
        <v>0</v>
      </c>
      <c r="H28" s="22">
        <f>E28*F28</f>
        <v>15</v>
      </c>
      <c r="I28" s="22">
        <f>H28*0.05</f>
        <v>0.75</v>
      </c>
      <c r="J28" s="22">
        <f>H28*0.1</f>
        <v>1.5</v>
      </c>
      <c r="K28" s="250">
        <f>(G28*O$8)+(H28*O$7)+(J28*O$9)+(I28*O$6)</f>
        <v>1573.7872499999999</v>
      </c>
      <c r="L28" s="86" t="s">
        <v>27</v>
      </c>
      <c r="M28" s="48"/>
      <c r="N28" s="48"/>
      <c r="O28" s="48"/>
      <c r="P28" s="48"/>
      <c r="Q28" s="48"/>
      <c r="R28" s="17"/>
      <c r="S28" s="17"/>
    </row>
    <row r="29" spans="2:19" x14ac:dyDescent="0.3">
      <c r="B29" s="28" t="s">
        <v>104</v>
      </c>
      <c r="C29" s="90">
        <v>15</v>
      </c>
      <c r="D29" s="21">
        <v>1</v>
      </c>
      <c r="E29" s="21">
        <f>C29*D29</f>
        <v>15</v>
      </c>
      <c r="F29" s="26">
        <f>'Number of Respondents'!G32</f>
        <v>175</v>
      </c>
      <c r="G29" s="22">
        <v>0</v>
      </c>
      <c r="H29" s="22">
        <f>E29*F29</f>
        <v>2625</v>
      </c>
      <c r="I29" s="22">
        <f>H29*0.05</f>
        <v>131.25</v>
      </c>
      <c r="J29" s="22">
        <f>H29*0.1</f>
        <v>262.5</v>
      </c>
      <c r="K29" s="250">
        <f>(G29*O$8)+(H29*O$7)+(J29*O$9)+(I29*O$6)</f>
        <v>275412.76874999999</v>
      </c>
      <c r="L29" s="86" t="s">
        <v>65</v>
      </c>
      <c r="M29" s="48"/>
      <c r="N29" s="165"/>
      <c r="O29" s="48"/>
      <c r="P29" s="48"/>
      <c r="Q29" s="48"/>
      <c r="R29" s="17"/>
      <c r="S29" s="17"/>
    </row>
    <row r="30" spans="2:19" ht="15" customHeight="1" x14ac:dyDescent="0.35">
      <c r="B30" s="140" t="s">
        <v>110</v>
      </c>
      <c r="C30" s="141"/>
      <c r="D30" s="30"/>
      <c r="E30" s="30"/>
      <c r="F30" s="31"/>
      <c r="G30" s="265">
        <f>SUM(G7:J29)</f>
        <v>276036.26599999995</v>
      </c>
      <c r="H30" s="266"/>
      <c r="I30" s="266"/>
      <c r="J30" s="267"/>
      <c r="K30" s="251">
        <f t="shared" ref="K30" si="5">SUM(K7:K29)</f>
        <v>16749141.403385999</v>
      </c>
      <c r="L30" s="142"/>
      <c r="M30" s="127"/>
      <c r="N30" s="127"/>
      <c r="O30" s="127"/>
      <c r="P30" s="127"/>
      <c r="Q30" s="127"/>
      <c r="R30" s="17"/>
      <c r="S30" s="17"/>
    </row>
    <row r="31" spans="2:19" x14ac:dyDescent="0.3">
      <c r="B31" s="25" t="s">
        <v>9</v>
      </c>
      <c r="C31" s="90"/>
      <c r="D31" s="21"/>
      <c r="E31" s="21"/>
      <c r="F31" s="22"/>
      <c r="G31" s="22"/>
      <c r="H31" s="22"/>
      <c r="I31" s="22"/>
      <c r="J31" s="22"/>
      <c r="K31" s="250"/>
      <c r="L31" s="86"/>
      <c r="M31" s="48"/>
      <c r="N31" s="48"/>
      <c r="O31" s="48"/>
      <c r="P31" s="48"/>
      <c r="Q31" s="48"/>
      <c r="R31" s="17"/>
      <c r="S31" s="17"/>
    </row>
    <row r="32" spans="2:19" ht="26" x14ac:dyDescent="0.3">
      <c r="B32" s="64" t="s">
        <v>182</v>
      </c>
      <c r="C32" s="90" t="s">
        <v>8</v>
      </c>
      <c r="D32" s="21"/>
      <c r="E32" s="21"/>
      <c r="F32" s="22"/>
      <c r="G32" s="22"/>
      <c r="H32" s="22"/>
      <c r="I32" s="22"/>
      <c r="J32" s="22"/>
      <c r="K32" s="250"/>
      <c r="L32" s="86"/>
      <c r="M32" s="48"/>
      <c r="N32" s="48"/>
      <c r="O32" s="48"/>
      <c r="P32" s="48"/>
      <c r="Q32" s="48"/>
      <c r="R32" s="17"/>
      <c r="S32" s="17"/>
    </row>
    <row r="33" spans="1:23" x14ac:dyDescent="0.3">
      <c r="B33" s="64" t="s">
        <v>183</v>
      </c>
      <c r="C33" s="90" t="s">
        <v>132</v>
      </c>
      <c r="D33" s="21"/>
      <c r="E33" s="21"/>
      <c r="F33" s="22"/>
      <c r="G33" s="22"/>
      <c r="H33" s="22"/>
      <c r="I33" s="22"/>
      <c r="J33" s="22"/>
      <c r="K33" s="250"/>
      <c r="L33" s="86"/>
      <c r="M33" s="48"/>
      <c r="N33" s="48"/>
      <c r="O33" s="48"/>
      <c r="P33" s="48"/>
      <c r="Q33" s="48"/>
      <c r="R33" s="17"/>
      <c r="S33" s="17"/>
    </row>
    <row r="34" spans="1:23" x14ac:dyDescent="0.3">
      <c r="B34" s="64" t="s">
        <v>184</v>
      </c>
      <c r="C34" s="90" t="s">
        <v>132</v>
      </c>
      <c r="D34" s="21"/>
      <c r="E34" s="21"/>
      <c r="F34" s="22"/>
      <c r="G34" s="22"/>
      <c r="H34" s="22"/>
      <c r="I34" s="22"/>
      <c r="J34" s="22"/>
      <c r="K34" s="250"/>
      <c r="L34" s="86"/>
      <c r="M34" s="48"/>
      <c r="N34" s="48"/>
      <c r="O34" s="48"/>
      <c r="P34" s="48"/>
      <c r="Q34" s="48"/>
      <c r="R34" s="17"/>
      <c r="S34" s="17"/>
    </row>
    <row r="35" spans="1:23" x14ac:dyDescent="0.3">
      <c r="B35" s="64" t="s">
        <v>185</v>
      </c>
      <c r="C35" s="90" t="s">
        <v>132</v>
      </c>
      <c r="D35" s="21"/>
      <c r="E35" s="21"/>
      <c r="F35" s="22"/>
      <c r="G35" s="22"/>
      <c r="H35" s="22"/>
      <c r="I35" s="22"/>
      <c r="J35" s="22"/>
      <c r="K35" s="250"/>
      <c r="L35" s="86"/>
      <c r="M35" s="48"/>
      <c r="N35" s="48"/>
      <c r="O35" s="48"/>
      <c r="P35" s="48"/>
      <c r="Q35" s="48"/>
      <c r="R35" s="17"/>
      <c r="S35" s="17"/>
    </row>
    <row r="36" spans="1:23" ht="13.5" customHeight="1" x14ac:dyDescent="0.3">
      <c r="B36" s="64" t="s">
        <v>186</v>
      </c>
      <c r="C36" s="90"/>
      <c r="D36" s="21"/>
      <c r="E36" s="21"/>
      <c r="F36" s="22"/>
      <c r="G36" s="22"/>
      <c r="H36" s="22"/>
      <c r="I36" s="22"/>
      <c r="J36" s="22"/>
      <c r="K36" s="250"/>
      <c r="L36" s="86"/>
      <c r="M36" s="48"/>
      <c r="N36" s="48"/>
      <c r="O36" s="48"/>
      <c r="P36" s="48"/>
      <c r="Q36" s="48"/>
      <c r="R36" s="17"/>
      <c r="S36" s="17"/>
    </row>
    <row r="37" spans="1:23" ht="27" customHeight="1" x14ac:dyDescent="0.3">
      <c r="B37" s="28" t="s">
        <v>78</v>
      </c>
      <c r="C37" s="90">
        <v>5</v>
      </c>
      <c r="D37" s="21">
        <v>12</v>
      </c>
      <c r="E37" s="21">
        <f>C37*D37</f>
        <v>60</v>
      </c>
      <c r="F37" s="26">
        <f>'Number of Respondents'!G40</f>
        <v>365</v>
      </c>
      <c r="G37" s="22">
        <v>0</v>
      </c>
      <c r="H37" s="22">
        <f>E37*F37</f>
        <v>21900</v>
      </c>
      <c r="I37" s="22">
        <f>H37*0.05</f>
        <v>1095</v>
      </c>
      <c r="J37" s="22">
        <f>H37*0.1</f>
        <v>2190</v>
      </c>
      <c r="K37" s="250">
        <f>(G37*O$8)+(H37*O$7)+(J37*O$9)+(I37*O$6)</f>
        <v>2297729.3849999998</v>
      </c>
      <c r="L37" s="86" t="s">
        <v>64</v>
      </c>
      <c r="M37" s="48"/>
      <c r="N37" s="48"/>
      <c r="O37" s="48"/>
      <c r="P37" s="48"/>
      <c r="Q37" s="48"/>
      <c r="R37" s="17"/>
      <c r="S37" s="17"/>
    </row>
    <row r="38" spans="1:23" ht="27" customHeight="1" x14ac:dyDescent="0.3">
      <c r="B38" s="28" t="s">
        <v>76</v>
      </c>
      <c r="C38" s="90">
        <v>11</v>
      </c>
      <c r="D38" s="21">
        <v>12</v>
      </c>
      <c r="E38" s="21">
        <f>C38*D38</f>
        <v>132</v>
      </c>
      <c r="F38" s="26">
        <f>'Number of Respondents'!G41</f>
        <v>365</v>
      </c>
      <c r="G38" s="22">
        <v>0</v>
      </c>
      <c r="H38" s="22">
        <f>E38*F38</f>
        <v>48180</v>
      </c>
      <c r="I38" s="22">
        <f>H38*0.05</f>
        <v>2409</v>
      </c>
      <c r="J38" s="22">
        <f>H38*0.1</f>
        <v>4818</v>
      </c>
      <c r="K38" s="250">
        <f>(G38*O$8)+(H38*O$7)+(J38*O$9)+(I38*O$6)</f>
        <v>5055004.6470000008</v>
      </c>
      <c r="L38" s="86" t="s">
        <v>64</v>
      </c>
      <c r="M38" s="48"/>
      <c r="N38" s="48"/>
      <c r="O38" s="48"/>
      <c r="P38" s="48"/>
      <c r="Q38" s="48"/>
      <c r="R38" s="17"/>
      <c r="S38" s="17"/>
    </row>
    <row r="39" spans="1:23" ht="26.25" customHeight="1" x14ac:dyDescent="0.3">
      <c r="B39" s="28" t="s">
        <v>75</v>
      </c>
      <c r="C39" s="90">
        <v>4</v>
      </c>
      <c r="D39" s="21">
        <v>1</v>
      </c>
      <c r="E39" s="21">
        <f>C39*D39</f>
        <v>4</v>
      </c>
      <c r="F39" s="26">
        <f>'Number of Respondents'!G42</f>
        <v>92</v>
      </c>
      <c r="G39" s="22">
        <v>0</v>
      </c>
      <c r="H39" s="22">
        <f>E39*F39</f>
        <v>368</v>
      </c>
      <c r="I39" s="22">
        <f>H39*0.05</f>
        <v>18.400000000000002</v>
      </c>
      <c r="J39" s="22">
        <f>H39*0.1</f>
        <v>36.800000000000004</v>
      </c>
      <c r="K39" s="250">
        <f>(G39*O$8)+(H39*O$7)+(J39*O$9)+(I39*O$6)</f>
        <v>38610.247199999998</v>
      </c>
      <c r="L39" s="86" t="s">
        <v>77</v>
      </c>
      <c r="M39" s="48"/>
      <c r="N39" s="165"/>
      <c r="O39" s="48"/>
      <c r="P39" s="48"/>
      <c r="Q39" s="48"/>
      <c r="R39" s="17"/>
      <c r="S39" s="17"/>
    </row>
    <row r="40" spans="1:23" x14ac:dyDescent="0.3">
      <c r="B40" s="64" t="s">
        <v>187</v>
      </c>
      <c r="C40" s="90" t="s">
        <v>132</v>
      </c>
      <c r="D40" s="21"/>
      <c r="E40" s="21"/>
      <c r="F40" s="26"/>
      <c r="G40" s="22"/>
      <c r="H40" s="22"/>
      <c r="I40" s="22"/>
      <c r="J40" s="22"/>
      <c r="K40" s="250"/>
      <c r="L40" s="86"/>
      <c r="M40" s="48"/>
      <c r="N40" s="48"/>
      <c r="O40" s="48"/>
      <c r="P40" s="48"/>
      <c r="Q40" s="48"/>
      <c r="R40" s="17"/>
      <c r="S40" s="17"/>
    </row>
    <row r="41" spans="1:23" x14ac:dyDescent="0.3">
      <c r="B41" s="64" t="s">
        <v>188</v>
      </c>
      <c r="C41" s="90" t="s">
        <v>132</v>
      </c>
      <c r="D41" s="21"/>
      <c r="E41" s="21"/>
      <c r="F41" s="26"/>
      <c r="G41" s="22"/>
      <c r="H41" s="22"/>
      <c r="I41" s="22"/>
      <c r="J41" s="22"/>
      <c r="K41" s="250"/>
      <c r="L41" s="86"/>
      <c r="M41" s="48"/>
      <c r="N41" s="48"/>
      <c r="O41" s="48"/>
      <c r="P41" s="48"/>
      <c r="Q41" s="48"/>
      <c r="R41" s="17"/>
      <c r="S41" s="17"/>
    </row>
    <row r="42" spans="1:23" ht="15" customHeight="1" x14ac:dyDescent="0.35">
      <c r="B42" s="140" t="s">
        <v>111</v>
      </c>
      <c r="C42" s="30"/>
      <c r="D42" s="30"/>
      <c r="E42" s="30"/>
      <c r="F42" s="120"/>
      <c r="G42" s="265">
        <f>SUM(G37:J39)</f>
        <v>81015.199999999997</v>
      </c>
      <c r="H42" s="266"/>
      <c r="I42" s="266"/>
      <c r="J42" s="266"/>
      <c r="K42" s="251">
        <f>SUM(K32:K41)</f>
        <v>7391344.2792000007</v>
      </c>
      <c r="L42" s="142"/>
      <c r="M42" s="127"/>
      <c r="N42" s="127"/>
      <c r="O42" s="127"/>
      <c r="P42" s="127"/>
      <c r="Q42" s="127"/>
      <c r="R42" s="17"/>
      <c r="S42" s="17"/>
    </row>
    <row r="43" spans="1:23" s="32" customFormat="1" x14ac:dyDescent="0.3">
      <c r="B43" s="159" t="s">
        <v>171</v>
      </c>
      <c r="C43" s="93"/>
      <c r="D43" s="93"/>
      <c r="E43" s="93"/>
      <c r="F43" s="121"/>
      <c r="G43" s="268">
        <f>ROUND(G30+G42,-3)</f>
        <v>357000</v>
      </c>
      <c r="H43" s="269"/>
      <c r="I43" s="269"/>
      <c r="J43" s="269"/>
      <c r="K43" s="252">
        <f>ROUND(K30+K42,-5)</f>
        <v>24100000</v>
      </c>
      <c r="L43" s="86" t="s">
        <v>99</v>
      </c>
      <c r="M43" s="33"/>
      <c r="N43" s="33"/>
      <c r="O43" s="33"/>
      <c r="P43" s="33"/>
      <c r="Q43" s="33"/>
      <c r="R43" s="17"/>
      <c r="S43" s="17"/>
    </row>
    <row r="44" spans="1:23" s="32" customFormat="1" x14ac:dyDescent="0.3">
      <c r="B44" s="160" t="s">
        <v>172</v>
      </c>
      <c r="C44" s="93"/>
      <c r="D44" s="93"/>
      <c r="E44" s="93"/>
      <c r="F44" s="121"/>
      <c r="G44" s="161"/>
      <c r="H44" s="161"/>
      <c r="I44" s="161"/>
      <c r="J44" s="162"/>
      <c r="K44" s="252">
        <f>'Capital O&amp;M'!L14</f>
        <v>1520000</v>
      </c>
      <c r="L44" s="86" t="s">
        <v>99</v>
      </c>
      <c r="M44" s="33"/>
      <c r="N44" s="33"/>
      <c r="O44" s="33"/>
      <c r="P44" s="33"/>
      <c r="Q44" s="33"/>
      <c r="R44" s="17"/>
      <c r="S44" s="17"/>
    </row>
    <row r="45" spans="1:23" s="32" customFormat="1" x14ac:dyDescent="0.3">
      <c r="B45" s="160" t="s">
        <v>173</v>
      </c>
      <c r="C45" s="93"/>
      <c r="D45" s="93"/>
      <c r="E45" s="93"/>
      <c r="F45" s="121"/>
      <c r="G45" s="161"/>
      <c r="H45" s="161"/>
      <c r="I45" s="161"/>
      <c r="J45" s="162"/>
      <c r="K45" s="252">
        <f>ROUND(K43+K44,-5)</f>
        <v>25600000</v>
      </c>
      <c r="L45" s="86" t="s">
        <v>99</v>
      </c>
      <c r="M45" s="33"/>
      <c r="N45" s="33"/>
      <c r="O45" s="33"/>
      <c r="P45" s="133"/>
      <c r="Q45" s="133"/>
      <c r="R45" s="17"/>
      <c r="S45" s="17"/>
    </row>
    <row r="46" spans="1:23" ht="15.75" customHeight="1" x14ac:dyDescent="0.3">
      <c r="V46" s="32"/>
      <c r="W46" s="32"/>
    </row>
    <row r="47" spans="1:23" ht="12.75" customHeight="1" x14ac:dyDescent="0.3">
      <c r="A47" s="263" t="s">
        <v>121</v>
      </c>
      <c r="B47" s="263"/>
      <c r="C47" s="263"/>
      <c r="D47" s="263"/>
      <c r="E47" s="263"/>
      <c r="F47" s="263"/>
      <c r="G47" s="263"/>
      <c r="H47" s="263"/>
      <c r="I47" s="263"/>
      <c r="J47" s="263"/>
      <c r="K47" s="263"/>
      <c r="L47" s="35"/>
      <c r="M47" s="128"/>
      <c r="N47" s="128"/>
      <c r="O47" s="128"/>
      <c r="P47" s="128"/>
      <c r="Q47" s="128"/>
      <c r="R47" s="35"/>
    </row>
    <row r="48" spans="1:23" s="62" customFormat="1" ht="29.25" customHeight="1" x14ac:dyDescent="0.3">
      <c r="A48" s="135" t="s">
        <v>10</v>
      </c>
      <c r="B48" s="259" t="s">
        <v>267</v>
      </c>
      <c r="C48" s="259"/>
      <c r="D48" s="259"/>
      <c r="E48" s="259"/>
      <c r="F48" s="259"/>
      <c r="G48" s="259"/>
      <c r="H48" s="259"/>
      <c r="I48" s="259"/>
      <c r="J48" s="259"/>
      <c r="K48" s="259"/>
      <c r="L48" s="259"/>
      <c r="M48" s="129"/>
      <c r="N48" s="129"/>
      <c r="O48" s="129"/>
      <c r="P48" s="130"/>
      <c r="Q48" s="130"/>
      <c r="R48" s="36"/>
      <c r="S48" s="36"/>
      <c r="T48" s="36"/>
      <c r="V48" s="36"/>
      <c r="W48" s="36"/>
    </row>
    <row r="49" spans="1:20" s="62" customFormat="1" ht="55.5" customHeight="1" x14ac:dyDescent="0.3">
      <c r="A49" s="135" t="s">
        <v>18</v>
      </c>
      <c r="B49" s="260" t="s">
        <v>165</v>
      </c>
      <c r="C49" s="260"/>
      <c r="D49" s="260"/>
      <c r="E49" s="260"/>
      <c r="F49" s="260"/>
      <c r="G49" s="260"/>
      <c r="H49" s="260"/>
      <c r="I49" s="260"/>
      <c r="J49" s="260"/>
      <c r="K49" s="260"/>
      <c r="L49" s="260"/>
      <c r="M49" s="91"/>
      <c r="N49" s="91"/>
      <c r="O49" s="91"/>
      <c r="P49" s="134"/>
      <c r="Q49" s="134"/>
      <c r="R49" s="37"/>
      <c r="S49" s="37"/>
      <c r="T49" s="36"/>
    </row>
    <row r="50" spans="1:20" s="62" customFormat="1" ht="40.5" customHeight="1" x14ac:dyDescent="0.3">
      <c r="A50" s="135" t="s">
        <v>6</v>
      </c>
      <c r="B50" s="260" t="s">
        <v>382</v>
      </c>
      <c r="C50" s="260"/>
      <c r="D50" s="260"/>
      <c r="E50" s="260"/>
      <c r="F50" s="260"/>
      <c r="G50" s="260"/>
      <c r="H50" s="260"/>
      <c r="I50" s="260"/>
      <c r="J50" s="260"/>
      <c r="K50" s="260"/>
      <c r="L50" s="260"/>
      <c r="M50" s="91"/>
      <c r="N50" s="91"/>
      <c r="O50" s="91"/>
      <c r="P50" s="130"/>
      <c r="Q50" s="130"/>
      <c r="R50" s="36"/>
      <c r="S50" s="36"/>
      <c r="T50" s="36"/>
    </row>
    <row r="51" spans="1:20" s="62" customFormat="1" ht="42" customHeight="1" x14ac:dyDescent="0.3">
      <c r="A51" s="135" t="s">
        <v>19</v>
      </c>
      <c r="B51" s="260" t="s">
        <v>227</v>
      </c>
      <c r="C51" s="260"/>
      <c r="D51" s="260"/>
      <c r="E51" s="260"/>
      <c r="F51" s="260"/>
      <c r="G51" s="260"/>
      <c r="H51" s="260"/>
      <c r="I51" s="260"/>
      <c r="J51" s="260"/>
      <c r="K51" s="260"/>
      <c r="L51" s="260"/>
      <c r="M51" s="91"/>
      <c r="N51" s="91"/>
      <c r="O51" s="91"/>
      <c r="P51" s="134"/>
      <c r="Q51" s="134"/>
      <c r="R51" s="37"/>
      <c r="S51" s="37"/>
      <c r="T51" s="36"/>
    </row>
    <row r="52" spans="1:20" s="62" customFormat="1" ht="94.5" customHeight="1" x14ac:dyDescent="0.3">
      <c r="A52" s="135" t="s">
        <v>7</v>
      </c>
      <c r="B52" s="260" t="s">
        <v>228</v>
      </c>
      <c r="C52" s="260"/>
      <c r="D52" s="260"/>
      <c r="E52" s="260"/>
      <c r="F52" s="260"/>
      <c r="G52" s="260"/>
      <c r="H52" s="260"/>
      <c r="I52" s="260"/>
      <c r="J52" s="260"/>
      <c r="K52" s="260"/>
      <c r="L52" s="260"/>
      <c r="M52" s="91"/>
      <c r="N52" s="91"/>
      <c r="O52" s="91"/>
      <c r="P52" s="134"/>
      <c r="Q52" s="134"/>
      <c r="R52" s="37"/>
      <c r="S52" s="37"/>
      <c r="T52" s="37"/>
    </row>
    <row r="53" spans="1:20" s="62" customFormat="1" ht="41.25" customHeight="1" x14ac:dyDescent="0.3">
      <c r="A53" s="135" t="s">
        <v>20</v>
      </c>
      <c r="B53" s="260" t="s">
        <v>362</v>
      </c>
      <c r="C53" s="260"/>
      <c r="D53" s="260"/>
      <c r="E53" s="260"/>
      <c r="F53" s="260"/>
      <c r="G53" s="260"/>
      <c r="H53" s="260"/>
      <c r="I53" s="260"/>
      <c r="J53" s="260"/>
      <c r="K53" s="260"/>
      <c r="L53" s="260"/>
      <c r="M53" s="91"/>
      <c r="N53" s="136"/>
      <c r="O53" s="91"/>
      <c r="P53" s="134"/>
      <c r="Q53" s="134"/>
      <c r="R53" s="36"/>
      <c r="S53" s="36"/>
      <c r="T53" s="36"/>
    </row>
    <row r="54" spans="1:20" s="62" customFormat="1" ht="31.5" customHeight="1" x14ac:dyDescent="0.3">
      <c r="A54" s="135" t="s">
        <v>21</v>
      </c>
      <c r="B54" s="260" t="s">
        <v>268</v>
      </c>
      <c r="C54" s="260"/>
      <c r="D54" s="260"/>
      <c r="E54" s="260"/>
      <c r="F54" s="260"/>
      <c r="G54" s="260"/>
      <c r="H54" s="260"/>
      <c r="I54" s="260"/>
      <c r="J54" s="260"/>
      <c r="K54" s="260"/>
      <c r="L54" s="260"/>
      <c r="M54" s="91"/>
      <c r="N54" s="91"/>
      <c r="O54" s="91"/>
      <c r="P54" s="134"/>
      <c r="Q54" s="134"/>
      <c r="R54" s="18"/>
      <c r="S54" s="18"/>
      <c r="T54" s="37"/>
    </row>
    <row r="55" spans="1:20" s="62" customFormat="1" ht="42" customHeight="1" x14ac:dyDescent="0.3">
      <c r="A55" s="135" t="s">
        <v>22</v>
      </c>
      <c r="B55" s="260" t="s">
        <v>269</v>
      </c>
      <c r="C55" s="260"/>
      <c r="D55" s="260"/>
      <c r="E55" s="260"/>
      <c r="F55" s="260"/>
      <c r="G55" s="260"/>
      <c r="H55" s="260"/>
      <c r="I55" s="260"/>
      <c r="J55" s="260"/>
      <c r="K55" s="260"/>
      <c r="L55" s="260"/>
      <c r="M55" s="91"/>
      <c r="N55" s="91"/>
      <c r="O55" s="91"/>
      <c r="P55" s="134"/>
      <c r="Q55" s="134"/>
      <c r="R55" s="37"/>
      <c r="S55" s="37"/>
      <c r="T55" s="36"/>
    </row>
    <row r="56" spans="1:20" s="62" customFormat="1" ht="23.25" customHeight="1" x14ac:dyDescent="0.3">
      <c r="A56" s="135" t="s">
        <v>23</v>
      </c>
      <c r="B56" s="260" t="s">
        <v>363</v>
      </c>
      <c r="C56" s="260"/>
      <c r="D56" s="260"/>
      <c r="E56" s="260"/>
      <c r="F56" s="260"/>
      <c r="G56" s="260"/>
      <c r="H56" s="260"/>
      <c r="I56" s="260"/>
      <c r="J56" s="260"/>
      <c r="K56" s="260"/>
      <c r="L56" s="260"/>
      <c r="M56" s="91"/>
      <c r="N56" s="91"/>
      <c r="O56" s="91"/>
      <c r="P56" s="134"/>
      <c r="Q56" s="134"/>
      <c r="R56" s="63"/>
      <c r="S56" s="36"/>
      <c r="T56" s="36"/>
    </row>
    <row r="57" spans="1:20" s="62" customFormat="1" ht="30.75" customHeight="1" x14ac:dyDescent="0.3">
      <c r="A57" s="135" t="s">
        <v>24</v>
      </c>
      <c r="B57" s="260" t="s">
        <v>364</v>
      </c>
      <c r="C57" s="260"/>
      <c r="D57" s="260"/>
      <c r="E57" s="260"/>
      <c r="F57" s="260"/>
      <c r="G57" s="260"/>
      <c r="H57" s="260"/>
      <c r="I57" s="260"/>
      <c r="J57" s="260"/>
      <c r="K57" s="260"/>
      <c r="L57" s="260"/>
      <c r="M57" s="130"/>
      <c r="N57" s="130"/>
      <c r="O57" s="130"/>
      <c r="P57" s="134"/>
      <c r="Q57" s="134"/>
      <c r="R57" s="63"/>
      <c r="S57" s="36"/>
      <c r="T57" s="36"/>
    </row>
    <row r="58" spans="1:20" s="62" customFormat="1" ht="42.75" customHeight="1" x14ac:dyDescent="0.3">
      <c r="A58" s="135" t="s">
        <v>5</v>
      </c>
      <c r="B58" s="260" t="s">
        <v>230</v>
      </c>
      <c r="C58" s="260"/>
      <c r="D58" s="260"/>
      <c r="E58" s="260"/>
      <c r="F58" s="260"/>
      <c r="G58" s="260"/>
      <c r="H58" s="260"/>
      <c r="I58" s="260"/>
      <c r="J58" s="260"/>
      <c r="K58" s="260"/>
      <c r="L58" s="260"/>
      <c r="M58" s="91"/>
      <c r="N58" s="91"/>
      <c r="O58" s="91"/>
      <c r="P58" s="130"/>
      <c r="Q58" s="130"/>
      <c r="R58" s="63"/>
      <c r="S58" s="36"/>
      <c r="T58" s="36"/>
    </row>
    <row r="59" spans="1:20" s="62" customFormat="1" ht="44.25" customHeight="1" x14ac:dyDescent="0.3">
      <c r="A59" s="135" t="s">
        <v>25</v>
      </c>
      <c r="B59" s="260" t="s">
        <v>231</v>
      </c>
      <c r="C59" s="260"/>
      <c r="D59" s="260"/>
      <c r="E59" s="260"/>
      <c r="F59" s="260"/>
      <c r="G59" s="260"/>
      <c r="H59" s="260"/>
      <c r="I59" s="260"/>
      <c r="J59" s="260"/>
      <c r="K59" s="260"/>
      <c r="L59" s="260"/>
      <c r="M59" s="91"/>
      <c r="N59" s="91"/>
      <c r="O59" s="91"/>
      <c r="P59" s="130"/>
      <c r="Q59" s="130"/>
      <c r="R59" s="63"/>
      <c r="S59" s="36"/>
      <c r="T59" s="36"/>
    </row>
    <row r="60" spans="1:20" s="62" customFormat="1" ht="57.65" customHeight="1" x14ac:dyDescent="0.3">
      <c r="A60" s="135" t="s">
        <v>26</v>
      </c>
      <c r="B60" s="260" t="s">
        <v>232</v>
      </c>
      <c r="C60" s="260"/>
      <c r="D60" s="260"/>
      <c r="E60" s="260"/>
      <c r="F60" s="260"/>
      <c r="G60" s="260"/>
      <c r="H60" s="260"/>
      <c r="I60" s="260"/>
      <c r="J60" s="260"/>
      <c r="K60" s="260"/>
      <c r="L60" s="260"/>
      <c r="M60" s="91"/>
      <c r="N60" s="91"/>
      <c r="O60" s="91"/>
      <c r="P60" s="130"/>
      <c r="Q60" s="130"/>
      <c r="R60" s="63"/>
      <c r="S60" s="36"/>
      <c r="T60" s="36"/>
    </row>
    <row r="61" spans="1:20" s="62" customFormat="1" ht="72" customHeight="1" x14ac:dyDescent="0.3">
      <c r="A61" s="135" t="s">
        <v>27</v>
      </c>
      <c r="B61" s="260" t="s">
        <v>168</v>
      </c>
      <c r="C61" s="260"/>
      <c r="D61" s="260"/>
      <c r="E61" s="260"/>
      <c r="F61" s="260"/>
      <c r="G61" s="260"/>
      <c r="H61" s="260"/>
      <c r="I61" s="260"/>
      <c r="J61" s="260"/>
      <c r="K61" s="260"/>
      <c r="L61" s="260"/>
      <c r="M61" s="91"/>
      <c r="N61" s="91"/>
      <c r="O61" s="91"/>
      <c r="P61" s="130"/>
      <c r="Q61" s="130"/>
      <c r="R61" s="63"/>
      <c r="S61" s="36"/>
      <c r="T61" s="36"/>
    </row>
    <row r="62" spans="1:20" s="62" customFormat="1" ht="43.5" customHeight="1" x14ac:dyDescent="0.3">
      <c r="A62" s="137" t="s">
        <v>65</v>
      </c>
      <c r="B62" s="260" t="s">
        <v>233</v>
      </c>
      <c r="C62" s="260"/>
      <c r="D62" s="260"/>
      <c r="E62" s="260"/>
      <c r="F62" s="260"/>
      <c r="G62" s="260"/>
      <c r="H62" s="260"/>
      <c r="I62" s="260"/>
      <c r="J62" s="260"/>
      <c r="K62" s="260"/>
      <c r="L62" s="260"/>
      <c r="M62" s="196"/>
      <c r="N62" s="196"/>
      <c r="O62" s="91"/>
      <c r="P62" s="134"/>
      <c r="Q62" s="134"/>
      <c r="R62" s="37"/>
      <c r="S62" s="37"/>
      <c r="T62" s="36"/>
    </row>
    <row r="63" spans="1:20" s="62" customFormat="1" ht="55.5" customHeight="1" x14ac:dyDescent="0.3">
      <c r="A63" s="137" t="s">
        <v>64</v>
      </c>
      <c r="B63" s="260" t="s">
        <v>234</v>
      </c>
      <c r="C63" s="260"/>
      <c r="D63" s="260"/>
      <c r="E63" s="260"/>
      <c r="F63" s="260"/>
      <c r="G63" s="260"/>
      <c r="H63" s="260"/>
      <c r="I63" s="260"/>
      <c r="J63" s="260"/>
      <c r="K63" s="260"/>
      <c r="L63" s="260"/>
      <c r="M63" s="91"/>
      <c r="N63" s="91"/>
      <c r="O63" s="91"/>
      <c r="P63" s="134"/>
      <c r="Q63" s="134"/>
      <c r="R63" s="37"/>
      <c r="S63" s="37"/>
      <c r="T63" s="36"/>
    </row>
    <row r="64" spans="1:20" s="62" customFormat="1" ht="30.75" customHeight="1" x14ac:dyDescent="0.3">
      <c r="A64" s="137" t="s">
        <v>77</v>
      </c>
      <c r="B64" s="260" t="s">
        <v>235</v>
      </c>
      <c r="C64" s="260"/>
      <c r="D64" s="260"/>
      <c r="E64" s="260"/>
      <c r="F64" s="260"/>
      <c r="G64" s="260"/>
      <c r="H64" s="260"/>
      <c r="I64" s="260"/>
      <c r="J64" s="260"/>
      <c r="K64" s="260"/>
      <c r="L64" s="260"/>
      <c r="M64" s="91"/>
      <c r="N64" s="91"/>
      <c r="O64" s="91"/>
      <c r="P64" s="134"/>
      <c r="Q64" s="134"/>
      <c r="R64" s="37"/>
      <c r="S64" s="37"/>
      <c r="T64" s="36"/>
    </row>
    <row r="65" spans="1:20" s="62" customFormat="1" ht="18.75" customHeight="1" x14ac:dyDescent="0.3">
      <c r="A65" s="137" t="s">
        <v>99</v>
      </c>
      <c r="B65" s="260" t="s">
        <v>122</v>
      </c>
      <c r="C65" s="260"/>
      <c r="D65" s="260"/>
      <c r="E65" s="260"/>
      <c r="F65" s="260"/>
      <c r="G65" s="260"/>
      <c r="H65" s="260"/>
      <c r="I65" s="260"/>
      <c r="J65" s="260"/>
      <c r="K65" s="260"/>
      <c r="L65" s="260"/>
      <c r="M65" s="91"/>
      <c r="N65" s="91"/>
      <c r="O65" s="91"/>
      <c r="P65" s="134"/>
      <c r="Q65" s="134"/>
      <c r="R65" s="37"/>
      <c r="S65" s="37"/>
      <c r="T65" s="36"/>
    </row>
    <row r="66" spans="1:20" ht="18" customHeight="1" x14ac:dyDescent="0.3">
      <c r="A66" s="44"/>
      <c r="P66" s="19"/>
      <c r="Q66" s="19"/>
      <c r="R66" s="18"/>
      <c r="S66" s="18"/>
    </row>
  </sheetData>
  <mergeCells count="25">
    <mergeCell ref="B63:L63"/>
    <mergeCell ref="B64:L64"/>
    <mergeCell ref="B65:L65"/>
    <mergeCell ref="B58:L58"/>
    <mergeCell ref="B59:L59"/>
    <mergeCell ref="B60:L60"/>
    <mergeCell ref="B61:L61"/>
    <mergeCell ref="B62:L62"/>
    <mergeCell ref="B53:L53"/>
    <mergeCell ref="B54:L54"/>
    <mergeCell ref="B55:L55"/>
    <mergeCell ref="B56:L56"/>
    <mergeCell ref="B57:L57"/>
    <mergeCell ref="N10:P10"/>
    <mergeCell ref="N4:P4"/>
    <mergeCell ref="A47:K47"/>
    <mergeCell ref="B1:K1"/>
    <mergeCell ref="G42:J42"/>
    <mergeCell ref="G30:J30"/>
    <mergeCell ref="G43:J43"/>
    <mergeCell ref="B48:L48"/>
    <mergeCell ref="B49:L49"/>
    <mergeCell ref="B50:L50"/>
    <mergeCell ref="B51:L51"/>
    <mergeCell ref="B52:L52"/>
  </mergeCells>
  <pageMargins left="0.25" right="0.25" top="0.5" bottom="0.5" header="0.5" footer="0.5"/>
  <pageSetup scale="45"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7AA732-6811-4959-85ED-1F94C0B505C8}">
  <sheetPr>
    <pageSetUpPr fitToPage="1"/>
  </sheetPr>
  <dimension ref="A1:R66"/>
  <sheetViews>
    <sheetView zoomScaleNormal="100" zoomScaleSheetLayoutView="100" workbookViewId="0">
      <selection activeCell="B49" sqref="B49:L49"/>
    </sheetView>
  </sheetViews>
  <sheetFormatPr defaultColWidth="9.1796875" defaultRowHeight="13" x14ac:dyDescent="0.3"/>
  <cols>
    <col min="1" max="1" width="2" style="17" customWidth="1"/>
    <col min="2" max="2" width="36.7265625" style="17" customWidth="1"/>
    <col min="3" max="3" width="10.1796875" style="29" customWidth="1"/>
    <col min="4" max="4" width="9.90625" style="29" customWidth="1"/>
    <col min="5" max="5" width="12.7265625" style="29" customWidth="1"/>
    <col min="6" max="8" width="12.26953125" style="29" customWidth="1"/>
    <col min="9" max="9" width="10.54296875" style="29" customWidth="1"/>
    <col min="10" max="10" width="9.453125" style="29" customWidth="1"/>
    <col min="11" max="11" width="11.26953125" style="29" customWidth="1"/>
    <col min="12" max="12" width="4.1796875" style="29" customWidth="1"/>
    <col min="13" max="13" width="2.453125" style="34" customWidth="1"/>
    <col min="14" max="14" width="31.54296875" style="34" customWidth="1"/>
    <col min="15" max="15" width="12.54296875" style="34" customWidth="1"/>
    <col min="16" max="16" width="14.7265625" style="34" customWidth="1"/>
    <col min="17" max="17" width="29.54296875" style="17" customWidth="1"/>
    <col min="18" max="18" width="10.7265625" style="17" customWidth="1"/>
    <col min="19" max="19" width="10.81640625" style="17" customWidth="1"/>
    <col min="20" max="20" width="9.1796875" style="17"/>
    <col min="21" max="21" width="13.1796875" style="17" customWidth="1"/>
    <col min="22" max="16384" width="9.1796875" style="17"/>
  </cols>
  <sheetData>
    <row r="1" spans="2:16" ht="33.75" customHeight="1" x14ac:dyDescent="0.3">
      <c r="B1" s="264" t="s">
        <v>219</v>
      </c>
      <c r="C1" s="264"/>
      <c r="D1" s="264"/>
      <c r="E1" s="264"/>
      <c r="F1" s="264"/>
      <c r="G1" s="264"/>
      <c r="H1" s="264"/>
      <c r="I1" s="264"/>
      <c r="J1" s="264"/>
      <c r="K1" s="264"/>
      <c r="L1" s="57"/>
      <c r="M1" s="70"/>
      <c r="N1" s="70"/>
      <c r="O1" s="70"/>
      <c r="P1" s="71"/>
    </row>
    <row r="2" spans="2:16" x14ac:dyDescent="0.3">
      <c r="B2" s="72"/>
      <c r="C2" s="72"/>
      <c r="D2" s="72"/>
      <c r="E2" s="72"/>
      <c r="F2" s="72"/>
      <c r="G2" s="72"/>
      <c r="H2" s="72"/>
      <c r="I2" s="72"/>
      <c r="J2" s="72"/>
      <c r="K2" s="72"/>
      <c r="L2" s="72"/>
      <c r="M2" s="73"/>
      <c r="N2" s="73"/>
      <c r="O2" s="73"/>
      <c r="P2" s="73"/>
    </row>
    <row r="3" spans="2:16" ht="96.75" customHeight="1" x14ac:dyDescent="0.3">
      <c r="B3" s="138" t="s">
        <v>15</v>
      </c>
      <c r="C3" s="212" t="s">
        <v>136</v>
      </c>
      <c r="D3" s="212" t="s">
        <v>134</v>
      </c>
      <c r="E3" s="212" t="s">
        <v>135</v>
      </c>
      <c r="F3" s="213" t="s">
        <v>142</v>
      </c>
      <c r="G3" s="214" t="s">
        <v>137</v>
      </c>
      <c r="H3" s="214" t="s">
        <v>138</v>
      </c>
      <c r="I3" s="214" t="s">
        <v>139</v>
      </c>
      <c r="J3" s="214" t="s">
        <v>140</v>
      </c>
      <c r="K3" s="212" t="s">
        <v>143</v>
      </c>
      <c r="L3" s="139" t="s">
        <v>14</v>
      </c>
      <c r="M3" s="73"/>
      <c r="N3" s="73"/>
      <c r="O3" s="73"/>
      <c r="P3" s="73"/>
    </row>
    <row r="4" spans="2:16" ht="12.75" customHeight="1" x14ac:dyDescent="0.3">
      <c r="B4" s="25" t="s">
        <v>13</v>
      </c>
      <c r="C4" s="90" t="s">
        <v>132</v>
      </c>
      <c r="D4" s="21"/>
      <c r="E4" s="21"/>
      <c r="F4" s="22"/>
      <c r="G4" s="22"/>
      <c r="H4" s="22"/>
      <c r="I4" s="22"/>
      <c r="J4" s="22"/>
      <c r="K4" s="86"/>
      <c r="L4" s="86"/>
      <c r="M4" s="48"/>
      <c r="N4" s="262" t="s">
        <v>107</v>
      </c>
      <c r="O4" s="262"/>
      <c r="P4" s="262"/>
    </row>
    <row r="5" spans="2:16" x14ac:dyDescent="0.3">
      <c r="B5" s="25" t="s">
        <v>12</v>
      </c>
      <c r="C5" s="90" t="s">
        <v>132</v>
      </c>
      <c r="D5" s="21"/>
      <c r="E5" s="21"/>
      <c r="F5" s="22"/>
      <c r="G5" s="22"/>
      <c r="H5" s="22"/>
      <c r="I5" s="22"/>
      <c r="J5" s="22"/>
      <c r="K5" s="86"/>
      <c r="L5" s="86"/>
      <c r="M5" s="48"/>
      <c r="N5" s="94" t="s">
        <v>109</v>
      </c>
      <c r="O5" s="94" t="s">
        <v>108</v>
      </c>
      <c r="P5" s="20" t="s">
        <v>3</v>
      </c>
    </row>
    <row r="6" spans="2:16" x14ac:dyDescent="0.3">
      <c r="B6" s="25" t="s">
        <v>11</v>
      </c>
      <c r="C6" s="90"/>
      <c r="D6" s="21"/>
      <c r="E6" s="21"/>
      <c r="F6" s="22"/>
      <c r="G6" s="22"/>
      <c r="H6" s="22"/>
      <c r="I6" s="22"/>
      <c r="J6" s="22"/>
      <c r="K6" s="250"/>
      <c r="L6" s="86"/>
      <c r="M6" s="48"/>
      <c r="N6" s="95" t="s">
        <v>105</v>
      </c>
      <c r="O6" s="97">
        <v>119.85</v>
      </c>
      <c r="P6" s="207" t="s">
        <v>112</v>
      </c>
    </row>
    <row r="7" spans="2:16" ht="14.25" customHeight="1" x14ac:dyDescent="0.3">
      <c r="B7" s="64" t="s">
        <v>266</v>
      </c>
      <c r="C7" s="118">
        <f>(40+2+2)/3</f>
        <v>14.666666666666666</v>
      </c>
      <c r="D7" s="27">
        <v>1</v>
      </c>
      <c r="E7" s="27">
        <f>C7*D7</f>
        <v>14.666666666666666</v>
      </c>
      <c r="F7" s="26">
        <f>'Number of Respondents'!I10</f>
        <v>727</v>
      </c>
      <c r="G7" s="26">
        <v>0</v>
      </c>
      <c r="H7" s="22">
        <f>E7*F7</f>
        <v>10662.666666666666</v>
      </c>
      <c r="I7" s="26">
        <f>H7*0.05</f>
        <v>533.13333333333333</v>
      </c>
      <c r="J7" s="22">
        <f>H7*0.1</f>
        <v>1066.2666666666667</v>
      </c>
      <c r="K7" s="250">
        <f>(H7*O$7)+(I7*O$6)+(J7*O$9)</f>
        <v>1118764.3060000001</v>
      </c>
      <c r="L7" s="86" t="s">
        <v>6</v>
      </c>
      <c r="M7" s="48"/>
      <c r="N7" s="95" t="s">
        <v>106</v>
      </c>
      <c r="O7" s="97">
        <v>95.26</v>
      </c>
      <c r="P7" s="208" t="s">
        <v>2</v>
      </c>
    </row>
    <row r="8" spans="2:16" x14ac:dyDescent="0.3">
      <c r="B8" s="64" t="s">
        <v>175</v>
      </c>
      <c r="C8" s="90"/>
      <c r="D8" s="21"/>
      <c r="E8" s="21"/>
      <c r="F8" s="22"/>
      <c r="G8" s="22"/>
      <c r="H8" s="22"/>
      <c r="I8" s="22"/>
      <c r="J8" s="22"/>
      <c r="K8" s="250"/>
      <c r="L8" s="86"/>
      <c r="M8" s="48"/>
      <c r="N8" s="20" t="s">
        <v>113</v>
      </c>
      <c r="O8" s="96">
        <f>26.67+(1.1*26.67)</f>
        <v>56.007000000000005</v>
      </c>
      <c r="P8" s="208" t="s">
        <v>4</v>
      </c>
    </row>
    <row r="9" spans="2:16" x14ac:dyDescent="0.3">
      <c r="B9" s="28" t="s">
        <v>176</v>
      </c>
      <c r="C9" s="90">
        <v>12</v>
      </c>
      <c r="D9" s="21">
        <v>1</v>
      </c>
      <c r="E9" s="21">
        <f>C9*D9</f>
        <v>12</v>
      </c>
      <c r="F9" s="26">
        <f>'Number of Respondents'!I12</f>
        <v>14</v>
      </c>
      <c r="G9" s="26">
        <v>0</v>
      </c>
      <c r="H9" s="22">
        <f>E9*F9</f>
        <v>168</v>
      </c>
      <c r="I9" s="22">
        <f>H9*0.05</f>
        <v>8.4</v>
      </c>
      <c r="J9" s="22">
        <f>H9*0.1</f>
        <v>16.8</v>
      </c>
      <c r="K9" s="250">
        <f>(H9*O$7)+(I9*O$6)+(J9*O$9)</f>
        <v>17627.148000000001</v>
      </c>
      <c r="L9" s="86" t="s">
        <v>19</v>
      </c>
      <c r="M9" s="48"/>
      <c r="N9" s="95" t="s">
        <v>31</v>
      </c>
      <c r="O9" s="97">
        <v>36.71</v>
      </c>
      <c r="P9" s="208" t="s">
        <v>1</v>
      </c>
    </row>
    <row r="10" spans="2:16" ht="13.5" customHeight="1" x14ac:dyDescent="0.3">
      <c r="B10" s="28" t="s">
        <v>177</v>
      </c>
      <c r="C10" s="118">
        <f>'Table 1A-Private'!C10</f>
        <v>44</v>
      </c>
      <c r="D10" s="21">
        <v>4</v>
      </c>
      <c r="E10" s="27">
        <f>C10*D10</f>
        <v>176</v>
      </c>
      <c r="F10" s="26">
        <f>'Number of Respondents'!I13</f>
        <v>287</v>
      </c>
      <c r="G10" s="22">
        <f>E10*F10</f>
        <v>50512</v>
      </c>
      <c r="H10" s="21">
        <v>0</v>
      </c>
      <c r="I10" s="22">
        <v>0</v>
      </c>
      <c r="J10" s="22">
        <v>0</v>
      </c>
      <c r="K10" s="250">
        <f>(G10*O$8)+(I10*O$6)+(J10*O$9)</f>
        <v>2829025.5840000003</v>
      </c>
      <c r="L10" s="86" t="s">
        <v>7</v>
      </c>
      <c r="M10" s="48"/>
      <c r="N10" s="261" t="s">
        <v>114</v>
      </c>
      <c r="O10" s="261"/>
      <c r="P10" s="261"/>
    </row>
    <row r="11" spans="2:16" x14ac:dyDescent="0.3">
      <c r="B11" s="28" t="s">
        <v>178</v>
      </c>
      <c r="C11" s="118">
        <f>ROUND(2000/49.85,0)</f>
        <v>40</v>
      </c>
      <c r="D11" s="21">
        <v>12</v>
      </c>
      <c r="E11" s="27">
        <f>C11*D11</f>
        <v>480</v>
      </c>
      <c r="F11" s="26">
        <f>'Number of Respondents'!I14</f>
        <v>287</v>
      </c>
      <c r="G11" s="22">
        <f>E11*F11</f>
        <v>137760</v>
      </c>
      <c r="H11" s="21">
        <v>0</v>
      </c>
      <c r="I11" s="22">
        <v>0</v>
      </c>
      <c r="J11" s="22">
        <v>0</v>
      </c>
      <c r="K11" s="250">
        <f>(G11*O$8)+(I11*O$6)+(J11*O$9)</f>
        <v>7715524.3200000003</v>
      </c>
      <c r="L11" s="86" t="s">
        <v>7</v>
      </c>
      <c r="M11" s="48"/>
      <c r="N11" s="48"/>
      <c r="O11" s="48"/>
      <c r="P11" s="48"/>
    </row>
    <row r="12" spans="2:16" ht="26" x14ac:dyDescent="0.3">
      <c r="B12" s="64" t="s">
        <v>179</v>
      </c>
      <c r="C12" s="90" t="s">
        <v>17</v>
      </c>
      <c r="D12" s="21"/>
      <c r="E12" s="21"/>
      <c r="F12" s="22"/>
      <c r="G12" s="22"/>
      <c r="H12" s="22"/>
      <c r="I12" s="22"/>
      <c r="J12" s="22"/>
      <c r="K12" s="250"/>
      <c r="L12" s="86"/>
      <c r="M12" s="48"/>
      <c r="N12" s="48"/>
      <c r="O12" s="48"/>
      <c r="P12" s="48"/>
    </row>
    <row r="13" spans="2:16" ht="26" x14ac:dyDescent="0.3">
      <c r="B13" s="64" t="s">
        <v>180</v>
      </c>
      <c r="C13" s="90" t="s">
        <v>17</v>
      </c>
      <c r="D13" s="21"/>
      <c r="E13" s="21"/>
      <c r="F13" s="22"/>
      <c r="G13" s="22"/>
      <c r="H13" s="22"/>
      <c r="I13" s="22"/>
      <c r="J13" s="22"/>
      <c r="K13" s="250"/>
      <c r="L13" s="86"/>
      <c r="M13" s="48"/>
      <c r="N13" s="48"/>
      <c r="O13" s="48"/>
      <c r="P13" s="48"/>
    </row>
    <row r="14" spans="2:16" x14ac:dyDescent="0.3">
      <c r="B14" s="64" t="s">
        <v>181</v>
      </c>
      <c r="C14" s="90"/>
      <c r="D14" s="21"/>
      <c r="E14" s="21"/>
      <c r="F14" s="22"/>
      <c r="G14" s="22"/>
      <c r="H14" s="22"/>
      <c r="I14" s="22"/>
      <c r="J14" s="22"/>
      <c r="K14" s="250"/>
      <c r="L14" s="86"/>
      <c r="M14" s="48"/>
      <c r="N14" s="48"/>
      <c r="O14" s="48"/>
      <c r="P14" s="48"/>
    </row>
    <row r="15" spans="2:16" x14ac:dyDescent="0.3">
      <c r="B15" s="28" t="s">
        <v>28</v>
      </c>
      <c r="C15" s="90">
        <v>2</v>
      </c>
      <c r="D15" s="21">
        <v>1</v>
      </c>
      <c r="E15" s="21">
        <f t="shared" ref="E15:E22" si="0">C15*D15</f>
        <v>2</v>
      </c>
      <c r="F15" s="26">
        <f>'Number of Respondents'!I18</f>
        <v>40</v>
      </c>
      <c r="G15" s="26">
        <v>0</v>
      </c>
      <c r="H15" s="22">
        <f t="shared" ref="H15:H22" si="1">E15*F15</f>
        <v>80</v>
      </c>
      <c r="I15" s="22">
        <f t="shared" ref="I15:I22" si="2">H15*0.05</f>
        <v>4</v>
      </c>
      <c r="J15" s="22">
        <f t="shared" ref="J15:J22" si="3">H15*0.1</f>
        <v>8</v>
      </c>
      <c r="K15" s="250">
        <f t="shared" ref="K15:K22" si="4">(H15*O$7)+(I15*O$6)+(J15*O$9)</f>
        <v>8393.8799999999992</v>
      </c>
      <c r="L15" s="86" t="s">
        <v>20</v>
      </c>
      <c r="M15" s="48"/>
      <c r="N15" s="48"/>
      <c r="O15" s="48"/>
      <c r="P15" s="48"/>
    </row>
    <row r="16" spans="2:16" x14ac:dyDescent="0.3">
      <c r="B16" s="28" t="s">
        <v>66</v>
      </c>
      <c r="C16" s="90">
        <v>2</v>
      </c>
      <c r="D16" s="21">
        <v>1</v>
      </c>
      <c r="E16" s="21">
        <f t="shared" si="0"/>
        <v>2</v>
      </c>
      <c r="F16" s="26">
        <f>'Number of Respondents'!I19</f>
        <v>12</v>
      </c>
      <c r="G16" s="26">
        <v>0</v>
      </c>
      <c r="H16" s="22">
        <f t="shared" si="1"/>
        <v>24</v>
      </c>
      <c r="I16" s="22">
        <f t="shared" si="2"/>
        <v>1.2000000000000002</v>
      </c>
      <c r="J16" s="22">
        <f t="shared" si="3"/>
        <v>2.4000000000000004</v>
      </c>
      <c r="K16" s="250">
        <f t="shared" si="4"/>
        <v>2518.1640000000002</v>
      </c>
      <c r="L16" s="86" t="s">
        <v>21</v>
      </c>
      <c r="M16" s="48"/>
      <c r="N16" s="165"/>
      <c r="O16" s="48"/>
      <c r="P16" s="48"/>
    </row>
    <row r="17" spans="2:16" x14ac:dyDescent="0.3">
      <c r="B17" s="28" t="s">
        <v>67</v>
      </c>
      <c r="C17" s="90">
        <v>8</v>
      </c>
      <c r="D17" s="21">
        <v>1</v>
      </c>
      <c r="E17" s="21">
        <f t="shared" si="0"/>
        <v>8</v>
      </c>
      <c r="F17" s="26">
        <f>'Number of Respondents'!I20</f>
        <v>21</v>
      </c>
      <c r="G17" s="26">
        <v>0</v>
      </c>
      <c r="H17" s="22">
        <f t="shared" si="1"/>
        <v>168</v>
      </c>
      <c r="I17" s="22">
        <f t="shared" si="2"/>
        <v>8.4</v>
      </c>
      <c r="J17" s="22">
        <f t="shared" si="3"/>
        <v>16.8</v>
      </c>
      <c r="K17" s="250">
        <f t="shared" si="4"/>
        <v>17627.148000000001</v>
      </c>
      <c r="L17" s="86" t="s">
        <v>22</v>
      </c>
      <c r="M17" s="48"/>
      <c r="N17" s="48"/>
      <c r="O17" s="48"/>
      <c r="P17" s="48"/>
    </row>
    <row r="18" spans="2:16" x14ac:dyDescent="0.3">
      <c r="B18" s="28" t="s">
        <v>68</v>
      </c>
      <c r="C18" s="118">
        <v>12</v>
      </c>
      <c r="D18" s="21">
        <v>1</v>
      </c>
      <c r="E18" s="27">
        <f t="shared" si="0"/>
        <v>12</v>
      </c>
      <c r="F18" s="26">
        <f>'Number of Respondents'!I21</f>
        <v>21</v>
      </c>
      <c r="G18" s="26">
        <v>0</v>
      </c>
      <c r="H18" s="22">
        <f t="shared" si="1"/>
        <v>252</v>
      </c>
      <c r="I18" s="22">
        <f t="shared" si="2"/>
        <v>12.600000000000001</v>
      </c>
      <c r="J18" s="22">
        <f t="shared" si="3"/>
        <v>25.200000000000003</v>
      </c>
      <c r="K18" s="250">
        <f t="shared" si="4"/>
        <v>26440.722000000002</v>
      </c>
      <c r="L18" s="86" t="s">
        <v>22</v>
      </c>
      <c r="M18" s="48"/>
      <c r="N18" s="48"/>
      <c r="O18" s="48"/>
      <c r="P18" s="48"/>
    </row>
    <row r="19" spans="2:16" ht="13.5" customHeight="1" x14ac:dyDescent="0.3">
      <c r="B19" s="28" t="s">
        <v>69</v>
      </c>
      <c r="C19" s="90">
        <v>1</v>
      </c>
      <c r="D19" s="21">
        <v>1</v>
      </c>
      <c r="E19" s="21">
        <f t="shared" si="0"/>
        <v>1</v>
      </c>
      <c r="F19" s="26">
        <f>'Number of Respondents'!I22</f>
        <v>19</v>
      </c>
      <c r="G19" s="26">
        <v>0</v>
      </c>
      <c r="H19" s="22">
        <f t="shared" si="1"/>
        <v>19</v>
      </c>
      <c r="I19" s="22">
        <f t="shared" si="2"/>
        <v>0.95000000000000007</v>
      </c>
      <c r="J19" s="22">
        <f t="shared" si="3"/>
        <v>1.9000000000000001</v>
      </c>
      <c r="K19" s="250">
        <f t="shared" si="4"/>
        <v>1993.5465000000002</v>
      </c>
      <c r="L19" s="86" t="s">
        <v>23</v>
      </c>
      <c r="M19" s="48"/>
      <c r="N19" s="48"/>
      <c r="O19" s="48"/>
      <c r="P19" s="48"/>
    </row>
    <row r="20" spans="2:16" x14ac:dyDescent="0.3">
      <c r="B20" s="28" t="s">
        <v>70</v>
      </c>
      <c r="C20" s="90">
        <f>3*C18</f>
        <v>36</v>
      </c>
      <c r="D20" s="21">
        <v>1</v>
      </c>
      <c r="E20" s="21">
        <f t="shared" si="0"/>
        <v>36</v>
      </c>
      <c r="F20" s="26">
        <f>'Number of Respondents'!I23</f>
        <v>0</v>
      </c>
      <c r="G20" s="26">
        <v>0</v>
      </c>
      <c r="H20" s="22">
        <f t="shared" si="1"/>
        <v>0</v>
      </c>
      <c r="I20" s="22">
        <f t="shared" si="2"/>
        <v>0</v>
      </c>
      <c r="J20" s="22">
        <f t="shared" si="3"/>
        <v>0</v>
      </c>
      <c r="K20" s="250">
        <f t="shared" si="4"/>
        <v>0</v>
      </c>
      <c r="L20" s="86" t="s">
        <v>169</v>
      </c>
      <c r="M20" s="48"/>
      <c r="N20" s="48"/>
      <c r="O20" s="48"/>
      <c r="P20" s="48"/>
    </row>
    <row r="21" spans="2:16" ht="26" x14ac:dyDescent="0.3">
      <c r="B21" s="28" t="s">
        <v>71</v>
      </c>
      <c r="C21" s="90">
        <v>80</v>
      </c>
      <c r="D21" s="21">
        <v>1</v>
      </c>
      <c r="E21" s="21">
        <f t="shared" si="0"/>
        <v>80</v>
      </c>
      <c r="F21" s="26">
        <f>'Number of Respondents'!I24</f>
        <v>14</v>
      </c>
      <c r="G21" s="26">
        <v>0</v>
      </c>
      <c r="H21" s="22">
        <f t="shared" si="1"/>
        <v>1120</v>
      </c>
      <c r="I21" s="22">
        <f t="shared" si="2"/>
        <v>56</v>
      </c>
      <c r="J21" s="22">
        <f t="shared" si="3"/>
        <v>112</v>
      </c>
      <c r="K21" s="250">
        <f t="shared" si="4"/>
        <v>117514.32000000002</v>
      </c>
      <c r="L21" s="86" t="s">
        <v>170</v>
      </c>
      <c r="M21" s="48"/>
      <c r="N21" s="48"/>
      <c r="O21" s="48"/>
      <c r="P21" s="48"/>
    </row>
    <row r="22" spans="2:16" x14ac:dyDescent="0.3">
      <c r="B22" s="28" t="s">
        <v>167</v>
      </c>
      <c r="C22" s="90">
        <v>20</v>
      </c>
      <c r="D22" s="21">
        <v>1</v>
      </c>
      <c r="E22" s="21">
        <f t="shared" si="0"/>
        <v>20</v>
      </c>
      <c r="F22" s="119">
        <f>'Number of Respondents'!I25</f>
        <v>1.4080000000000004</v>
      </c>
      <c r="G22" s="119">
        <v>0</v>
      </c>
      <c r="H22" s="22">
        <f t="shared" si="1"/>
        <v>28.160000000000007</v>
      </c>
      <c r="I22" s="22">
        <f t="shared" si="2"/>
        <v>1.4080000000000004</v>
      </c>
      <c r="J22" s="22">
        <f t="shared" si="3"/>
        <v>2.8160000000000007</v>
      </c>
      <c r="K22" s="250">
        <f t="shared" si="4"/>
        <v>2954.6457600000008</v>
      </c>
      <c r="L22" s="86" t="s">
        <v>25</v>
      </c>
      <c r="M22" s="48"/>
      <c r="N22" s="48"/>
      <c r="O22" s="48"/>
      <c r="P22" s="48"/>
    </row>
    <row r="23" spans="2:16" ht="26" x14ac:dyDescent="0.3">
      <c r="B23" s="28" t="s">
        <v>72</v>
      </c>
      <c r="C23" s="90" t="s">
        <v>17</v>
      </c>
      <c r="D23" s="21"/>
      <c r="E23" s="21"/>
      <c r="F23" s="26"/>
      <c r="G23" s="26"/>
      <c r="H23" s="22"/>
      <c r="I23" s="22"/>
      <c r="J23" s="22"/>
      <c r="K23" s="250"/>
      <c r="L23" s="86"/>
      <c r="M23" s="48"/>
      <c r="N23" s="48"/>
      <c r="O23" s="48"/>
      <c r="P23" s="48"/>
    </row>
    <row r="24" spans="2:16" ht="26" x14ac:dyDescent="0.3">
      <c r="B24" s="28" t="s">
        <v>73</v>
      </c>
      <c r="C24" s="90" t="s">
        <v>17</v>
      </c>
      <c r="D24" s="21"/>
      <c r="E24" s="21"/>
      <c r="F24" s="26"/>
      <c r="G24" s="26"/>
      <c r="H24" s="22"/>
      <c r="I24" s="22"/>
      <c r="J24" s="22"/>
      <c r="K24" s="250"/>
      <c r="L24" s="86"/>
      <c r="M24" s="48"/>
      <c r="N24" s="48"/>
      <c r="O24" s="48"/>
      <c r="P24" s="48"/>
    </row>
    <row r="25" spans="2:16" x14ac:dyDescent="0.3">
      <c r="B25" s="28" t="s">
        <v>74</v>
      </c>
      <c r="C25" s="90">
        <v>27</v>
      </c>
      <c r="D25" s="21">
        <v>1</v>
      </c>
      <c r="E25" s="21">
        <f>C25*D25</f>
        <v>27</v>
      </c>
      <c r="F25" s="26">
        <f>'Number of Respondents'!I28</f>
        <v>287</v>
      </c>
      <c r="G25" s="26">
        <v>0</v>
      </c>
      <c r="H25" s="22">
        <f>E25*F25</f>
        <v>7749</v>
      </c>
      <c r="I25" s="22">
        <f>H25*0.05</f>
        <v>387.45000000000005</v>
      </c>
      <c r="J25" s="22">
        <f>H25*0.1</f>
        <v>774.90000000000009</v>
      </c>
      <c r="K25" s="250">
        <f>(H25*O$7)+(I25*O$6)+(J25*O$9)</f>
        <v>813052.20149999997</v>
      </c>
      <c r="L25" s="86" t="s">
        <v>26</v>
      </c>
      <c r="M25" s="48"/>
      <c r="N25" s="48"/>
      <c r="O25" s="48"/>
      <c r="P25" s="48"/>
    </row>
    <row r="26" spans="2:16" x14ac:dyDescent="0.3">
      <c r="B26" s="28" t="s">
        <v>101</v>
      </c>
      <c r="C26" s="90">
        <v>15</v>
      </c>
      <c r="D26" s="21">
        <v>1</v>
      </c>
      <c r="E26" s="21">
        <f>C26*D26</f>
        <v>15</v>
      </c>
      <c r="F26" s="26">
        <f>'Number of Respondents'!I29</f>
        <v>1</v>
      </c>
      <c r="G26" s="26">
        <v>0</v>
      </c>
      <c r="H26" s="22">
        <f>E26*F26</f>
        <v>15</v>
      </c>
      <c r="I26" s="22">
        <f>H26*0.05</f>
        <v>0.75</v>
      </c>
      <c r="J26" s="22">
        <f t="shared" ref="J26:J29" si="5">H26*0.1</f>
        <v>1.5</v>
      </c>
      <c r="K26" s="250">
        <f>(H26*O$7)+(I26*O$6)+(J26*O$9)</f>
        <v>1573.8525000000002</v>
      </c>
      <c r="L26" s="86" t="s">
        <v>27</v>
      </c>
      <c r="M26" s="48"/>
      <c r="N26" s="48"/>
      <c r="O26" s="48"/>
      <c r="P26" s="48"/>
    </row>
    <row r="27" spans="2:16" x14ac:dyDescent="0.3">
      <c r="B27" s="28" t="s">
        <v>102</v>
      </c>
      <c r="C27" s="90">
        <v>15</v>
      </c>
      <c r="D27" s="21">
        <v>1</v>
      </c>
      <c r="E27" s="21">
        <f>C27*D27</f>
        <v>15</v>
      </c>
      <c r="F27" s="26">
        <f>'Number of Respondents'!I30</f>
        <v>1</v>
      </c>
      <c r="G27" s="26">
        <v>0</v>
      </c>
      <c r="H27" s="22">
        <f>E27*F27</f>
        <v>15</v>
      </c>
      <c r="I27" s="22">
        <f>H27*0.05</f>
        <v>0.75</v>
      </c>
      <c r="J27" s="22">
        <f t="shared" si="5"/>
        <v>1.5</v>
      </c>
      <c r="K27" s="250">
        <f>(H27*O$7)+(I27*O$6)+(J27*O$9)</f>
        <v>1573.8525000000002</v>
      </c>
      <c r="L27" s="86" t="s">
        <v>27</v>
      </c>
      <c r="M27" s="48"/>
      <c r="N27" s="48"/>
      <c r="O27" s="48"/>
      <c r="P27" s="48"/>
    </row>
    <row r="28" spans="2:16" x14ac:dyDescent="0.3">
      <c r="B28" s="28" t="s">
        <v>103</v>
      </c>
      <c r="C28" s="90">
        <v>15</v>
      </c>
      <c r="D28" s="21">
        <v>1</v>
      </c>
      <c r="E28" s="21">
        <f>C28*D28</f>
        <v>15</v>
      </c>
      <c r="F28" s="26">
        <f>'Number of Respondents'!I31</f>
        <v>1</v>
      </c>
      <c r="G28" s="26">
        <v>0</v>
      </c>
      <c r="H28" s="22">
        <f>E28*F28</f>
        <v>15</v>
      </c>
      <c r="I28" s="22">
        <f>H28*0.05</f>
        <v>0.75</v>
      </c>
      <c r="J28" s="22">
        <f t="shared" si="5"/>
        <v>1.5</v>
      </c>
      <c r="K28" s="250">
        <f>(H28*O$7)+(I28*O$6)+(J28*O$9)</f>
        <v>1573.8525000000002</v>
      </c>
      <c r="L28" s="86" t="s">
        <v>27</v>
      </c>
      <c r="M28" s="48"/>
      <c r="N28" s="48"/>
      <c r="O28" s="48"/>
      <c r="P28" s="48"/>
    </row>
    <row r="29" spans="2:16" x14ac:dyDescent="0.3">
      <c r="B29" s="28" t="s">
        <v>104</v>
      </c>
      <c r="C29" s="90">
        <v>15</v>
      </c>
      <c r="D29" s="21">
        <v>1</v>
      </c>
      <c r="E29" s="21">
        <f>C29*D29</f>
        <v>15</v>
      </c>
      <c r="F29" s="26">
        <f>'Number of Respondents'!I32</f>
        <v>82</v>
      </c>
      <c r="G29" s="26">
        <v>0</v>
      </c>
      <c r="H29" s="22">
        <f>E29*F29</f>
        <v>1230</v>
      </c>
      <c r="I29" s="22">
        <f>H29*0.05</f>
        <v>61.5</v>
      </c>
      <c r="J29" s="22">
        <f t="shared" si="5"/>
        <v>123</v>
      </c>
      <c r="K29" s="250">
        <f>(H29*O$7)+(I29*O$6)+(J29*O$9)</f>
        <v>129055.905</v>
      </c>
      <c r="L29" s="86" t="s">
        <v>65</v>
      </c>
      <c r="M29" s="48"/>
      <c r="N29" s="165"/>
      <c r="O29" s="48"/>
      <c r="P29" s="48"/>
    </row>
    <row r="30" spans="2:16" ht="15" customHeight="1" x14ac:dyDescent="0.35">
      <c r="B30" s="140" t="s">
        <v>110</v>
      </c>
      <c r="C30" s="141"/>
      <c r="D30" s="30"/>
      <c r="E30" s="30"/>
      <c r="F30" s="31"/>
      <c r="G30" s="265">
        <f>SUM(G7:J29)</f>
        <v>213049.70066666667</v>
      </c>
      <c r="H30" s="266"/>
      <c r="I30" s="266"/>
      <c r="J30" s="267"/>
      <c r="K30" s="251">
        <f>SUM(K7:K29)</f>
        <v>12805213.448259998</v>
      </c>
      <c r="L30" s="142"/>
      <c r="M30" s="145"/>
      <c r="N30" s="145"/>
      <c r="O30" s="145"/>
      <c r="P30" s="127"/>
    </row>
    <row r="31" spans="2:16" x14ac:dyDescent="0.3">
      <c r="B31" s="25" t="s">
        <v>9</v>
      </c>
      <c r="C31" s="90"/>
      <c r="D31" s="21"/>
      <c r="E31" s="21"/>
      <c r="F31" s="22"/>
      <c r="G31" s="22"/>
      <c r="H31" s="22"/>
      <c r="I31" s="22"/>
      <c r="J31" s="22"/>
      <c r="K31" s="250"/>
      <c r="L31" s="86"/>
      <c r="M31" s="48"/>
      <c r="N31" s="48"/>
      <c r="O31" s="48"/>
      <c r="P31" s="48"/>
    </row>
    <row r="32" spans="2:16" ht="26" x14ac:dyDescent="0.3">
      <c r="B32" s="64" t="s">
        <v>182</v>
      </c>
      <c r="C32" s="90" t="s">
        <v>8</v>
      </c>
      <c r="D32" s="21"/>
      <c r="E32" s="21"/>
      <c r="F32" s="22"/>
      <c r="G32" s="22"/>
      <c r="H32" s="22"/>
      <c r="I32" s="22"/>
      <c r="J32" s="22"/>
      <c r="K32" s="250"/>
      <c r="L32" s="86"/>
      <c r="M32" s="48"/>
      <c r="N32" s="48"/>
      <c r="O32" s="48"/>
      <c r="P32" s="48"/>
    </row>
    <row r="33" spans="1:18" x14ac:dyDescent="0.3">
      <c r="B33" s="64" t="s">
        <v>183</v>
      </c>
      <c r="C33" s="90" t="s">
        <v>132</v>
      </c>
      <c r="D33" s="21"/>
      <c r="E33" s="21"/>
      <c r="F33" s="22"/>
      <c r="G33" s="22"/>
      <c r="H33" s="22"/>
      <c r="I33" s="22"/>
      <c r="J33" s="22"/>
      <c r="K33" s="250"/>
      <c r="L33" s="86"/>
      <c r="M33" s="48"/>
      <c r="N33" s="48"/>
      <c r="O33" s="48"/>
      <c r="P33" s="48"/>
    </row>
    <row r="34" spans="1:18" x14ac:dyDescent="0.3">
      <c r="B34" s="64" t="s">
        <v>184</v>
      </c>
      <c r="C34" s="90" t="s">
        <v>132</v>
      </c>
      <c r="D34" s="21"/>
      <c r="E34" s="21"/>
      <c r="F34" s="22"/>
      <c r="G34" s="22"/>
      <c r="H34" s="22"/>
      <c r="I34" s="22"/>
      <c r="J34" s="22"/>
      <c r="K34" s="250"/>
      <c r="L34" s="86"/>
      <c r="M34" s="48"/>
      <c r="N34" s="48"/>
      <c r="O34" s="48"/>
      <c r="P34" s="48"/>
    </row>
    <row r="35" spans="1:18" x14ac:dyDescent="0.3">
      <c r="B35" s="64" t="s">
        <v>185</v>
      </c>
      <c r="C35" s="90" t="s">
        <v>132</v>
      </c>
      <c r="D35" s="21"/>
      <c r="E35" s="21"/>
      <c r="F35" s="22"/>
      <c r="G35" s="22"/>
      <c r="H35" s="22"/>
      <c r="I35" s="22"/>
      <c r="J35" s="22"/>
      <c r="K35" s="250"/>
      <c r="L35" s="86"/>
      <c r="M35" s="48"/>
      <c r="N35" s="48"/>
      <c r="O35" s="48"/>
      <c r="P35" s="48"/>
    </row>
    <row r="36" spans="1:18" ht="13.5" customHeight="1" x14ac:dyDescent="0.3">
      <c r="B36" s="64" t="s">
        <v>186</v>
      </c>
      <c r="C36" s="90"/>
      <c r="D36" s="21"/>
      <c r="E36" s="21"/>
      <c r="F36" s="22"/>
      <c r="G36" s="22"/>
      <c r="H36" s="22"/>
      <c r="I36" s="22"/>
      <c r="J36" s="22"/>
      <c r="K36" s="250"/>
      <c r="L36" s="86"/>
      <c r="M36" s="48"/>
      <c r="N36" s="48"/>
      <c r="O36" s="48"/>
      <c r="P36" s="48"/>
    </row>
    <row r="37" spans="1:18" ht="27" customHeight="1" x14ac:dyDescent="0.3">
      <c r="B37" s="28" t="s">
        <v>78</v>
      </c>
      <c r="C37" s="90">
        <v>5</v>
      </c>
      <c r="D37" s="21">
        <v>12</v>
      </c>
      <c r="E37" s="21">
        <f>C37*D37</f>
        <v>60</v>
      </c>
      <c r="F37" s="26">
        <f>'Number of Respondents'!I40</f>
        <v>287</v>
      </c>
      <c r="G37" s="26">
        <v>0</v>
      </c>
      <c r="H37" s="22">
        <f>E37*F37</f>
        <v>17220</v>
      </c>
      <c r="I37" s="22">
        <f>H37*0.05</f>
        <v>861</v>
      </c>
      <c r="J37" s="22">
        <f>H37*0.1</f>
        <v>1722</v>
      </c>
      <c r="K37" s="250">
        <f>(H37*O$7)+(I37*O$6)+(J37*O$9)</f>
        <v>1806782.6700000004</v>
      </c>
      <c r="L37" s="86" t="s">
        <v>64</v>
      </c>
      <c r="M37" s="48"/>
      <c r="N37" s="48"/>
      <c r="O37" s="48"/>
      <c r="P37" s="48"/>
    </row>
    <row r="38" spans="1:18" ht="27" customHeight="1" x14ac:dyDescent="0.3">
      <c r="B38" s="28" t="s">
        <v>76</v>
      </c>
      <c r="C38" s="90">
        <v>11</v>
      </c>
      <c r="D38" s="21">
        <v>12</v>
      </c>
      <c r="E38" s="21">
        <f>C38*D38</f>
        <v>132</v>
      </c>
      <c r="F38" s="26">
        <f>'Number of Respondents'!I41</f>
        <v>287</v>
      </c>
      <c r="G38" s="26">
        <v>0</v>
      </c>
      <c r="H38" s="22">
        <f>E38*F38</f>
        <v>37884</v>
      </c>
      <c r="I38" s="22">
        <f>H38*0.05</f>
        <v>1894.2</v>
      </c>
      <c r="J38" s="22">
        <f>H38*0.1</f>
        <v>3788.4</v>
      </c>
      <c r="K38" s="250">
        <f>(H38*O$7)+(I38*O$6)+(J38*O$9)</f>
        <v>3974921.8740000003</v>
      </c>
      <c r="L38" s="86" t="s">
        <v>64</v>
      </c>
      <c r="M38" s="48"/>
      <c r="N38" s="48"/>
      <c r="O38" s="48"/>
      <c r="P38" s="48"/>
    </row>
    <row r="39" spans="1:18" ht="13.5" customHeight="1" x14ac:dyDescent="0.3">
      <c r="B39" s="28" t="s">
        <v>75</v>
      </c>
      <c r="C39" s="90">
        <v>4</v>
      </c>
      <c r="D39" s="21">
        <v>1</v>
      </c>
      <c r="E39" s="21">
        <f>C39*D39</f>
        <v>4</v>
      </c>
      <c r="F39" s="26">
        <f>'Number of Respondents'!I42</f>
        <v>72</v>
      </c>
      <c r="G39" s="26">
        <v>0</v>
      </c>
      <c r="H39" s="22">
        <f>E39*F39</f>
        <v>288</v>
      </c>
      <c r="I39" s="22">
        <f>H39*0.05</f>
        <v>14.4</v>
      </c>
      <c r="J39" s="22">
        <f>H39*0.1</f>
        <v>28.8</v>
      </c>
      <c r="K39" s="250">
        <f>(H39*O$7)+(I39*O$6)+(J39*O$9)</f>
        <v>30217.968000000001</v>
      </c>
      <c r="L39" s="86" t="s">
        <v>77</v>
      </c>
      <c r="M39" s="48"/>
      <c r="N39" s="165"/>
      <c r="O39" s="48"/>
      <c r="P39" s="48"/>
    </row>
    <row r="40" spans="1:18" ht="13.5" customHeight="1" x14ac:dyDescent="0.3">
      <c r="B40" s="64" t="s">
        <v>187</v>
      </c>
      <c r="C40" s="90" t="s">
        <v>132</v>
      </c>
      <c r="D40" s="21"/>
      <c r="E40" s="21"/>
      <c r="F40" s="26"/>
      <c r="G40" s="26"/>
      <c r="H40" s="23"/>
      <c r="I40" s="23"/>
      <c r="J40" s="23"/>
      <c r="K40" s="250"/>
      <c r="L40" s="86"/>
      <c r="M40" s="48"/>
      <c r="N40" s="48"/>
      <c r="O40" s="48"/>
      <c r="P40" s="48"/>
    </row>
    <row r="41" spans="1:18" x14ac:dyDescent="0.3">
      <c r="B41" s="64" t="s">
        <v>188</v>
      </c>
      <c r="C41" s="90" t="s">
        <v>132</v>
      </c>
      <c r="D41" s="21"/>
      <c r="E41" s="21"/>
      <c r="F41" s="26"/>
      <c r="G41" s="26"/>
      <c r="H41" s="22"/>
      <c r="I41" s="22"/>
      <c r="J41" s="22"/>
      <c r="K41" s="250"/>
      <c r="L41" s="86"/>
      <c r="M41" s="48"/>
      <c r="N41" s="270" t="s">
        <v>214</v>
      </c>
      <c r="O41" s="270"/>
      <c r="P41" s="48"/>
    </row>
    <row r="42" spans="1:18" ht="15" customHeight="1" x14ac:dyDescent="0.35">
      <c r="B42" s="153" t="s">
        <v>111</v>
      </c>
      <c r="C42" s="141"/>
      <c r="D42" s="30"/>
      <c r="E42" s="30"/>
      <c r="F42" s="120"/>
      <c r="G42" s="265">
        <f>SUM(G37:J39)</f>
        <v>63700.800000000003</v>
      </c>
      <c r="H42" s="266"/>
      <c r="I42" s="266"/>
      <c r="J42" s="267"/>
      <c r="K42" s="251">
        <f>SUM(K32:K41)</f>
        <v>5811922.512000001</v>
      </c>
      <c r="L42" s="142"/>
      <c r="M42" s="145"/>
      <c r="N42" s="22">
        <f>ROUND(G30+G42+'Table 1A-Private'!G30+'Table 1A-Private'!G42,-3)</f>
        <v>634000</v>
      </c>
      <c r="O42" s="142" t="s">
        <v>29</v>
      </c>
      <c r="P42" s="127"/>
    </row>
    <row r="43" spans="1:18" s="32" customFormat="1" ht="15" customHeight="1" x14ac:dyDescent="0.3">
      <c r="B43" s="163" t="s">
        <v>171</v>
      </c>
      <c r="C43" s="92"/>
      <c r="D43" s="93"/>
      <c r="E43" s="93"/>
      <c r="F43" s="121"/>
      <c r="G43" s="268">
        <f>ROUND(SUM(G30,G42),-2)</f>
        <v>276800</v>
      </c>
      <c r="H43" s="269"/>
      <c r="I43" s="269"/>
      <c r="J43" s="271"/>
      <c r="K43" s="252">
        <f>ROUND(K30+K42,-4)</f>
        <v>18620000</v>
      </c>
      <c r="L43" s="86" t="s">
        <v>99</v>
      </c>
      <c r="M43" s="48"/>
      <c r="N43" s="86">
        <f>ROUND(K30+K42+'Table 1A-Private'!K30+'Table 1A-Private'!K42,-5)</f>
        <v>42800000</v>
      </c>
      <c r="O43" s="86" t="s">
        <v>215</v>
      </c>
      <c r="P43" s="33"/>
      <c r="Q43" s="17"/>
      <c r="R43" s="17"/>
    </row>
    <row r="44" spans="1:18" s="32" customFormat="1" x14ac:dyDescent="0.3">
      <c r="B44" s="164" t="s">
        <v>172</v>
      </c>
      <c r="C44" s="92"/>
      <c r="D44" s="93"/>
      <c r="E44" s="93"/>
      <c r="F44" s="121"/>
      <c r="G44" s="121"/>
      <c r="H44" s="161"/>
      <c r="I44" s="161"/>
      <c r="J44" s="161"/>
      <c r="K44" s="252">
        <f>'Capital O&amp;M'!M14</f>
        <v>1240000</v>
      </c>
      <c r="L44" s="86" t="s">
        <v>99</v>
      </c>
      <c r="M44" s="48"/>
      <c r="N44" s="86">
        <f>ROUND('Capital O&amp;M'!L12+'Capital O&amp;M'!L13+'Capital O&amp;M'!M12+'Capital O&amp;M'!M13,-4)</f>
        <v>2760000</v>
      </c>
      <c r="O44" s="147" t="s">
        <v>216</v>
      </c>
      <c r="P44" s="33"/>
      <c r="Q44" s="17"/>
      <c r="R44" s="17"/>
    </row>
    <row r="45" spans="1:18" s="32" customFormat="1" x14ac:dyDescent="0.3">
      <c r="B45" s="164" t="s">
        <v>173</v>
      </c>
      <c r="C45" s="92"/>
      <c r="D45" s="93"/>
      <c r="E45" s="93"/>
      <c r="F45" s="121"/>
      <c r="G45" s="121"/>
      <c r="H45" s="161"/>
      <c r="I45" s="161"/>
      <c r="J45" s="161"/>
      <c r="K45" s="252">
        <f>ROUND(K43+K44,-5)</f>
        <v>19900000</v>
      </c>
      <c r="L45" s="86" t="s">
        <v>99</v>
      </c>
      <c r="M45" s="48"/>
      <c r="N45" s="86">
        <f>ROUND(N43+N44,-5)</f>
        <v>45600000</v>
      </c>
      <c r="O45" s="86" t="s">
        <v>217</v>
      </c>
      <c r="P45" s="133"/>
      <c r="Q45" s="17"/>
      <c r="R45" s="17"/>
    </row>
    <row r="46" spans="1:18" ht="12.75" customHeight="1" x14ac:dyDescent="0.3">
      <c r="A46" s="143" t="s">
        <v>121</v>
      </c>
      <c r="B46" s="35"/>
      <c r="C46" s="35"/>
      <c r="D46" s="35"/>
      <c r="E46" s="35"/>
      <c r="F46" s="35"/>
      <c r="G46" s="35"/>
      <c r="H46" s="35"/>
      <c r="I46" s="35"/>
      <c r="J46" s="35"/>
      <c r="K46" s="35"/>
      <c r="L46" s="35"/>
      <c r="M46" s="128"/>
      <c r="N46" s="128"/>
      <c r="O46" s="128"/>
      <c r="P46" s="128"/>
    </row>
    <row r="47" spans="1:18" s="40" customFormat="1" ht="39" customHeight="1" x14ac:dyDescent="0.35">
      <c r="A47" s="137" t="s">
        <v>10</v>
      </c>
      <c r="B47" s="259" t="s">
        <v>267</v>
      </c>
      <c r="C47" s="259"/>
      <c r="D47" s="259"/>
      <c r="E47" s="259"/>
      <c r="F47" s="259"/>
      <c r="G47" s="259"/>
      <c r="H47" s="259"/>
      <c r="I47" s="259"/>
      <c r="J47" s="259"/>
      <c r="K47" s="259"/>
      <c r="L47" s="259"/>
      <c r="M47" s="129"/>
      <c r="N47" s="158"/>
      <c r="O47" s="129"/>
      <c r="P47" s="146"/>
    </row>
    <row r="48" spans="1:18" s="40" customFormat="1" ht="53.25" customHeight="1" x14ac:dyDescent="0.35">
      <c r="A48" s="137" t="s">
        <v>18</v>
      </c>
      <c r="B48" s="260" t="s">
        <v>165</v>
      </c>
      <c r="C48" s="260"/>
      <c r="D48" s="260"/>
      <c r="E48" s="260"/>
      <c r="F48" s="260"/>
      <c r="G48" s="260"/>
      <c r="H48" s="260"/>
      <c r="I48" s="260"/>
      <c r="J48" s="260"/>
      <c r="K48" s="260"/>
      <c r="L48" s="260"/>
      <c r="M48" s="91"/>
      <c r="N48" s="91"/>
      <c r="O48" s="91"/>
      <c r="P48" s="91"/>
    </row>
    <row r="49" spans="1:17" s="40" customFormat="1" ht="42.75" customHeight="1" x14ac:dyDescent="0.35">
      <c r="A49" s="137" t="s">
        <v>6</v>
      </c>
      <c r="B49" s="260" t="s">
        <v>382</v>
      </c>
      <c r="C49" s="260"/>
      <c r="D49" s="260"/>
      <c r="E49" s="260"/>
      <c r="F49" s="260"/>
      <c r="G49" s="260"/>
      <c r="H49" s="260"/>
      <c r="I49" s="260"/>
      <c r="J49" s="260"/>
      <c r="K49" s="260"/>
      <c r="L49" s="260"/>
      <c r="M49" s="197"/>
      <c r="N49" s="91"/>
      <c r="O49" s="91"/>
      <c r="P49" s="146"/>
    </row>
    <row r="50" spans="1:17" s="40" customFormat="1" ht="42.75" customHeight="1" x14ac:dyDescent="0.35">
      <c r="A50" s="137" t="s">
        <v>19</v>
      </c>
      <c r="B50" s="260" t="s">
        <v>227</v>
      </c>
      <c r="C50" s="260"/>
      <c r="D50" s="260"/>
      <c r="E50" s="260"/>
      <c r="F50" s="260"/>
      <c r="G50" s="260"/>
      <c r="H50" s="260"/>
      <c r="I50" s="260"/>
      <c r="J50" s="260"/>
      <c r="K50" s="260"/>
      <c r="L50" s="260"/>
      <c r="M50" s="91"/>
      <c r="N50" s="91"/>
      <c r="O50" s="91"/>
      <c r="P50" s="91"/>
    </row>
    <row r="51" spans="1:17" s="40" customFormat="1" ht="96" customHeight="1" x14ac:dyDescent="0.35">
      <c r="A51" s="137" t="s">
        <v>7</v>
      </c>
      <c r="B51" s="260" t="s">
        <v>228</v>
      </c>
      <c r="C51" s="260"/>
      <c r="D51" s="260"/>
      <c r="E51" s="260"/>
      <c r="F51" s="260"/>
      <c r="G51" s="260"/>
      <c r="H51" s="260"/>
      <c r="I51" s="260"/>
      <c r="J51" s="260"/>
      <c r="K51" s="260"/>
      <c r="L51" s="260"/>
      <c r="M51" s="91"/>
      <c r="N51" s="91"/>
      <c r="O51" s="91"/>
      <c r="P51" s="91"/>
      <c r="Q51" s="59"/>
    </row>
    <row r="52" spans="1:17" s="40" customFormat="1" ht="42.75" customHeight="1" x14ac:dyDescent="0.35">
      <c r="A52" s="137" t="s">
        <v>20</v>
      </c>
      <c r="B52" s="260" t="s">
        <v>362</v>
      </c>
      <c r="C52" s="260"/>
      <c r="D52" s="260"/>
      <c r="E52" s="260"/>
      <c r="F52" s="260"/>
      <c r="G52" s="260"/>
      <c r="H52" s="260"/>
      <c r="I52" s="260"/>
      <c r="J52" s="260"/>
      <c r="K52" s="260"/>
      <c r="L52" s="260"/>
      <c r="M52" s="169"/>
      <c r="N52" s="136"/>
      <c r="P52" s="91"/>
    </row>
    <row r="53" spans="1:17" s="40" customFormat="1" ht="43.5" customHeight="1" x14ac:dyDescent="0.35">
      <c r="A53" s="137" t="s">
        <v>21</v>
      </c>
      <c r="B53" s="260" t="s">
        <v>268</v>
      </c>
      <c r="C53" s="260"/>
      <c r="D53" s="260"/>
      <c r="E53" s="260"/>
      <c r="F53" s="260"/>
      <c r="G53" s="260"/>
      <c r="H53" s="260"/>
      <c r="I53" s="260"/>
      <c r="J53" s="260"/>
      <c r="K53" s="260"/>
      <c r="L53" s="260"/>
      <c r="M53" s="91"/>
      <c r="N53" s="91"/>
      <c r="O53" s="91"/>
      <c r="P53" s="91"/>
      <c r="Q53" s="59"/>
    </row>
    <row r="54" spans="1:17" s="40" customFormat="1" ht="42.75" customHeight="1" x14ac:dyDescent="0.35">
      <c r="A54" s="137" t="s">
        <v>22</v>
      </c>
      <c r="B54" s="260" t="s">
        <v>269</v>
      </c>
      <c r="C54" s="260"/>
      <c r="D54" s="260"/>
      <c r="E54" s="260"/>
      <c r="F54" s="260"/>
      <c r="G54" s="260"/>
      <c r="H54" s="260"/>
      <c r="I54" s="260"/>
      <c r="J54" s="260"/>
      <c r="K54" s="260"/>
      <c r="L54" s="260"/>
      <c r="M54" s="91"/>
      <c r="N54" s="91"/>
      <c r="O54" s="91"/>
      <c r="P54" s="91"/>
    </row>
    <row r="55" spans="1:17" s="40" customFormat="1" ht="26.25" customHeight="1" x14ac:dyDescent="0.35">
      <c r="A55" s="137" t="s">
        <v>23</v>
      </c>
      <c r="B55" s="260" t="s">
        <v>363</v>
      </c>
      <c r="C55" s="260"/>
      <c r="D55" s="260"/>
      <c r="E55" s="260"/>
      <c r="F55" s="260"/>
      <c r="G55" s="260"/>
      <c r="H55" s="260"/>
      <c r="I55" s="260"/>
      <c r="J55" s="260"/>
      <c r="K55" s="260"/>
      <c r="L55" s="260"/>
      <c r="M55" s="91"/>
      <c r="N55" s="91"/>
      <c r="O55" s="91"/>
      <c r="P55" s="91"/>
    </row>
    <row r="56" spans="1:17" s="40" customFormat="1" ht="26.25" customHeight="1" x14ac:dyDescent="0.35">
      <c r="A56" s="137" t="s">
        <v>24</v>
      </c>
      <c r="B56" s="260" t="s">
        <v>364</v>
      </c>
      <c r="C56" s="260"/>
      <c r="D56" s="260"/>
      <c r="E56" s="260"/>
      <c r="F56" s="260"/>
      <c r="G56" s="260"/>
      <c r="H56" s="260"/>
      <c r="I56" s="260"/>
      <c r="J56" s="260"/>
      <c r="K56" s="260"/>
      <c r="L56" s="260"/>
      <c r="M56" s="146"/>
      <c r="N56" s="146"/>
      <c r="O56" s="146"/>
      <c r="P56" s="146"/>
    </row>
    <row r="57" spans="1:17" s="40" customFormat="1" ht="43.5" customHeight="1" x14ac:dyDescent="0.35">
      <c r="A57" s="137" t="s">
        <v>5</v>
      </c>
      <c r="B57" s="260" t="s">
        <v>230</v>
      </c>
      <c r="C57" s="260"/>
      <c r="D57" s="260"/>
      <c r="E57" s="260"/>
      <c r="F57" s="260"/>
      <c r="G57" s="260"/>
      <c r="H57" s="260"/>
      <c r="I57" s="260"/>
      <c r="J57" s="260"/>
      <c r="K57" s="260"/>
      <c r="L57" s="260"/>
      <c r="M57" s="91"/>
      <c r="N57" s="91"/>
      <c r="O57" s="91"/>
      <c r="P57" s="146"/>
    </row>
    <row r="58" spans="1:17" s="40" customFormat="1" ht="53.25" customHeight="1" x14ac:dyDescent="0.35">
      <c r="A58" s="137" t="s">
        <v>25</v>
      </c>
      <c r="B58" s="260" t="s">
        <v>231</v>
      </c>
      <c r="C58" s="260"/>
      <c r="D58" s="260"/>
      <c r="E58" s="260"/>
      <c r="F58" s="260"/>
      <c r="G58" s="260"/>
      <c r="H58" s="260"/>
      <c r="I58" s="260"/>
      <c r="J58" s="260"/>
      <c r="K58" s="260"/>
      <c r="L58" s="260"/>
      <c r="M58" s="91"/>
      <c r="N58" s="91"/>
      <c r="O58" s="91"/>
      <c r="P58" s="146"/>
    </row>
    <row r="59" spans="1:17" s="40" customFormat="1" ht="76.5" customHeight="1" x14ac:dyDescent="0.35">
      <c r="A59" s="137" t="s">
        <v>26</v>
      </c>
      <c r="B59" s="260" t="s">
        <v>232</v>
      </c>
      <c r="C59" s="260"/>
      <c r="D59" s="260"/>
      <c r="E59" s="260"/>
      <c r="F59" s="260"/>
      <c r="G59" s="260"/>
      <c r="H59" s="260"/>
      <c r="I59" s="260"/>
      <c r="J59" s="260"/>
      <c r="K59" s="260"/>
      <c r="L59" s="260"/>
      <c r="M59" s="91"/>
      <c r="N59" s="91"/>
      <c r="O59" s="91"/>
      <c r="P59" s="146"/>
    </row>
    <row r="60" spans="1:17" s="40" customFormat="1" ht="76.5" customHeight="1" x14ac:dyDescent="0.35">
      <c r="A60" s="137" t="s">
        <v>27</v>
      </c>
      <c r="B60" s="260" t="s">
        <v>168</v>
      </c>
      <c r="C60" s="260"/>
      <c r="D60" s="260"/>
      <c r="E60" s="260"/>
      <c r="F60" s="260"/>
      <c r="G60" s="260"/>
      <c r="H60" s="260"/>
      <c r="I60" s="260"/>
      <c r="J60" s="260"/>
      <c r="K60" s="260"/>
      <c r="L60" s="260"/>
      <c r="M60" s="91"/>
      <c r="N60" s="91"/>
      <c r="O60" s="91"/>
      <c r="P60" s="146"/>
    </row>
    <row r="61" spans="1:17" s="40" customFormat="1" ht="46.5" customHeight="1" x14ac:dyDescent="0.35">
      <c r="A61" s="137" t="s">
        <v>65</v>
      </c>
      <c r="B61" s="260" t="s">
        <v>233</v>
      </c>
      <c r="C61" s="260"/>
      <c r="D61" s="260"/>
      <c r="E61" s="260"/>
      <c r="F61" s="260"/>
      <c r="G61" s="260"/>
      <c r="H61" s="260"/>
      <c r="I61" s="260"/>
      <c r="J61" s="260"/>
      <c r="K61" s="260"/>
      <c r="L61" s="260"/>
      <c r="M61" s="91"/>
      <c r="N61" s="196"/>
      <c r="O61" s="91"/>
      <c r="P61" s="91"/>
    </row>
    <row r="62" spans="1:17" s="40" customFormat="1" ht="58.5" customHeight="1" x14ac:dyDescent="0.35">
      <c r="A62" s="137" t="s">
        <v>64</v>
      </c>
      <c r="B62" s="260" t="s">
        <v>234</v>
      </c>
      <c r="C62" s="260"/>
      <c r="D62" s="260"/>
      <c r="E62" s="260"/>
      <c r="F62" s="260"/>
      <c r="G62" s="260"/>
      <c r="H62" s="260"/>
      <c r="I62" s="260"/>
      <c r="J62" s="260"/>
      <c r="K62" s="260"/>
      <c r="L62" s="260"/>
      <c r="M62" s="91"/>
      <c r="N62" s="91"/>
      <c r="O62" s="91"/>
      <c r="P62" s="91"/>
    </row>
    <row r="63" spans="1:17" s="40" customFormat="1" ht="35.25" customHeight="1" x14ac:dyDescent="0.35">
      <c r="A63" s="144" t="s">
        <v>77</v>
      </c>
      <c r="B63" s="260" t="s">
        <v>235</v>
      </c>
      <c r="C63" s="260"/>
      <c r="D63" s="260"/>
      <c r="E63" s="260"/>
      <c r="F63" s="260"/>
      <c r="G63" s="260"/>
      <c r="H63" s="260"/>
      <c r="I63" s="260"/>
      <c r="J63" s="260"/>
      <c r="K63" s="260"/>
      <c r="L63" s="260"/>
      <c r="M63" s="91"/>
      <c r="N63" s="91"/>
      <c r="O63" s="91"/>
      <c r="P63" s="91"/>
    </row>
    <row r="64" spans="1:17" s="40" customFormat="1" ht="20.25" customHeight="1" x14ac:dyDescent="0.35">
      <c r="A64" s="144" t="s">
        <v>99</v>
      </c>
      <c r="B64" s="260" t="s">
        <v>122</v>
      </c>
      <c r="C64" s="260"/>
      <c r="D64" s="260"/>
      <c r="E64" s="260"/>
      <c r="F64" s="260"/>
      <c r="G64" s="260"/>
      <c r="H64" s="260"/>
      <c r="I64" s="260"/>
      <c r="J64" s="260"/>
      <c r="K64" s="260"/>
      <c r="L64" s="260"/>
      <c r="M64" s="91"/>
      <c r="N64" s="91"/>
      <c r="O64" s="91"/>
      <c r="P64" s="91"/>
    </row>
    <row r="65" spans="1:16" ht="18.75" customHeight="1" x14ac:dyDescent="0.3">
      <c r="A65" s="39"/>
      <c r="B65" s="39"/>
      <c r="C65" s="39"/>
      <c r="D65" s="39"/>
      <c r="E65" s="39"/>
      <c r="F65" s="39"/>
      <c r="G65" s="39"/>
      <c r="H65" s="39"/>
      <c r="I65" s="39"/>
      <c r="J65" s="39"/>
      <c r="K65" s="39"/>
      <c r="L65" s="39"/>
      <c r="M65" s="66"/>
      <c r="N65" s="66"/>
      <c r="O65" s="66"/>
      <c r="P65" s="66"/>
    </row>
    <row r="66" spans="1:16" ht="18.75" customHeight="1" x14ac:dyDescent="0.3"/>
  </sheetData>
  <mergeCells count="25">
    <mergeCell ref="B63:L63"/>
    <mergeCell ref="B64:L64"/>
    <mergeCell ref="B59:L59"/>
    <mergeCell ref="B56:L56"/>
    <mergeCell ref="B60:L60"/>
    <mergeCell ref="B61:L61"/>
    <mergeCell ref="B62:L62"/>
    <mergeCell ref="B1:K1"/>
    <mergeCell ref="B54:L54"/>
    <mergeCell ref="B55:L55"/>
    <mergeCell ref="B57:L57"/>
    <mergeCell ref="B58:L58"/>
    <mergeCell ref="N4:P4"/>
    <mergeCell ref="N10:P10"/>
    <mergeCell ref="B52:L52"/>
    <mergeCell ref="B53:L53"/>
    <mergeCell ref="N41:O41"/>
    <mergeCell ref="B47:L47"/>
    <mergeCell ref="B48:L48"/>
    <mergeCell ref="B49:L49"/>
    <mergeCell ref="B50:L50"/>
    <mergeCell ref="B51:L51"/>
    <mergeCell ref="G30:J30"/>
    <mergeCell ref="G43:J43"/>
    <mergeCell ref="G42:J42"/>
  </mergeCells>
  <pageMargins left="0.25" right="0.25" top="0.5" bottom="0.5" header="0.5" footer="0.5"/>
  <pageSetup scale="43"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68D1DD-83D2-482B-AC56-A0DBE35B0980}">
  <dimension ref="A1:W50"/>
  <sheetViews>
    <sheetView topLeftCell="A25" workbookViewId="0">
      <selection activeCell="A32" sqref="A32:I32"/>
    </sheetView>
  </sheetViews>
  <sheetFormatPr defaultColWidth="9.1796875" defaultRowHeight="13" x14ac:dyDescent="0.3"/>
  <cols>
    <col min="1" max="1" width="50.7265625" style="192" customWidth="1"/>
    <col min="2" max="2" width="14.26953125" style="192" bestFit="1" customWidth="1"/>
    <col min="3" max="4" width="12.1796875" style="192" customWidth="1"/>
    <col min="5" max="5" width="13" style="192" customWidth="1"/>
    <col min="6" max="9" width="12.1796875" style="192" customWidth="1"/>
    <col min="10" max="10" width="4" style="218" customWidth="1"/>
    <col min="11" max="11" width="11.1796875" style="192" customWidth="1"/>
    <col min="12" max="12" width="10.81640625" style="192" bestFit="1" customWidth="1"/>
    <col min="13" max="13" width="12.54296875" style="192" customWidth="1"/>
    <col min="14" max="16384" width="9.1796875" style="192"/>
  </cols>
  <sheetData>
    <row r="1" spans="1:14" ht="33" customHeight="1" x14ac:dyDescent="0.3">
      <c r="A1" s="276" t="s">
        <v>246</v>
      </c>
      <c r="B1" s="276"/>
      <c r="C1" s="276"/>
      <c r="D1" s="276"/>
      <c r="E1" s="276"/>
      <c r="F1" s="276"/>
      <c r="G1" s="276"/>
      <c r="H1" s="276"/>
      <c r="I1" s="276"/>
      <c r="J1" s="215"/>
    </row>
    <row r="3" spans="1:14" ht="80.5" x14ac:dyDescent="0.3">
      <c r="A3" s="199" t="s">
        <v>15</v>
      </c>
      <c r="B3" s="172" t="s">
        <v>275</v>
      </c>
      <c r="C3" s="172" t="s">
        <v>276</v>
      </c>
      <c r="D3" s="172" t="s">
        <v>277</v>
      </c>
      <c r="E3" s="172" t="s">
        <v>368</v>
      </c>
      <c r="F3" s="224" t="s">
        <v>118</v>
      </c>
      <c r="G3" s="224" t="s">
        <v>119</v>
      </c>
      <c r="H3" s="224" t="s">
        <v>120</v>
      </c>
      <c r="I3" s="225" t="s">
        <v>141</v>
      </c>
      <c r="J3" s="231" t="s">
        <v>14</v>
      </c>
      <c r="K3" s="173"/>
      <c r="L3" s="174"/>
      <c r="M3" s="174"/>
      <c r="N3" s="193"/>
    </row>
    <row r="4" spans="1:14" x14ac:dyDescent="0.3">
      <c r="A4" s="175" t="s">
        <v>279</v>
      </c>
      <c r="B4" s="176">
        <v>4</v>
      </c>
      <c r="C4" s="176" t="s">
        <v>132</v>
      </c>
      <c r="D4" s="176">
        <v>4</v>
      </c>
      <c r="E4" s="176">
        <f>'SP-FP Respondents'!F5</f>
        <v>10</v>
      </c>
      <c r="F4" s="177">
        <f>D4*E4</f>
        <v>40</v>
      </c>
      <c r="G4" s="177">
        <f>F4*0.05</f>
        <v>2</v>
      </c>
      <c r="H4" s="177">
        <f>F4*0.1</f>
        <v>4</v>
      </c>
      <c r="I4" s="191">
        <f>(F4*M$6)+(G4*M$5)+(H4*M$7)</f>
        <v>2275.38</v>
      </c>
      <c r="J4" s="216" t="s">
        <v>6</v>
      </c>
      <c r="K4" s="171"/>
      <c r="L4" s="277" t="s">
        <v>0</v>
      </c>
      <c r="M4" s="277"/>
      <c r="N4" s="193"/>
    </row>
    <row r="5" spans="1:14" x14ac:dyDescent="0.3">
      <c r="A5" s="179" t="s">
        <v>280</v>
      </c>
      <c r="B5" s="176">
        <v>2</v>
      </c>
      <c r="C5" s="177">
        <v>1</v>
      </c>
      <c r="D5" s="177">
        <f>B5*C5</f>
        <v>2</v>
      </c>
      <c r="E5" s="226">
        <f>'SP-FP Respondents'!F6</f>
        <v>360</v>
      </c>
      <c r="F5" s="177">
        <f>D5*E5</f>
        <v>720</v>
      </c>
      <c r="G5" s="177">
        <f>F5*0.05</f>
        <v>36</v>
      </c>
      <c r="H5" s="177">
        <f>F5*0.1</f>
        <v>72</v>
      </c>
      <c r="I5" s="191">
        <f t="shared" ref="I5:I21" si="0">(F5*M$6)+(G5*M$5)+(H5*M$7)</f>
        <v>40956.840000000004</v>
      </c>
      <c r="J5" s="216" t="s">
        <v>19</v>
      </c>
      <c r="K5" s="171"/>
      <c r="L5" s="180" t="s">
        <v>105</v>
      </c>
      <c r="M5" s="97">
        <v>68.37</v>
      </c>
      <c r="N5" s="193"/>
    </row>
    <row r="6" spans="1:14" x14ac:dyDescent="0.3">
      <c r="A6" s="181" t="s">
        <v>244</v>
      </c>
      <c r="B6" s="176"/>
      <c r="C6" s="176"/>
      <c r="D6" s="176"/>
      <c r="E6" s="226"/>
      <c r="F6" s="177"/>
      <c r="G6" s="177"/>
      <c r="H6" s="177"/>
      <c r="I6" s="191"/>
      <c r="J6" s="217"/>
      <c r="K6" s="171"/>
      <c r="L6" s="180" t="s">
        <v>30</v>
      </c>
      <c r="M6" s="97">
        <v>50.72</v>
      </c>
      <c r="N6" s="193"/>
    </row>
    <row r="7" spans="1:14" x14ac:dyDescent="0.3">
      <c r="A7" s="181" t="s">
        <v>283</v>
      </c>
      <c r="B7" s="176">
        <v>12</v>
      </c>
      <c r="C7" s="178">
        <v>0.2</v>
      </c>
      <c r="D7" s="177">
        <f t="shared" ref="D7:D12" si="1">B7*C7</f>
        <v>2.4000000000000004</v>
      </c>
      <c r="E7" s="226">
        <f>'SP-FP Respondents'!F8</f>
        <v>6</v>
      </c>
      <c r="F7" s="177">
        <f t="shared" ref="F7:F26" si="2">D7*E7</f>
        <v>14.400000000000002</v>
      </c>
      <c r="G7" s="177">
        <f t="shared" ref="G7:G12" si="3">F7*0.05</f>
        <v>0.7200000000000002</v>
      </c>
      <c r="H7" s="177">
        <f t="shared" ref="H7:H12" si="4">F7*0.1</f>
        <v>1.4400000000000004</v>
      </c>
      <c r="I7" s="257">
        <f t="shared" si="0"/>
        <v>819.13680000000011</v>
      </c>
      <c r="J7" s="217" t="s">
        <v>7</v>
      </c>
      <c r="K7" s="194"/>
      <c r="L7" s="180" t="s">
        <v>31</v>
      </c>
      <c r="M7" s="97">
        <v>27.46</v>
      </c>
      <c r="N7" s="193"/>
    </row>
    <row r="8" spans="1:14" x14ac:dyDescent="0.3">
      <c r="A8" s="181" t="s">
        <v>284</v>
      </c>
      <c r="B8" s="176">
        <v>20</v>
      </c>
      <c r="C8" s="178">
        <v>0.2</v>
      </c>
      <c r="D8" s="177">
        <f t="shared" si="1"/>
        <v>4</v>
      </c>
      <c r="E8" s="226">
        <f>'SP-FP Respondents'!F9</f>
        <v>124</v>
      </c>
      <c r="F8" s="177">
        <f t="shared" si="2"/>
        <v>496</v>
      </c>
      <c r="G8" s="177">
        <f t="shared" si="3"/>
        <v>24.8</v>
      </c>
      <c r="H8" s="177">
        <f t="shared" si="4"/>
        <v>49.6</v>
      </c>
      <c r="I8" s="257">
        <f t="shared" si="0"/>
        <v>28214.712</v>
      </c>
      <c r="J8" s="216" t="s">
        <v>7</v>
      </c>
      <c r="K8" s="171"/>
      <c r="L8" s="171"/>
      <c r="M8" s="171"/>
      <c r="N8" s="193"/>
    </row>
    <row r="9" spans="1:14" x14ac:dyDescent="0.3">
      <c r="A9" s="181" t="s">
        <v>286</v>
      </c>
      <c r="B9" s="176">
        <v>1</v>
      </c>
      <c r="C9" s="177">
        <v>1</v>
      </c>
      <c r="D9" s="177">
        <f t="shared" si="1"/>
        <v>1</v>
      </c>
      <c r="E9" s="226">
        <f>'SP-FP Respondents'!F10</f>
        <v>6</v>
      </c>
      <c r="F9" s="177">
        <f t="shared" si="2"/>
        <v>6</v>
      </c>
      <c r="G9" s="178">
        <f t="shared" si="3"/>
        <v>0.30000000000000004</v>
      </c>
      <c r="H9" s="177">
        <f t="shared" si="4"/>
        <v>0.60000000000000009</v>
      </c>
      <c r="I9" s="191">
        <f t="shared" si="0"/>
        <v>341.30700000000002</v>
      </c>
      <c r="J9" s="217" t="s">
        <v>20</v>
      </c>
      <c r="K9" s="171"/>
      <c r="L9" s="171"/>
      <c r="M9" s="171"/>
      <c r="N9" s="193"/>
    </row>
    <row r="10" spans="1:14" x14ac:dyDescent="0.3">
      <c r="A10" s="181" t="s">
        <v>287</v>
      </c>
      <c r="B10" s="176">
        <v>1</v>
      </c>
      <c r="C10" s="177">
        <v>1</v>
      </c>
      <c r="D10" s="177">
        <f t="shared" si="1"/>
        <v>1</v>
      </c>
      <c r="E10" s="226">
        <f>'SP-FP Respondents'!F11</f>
        <v>6</v>
      </c>
      <c r="F10" s="177">
        <f t="shared" si="2"/>
        <v>6</v>
      </c>
      <c r="G10" s="178">
        <f t="shared" si="3"/>
        <v>0.30000000000000004</v>
      </c>
      <c r="H10" s="177">
        <f t="shared" si="4"/>
        <v>0.60000000000000009</v>
      </c>
      <c r="I10" s="191">
        <f t="shared" si="0"/>
        <v>341.30700000000002</v>
      </c>
      <c r="J10" s="217" t="s">
        <v>20</v>
      </c>
      <c r="K10" s="171"/>
      <c r="L10" s="171"/>
      <c r="M10" s="171"/>
      <c r="N10" s="193"/>
    </row>
    <row r="11" spans="1:14" x14ac:dyDescent="0.3">
      <c r="A11" s="181" t="s">
        <v>288</v>
      </c>
      <c r="B11" s="176">
        <v>2</v>
      </c>
      <c r="C11" s="177">
        <v>1</v>
      </c>
      <c r="D11" s="177">
        <f t="shared" si="1"/>
        <v>2</v>
      </c>
      <c r="E11" s="226">
        <f>'SP-FP Respondents'!F12</f>
        <v>6</v>
      </c>
      <c r="F11" s="177">
        <f t="shared" si="2"/>
        <v>12</v>
      </c>
      <c r="G11" s="177">
        <f t="shared" si="3"/>
        <v>0.60000000000000009</v>
      </c>
      <c r="H11" s="177">
        <f t="shared" si="4"/>
        <v>1.2000000000000002</v>
      </c>
      <c r="I11" s="191">
        <f t="shared" si="0"/>
        <v>682.61400000000003</v>
      </c>
      <c r="J11" s="217" t="s">
        <v>20</v>
      </c>
      <c r="K11" s="171"/>
      <c r="L11" s="171"/>
      <c r="M11" s="171"/>
    </row>
    <row r="12" spans="1:14" x14ac:dyDescent="0.3">
      <c r="A12" s="181" t="s">
        <v>298</v>
      </c>
      <c r="B12" s="176">
        <v>24</v>
      </c>
      <c r="C12" s="256">
        <v>1</v>
      </c>
      <c r="D12" s="177">
        <f t="shared" si="1"/>
        <v>24</v>
      </c>
      <c r="E12" s="226">
        <f>'SP-FP Respondents'!F13</f>
        <v>1</v>
      </c>
      <c r="F12" s="177">
        <f t="shared" si="2"/>
        <v>24</v>
      </c>
      <c r="G12" s="177">
        <f t="shared" si="3"/>
        <v>1.2000000000000002</v>
      </c>
      <c r="H12" s="177">
        <f t="shared" si="4"/>
        <v>2.4000000000000004</v>
      </c>
      <c r="I12" s="257">
        <f t="shared" si="0"/>
        <v>1365.2280000000001</v>
      </c>
      <c r="J12" s="216" t="s">
        <v>21</v>
      </c>
      <c r="K12" s="171"/>
      <c r="L12" s="187"/>
      <c r="M12" s="171"/>
    </row>
    <row r="13" spans="1:14" x14ac:dyDescent="0.3">
      <c r="A13" s="181" t="s">
        <v>271</v>
      </c>
      <c r="B13" s="176"/>
      <c r="C13" s="177"/>
      <c r="D13" s="177"/>
      <c r="E13" s="226"/>
      <c r="F13" s="177"/>
      <c r="G13" s="177"/>
      <c r="H13" s="177"/>
      <c r="I13" s="191"/>
      <c r="J13" s="217"/>
      <c r="K13" s="171"/>
      <c r="M13" s="171"/>
    </row>
    <row r="14" spans="1:14" x14ac:dyDescent="0.3">
      <c r="A14" s="181" t="s">
        <v>299</v>
      </c>
      <c r="B14" s="176">
        <v>1</v>
      </c>
      <c r="C14" s="177">
        <v>1</v>
      </c>
      <c r="D14" s="177">
        <f t="shared" ref="D14:D26" si="5">B14*C14</f>
        <v>1</v>
      </c>
      <c r="E14" s="226">
        <f>'SP-FP Respondents'!F15</f>
        <v>10</v>
      </c>
      <c r="F14" s="177">
        <f t="shared" si="2"/>
        <v>10</v>
      </c>
      <c r="G14" s="177">
        <f t="shared" ref="G14:G21" si="6">F14*0.05</f>
        <v>0.5</v>
      </c>
      <c r="H14" s="177">
        <f t="shared" ref="H14:H21" si="7">F14*0.1</f>
        <v>1</v>
      </c>
      <c r="I14" s="191">
        <f t="shared" si="0"/>
        <v>568.84500000000003</v>
      </c>
      <c r="J14" s="217" t="s">
        <v>22</v>
      </c>
      <c r="K14" s="194"/>
      <c r="M14" s="171"/>
    </row>
    <row r="15" spans="1:14" x14ac:dyDescent="0.3">
      <c r="A15" s="179" t="s">
        <v>302</v>
      </c>
      <c r="B15" s="176">
        <v>1</v>
      </c>
      <c r="C15" s="177">
        <v>1</v>
      </c>
      <c r="D15" s="177">
        <f t="shared" si="5"/>
        <v>1</v>
      </c>
      <c r="E15" s="226">
        <f>'SP-FP Respondents'!F16</f>
        <v>5</v>
      </c>
      <c r="F15" s="177">
        <f t="shared" si="2"/>
        <v>5</v>
      </c>
      <c r="G15" s="178">
        <f>F15*0.05</f>
        <v>0.25</v>
      </c>
      <c r="H15" s="177">
        <f>F15*0.1</f>
        <v>0.5</v>
      </c>
      <c r="I15" s="191">
        <f>(F15*M$6)+(G15*M$5)+(H15*M$7)</f>
        <v>284.42250000000001</v>
      </c>
      <c r="J15" s="217" t="s">
        <v>23</v>
      </c>
      <c r="K15" s="194"/>
      <c r="M15" s="171"/>
    </row>
    <row r="16" spans="1:14" x14ac:dyDescent="0.3">
      <c r="A16" s="181" t="s">
        <v>301</v>
      </c>
      <c r="B16" s="176">
        <v>2</v>
      </c>
      <c r="C16" s="177">
        <v>1</v>
      </c>
      <c r="D16" s="177">
        <f t="shared" si="5"/>
        <v>2</v>
      </c>
      <c r="E16" s="226">
        <f>'SP-FP Respondents'!F17</f>
        <v>11</v>
      </c>
      <c r="F16" s="177">
        <f t="shared" si="2"/>
        <v>22</v>
      </c>
      <c r="G16" s="177">
        <f>F16*0.05</f>
        <v>1.1000000000000001</v>
      </c>
      <c r="H16" s="177">
        <f t="shared" si="7"/>
        <v>2.2000000000000002</v>
      </c>
      <c r="I16" s="191">
        <f t="shared" si="0"/>
        <v>1251.4590000000001</v>
      </c>
      <c r="J16" s="217" t="s">
        <v>24</v>
      </c>
      <c r="K16" s="194"/>
      <c r="M16" s="171"/>
    </row>
    <row r="17" spans="1:23" ht="15.75" customHeight="1" x14ac:dyDescent="0.3">
      <c r="A17" s="181" t="s">
        <v>305</v>
      </c>
      <c r="B17" s="176">
        <v>1</v>
      </c>
      <c r="C17" s="177">
        <v>1</v>
      </c>
      <c r="D17" s="177">
        <f t="shared" si="5"/>
        <v>1</v>
      </c>
      <c r="E17" s="226">
        <f>'SP-FP Respondents'!F18</f>
        <v>6</v>
      </c>
      <c r="F17" s="177">
        <f t="shared" si="2"/>
        <v>6</v>
      </c>
      <c r="G17" s="178">
        <f t="shared" si="6"/>
        <v>0.30000000000000004</v>
      </c>
      <c r="H17" s="177">
        <f t="shared" si="7"/>
        <v>0.60000000000000009</v>
      </c>
      <c r="I17" s="191">
        <f t="shared" si="0"/>
        <v>341.30700000000002</v>
      </c>
      <c r="J17" s="216" t="s">
        <v>5</v>
      </c>
      <c r="K17" s="194"/>
      <c r="L17" s="228"/>
      <c r="M17" s="228"/>
      <c r="N17" s="228"/>
      <c r="O17" s="228"/>
      <c r="P17" s="228"/>
      <c r="Q17" s="228"/>
      <c r="R17" s="228"/>
      <c r="S17" s="228"/>
      <c r="T17" s="228"/>
      <c r="U17" s="228"/>
      <c r="V17" s="228"/>
      <c r="W17" s="228"/>
    </row>
    <row r="18" spans="1:23" x14ac:dyDescent="0.3">
      <c r="A18" s="181" t="s">
        <v>307</v>
      </c>
      <c r="B18" s="176">
        <v>1</v>
      </c>
      <c r="C18" s="177">
        <v>1</v>
      </c>
      <c r="D18" s="177">
        <f t="shared" si="5"/>
        <v>1</v>
      </c>
      <c r="E18" s="226">
        <f>'SP-FP Respondents'!F19</f>
        <v>0</v>
      </c>
      <c r="F18" s="177">
        <f t="shared" si="2"/>
        <v>0</v>
      </c>
      <c r="G18" s="177">
        <f t="shared" si="6"/>
        <v>0</v>
      </c>
      <c r="H18" s="177">
        <f t="shared" si="7"/>
        <v>0</v>
      </c>
      <c r="I18" s="191">
        <f t="shared" si="0"/>
        <v>0</v>
      </c>
      <c r="J18" s="217" t="s">
        <v>25</v>
      </c>
      <c r="K18" s="171"/>
      <c r="L18" s="228"/>
      <c r="M18" s="228"/>
      <c r="N18" s="228"/>
      <c r="O18" s="228"/>
      <c r="P18" s="228"/>
      <c r="Q18" s="228"/>
      <c r="R18" s="228"/>
      <c r="S18" s="228"/>
      <c r="T18" s="228"/>
      <c r="U18" s="228"/>
      <c r="V18" s="228"/>
      <c r="W18" s="228"/>
    </row>
    <row r="19" spans="1:23" x14ac:dyDescent="0.3">
      <c r="A19" s="181" t="s">
        <v>309</v>
      </c>
      <c r="B19" s="176">
        <v>15</v>
      </c>
      <c r="C19" s="177">
        <v>1</v>
      </c>
      <c r="D19" s="177">
        <f t="shared" si="5"/>
        <v>15</v>
      </c>
      <c r="E19" s="226">
        <f>'SP-FP Respondents'!F20</f>
        <v>6</v>
      </c>
      <c r="F19" s="177">
        <f t="shared" si="2"/>
        <v>90</v>
      </c>
      <c r="G19" s="177">
        <f t="shared" si="6"/>
        <v>4.5</v>
      </c>
      <c r="H19" s="177">
        <f t="shared" si="7"/>
        <v>9</v>
      </c>
      <c r="I19" s="191">
        <f t="shared" si="0"/>
        <v>5119.6050000000005</v>
      </c>
      <c r="J19" s="217" t="s">
        <v>26</v>
      </c>
      <c r="K19" s="171"/>
      <c r="L19" s="228"/>
      <c r="M19" s="228"/>
      <c r="N19" s="228"/>
      <c r="O19" s="228"/>
      <c r="P19" s="228"/>
      <c r="Q19" s="228"/>
      <c r="R19" s="228"/>
      <c r="S19" s="228"/>
      <c r="T19" s="228"/>
      <c r="U19" s="228"/>
      <c r="V19" s="228"/>
      <c r="W19" s="228"/>
    </row>
    <row r="20" spans="1:23" ht="15.75" customHeight="1" x14ac:dyDescent="0.3">
      <c r="A20" s="179" t="s">
        <v>311</v>
      </c>
      <c r="B20" s="176">
        <v>5</v>
      </c>
      <c r="C20" s="178">
        <v>0.1</v>
      </c>
      <c r="D20" s="177">
        <f t="shared" si="5"/>
        <v>0.5</v>
      </c>
      <c r="E20" s="227">
        <f>'SP-FP Respondents'!F21</f>
        <v>0.6</v>
      </c>
      <c r="F20" s="178">
        <f t="shared" si="2"/>
        <v>0.3</v>
      </c>
      <c r="G20" s="183">
        <f t="shared" si="6"/>
        <v>1.4999999999999999E-2</v>
      </c>
      <c r="H20" s="183">
        <f t="shared" si="7"/>
        <v>0.03</v>
      </c>
      <c r="I20" s="191">
        <f t="shared" si="0"/>
        <v>17.065349999999999</v>
      </c>
      <c r="J20" s="217" t="s">
        <v>27</v>
      </c>
      <c r="K20" s="194"/>
      <c r="L20" s="228"/>
      <c r="M20" s="228"/>
      <c r="N20" s="228"/>
      <c r="O20" s="228"/>
      <c r="P20" s="228"/>
      <c r="Q20" s="228"/>
      <c r="R20" s="228"/>
      <c r="S20" s="228"/>
      <c r="T20" s="228"/>
      <c r="U20" s="228"/>
      <c r="V20" s="228"/>
      <c r="W20" s="228"/>
    </row>
    <row r="21" spans="1:23" ht="15.75" customHeight="1" x14ac:dyDescent="0.3">
      <c r="A21" s="181" t="s">
        <v>313</v>
      </c>
      <c r="B21" s="176">
        <v>12</v>
      </c>
      <c r="C21" s="177">
        <v>1</v>
      </c>
      <c r="D21" s="177">
        <f t="shared" si="5"/>
        <v>12</v>
      </c>
      <c r="E21" s="226">
        <f>'SP-FP Respondents'!F22</f>
        <v>6</v>
      </c>
      <c r="F21" s="177">
        <f t="shared" si="2"/>
        <v>72</v>
      </c>
      <c r="G21" s="177">
        <f t="shared" si="6"/>
        <v>3.6</v>
      </c>
      <c r="H21" s="177">
        <f t="shared" si="7"/>
        <v>7.2</v>
      </c>
      <c r="I21" s="191">
        <f t="shared" si="0"/>
        <v>4095.6840000000002</v>
      </c>
      <c r="J21" s="217" t="s">
        <v>65</v>
      </c>
      <c r="K21" s="171"/>
      <c r="L21" s="228"/>
      <c r="M21" s="228"/>
      <c r="N21" s="228"/>
      <c r="O21" s="228"/>
      <c r="P21" s="228"/>
      <c r="Q21" s="228"/>
      <c r="R21" s="228"/>
      <c r="S21" s="228"/>
      <c r="T21" s="228"/>
      <c r="U21" s="228"/>
      <c r="V21" s="228"/>
      <c r="W21" s="228"/>
    </row>
    <row r="22" spans="1:23" x14ac:dyDescent="0.3">
      <c r="A22" s="181" t="s">
        <v>315</v>
      </c>
      <c r="B22" s="176">
        <v>2</v>
      </c>
      <c r="C22" s="177">
        <v>1</v>
      </c>
      <c r="D22" s="177">
        <f t="shared" si="5"/>
        <v>2</v>
      </c>
      <c r="E22" s="226">
        <f>'SP-FP Respondents'!F23</f>
        <v>124</v>
      </c>
      <c r="F22" s="177">
        <f t="shared" si="2"/>
        <v>248</v>
      </c>
      <c r="G22" s="177">
        <f>F22*0.05</f>
        <v>12.4</v>
      </c>
      <c r="H22" s="177">
        <f>F22*0.1</f>
        <v>24.8</v>
      </c>
      <c r="I22" s="191">
        <f>(F22*M$6)+(G22*M$5)+(H22*M$7)</f>
        <v>14107.356</v>
      </c>
      <c r="J22" s="216" t="s">
        <v>64</v>
      </c>
      <c r="K22" s="171"/>
      <c r="L22" s="228"/>
      <c r="M22" s="228"/>
      <c r="N22" s="228"/>
      <c r="O22" s="228"/>
      <c r="P22" s="228"/>
      <c r="Q22" s="228"/>
      <c r="R22" s="228"/>
      <c r="S22" s="228"/>
      <c r="T22" s="228"/>
      <c r="U22" s="228"/>
      <c r="V22" s="228"/>
      <c r="W22" s="228"/>
    </row>
    <row r="23" spans="1:23" x14ac:dyDescent="0.3">
      <c r="A23" s="181" t="s">
        <v>317</v>
      </c>
      <c r="B23" s="185">
        <v>1.25</v>
      </c>
      <c r="C23" s="177">
        <v>1</v>
      </c>
      <c r="D23" s="177">
        <f t="shared" si="5"/>
        <v>1.25</v>
      </c>
      <c r="E23" s="226">
        <f>'SP-FP Respondents'!F24</f>
        <v>1</v>
      </c>
      <c r="F23" s="177">
        <f t="shared" si="2"/>
        <v>1.25</v>
      </c>
      <c r="G23" s="178">
        <f t="shared" ref="G23:G26" si="8">F23*0.05</f>
        <v>6.25E-2</v>
      </c>
      <c r="H23" s="178">
        <f t="shared" ref="H23:H25" si="9">F23*0.1</f>
        <v>0.125</v>
      </c>
      <c r="I23" s="191">
        <f t="shared" ref="I23:I26" si="10">(F23*M$6)+(G23*M$5)+(H23*M$7)</f>
        <v>71.105625000000003</v>
      </c>
      <c r="J23" s="216" t="s">
        <v>77</v>
      </c>
      <c r="K23" s="171"/>
      <c r="L23" s="228"/>
      <c r="M23" s="228"/>
      <c r="N23" s="228"/>
      <c r="O23" s="228"/>
      <c r="P23" s="228"/>
      <c r="Q23" s="228"/>
      <c r="R23" s="228"/>
      <c r="S23" s="228"/>
      <c r="T23" s="228"/>
      <c r="U23" s="228"/>
      <c r="V23" s="228"/>
      <c r="W23" s="228"/>
    </row>
    <row r="24" spans="1:23" x14ac:dyDescent="0.3">
      <c r="A24" s="181" t="s">
        <v>318</v>
      </c>
      <c r="B24" s="185">
        <v>1.25</v>
      </c>
      <c r="C24" s="177">
        <v>1</v>
      </c>
      <c r="D24" s="177">
        <f t="shared" si="5"/>
        <v>1.25</v>
      </c>
      <c r="E24" s="226">
        <f>'SP-FP Respondents'!F25</f>
        <v>1</v>
      </c>
      <c r="F24" s="177">
        <f t="shared" si="2"/>
        <v>1.25</v>
      </c>
      <c r="G24" s="178">
        <f t="shared" si="8"/>
        <v>6.25E-2</v>
      </c>
      <c r="H24" s="178">
        <f t="shared" si="9"/>
        <v>0.125</v>
      </c>
      <c r="I24" s="191">
        <f t="shared" si="10"/>
        <v>71.105625000000003</v>
      </c>
      <c r="J24" s="216" t="s">
        <v>77</v>
      </c>
      <c r="K24" s="171"/>
      <c r="L24" s="228"/>
      <c r="M24" s="228"/>
      <c r="N24" s="228"/>
      <c r="O24" s="228"/>
      <c r="P24" s="228"/>
      <c r="Q24" s="228"/>
      <c r="R24" s="228"/>
      <c r="S24" s="228"/>
      <c r="T24" s="228"/>
      <c r="U24" s="228"/>
      <c r="V24" s="228"/>
      <c r="W24" s="228"/>
    </row>
    <row r="25" spans="1:23" x14ac:dyDescent="0.3">
      <c r="A25" s="181" t="s">
        <v>319</v>
      </c>
      <c r="B25" s="185">
        <v>1.25</v>
      </c>
      <c r="C25" s="177">
        <v>1</v>
      </c>
      <c r="D25" s="177">
        <f t="shared" si="5"/>
        <v>1.25</v>
      </c>
      <c r="E25" s="226">
        <f>'SP-FP Respondents'!F26</f>
        <v>1</v>
      </c>
      <c r="F25" s="177">
        <f t="shared" si="2"/>
        <v>1.25</v>
      </c>
      <c r="G25" s="178">
        <f t="shared" si="8"/>
        <v>6.25E-2</v>
      </c>
      <c r="H25" s="178">
        <f t="shared" si="9"/>
        <v>0.125</v>
      </c>
      <c r="I25" s="191">
        <f t="shared" si="10"/>
        <v>71.105625000000003</v>
      </c>
      <c r="J25" s="216" t="s">
        <v>77</v>
      </c>
      <c r="K25" s="171"/>
      <c r="L25" s="228"/>
      <c r="M25" s="228"/>
      <c r="N25" s="228"/>
      <c r="O25" s="228"/>
      <c r="P25" s="228"/>
      <c r="Q25" s="228"/>
      <c r="R25" s="228"/>
      <c r="S25" s="228"/>
      <c r="T25" s="228"/>
      <c r="U25" s="228"/>
      <c r="V25" s="228"/>
      <c r="W25" s="228"/>
    </row>
    <row r="26" spans="1:23" x14ac:dyDescent="0.3">
      <c r="A26" s="230" t="s">
        <v>342</v>
      </c>
      <c r="B26" s="185">
        <v>1</v>
      </c>
      <c r="C26" s="177">
        <v>1</v>
      </c>
      <c r="D26" s="177">
        <f t="shared" si="5"/>
        <v>1</v>
      </c>
      <c r="E26" s="226">
        <f>'SP-FP Respondents'!F27</f>
        <v>51</v>
      </c>
      <c r="F26" s="177">
        <f t="shared" si="2"/>
        <v>51</v>
      </c>
      <c r="G26" s="177">
        <f t="shared" si="8"/>
        <v>2.5500000000000003</v>
      </c>
      <c r="H26" s="177">
        <f t="shared" ref="H26" si="11">F26*0.1</f>
        <v>5.1000000000000005</v>
      </c>
      <c r="I26" s="191">
        <f t="shared" si="10"/>
        <v>2901.1094999999996</v>
      </c>
      <c r="J26" s="216" t="s">
        <v>99</v>
      </c>
      <c r="K26" s="194"/>
      <c r="L26" s="228"/>
      <c r="M26" s="228"/>
      <c r="N26" s="228"/>
      <c r="O26" s="228"/>
      <c r="P26" s="228"/>
      <c r="Q26" s="228"/>
      <c r="R26" s="228"/>
      <c r="S26" s="228"/>
      <c r="T26" s="228"/>
      <c r="U26" s="228"/>
      <c r="V26" s="228"/>
      <c r="W26" s="228"/>
    </row>
    <row r="27" spans="1:23" ht="30.75" customHeight="1" x14ac:dyDescent="0.3">
      <c r="A27" s="184" t="s">
        <v>322</v>
      </c>
      <c r="B27" s="273" t="s">
        <v>274</v>
      </c>
      <c r="C27" s="274"/>
      <c r="D27" s="275"/>
      <c r="E27" s="226">
        <f>'SP-FP Respondents'!F28</f>
        <v>26</v>
      </c>
      <c r="F27" s="185" t="s">
        <v>132</v>
      </c>
      <c r="G27" s="185" t="s">
        <v>132</v>
      </c>
      <c r="H27" s="185" t="s">
        <v>132</v>
      </c>
      <c r="I27" s="191">
        <f>E27*1191</f>
        <v>30966</v>
      </c>
      <c r="J27" s="217" t="s">
        <v>323</v>
      </c>
      <c r="K27" s="171"/>
      <c r="L27" s="228"/>
      <c r="M27" s="228"/>
      <c r="N27" s="228"/>
      <c r="O27" s="228"/>
      <c r="P27" s="228"/>
      <c r="Q27" s="228"/>
      <c r="R27" s="228"/>
      <c r="S27" s="228"/>
      <c r="T27" s="228"/>
      <c r="U27" s="228"/>
      <c r="V27" s="228"/>
      <c r="W27" s="228"/>
    </row>
    <row r="28" spans="1:23" x14ac:dyDescent="0.3">
      <c r="A28" s="186" t="s">
        <v>326</v>
      </c>
      <c r="B28" s="170"/>
      <c r="C28" s="170"/>
      <c r="D28" s="170"/>
      <c r="E28" s="170"/>
      <c r="F28" s="278">
        <f>ROUND(SUM(F4:H27),-1)</f>
        <v>2100</v>
      </c>
      <c r="G28" s="278"/>
      <c r="H28" s="278"/>
      <c r="I28" s="190">
        <f>ROUND(SUM(I4:I27),-3)</f>
        <v>135000</v>
      </c>
      <c r="J28" s="236" t="s">
        <v>325</v>
      </c>
      <c r="K28" s="171"/>
      <c r="L28" s="171"/>
      <c r="M28" s="187"/>
    </row>
    <row r="29" spans="1:23" x14ac:dyDescent="0.3">
      <c r="A29" s="171"/>
      <c r="B29" s="171"/>
      <c r="C29" s="171"/>
      <c r="D29" s="171"/>
      <c r="E29" s="171"/>
      <c r="F29" s="188"/>
      <c r="G29" s="188"/>
      <c r="H29" s="189"/>
      <c r="I29" s="171"/>
      <c r="J29" s="182"/>
      <c r="K29" s="171"/>
      <c r="L29" s="171"/>
    </row>
    <row r="30" spans="1:23" x14ac:dyDescent="0.3">
      <c r="A30" s="174" t="s">
        <v>121</v>
      </c>
      <c r="B30" s="171"/>
      <c r="C30" s="171"/>
      <c r="D30" s="171"/>
      <c r="E30" s="171"/>
      <c r="F30" s="188"/>
      <c r="G30" s="188"/>
      <c r="H30" s="189"/>
      <c r="I30" s="171"/>
      <c r="J30" s="182"/>
      <c r="K30" s="171"/>
      <c r="L30" s="171"/>
    </row>
    <row r="31" spans="1:23" ht="72" customHeight="1" x14ac:dyDescent="0.3">
      <c r="A31" s="272" t="s">
        <v>378</v>
      </c>
      <c r="B31" s="272"/>
      <c r="C31" s="272"/>
      <c r="D31" s="272"/>
      <c r="E31" s="272"/>
      <c r="F31" s="272"/>
      <c r="G31" s="272"/>
      <c r="H31" s="272"/>
      <c r="I31" s="272"/>
      <c r="J31" s="219"/>
      <c r="K31" s="229"/>
      <c r="L31" s="229"/>
      <c r="M31" s="102"/>
    </row>
    <row r="32" spans="1:23" ht="51.75" customHeight="1" x14ac:dyDescent="0.3">
      <c r="A32" s="272" t="s">
        <v>365</v>
      </c>
      <c r="B32" s="272"/>
      <c r="C32" s="272"/>
      <c r="D32" s="272"/>
      <c r="E32" s="272"/>
      <c r="F32" s="272"/>
      <c r="G32" s="272"/>
      <c r="H32" s="272"/>
      <c r="I32" s="272"/>
      <c r="J32" s="219"/>
      <c r="K32" s="229"/>
      <c r="L32" s="229"/>
      <c r="M32" s="102"/>
    </row>
    <row r="33" spans="1:13" ht="22.5" customHeight="1" x14ac:dyDescent="0.3">
      <c r="A33" s="272" t="s">
        <v>278</v>
      </c>
      <c r="B33" s="272"/>
      <c r="C33" s="272"/>
      <c r="D33" s="272"/>
      <c r="E33" s="272"/>
      <c r="F33" s="272"/>
      <c r="G33" s="272"/>
      <c r="H33" s="272"/>
      <c r="I33" s="272"/>
      <c r="J33" s="219"/>
      <c r="K33" s="229"/>
      <c r="L33" s="229"/>
      <c r="M33" s="102"/>
    </row>
    <row r="34" spans="1:13" ht="16.5" customHeight="1" x14ac:dyDescent="0.3">
      <c r="A34" s="272" t="s">
        <v>281</v>
      </c>
      <c r="B34" s="272"/>
      <c r="C34" s="272"/>
      <c r="D34" s="272"/>
      <c r="E34" s="272"/>
      <c r="F34" s="272"/>
      <c r="G34" s="272"/>
      <c r="H34" s="272"/>
      <c r="I34" s="272"/>
      <c r="J34" s="219"/>
      <c r="K34" s="229"/>
      <c r="L34" s="229"/>
      <c r="M34" s="102"/>
    </row>
    <row r="35" spans="1:13" ht="59.25" customHeight="1" x14ac:dyDescent="0.3">
      <c r="A35" s="272" t="s">
        <v>282</v>
      </c>
      <c r="B35" s="272"/>
      <c r="C35" s="272"/>
      <c r="D35" s="272"/>
      <c r="E35" s="272"/>
      <c r="F35" s="272"/>
      <c r="G35" s="272"/>
      <c r="H35" s="272"/>
      <c r="I35" s="272"/>
      <c r="J35" s="219"/>
      <c r="K35" s="229"/>
      <c r="L35" s="229"/>
      <c r="M35" s="102"/>
    </row>
    <row r="36" spans="1:13" ht="36.75" customHeight="1" x14ac:dyDescent="0.3">
      <c r="A36" s="272" t="s">
        <v>289</v>
      </c>
      <c r="B36" s="272"/>
      <c r="C36" s="272"/>
      <c r="D36" s="272"/>
      <c r="E36" s="272"/>
      <c r="F36" s="272"/>
      <c r="G36" s="272"/>
      <c r="H36" s="272"/>
      <c r="I36" s="272"/>
      <c r="J36" s="219"/>
      <c r="K36" s="229"/>
      <c r="L36" s="229"/>
      <c r="M36" s="102"/>
    </row>
    <row r="37" spans="1:13" ht="36.75" customHeight="1" x14ac:dyDescent="0.3">
      <c r="A37" s="272" t="s">
        <v>369</v>
      </c>
      <c r="B37" s="272"/>
      <c r="C37" s="272"/>
      <c r="D37" s="272"/>
      <c r="E37" s="272"/>
      <c r="F37" s="272"/>
      <c r="G37" s="272"/>
      <c r="H37" s="272"/>
      <c r="I37" s="272"/>
      <c r="J37" s="219"/>
      <c r="K37" s="229"/>
      <c r="L37" s="229"/>
      <c r="M37" s="102"/>
    </row>
    <row r="38" spans="1:13" ht="36.75" customHeight="1" x14ac:dyDescent="0.3">
      <c r="A38" s="272" t="s">
        <v>300</v>
      </c>
      <c r="B38" s="272"/>
      <c r="C38" s="272"/>
      <c r="D38" s="272"/>
      <c r="E38" s="272"/>
      <c r="F38" s="272"/>
      <c r="G38" s="272"/>
      <c r="H38" s="272"/>
      <c r="I38" s="272"/>
      <c r="J38" s="219"/>
      <c r="K38" s="229"/>
      <c r="L38" s="229"/>
      <c r="M38" s="102"/>
    </row>
    <row r="39" spans="1:13" ht="45.75" customHeight="1" x14ac:dyDescent="0.3">
      <c r="A39" s="272" t="s">
        <v>303</v>
      </c>
      <c r="B39" s="272"/>
      <c r="C39" s="272"/>
      <c r="D39" s="272"/>
      <c r="E39" s="272"/>
      <c r="F39" s="272"/>
      <c r="G39" s="272"/>
      <c r="H39" s="272"/>
      <c r="I39" s="272"/>
      <c r="J39" s="219"/>
      <c r="K39" s="229"/>
      <c r="L39" s="229"/>
      <c r="M39" s="102"/>
    </row>
    <row r="40" spans="1:13" ht="36.75" customHeight="1" x14ac:dyDescent="0.3">
      <c r="A40" s="272" t="s">
        <v>304</v>
      </c>
      <c r="B40" s="272"/>
      <c r="C40" s="272"/>
      <c r="D40" s="272"/>
      <c r="E40" s="272"/>
      <c r="F40" s="272"/>
      <c r="G40" s="272"/>
      <c r="H40" s="272"/>
      <c r="I40" s="272"/>
      <c r="J40" s="219"/>
      <c r="K40" s="229"/>
      <c r="L40" s="229"/>
      <c r="M40" s="102"/>
    </row>
    <row r="41" spans="1:13" ht="36.75" customHeight="1" x14ac:dyDescent="0.3">
      <c r="A41" s="272" t="s">
        <v>306</v>
      </c>
      <c r="B41" s="272"/>
      <c r="C41" s="272"/>
      <c r="D41" s="272"/>
      <c r="E41" s="272"/>
      <c r="F41" s="272"/>
      <c r="G41" s="272"/>
      <c r="H41" s="272"/>
      <c r="I41" s="272"/>
      <c r="J41" s="219"/>
      <c r="K41" s="229"/>
      <c r="L41" s="229"/>
      <c r="M41" s="102"/>
    </row>
    <row r="42" spans="1:13" ht="23.25" customHeight="1" x14ac:dyDescent="0.3">
      <c r="A42" s="272" t="s">
        <v>308</v>
      </c>
      <c r="B42" s="272"/>
      <c r="C42" s="272"/>
      <c r="D42" s="272"/>
      <c r="E42" s="272"/>
      <c r="F42" s="272"/>
      <c r="G42" s="272"/>
      <c r="H42" s="272"/>
      <c r="I42" s="272"/>
      <c r="J42" s="219"/>
      <c r="K42" s="229"/>
      <c r="L42" s="229"/>
      <c r="M42" s="102"/>
    </row>
    <row r="43" spans="1:13" ht="49.5" customHeight="1" x14ac:dyDescent="0.3">
      <c r="A43" s="272" t="s">
        <v>312</v>
      </c>
      <c r="B43" s="272"/>
      <c r="C43" s="272"/>
      <c r="D43" s="272"/>
      <c r="E43" s="272"/>
      <c r="F43" s="272"/>
      <c r="G43" s="272"/>
      <c r="H43" s="272"/>
      <c r="I43" s="272"/>
      <c r="J43" s="219"/>
      <c r="K43" s="229"/>
      <c r="L43" s="229"/>
      <c r="M43" s="102"/>
    </row>
    <row r="44" spans="1:13" ht="32.25" customHeight="1" x14ac:dyDescent="0.3">
      <c r="A44" s="272" t="s">
        <v>310</v>
      </c>
      <c r="B44" s="272"/>
      <c r="C44" s="272"/>
      <c r="D44" s="272"/>
      <c r="E44" s="272"/>
      <c r="F44" s="272"/>
      <c r="G44" s="272"/>
      <c r="H44" s="272"/>
      <c r="I44" s="272"/>
      <c r="J44" s="219"/>
      <c r="K44" s="229"/>
      <c r="L44" s="229"/>
      <c r="M44" s="102"/>
    </row>
    <row r="45" spans="1:13" ht="29.25" customHeight="1" x14ac:dyDescent="0.3">
      <c r="A45" s="272" t="s">
        <v>314</v>
      </c>
      <c r="B45" s="272"/>
      <c r="C45" s="272"/>
      <c r="D45" s="272"/>
      <c r="E45" s="272"/>
      <c r="F45" s="272"/>
      <c r="G45" s="272"/>
      <c r="H45" s="272"/>
      <c r="I45" s="272"/>
      <c r="J45" s="219"/>
      <c r="K45" s="229"/>
      <c r="L45" s="229"/>
      <c r="M45" s="102"/>
    </row>
    <row r="46" spans="1:13" ht="31.5" customHeight="1" x14ac:dyDescent="0.3">
      <c r="A46" s="272" t="s">
        <v>316</v>
      </c>
      <c r="B46" s="272"/>
      <c r="C46" s="272"/>
      <c r="D46" s="272"/>
      <c r="E46" s="272"/>
      <c r="F46" s="272"/>
      <c r="G46" s="272"/>
      <c r="H46" s="272"/>
      <c r="I46" s="272"/>
      <c r="J46" s="219"/>
      <c r="K46" s="229"/>
      <c r="L46" s="229"/>
      <c r="M46" s="102"/>
    </row>
    <row r="47" spans="1:13" ht="23.25" customHeight="1" x14ac:dyDescent="0.3">
      <c r="A47" s="272" t="s">
        <v>320</v>
      </c>
      <c r="B47" s="272"/>
      <c r="C47" s="272"/>
      <c r="D47" s="272"/>
      <c r="E47" s="272"/>
      <c r="F47" s="272"/>
      <c r="G47" s="272"/>
      <c r="H47" s="272"/>
      <c r="I47" s="272"/>
      <c r="J47" s="219"/>
      <c r="K47" s="229"/>
      <c r="L47" s="229"/>
      <c r="M47" s="102"/>
    </row>
    <row r="48" spans="1:13" ht="36.75" customHeight="1" x14ac:dyDescent="0.3">
      <c r="A48" s="272" t="s">
        <v>321</v>
      </c>
      <c r="B48" s="272"/>
      <c r="C48" s="272"/>
      <c r="D48" s="272"/>
      <c r="E48" s="272"/>
      <c r="F48" s="272"/>
      <c r="G48" s="272"/>
      <c r="H48" s="272"/>
      <c r="I48" s="272"/>
      <c r="J48" s="219"/>
      <c r="K48" s="229"/>
      <c r="L48" s="229"/>
      <c r="M48" s="102"/>
    </row>
    <row r="49" spans="1:13" ht="49.5" customHeight="1" x14ac:dyDescent="0.3">
      <c r="A49" s="272" t="s">
        <v>324</v>
      </c>
      <c r="B49" s="272"/>
      <c r="C49" s="272"/>
      <c r="D49" s="272"/>
      <c r="E49" s="272"/>
      <c r="F49" s="272"/>
      <c r="G49" s="272"/>
      <c r="H49" s="272"/>
      <c r="I49" s="272"/>
      <c r="J49" s="219"/>
      <c r="K49" s="235"/>
      <c r="L49" s="229"/>
      <c r="M49" s="102"/>
    </row>
    <row r="50" spans="1:13" ht="23.25" customHeight="1" x14ac:dyDescent="0.3">
      <c r="A50" s="272" t="s">
        <v>327</v>
      </c>
      <c r="B50" s="272"/>
      <c r="C50" s="272"/>
      <c r="D50" s="272"/>
      <c r="E50" s="272"/>
      <c r="F50" s="272"/>
      <c r="G50" s="272"/>
      <c r="H50" s="272"/>
      <c r="I50" s="272"/>
      <c r="J50" s="219"/>
      <c r="K50" s="229"/>
      <c r="L50" s="229"/>
      <c r="M50" s="102"/>
    </row>
  </sheetData>
  <mergeCells count="24">
    <mergeCell ref="A37:I37"/>
    <mergeCell ref="A38:I38"/>
    <mergeCell ref="A39:I39"/>
    <mergeCell ref="A40:I40"/>
    <mergeCell ref="A33:I33"/>
    <mergeCell ref="A34:I34"/>
    <mergeCell ref="A35:I35"/>
    <mergeCell ref="B27:D27"/>
    <mergeCell ref="A36:I36"/>
    <mergeCell ref="A1:I1"/>
    <mergeCell ref="L4:M4"/>
    <mergeCell ref="F28:H28"/>
    <mergeCell ref="A31:I31"/>
    <mergeCell ref="A32:I32"/>
    <mergeCell ref="A44:I44"/>
    <mergeCell ref="A41:I41"/>
    <mergeCell ref="A42:I42"/>
    <mergeCell ref="A43:I43"/>
    <mergeCell ref="A45:I45"/>
    <mergeCell ref="A46:I46"/>
    <mergeCell ref="A47:I47"/>
    <mergeCell ref="A48:I48"/>
    <mergeCell ref="A49:I49"/>
    <mergeCell ref="A50:I50"/>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E12E72-22C0-4138-BE60-018C8583C670}">
  <sheetPr>
    <pageSetUpPr fitToPage="1"/>
  </sheetPr>
  <dimension ref="A1:S57"/>
  <sheetViews>
    <sheetView topLeftCell="A21" zoomScaleNormal="100" zoomScaleSheetLayoutView="85" workbookViewId="0">
      <selection activeCell="G4" sqref="G4"/>
    </sheetView>
  </sheetViews>
  <sheetFormatPr defaultColWidth="9.1796875" defaultRowHeight="13" x14ac:dyDescent="0.3"/>
  <cols>
    <col min="1" max="1" width="2.26953125" style="1" customWidth="1"/>
    <col min="2" max="2" width="2.453125" style="1" customWidth="1"/>
    <col min="3" max="3" width="2.1796875" style="1" customWidth="1"/>
    <col min="4" max="4" width="1.453125" style="1" customWidth="1"/>
    <col min="5" max="5" width="2.453125" style="1" customWidth="1"/>
    <col min="6" max="6" width="44.7265625" style="1" customWidth="1"/>
    <col min="7" max="7" width="12" style="2" customWidth="1"/>
    <col min="8" max="8" width="13" style="2" customWidth="1"/>
    <col min="9" max="9" width="14.26953125" style="2" customWidth="1"/>
    <col min="10" max="10" width="15.26953125" style="2" customWidth="1"/>
    <col min="11" max="11" width="10.54296875" style="2" customWidth="1"/>
    <col min="12" max="12" width="12.7265625" style="2" customWidth="1"/>
    <col min="13" max="13" width="14" style="2" customWidth="1"/>
    <col min="14" max="14" width="13" style="3" customWidth="1"/>
    <col min="15" max="15" width="6.7265625" style="4" customWidth="1"/>
    <col min="16" max="16" width="3.453125" style="1" customWidth="1"/>
    <col min="17" max="17" width="13" style="1" customWidth="1"/>
    <col min="18" max="16384" width="9.1796875" style="1"/>
  </cols>
  <sheetData>
    <row r="1" spans="1:18" ht="15" x14ac:dyDescent="0.3">
      <c r="A1" s="279" t="s">
        <v>221</v>
      </c>
      <c r="B1" s="279"/>
      <c r="C1" s="279"/>
      <c r="D1" s="279"/>
      <c r="E1" s="279"/>
      <c r="F1" s="279"/>
      <c r="G1" s="279"/>
      <c r="H1" s="279"/>
      <c r="I1" s="279"/>
      <c r="J1" s="279"/>
      <c r="K1" s="279"/>
      <c r="L1" s="279"/>
      <c r="M1" s="279"/>
      <c r="N1" s="279"/>
      <c r="O1" s="279"/>
    </row>
    <row r="2" spans="1:18" ht="15" customHeight="1" x14ac:dyDescent="0.3">
      <c r="A2" s="282"/>
      <c r="B2" s="282"/>
      <c r="C2" s="282"/>
      <c r="D2" s="282"/>
      <c r="E2" s="282"/>
      <c r="F2" s="282"/>
      <c r="G2" s="282"/>
      <c r="H2" s="282"/>
      <c r="I2" s="282"/>
      <c r="J2" s="282"/>
      <c r="K2" s="282"/>
      <c r="L2" s="282"/>
      <c r="M2" s="282"/>
      <c r="N2" s="282"/>
      <c r="O2" s="282"/>
      <c r="P2" s="14"/>
    </row>
    <row r="3" spans="1:18" s="6" customFormat="1" ht="68.25" customHeight="1" x14ac:dyDescent="0.3">
      <c r="A3" s="287" t="s">
        <v>15</v>
      </c>
      <c r="B3" s="287"/>
      <c r="C3" s="287"/>
      <c r="D3" s="287"/>
      <c r="E3" s="287"/>
      <c r="F3" s="287"/>
      <c r="G3" s="5" t="s">
        <v>115</v>
      </c>
      <c r="H3" s="5" t="s">
        <v>116</v>
      </c>
      <c r="I3" s="5" t="s">
        <v>117</v>
      </c>
      <c r="J3" s="5" t="s">
        <v>272</v>
      </c>
      <c r="K3" s="5" t="s">
        <v>118</v>
      </c>
      <c r="L3" s="5" t="s">
        <v>119</v>
      </c>
      <c r="M3" s="5" t="s">
        <v>120</v>
      </c>
      <c r="N3" s="81" t="s">
        <v>141</v>
      </c>
      <c r="O3" s="123" t="s">
        <v>14</v>
      </c>
      <c r="P3" s="82"/>
    </row>
    <row r="4" spans="1:18" x14ac:dyDescent="0.3">
      <c r="A4" s="100" t="s">
        <v>47</v>
      </c>
      <c r="B4" s="295" t="s">
        <v>270</v>
      </c>
      <c r="C4" s="295"/>
      <c r="D4" s="295"/>
      <c r="E4" s="295"/>
      <c r="F4" s="296"/>
      <c r="G4" s="7">
        <v>4</v>
      </c>
      <c r="H4" s="7">
        <v>1</v>
      </c>
      <c r="I4" s="8">
        <f>G4*H4</f>
        <v>4</v>
      </c>
      <c r="J4" s="8">
        <f>'SP-FP Respondents'!H5</f>
        <v>10</v>
      </c>
      <c r="K4" s="8">
        <f>I4*J4</f>
        <v>40</v>
      </c>
      <c r="L4" s="8">
        <f>K4*0.05</f>
        <v>2</v>
      </c>
      <c r="M4" s="8">
        <f>K4*0.1</f>
        <v>4</v>
      </c>
      <c r="N4" s="253">
        <f>(K4*R$6)+(L4*R$5)+(M4*R$7)</f>
        <v>2275.38</v>
      </c>
      <c r="O4" s="124" t="s">
        <v>6</v>
      </c>
      <c r="Q4" s="285" t="s">
        <v>0</v>
      </c>
      <c r="R4" s="286"/>
    </row>
    <row r="5" spans="1:18" ht="18" customHeight="1" x14ac:dyDescent="0.3">
      <c r="A5" s="101" t="s">
        <v>46</v>
      </c>
      <c r="B5" s="280" t="s">
        <v>45</v>
      </c>
      <c r="C5" s="280"/>
      <c r="D5" s="280"/>
      <c r="E5" s="280"/>
      <c r="F5" s="281"/>
      <c r="G5" s="7">
        <v>2</v>
      </c>
      <c r="H5" s="8">
        <v>1</v>
      </c>
      <c r="I5" s="8">
        <f>G5*H5</f>
        <v>2</v>
      </c>
      <c r="J5" s="8">
        <f>'SP-FP Respondents'!H6</f>
        <v>1552</v>
      </c>
      <c r="K5" s="8">
        <f>I5*J5</f>
        <v>3104</v>
      </c>
      <c r="L5" s="8">
        <f>K5*0.05</f>
        <v>155.20000000000002</v>
      </c>
      <c r="M5" s="8">
        <f>K5*0.1</f>
        <v>310.40000000000003</v>
      </c>
      <c r="N5" s="253">
        <f t="shared" ref="N5:N26" si="0">(K5*R$6)+(L5*R$5)+(M5*R$7)</f>
        <v>176569.48800000001</v>
      </c>
      <c r="O5" s="124" t="s">
        <v>19</v>
      </c>
      <c r="Q5" s="95" t="s">
        <v>105</v>
      </c>
      <c r="R5" s="97">
        <v>68.37</v>
      </c>
    </row>
    <row r="6" spans="1:18" ht="15" customHeight="1" x14ac:dyDescent="0.3">
      <c r="A6" s="101" t="s">
        <v>44</v>
      </c>
      <c r="B6" s="283" t="s">
        <v>43</v>
      </c>
      <c r="C6" s="283"/>
      <c r="D6" s="283"/>
      <c r="E6" s="283"/>
      <c r="F6" s="284"/>
      <c r="G6" s="7"/>
      <c r="H6" s="7"/>
      <c r="I6" s="8"/>
      <c r="J6" s="8"/>
      <c r="K6" s="8"/>
      <c r="L6" s="8"/>
      <c r="M6" s="8"/>
      <c r="N6" s="253"/>
      <c r="O6" s="124"/>
      <c r="Q6" s="98" t="s">
        <v>30</v>
      </c>
      <c r="R6" s="97">
        <v>50.72</v>
      </c>
    </row>
    <row r="7" spans="1:18" ht="15" customHeight="1" x14ac:dyDescent="0.3">
      <c r="A7" s="101"/>
      <c r="B7" s="69" t="s">
        <v>35</v>
      </c>
      <c r="C7" s="283" t="s">
        <v>48</v>
      </c>
      <c r="D7" s="283"/>
      <c r="E7" s="283"/>
      <c r="F7" s="284"/>
      <c r="G7" s="7">
        <v>12</v>
      </c>
      <c r="H7" s="9">
        <f>'Table 1B-Public'!D9*0.2</f>
        <v>0.2</v>
      </c>
      <c r="I7" s="8">
        <f>G7*H7</f>
        <v>2.4000000000000004</v>
      </c>
      <c r="J7" s="8">
        <f>'SP-FP Respondents'!H8</f>
        <v>26</v>
      </c>
      <c r="K7" s="8">
        <f>I7*J7</f>
        <v>62.400000000000006</v>
      </c>
      <c r="L7" s="8">
        <f t="shared" ref="L7:L12" si="1">K7*0.05</f>
        <v>3.1200000000000006</v>
      </c>
      <c r="M7" s="8">
        <f t="shared" ref="M7:M12" si="2">K7*0.1</f>
        <v>6.2400000000000011</v>
      </c>
      <c r="N7" s="253">
        <f t="shared" si="0"/>
        <v>3549.5928000000004</v>
      </c>
      <c r="O7" s="124" t="s">
        <v>7</v>
      </c>
      <c r="Q7" s="95" t="s">
        <v>31</v>
      </c>
      <c r="R7" s="97">
        <v>27.46</v>
      </c>
    </row>
    <row r="8" spans="1:18" ht="15" customHeight="1" x14ac:dyDescent="0.3">
      <c r="A8" s="101"/>
      <c r="B8" s="69" t="s">
        <v>34</v>
      </c>
      <c r="C8" s="283" t="s">
        <v>49</v>
      </c>
      <c r="D8" s="283"/>
      <c r="E8" s="283"/>
      <c r="F8" s="284"/>
      <c r="G8" s="7">
        <v>20</v>
      </c>
      <c r="H8" s="9">
        <v>0.2</v>
      </c>
      <c r="I8" s="8">
        <f>G8*H8</f>
        <v>4</v>
      </c>
      <c r="J8" s="8">
        <f>'SP-FP Respondents'!H9</f>
        <v>528</v>
      </c>
      <c r="K8" s="8">
        <f>I8*J8</f>
        <v>2112</v>
      </c>
      <c r="L8" s="8">
        <f t="shared" si="1"/>
        <v>105.60000000000001</v>
      </c>
      <c r="M8" s="8">
        <f t="shared" si="2"/>
        <v>211.20000000000002</v>
      </c>
      <c r="N8" s="253">
        <f t="shared" si="0"/>
        <v>120140.064</v>
      </c>
      <c r="O8" s="124" t="s">
        <v>7</v>
      </c>
    </row>
    <row r="9" spans="1:18" ht="15" customHeight="1" x14ac:dyDescent="0.3">
      <c r="A9" s="101"/>
      <c r="B9" s="69" t="s">
        <v>33</v>
      </c>
      <c r="C9" s="283" t="s">
        <v>41</v>
      </c>
      <c r="D9" s="283"/>
      <c r="E9" s="283"/>
      <c r="F9" s="284"/>
      <c r="G9" s="7">
        <v>1</v>
      </c>
      <c r="H9" s="8">
        <v>1</v>
      </c>
      <c r="I9" s="8">
        <f>G9*H9</f>
        <v>1</v>
      </c>
      <c r="J9" s="8">
        <f>'SP-FP Respondents'!H10</f>
        <v>26</v>
      </c>
      <c r="K9" s="8">
        <f t="shared" ref="K9:K12" si="3">I9*J9</f>
        <v>26</v>
      </c>
      <c r="L9" s="8">
        <f t="shared" si="1"/>
        <v>1.3</v>
      </c>
      <c r="M9" s="8">
        <f t="shared" si="2"/>
        <v>2.6</v>
      </c>
      <c r="N9" s="253">
        <f t="shared" si="0"/>
        <v>1478.9970000000001</v>
      </c>
      <c r="O9" s="124" t="s">
        <v>20</v>
      </c>
    </row>
    <row r="10" spans="1:18" ht="15" customHeight="1" x14ac:dyDescent="0.3">
      <c r="A10" s="101"/>
      <c r="B10" s="69" t="s">
        <v>32</v>
      </c>
      <c r="C10" s="283" t="s">
        <v>39</v>
      </c>
      <c r="D10" s="283"/>
      <c r="E10" s="283"/>
      <c r="F10" s="284"/>
      <c r="G10" s="7">
        <v>1</v>
      </c>
      <c r="H10" s="8">
        <v>1</v>
      </c>
      <c r="I10" s="8">
        <f t="shared" ref="I10:I12" si="4">G10*H10</f>
        <v>1</v>
      </c>
      <c r="J10" s="8">
        <f>'SP-FP Respondents'!H11</f>
        <v>26</v>
      </c>
      <c r="K10" s="8">
        <f>I10*J10</f>
        <v>26</v>
      </c>
      <c r="L10" s="8">
        <f t="shared" si="1"/>
        <v>1.3</v>
      </c>
      <c r="M10" s="8">
        <f t="shared" si="2"/>
        <v>2.6</v>
      </c>
      <c r="N10" s="253">
        <f t="shared" si="0"/>
        <v>1478.9970000000001</v>
      </c>
      <c r="O10" s="124" t="s">
        <v>20</v>
      </c>
    </row>
    <row r="11" spans="1:18" ht="15" customHeight="1" x14ac:dyDescent="0.3">
      <c r="A11" s="101"/>
      <c r="B11" s="69" t="s">
        <v>42</v>
      </c>
      <c r="C11" s="283" t="s">
        <v>60</v>
      </c>
      <c r="D11" s="283"/>
      <c r="E11" s="283"/>
      <c r="F11" s="284"/>
      <c r="G11" s="7">
        <v>2</v>
      </c>
      <c r="H11" s="8">
        <v>1</v>
      </c>
      <c r="I11" s="8">
        <f t="shared" si="4"/>
        <v>2</v>
      </c>
      <c r="J11" s="8">
        <f>'SP-FP Respondents'!H12</f>
        <v>26</v>
      </c>
      <c r="K11" s="8">
        <f t="shared" si="3"/>
        <v>52</v>
      </c>
      <c r="L11" s="8">
        <f t="shared" si="1"/>
        <v>2.6</v>
      </c>
      <c r="M11" s="8">
        <f t="shared" si="2"/>
        <v>5.2</v>
      </c>
      <c r="N11" s="253">
        <f t="shared" si="0"/>
        <v>2957.9940000000001</v>
      </c>
      <c r="O11" s="124" t="s">
        <v>20</v>
      </c>
    </row>
    <row r="12" spans="1:18" ht="15" customHeight="1" x14ac:dyDescent="0.3">
      <c r="A12" s="101" t="s">
        <v>38</v>
      </c>
      <c r="B12" s="283" t="s">
        <v>52</v>
      </c>
      <c r="C12" s="283"/>
      <c r="D12" s="283"/>
      <c r="E12" s="283"/>
      <c r="F12" s="284"/>
      <c r="G12" s="7">
        <v>24</v>
      </c>
      <c r="H12" s="256">
        <v>1</v>
      </c>
      <c r="I12" s="8">
        <f t="shared" si="4"/>
        <v>24</v>
      </c>
      <c r="J12" s="8">
        <f>'SP-FP Respondents'!H13</f>
        <v>3</v>
      </c>
      <c r="K12" s="8">
        <f t="shared" si="3"/>
        <v>72</v>
      </c>
      <c r="L12" s="8">
        <f t="shared" si="1"/>
        <v>3.6</v>
      </c>
      <c r="M12" s="8">
        <f t="shared" si="2"/>
        <v>7.2</v>
      </c>
      <c r="N12" s="253">
        <f t="shared" si="0"/>
        <v>4095.6840000000002</v>
      </c>
      <c r="O12" s="124" t="s">
        <v>21</v>
      </c>
    </row>
    <row r="13" spans="1:18" ht="15.75" customHeight="1" x14ac:dyDescent="0.3">
      <c r="A13" s="101" t="s">
        <v>229</v>
      </c>
      <c r="B13" s="283" t="s">
        <v>36</v>
      </c>
      <c r="C13" s="283"/>
      <c r="D13" s="283"/>
      <c r="E13" s="283"/>
      <c r="F13" s="284"/>
      <c r="G13" s="7"/>
      <c r="H13" s="8"/>
      <c r="I13" s="8"/>
      <c r="J13" s="8"/>
      <c r="K13" s="8"/>
      <c r="L13" s="8"/>
      <c r="M13" s="8"/>
      <c r="N13" s="253"/>
      <c r="O13" s="124"/>
    </row>
    <row r="14" spans="1:18" x14ac:dyDescent="0.3">
      <c r="A14" s="101"/>
      <c r="B14" s="69" t="s">
        <v>35</v>
      </c>
      <c r="C14" s="283" t="s">
        <v>50</v>
      </c>
      <c r="D14" s="283"/>
      <c r="E14" s="283"/>
      <c r="F14" s="284"/>
      <c r="G14" s="7">
        <v>1</v>
      </c>
      <c r="H14" s="8">
        <f>'Table 1B-Public'!D15</f>
        <v>1</v>
      </c>
      <c r="I14" s="8">
        <f t="shared" ref="I14:I18" si="5">G14*H14</f>
        <v>1</v>
      </c>
      <c r="J14" s="8">
        <f>'SP-FP Respondents'!H15</f>
        <v>45</v>
      </c>
      <c r="K14" s="8">
        <f t="shared" ref="K14:K26" si="6">I14*J14</f>
        <v>45</v>
      </c>
      <c r="L14" s="8">
        <f t="shared" ref="L14:L18" si="7">K14*0.05</f>
        <v>2.25</v>
      </c>
      <c r="M14" s="8">
        <f t="shared" ref="M14:M18" si="8">K14*0.1</f>
        <v>4.5</v>
      </c>
      <c r="N14" s="253">
        <f t="shared" si="0"/>
        <v>2559.8025000000002</v>
      </c>
      <c r="O14" s="124" t="s">
        <v>22</v>
      </c>
      <c r="Q14" s="122"/>
    </row>
    <row r="15" spans="1:18" ht="15" customHeight="1" x14ac:dyDescent="0.3">
      <c r="A15" s="101"/>
      <c r="B15" s="69" t="s">
        <v>34</v>
      </c>
      <c r="C15" s="283" t="s">
        <v>63</v>
      </c>
      <c r="D15" s="283"/>
      <c r="E15" s="283"/>
      <c r="F15" s="284"/>
      <c r="G15" s="7">
        <v>1</v>
      </c>
      <c r="H15" s="8">
        <f>'Table 1B-Public'!D16</f>
        <v>1</v>
      </c>
      <c r="I15" s="8">
        <f t="shared" ref="I15" si="9">G15*H15</f>
        <v>1</v>
      </c>
      <c r="J15" s="8">
        <f>'SP-FP Respondents'!H16</f>
        <v>20</v>
      </c>
      <c r="K15" s="8">
        <f t="shared" ref="K15" si="10">I15*J15</f>
        <v>20</v>
      </c>
      <c r="L15" s="8">
        <f t="shared" ref="L15" si="11">K15*0.05</f>
        <v>1</v>
      </c>
      <c r="M15" s="8">
        <f t="shared" ref="M15" si="12">K15*0.1</f>
        <v>2</v>
      </c>
      <c r="N15" s="253">
        <f>(K15*R$6)+(L15*R$5)+(M15*R$7)</f>
        <v>1137.69</v>
      </c>
      <c r="O15" s="124" t="s">
        <v>23</v>
      </c>
    </row>
    <row r="16" spans="1:18" ht="15" customHeight="1" x14ac:dyDescent="0.3">
      <c r="A16" s="101"/>
      <c r="B16" s="69" t="s">
        <v>33</v>
      </c>
      <c r="C16" s="283" t="s">
        <v>53</v>
      </c>
      <c r="D16" s="283"/>
      <c r="E16" s="283"/>
      <c r="F16" s="284"/>
      <c r="G16" s="7">
        <v>2</v>
      </c>
      <c r="H16" s="8">
        <f>'Table 1B-Public'!D16</f>
        <v>1</v>
      </c>
      <c r="I16" s="8">
        <f t="shared" si="5"/>
        <v>2</v>
      </c>
      <c r="J16" s="8">
        <f>'SP-FP Respondents'!H17</f>
        <v>47</v>
      </c>
      <c r="K16" s="8">
        <f>I16*J16</f>
        <v>94</v>
      </c>
      <c r="L16" s="8">
        <f t="shared" si="7"/>
        <v>4.7</v>
      </c>
      <c r="M16" s="8">
        <f t="shared" si="8"/>
        <v>9.4</v>
      </c>
      <c r="N16" s="253">
        <f t="shared" si="0"/>
        <v>5347.143</v>
      </c>
      <c r="O16" s="124" t="s">
        <v>24</v>
      </c>
    </row>
    <row r="17" spans="1:19" ht="15" customHeight="1" x14ac:dyDescent="0.3">
      <c r="A17" s="101"/>
      <c r="B17" s="69" t="s">
        <v>32</v>
      </c>
      <c r="C17" s="283" t="s">
        <v>55</v>
      </c>
      <c r="D17" s="283"/>
      <c r="E17" s="283"/>
      <c r="F17" s="284"/>
      <c r="G17" s="7">
        <v>1</v>
      </c>
      <c r="H17" s="8">
        <v>1</v>
      </c>
      <c r="I17" s="8">
        <f t="shared" si="5"/>
        <v>1</v>
      </c>
      <c r="J17" s="8">
        <f>'SP-FP Respondents'!H18</f>
        <v>23</v>
      </c>
      <c r="K17" s="8">
        <f t="shared" si="6"/>
        <v>23</v>
      </c>
      <c r="L17" s="8">
        <f t="shared" si="7"/>
        <v>1.1500000000000001</v>
      </c>
      <c r="M17" s="8">
        <f t="shared" si="8"/>
        <v>2.3000000000000003</v>
      </c>
      <c r="N17" s="253">
        <f t="shared" si="0"/>
        <v>1308.3434999999999</v>
      </c>
      <c r="O17" s="124" t="s">
        <v>5</v>
      </c>
    </row>
    <row r="18" spans="1:19" ht="15" customHeight="1" x14ac:dyDescent="0.3">
      <c r="A18" s="101"/>
      <c r="B18" s="69" t="s">
        <v>42</v>
      </c>
      <c r="C18" s="283" t="s">
        <v>56</v>
      </c>
      <c r="D18" s="283"/>
      <c r="E18" s="283"/>
      <c r="F18" s="284"/>
      <c r="G18" s="7">
        <v>1</v>
      </c>
      <c r="H18" s="8">
        <v>1</v>
      </c>
      <c r="I18" s="8">
        <f t="shared" si="5"/>
        <v>1</v>
      </c>
      <c r="J18" s="8">
        <f>'SP-FP Respondents'!H19</f>
        <v>0</v>
      </c>
      <c r="K18" s="8">
        <f t="shared" si="6"/>
        <v>0</v>
      </c>
      <c r="L18" s="8">
        <f t="shared" si="7"/>
        <v>0</v>
      </c>
      <c r="M18" s="8">
        <f t="shared" si="8"/>
        <v>0</v>
      </c>
      <c r="N18" s="253">
        <f t="shared" si="0"/>
        <v>0</v>
      </c>
      <c r="O18" s="124" t="s">
        <v>5</v>
      </c>
    </row>
    <row r="19" spans="1:19" ht="15" customHeight="1" x14ac:dyDescent="0.3">
      <c r="A19" s="101"/>
      <c r="B19" s="69" t="s">
        <v>40</v>
      </c>
      <c r="C19" s="283" t="s">
        <v>51</v>
      </c>
      <c r="D19" s="283"/>
      <c r="E19" s="283"/>
      <c r="F19" s="284"/>
      <c r="G19" s="7">
        <v>15</v>
      </c>
      <c r="H19" s="8">
        <v>1</v>
      </c>
      <c r="I19" s="8">
        <f>G19*H19</f>
        <v>15</v>
      </c>
      <c r="J19" s="8">
        <f>'SP-FP Respondents'!H20</f>
        <v>26</v>
      </c>
      <c r="K19" s="8">
        <f t="shared" si="6"/>
        <v>390</v>
      </c>
      <c r="L19" s="8">
        <f>K19*0.05</f>
        <v>19.5</v>
      </c>
      <c r="M19" s="8">
        <f>K19*0.1</f>
        <v>39</v>
      </c>
      <c r="N19" s="253">
        <f t="shared" si="0"/>
        <v>22184.954999999998</v>
      </c>
      <c r="O19" s="124" t="s">
        <v>166</v>
      </c>
    </row>
    <row r="20" spans="1:19" ht="15" customHeight="1" x14ac:dyDescent="0.3">
      <c r="A20" s="101"/>
      <c r="B20" s="69" t="s">
        <v>57</v>
      </c>
      <c r="C20" s="283" t="s">
        <v>58</v>
      </c>
      <c r="D20" s="283"/>
      <c r="E20" s="283"/>
      <c r="F20" s="284"/>
      <c r="G20" s="7">
        <v>5</v>
      </c>
      <c r="H20" s="9">
        <v>0.1</v>
      </c>
      <c r="I20" s="8">
        <f>G20*H20</f>
        <v>0.5</v>
      </c>
      <c r="J20" s="9">
        <f>'SP-FP Respondents'!H21</f>
        <v>2.6</v>
      </c>
      <c r="K20" s="8">
        <f t="shared" si="6"/>
        <v>1.3</v>
      </c>
      <c r="L20" s="8">
        <f>K20*0.05</f>
        <v>6.5000000000000002E-2</v>
      </c>
      <c r="M20" s="8">
        <f>K20*0.1</f>
        <v>0.13</v>
      </c>
      <c r="N20" s="253">
        <f t="shared" si="0"/>
        <v>73.949850000000012</v>
      </c>
      <c r="O20" s="124" t="s">
        <v>26</v>
      </c>
    </row>
    <row r="21" spans="1:19" ht="15" customHeight="1" x14ac:dyDescent="0.3">
      <c r="A21" s="101"/>
      <c r="B21" s="69" t="s">
        <v>59</v>
      </c>
      <c r="C21" s="283" t="s">
        <v>133</v>
      </c>
      <c r="D21" s="283"/>
      <c r="E21" s="283"/>
      <c r="F21" s="284"/>
      <c r="G21" s="7">
        <v>12</v>
      </c>
      <c r="H21" s="8">
        <v>1</v>
      </c>
      <c r="I21" s="8">
        <f>G21*H21</f>
        <v>12</v>
      </c>
      <c r="J21" s="8">
        <f>'SP-FP Respondents'!H22</f>
        <v>26</v>
      </c>
      <c r="K21" s="8">
        <f>I21*J21</f>
        <v>312</v>
      </c>
      <c r="L21" s="8">
        <f>K21*0.05</f>
        <v>15.600000000000001</v>
      </c>
      <c r="M21" s="8">
        <f>K21*0.1</f>
        <v>31.200000000000003</v>
      </c>
      <c r="N21" s="253">
        <f t="shared" si="0"/>
        <v>17747.964</v>
      </c>
      <c r="O21" s="124" t="s">
        <v>7</v>
      </c>
    </row>
    <row r="22" spans="1:19" ht="15" customHeight="1" x14ac:dyDescent="0.3">
      <c r="A22" s="101"/>
      <c r="B22" s="69" t="s">
        <v>95</v>
      </c>
      <c r="C22" s="283" t="s">
        <v>54</v>
      </c>
      <c r="D22" s="283"/>
      <c r="E22" s="283"/>
      <c r="F22" s="284"/>
      <c r="G22" s="7">
        <v>2</v>
      </c>
      <c r="H22" s="8">
        <v>1</v>
      </c>
      <c r="I22" s="8">
        <f>G22*H22</f>
        <v>2</v>
      </c>
      <c r="J22" s="8">
        <f>'SP-FP Respondents'!H23</f>
        <v>528</v>
      </c>
      <c r="K22" s="8">
        <f>I22*J22</f>
        <v>1056</v>
      </c>
      <c r="L22" s="8">
        <f>K22*0.05</f>
        <v>52.800000000000004</v>
      </c>
      <c r="M22" s="8">
        <f>K22*0.1</f>
        <v>105.60000000000001</v>
      </c>
      <c r="N22" s="253">
        <f t="shared" si="0"/>
        <v>60070.031999999999</v>
      </c>
      <c r="O22" s="124" t="s">
        <v>27</v>
      </c>
    </row>
    <row r="23" spans="1:19" ht="15" customHeight="1" x14ac:dyDescent="0.3">
      <c r="A23" s="101"/>
      <c r="B23" s="69" t="s">
        <v>96</v>
      </c>
      <c r="C23" s="283" t="s">
        <v>92</v>
      </c>
      <c r="D23" s="283"/>
      <c r="E23" s="283"/>
      <c r="F23" s="284"/>
      <c r="G23" s="7">
        <f>5*0.25</f>
        <v>1.25</v>
      </c>
      <c r="H23" s="8">
        <v>1</v>
      </c>
      <c r="I23" s="99">
        <f t="shared" ref="I23:I25" si="13">G23*H23</f>
        <v>1.25</v>
      </c>
      <c r="J23" s="8">
        <f>'SP-FP Respondents'!H24</f>
        <v>1</v>
      </c>
      <c r="K23" s="8">
        <f t="shared" si="6"/>
        <v>1.25</v>
      </c>
      <c r="L23" s="8">
        <f t="shared" ref="L23:L25" si="14">K23*0.05</f>
        <v>6.25E-2</v>
      </c>
      <c r="M23" s="8">
        <f t="shared" ref="M23:M25" si="15">K23*0.1</f>
        <v>0.125</v>
      </c>
      <c r="N23" s="253">
        <f t="shared" si="0"/>
        <v>71.105625000000003</v>
      </c>
      <c r="O23" s="124" t="s">
        <v>65</v>
      </c>
    </row>
    <row r="24" spans="1:19" ht="15" customHeight="1" x14ac:dyDescent="0.3">
      <c r="A24" s="101"/>
      <c r="B24" s="69" t="s">
        <v>97</v>
      </c>
      <c r="C24" s="283" t="s">
        <v>93</v>
      </c>
      <c r="D24" s="283"/>
      <c r="E24" s="283"/>
      <c r="F24" s="284"/>
      <c r="G24" s="7">
        <f t="shared" ref="G24:G25" si="16">5*0.25</f>
        <v>1.25</v>
      </c>
      <c r="H24" s="8">
        <v>1</v>
      </c>
      <c r="I24" s="99">
        <f t="shared" si="13"/>
        <v>1.25</v>
      </c>
      <c r="J24" s="8">
        <f>'SP-FP Respondents'!H25</f>
        <v>1</v>
      </c>
      <c r="K24" s="8">
        <f t="shared" si="6"/>
        <v>1.25</v>
      </c>
      <c r="L24" s="8">
        <f t="shared" si="14"/>
        <v>6.25E-2</v>
      </c>
      <c r="M24" s="8">
        <f t="shared" si="15"/>
        <v>0.125</v>
      </c>
      <c r="N24" s="253">
        <f t="shared" si="0"/>
        <v>71.105625000000003</v>
      </c>
      <c r="O24" s="124" t="s">
        <v>65</v>
      </c>
    </row>
    <row r="25" spans="1:19" ht="15" customHeight="1" x14ac:dyDescent="0.3">
      <c r="A25" s="101"/>
      <c r="B25" s="69" t="s">
        <v>98</v>
      </c>
      <c r="C25" s="283" t="s">
        <v>94</v>
      </c>
      <c r="D25" s="283"/>
      <c r="E25" s="283"/>
      <c r="F25" s="284"/>
      <c r="G25" s="7">
        <f t="shared" si="16"/>
        <v>1.25</v>
      </c>
      <c r="H25" s="8">
        <v>1</v>
      </c>
      <c r="I25" s="99">
        <f t="shared" si="13"/>
        <v>1.25</v>
      </c>
      <c r="J25" s="8">
        <f>'SP-FP Respondents'!H26</f>
        <v>1</v>
      </c>
      <c r="K25" s="8">
        <f t="shared" si="6"/>
        <v>1.25</v>
      </c>
      <c r="L25" s="8">
        <f t="shared" si="14"/>
        <v>6.25E-2</v>
      </c>
      <c r="M25" s="8">
        <f t="shared" si="15"/>
        <v>0.125</v>
      </c>
      <c r="N25" s="253">
        <f t="shared" si="0"/>
        <v>71.105625000000003</v>
      </c>
      <c r="O25" s="124" t="s">
        <v>65</v>
      </c>
    </row>
    <row r="26" spans="1:19" ht="15" customHeight="1" x14ac:dyDescent="0.3">
      <c r="A26" s="101"/>
      <c r="B26" s="69" t="s">
        <v>222</v>
      </c>
      <c r="C26" s="283" t="s">
        <v>100</v>
      </c>
      <c r="D26" s="283"/>
      <c r="E26" s="283"/>
      <c r="F26" s="284"/>
      <c r="G26" s="7">
        <v>1</v>
      </c>
      <c r="H26" s="8">
        <v>1</v>
      </c>
      <c r="I26" s="8">
        <f>G26*H26</f>
        <v>1</v>
      </c>
      <c r="J26" s="8">
        <f>'SP-FP Respondents'!H27</f>
        <v>215</v>
      </c>
      <c r="K26" s="8">
        <f t="shared" si="6"/>
        <v>215</v>
      </c>
      <c r="L26" s="8">
        <f>K26*0.05</f>
        <v>10.75</v>
      </c>
      <c r="M26" s="8">
        <f>K26*0.1</f>
        <v>21.5</v>
      </c>
      <c r="N26" s="253">
        <f t="shared" si="0"/>
        <v>12230.1675</v>
      </c>
      <c r="O26" s="124" t="s">
        <v>64</v>
      </c>
    </row>
    <row r="27" spans="1:19" ht="30.75" customHeight="1" x14ac:dyDescent="0.3">
      <c r="A27" s="101" t="s">
        <v>37</v>
      </c>
      <c r="B27" s="297" t="s">
        <v>224</v>
      </c>
      <c r="C27" s="297"/>
      <c r="D27" s="297"/>
      <c r="E27" s="297"/>
      <c r="F27" s="298"/>
      <c r="G27" s="291" t="s">
        <v>223</v>
      </c>
      <c r="H27" s="292"/>
      <c r="I27" s="293"/>
      <c r="J27" s="8">
        <f>'SP-FP Respondents'!H28</f>
        <v>111</v>
      </c>
      <c r="K27" s="10"/>
      <c r="L27" s="11"/>
      <c r="M27" s="12"/>
      <c r="N27" s="253">
        <f>J27*(3*111+3*58+600)</f>
        <v>122877</v>
      </c>
      <c r="O27" s="124" t="s">
        <v>77</v>
      </c>
    </row>
    <row r="28" spans="1:19" ht="15" customHeight="1" x14ac:dyDescent="0.3">
      <c r="A28" s="299" t="s">
        <v>193</v>
      </c>
      <c r="B28" s="300"/>
      <c r="C28" s="300"/>
      <c r="D28" s="300"/>
      <c r="E28" s="300"/>
      <c r="F28" s="301"/>
      <c r="G28" s="7"/>
      <c r="H28" s="7"/>
      <c r="I28" s="7"/>
      <c r="J28" s="13"/>
      <c r="K28" s="288">
        <f>ROUND(SUM(K4:M26),-1)</f>
        <v>8800</v>
      </c>
      <c r="L28" s="289"/>
      <c r="M28" s="290"/>
      <c r="N28" s="254">
        <f>ROUND(SUM(N4:N27),-3)</f>
        <v>558000</v>
      </c>
      <c r="O28" s="124" t="s">
        <v>99</v>
      </c>
    </row>
    <row r="29" spans="1:19" ht="24.75" customHeight="1" x14ac:dyDescent="0.3">
      <c r="A29" s="302" t="s">
        <v>121</v>
      </c>
      <c r="B29" s="302"/>
      <c r="C29" s="302"/>
      <c r="D29" s="302"/>
      <c r="E29" s="302"/>
      <c r="F29" s="302"/>
      <c r="G29" s="302"/>
      <c r="H29" s="302"/>
      <c r="I29" s="302"/>
      <c r="J29" s="302"/>
      <c r="K29" s="302"/>
      <c r="L29" s="302"/>
      <c r="M29" s="302"/>
      <c r="N29" s="302"/>
    </row>
    <row r="30" spans="1:19" ht="44.5" customHeight="1" x14ac:dyDescent="0.3">
      <c r="A30" s="79" t="s">
        <v>10</v>
      </c>
      <c r="B30" s="294" t="s">
        <v>243</v>
      </c>
      <c r="C30" s="294"/>
      <c r="D30" s="294"/>
      <c r="E30" s="294"/>
      <c r="F30" s="294"/>
      <c r="G30" s="294"/>
      <c r="H30" s="294"/>
      <c r="I30" s="294"/>
      <c r="J30" s="294"/>
      <c r="K30" s="294"/>
      <c r="L30" s="294"/>
      <c r="M30" s="294"/>
      <c r="N30" s="294"/>
    </row>
    <row r="31" spans="1:19" ht="31.5" customHeight="1" x14ac:dyDescent="0.3">
      <c r="A31" s="79" t="s">
        <v>18</v>
      </c>
      <c r="B31" s="294" t="s">
        <v>191</v>
      </c>
      <c r="C31" s="294"/>
      <c r="D31" s="294"/>
      <c r="E31" s="294"/>
      <c r="F31" s="294"/>
      <c r="G31" s="294"/>
      <c r="H31" s="294"/>
      <c r="I31" s="294"/>
      <c r="J31" s="294"/>
      <c r="K31" s="294"/>
      <c r="L31" s="294"/>
      <c r="M31" s="294"/>
      <c r="N31" s="294"/>
    </row>
    <row r="32" spans="1:19" ht="29.25" customHeight="1" x14ac:dyDescent="0.3">
      <c r="A32" s="79" t="s">
        <v>6</v>
      </c>
      <c r="B32" s="294" t="s">
        <v>265</v>
      </c>
      <c r="C32" s="294"/>
      <c r="D32" s="294"/>
      <c r="E32" s="294"/>
      <c r="F32" s="294"/>
      <c r="G32" s="294"/>
      <c r="H32" s="294"/>
      <c r="I32" s="294"/>
      <c r="J32" s="294"/>
      <c r="K32" s="294"/>
      <c r="L32" s="294"/>
      <c r="M32" s="294"/>
      <c r="N32" s="294"/>
      <c r="O32" s="125"/>
      <c r="R32" s="77"/>
      <c r="S32" s="77"/>
    </row>
    <row r="33" spans="1:19" ht="23.25" customHeight="1" x14ac:dyDescent="0.3">
      <c r="A33" s="79" t="s">
        <v>19</v>
      </c>
      <c r="B33" s="294" t="s">
        <v>371</v>
      </c>
      <c r="C33" s="294"/>
      <c r="D33" s="294"/>
      <c r="E33" s="294"/>
      <c r="F33" s="294"/>
      <c r="G33" s="294"/>
      <c r="H33" s="294"/>
      <c r="I33" s="294"/>
      <c r="J33" s="294"/>
      <c r="K33" s="294"/>
      <c r="L33" s="294"/>
      <c r="M33" s="294"/>
      <c r="N33" s="294"/>
      <c r="O33" s="125"/>
      <c r="R33" s="77"/>
      <c r="S33" s="77"/>
    </row>
    <row r="34" spans="1:19" ht="68.25" customHeight="1" x14ac:dyDescent="0.3">
      <c r="A34" s="126" t="s">
        <v>7</v>
      </c>
      <c r="B34" s="294" t="s">
        <v>372</v>
      </c>
      <c r="C34" s="294"/>
      <c r="D34" s="294"/>
      <c r="E34" s="294"/>
      <c r="F34" s="294"/>
      <c r="G34" s="294"/>
      <c r="H34" s="294"/>
      <c r="I34" s="294"/>
      <c r="J34" s="294"/>
      <c r="K34" s="294"/>
      <c r="L34" s="294"/>
      <c r="M34" s="294"/>
      <c r="N34" s="294"/>
      <c r="O34" s="125"/>
      <c r="R34" s="77"/>
      <c r="S34" s="77"/>
    </row>
    <row r="35" spans="1:19" ht="31.5" customHeight="1" x14ac:dyDescent="0.3">
      <c r="A35" s="126" t="s">
        <v>20</v>
      </c>
      <c r="B35" s="294" t="s">
        <v>285</v>
      </c>
      <c r="C35" s="294"/>
      <c r="D35" s="294"/>
      <c r="E35" s="294"/>
      <c r="F35" s="294"/>
      <c r="G35" s="294"/>
      <c r="H35" s="294"/>
      <c r="I35" s="294"/>
      <c r="J35" s="294"/>
      <c r="K35" s="294"/>
      <c r="L35" s="294"/>
      <c r="M35" s="294"/>
      <c r="N35" s="294"/>
      <c r="O35" s="125"/>
      <c r="R35" s="77"/>
      <c r="S35" s="77"/>
    </row>
    <row r="36" spans="1:19" ht="37.5" customHeight="1" x14ac:dyDescent="0.3">
      <c r="A36" s="79" t="s">
        <v>21</v>
      </c>
      <c r="B36" s="294" t="s">
        <v>370</v>
      </c>
      <c r="C36" s="294"/>
      <c r="D36" s="294"/>
      <c r="E36" s="294"/>
      <c r="F36" s="294"/>
      <c r="G36" s="294"/>
      <c r="H36" s="294"/>
      <c r="I36" s="294"/>
      <c r="J36" s="294"/>
      <c r="K36" s="294"/>
      <c r="L36" s="294"/>
      <c r="M36" s="294"/>
      <c r="N36" s="294"/>
      <c r="O36" s="1"/>
      <c r="R36" s="77"/>
      <c r="S36" s="77"/>
    </row>
    <row r="37" spans="1:19" ht="41.25" customHeight="1" x14ac:dyDescent="0.3">
      <c r="A37" s="126" t="s">
        <v>22</v>
      </c>
      <c r="B37" s="294" t="s">
        <v>373</v>
      </c>
      <c r="C37" s="294"/>
      <c r="D37" s="294"/>
      <c r="E37" s="294"/>
      <c r="F37" s="294"/>
      <c r="G37" s="294"/>
      <c r="H37" s="294"/>
      <c r="I37" s="294"/>
      <c r="J37" s="294"/>
      <c r="K37" s="294"/>
      <c r="L37" s="294"/>
      <c r="M37" s="294"/>
      <c r="N37" s="294"/>
      <c r="O37" s="125"/>
      <c r="Q37" s="122"/>
      <c r="R37" s="77"/>
      <c r="S37" s="77"/>
    </row>
    <row r="38" spans="1:19" ht="42.75" customHeight="1" x14ac:dyDescent="0.3">
      <c r="A38" s="79" t="s">
        <v>23</v>
      </c>
      <c r="B38" s="294" t="s">
        <v>374</v>
      </c>
      <c r="C38" s="294"/>
      <c r="D38" s="294"/>
      <c r="E38" s="294"/>
      <c r="F38" s="294"/>
      <c r="G38" s="294"/>
      <c r="H38" s="294"/>
      <c r="I38" s="294"/>
      <c r="J38" s="294"/>
      <c r="K38" s="294"/>
      <c r="L38" s="294"/>
      <c r="M38" s="294"/>
      <c r="N38" s="294"/>
      <c r="O38" s="125"/>
      <c r="Q38" s="122"/>
      <c r="R38" s="77"/>
      <c r="S38" s="77"/>
    </row>
    <row r="39" spans="1:19" ht="32.25" customHeight="1" x14ac:dyDescent="0.3">
      <c r="A39" s="79" t="s">
        <v>24</v>
      </c>
      <c r="B39" s="294" t="s">
        <v>357</v>
      </c>
      <c r="C39" s="294"/>
      <c r="D39" s="294"/>
      <c r="E39" s="294"/>
      <c r="F39" s="294"/>
      <c r="G39" s="294"/>
      <c r="H39" s="294"/>
      <c r="I39" s="294"/>
      <c r="J39" s="294"/>
      <c r="K39" s="294"/>
      <c r="L39" s="294"/>
      <c r="M39" s="294"/>
      <c r="N39" s="294"/>
      <c r="R39" s="77"/>
      <c r="S39" s="77"/>
    </row>
    <row r="40" spans="1:19" ht="34" customHeight="1" x14ac:dyDescent="0.3">
      <c r="A40" s="79" t="s">
        <v>5</v>
      </c>
      <c r="B40" s="294" t="s">
        <v>358</v>
      </c>
      <c r="C40" s="294"/>
      <c r="D40" s="294"/>
      <c r="E40" s="294"/>
      <c r="F40" s="294"/>
      <c r="G40" s="294"/>
      <c r="H40" s="294"/>
      <c r="I40" s="294"/>
      <c r="J40" s="294"/>
      <c r="K40" s="294"/>
      <c r="L40" s="294"/>
      <c r="M40" s="294"/>
      <c r="N40" s="294"/>
      <c r="R40" s="77"/>
      <c r="S40" s="77"/>
    </row>
    <row r="41" spans="1:19" ht="44.15" customHeight="1" x14ac:dyDescent="0.3">
      <c r="A41" s="79" t="s">
        <v>25</v>
      </c>
      <c r="B41" s="294" t="s">
        <v>359</v>
      </c>
      <c r="C41" s="294"/>
      <c r="D41" s="294"/>
      <c r="E41" s="294"/>
      <c r="F41" s="294"/>
      <c r="G41" s="294"/>
      <c r="H41" s="294"/>
      <c r="I41" s="294"/>
      <c r="J41" s="294"/>
      <c r="K41" s="294"/>
      <c r="L41" s="294"/>
      <c r="M41" s="294"/>
      <c r="N41" s="294"/>
      <c r="R41" s="77"/>
      <c r="S41" s="77"/>
    </row>
    <row r="42" spans="1:19" ht="33" customHeight="1" x14ac:dyDescent="0.3">
      <c r="A42" s="79" t="s">
        <v>26</v>
      </c>
      <c r="B42" s="294" t="s">
        <v>192</v>
      </c>
      <c r="C42" s="294"/>
      <c r="D42" s="294"/>
      <c r="E42" s="294"/>
      <c r="F42" s="294"/>
      <c r="G42" s="294"/>
      <c r="H42" s="294"/>
      <c r="I42" s="294"/>
      <c r="J42" s="294"/>
      <c r="K42" s="294"/>
      <c r="L42" s="294"/>
      <c r="M42" s="294"/>
      <c r="N42" s="294"/>
      <c r="O42" s="125"/>
      <c r="R42" s="77"/>
      <c r="S42" s="77"/>
    </row>
    <row r="43" spans="1:19" ht="34.5" customHeight="1" x14ac:dyDescent="0.3">
      <c r="A43" s="79" t="s">
        <v>27</v>
      </c>
      <c r="B43" s="294" t="s">
        <v>360</v>
      </c>
      <c r="C43" s="294"/>
      <c r="D43" s="294"/>
      <c r="E43" s="294"/>
      <c r="F43" s="294"/>
      <c r="G43" s="294"/>
      <c r="H43" s="294"/>
      <c r="I43" s="294"/>
      <c r="J43" s="294"/>
      <c r="K43" s="294"/>
      <c r="L43" s="294"/>
      <c r="M43" s="294"/>
      <c r="N43" s="294"/>
      <c r="O43" s="125"/>
      <c r="R43" s="77"/>
      <c r="S43" s="77"/>
    </row>
    <row r="44" spans="1:19" ht="20.25" customHeight="1" x14ac:dyDescent="0.3">
      <c r="A44" s="80" t="s">
        <v>65</v>
      </c>
      <c r="B44" s="294" t="s">
        <v>245</v>
      </c>
      <c r="C44" s="294"/>
      <c r="D44" s="294"/>
      <c r="E44" s="294"/>
      <c r="F44" s="294"/>
      <c r="G44" s="294"/>
      <c r="H44" s="294"/>
      <c r="I44" s="294"/>
      <c r="J44" s="294"/>
      <c r="K44" s="294"/>
      <c r="L44" s="294"/>
      <c r="M44" s="294"/>
      <c r="N44" s="294"/>
      <c r="O44" s="125"/>
      <c r="R44" s="77"/>
      <c r="S44" s="77"/>
    </row>
    <row r="45" spans="1:19" ht="35.25" customHeight="1" x14ac:dyDescent="0.3">
      <c r="A45" s="79" t="s">
        <v>64</v>
      </c>
      <c r="B45" s="294" t="s">
        <v>361</v>
      </c>
      <c r="C45" s="294"/>
      <c r="D45" s="294"/>
      <c r="E45" s="294"/>
      <c r="F45" s="294"/>
      <c r="G45" s="294"/>
      <c r="H45" s="294"/>
      <c r="I45" s="294"/>
      <c r="J45" s="294"/>
      <c r="K45" s="294"/>
      <c r="L45" s="294"/>
      <c r="M45" s="294"/>
      <c r="N45" s="294"/>
      <c r="O45" s="125"/>
      <c r="R45" s="77"/>
      <c r="S45" s="77"/>
    </row>
    <row r="46" spans="1:19" ht="44.25" customHeight="1" x14ac:dyDescent="0.3">
      <c r="A46" s="79" t="s">
        <v>77</v>
      </c>
      <c r="B46" s="294" t="s">
        <v>247</v>
      </c>
      <c r="C46" s="294"/>
      <c r="D46" s="294"/>
      <c r="E46" s="294"/>
      <c r="F46" s="294"/>
      <c r="G46" s="294"/>
      <c r="H46" s="294"/>
      <c r="I46" s="294"/>
      <c r="J46" s="294"/>
      <c r="K46" s="294"/>
      <c r="L46" s="294"/>
      <c r="M46" s="294"/>
      <c r="N46" s="294"/>
      <c r="R46" s="89"/>
      <c r="S46" s="78"/>
    </row>
    <row r="47" spans="1:19" ht="24" customHeight="1" x14ac:dyDescent="0.3">
      <c r="A47" s="80" t="s">
        <v>99</v>
      </c>
      <c r="B47" s="294" t="s">
        <v>122</v>
      </c>
      <c r="C47" s="294"/>
      <c r="D47" s="294"/>
      <c r="E47" s="294"/>
      <c r="F47" s="294"/>
      <c r="G47" s="294"/>
      <c r="H47" s="294"/>
      <c r="I47" s="294"/>
      <c r="J47" s="294"/>
      <c r="K47" s="294"/>
      <c r="L47" s="294"/>
      <c r="M47" s="294"/>
      <c r="N47" s="294"/>
      <c r="Q47" s="2"/>
      <c r="R47" s="77"/>
      <c r="S47" s="77"/>
    </row>
    <row r="48" spans="1:19" ht="48" customHeight="1" x14ac:dyDescent="0.3">
      <c r="A48" s="14"/>
      <c r="Q48" s="78"/>
      <c r="R48" s="77"/>
      <c r="S48" s="77"/>
    </row>
    <row r="49" spans="1:19" s="2" customFormat="1" x14ac:dyDescent="0.3">
      <c r="A49" s="1"/>
      <c r="B49" s="1"/>
      <c r="C49" s="1"/>
      <c r="D49" s="1"/>
      <c r="E49" s="1"/>
      <c r="F49" s="1"/>
      <c r="N49" s="3"/>
      <c r="O49" s="4"/>
      <c r="Q49" s="77"/>
      <c r="R49" s="89"/>
      <c r="S49" s="78"/>
    </row>
    <row r="50" spans="1:19" s="2" customFormat="1" ht="15.5" x14ac:dyDescent="0.3">
      <c r="A50" s="1"/>
      <c r="B50" s="1"/>
      <c r="C50" s="1"/>
      <c r="D50" s="1"/>
      <c r="E50" s="1"/>
      <c r="F50" s="1"/>
      <c r="K50" s="3"/>
      <c r="N50" s="3"/>
      <c r="O50" s="4"/>
      <c r="P50" s="80"/>
      <c r="R50" s="78"/>
      <c r="S50" s="78"/>
    </row>
    <row r="51" spans="1:19" ht="15.5" x14ac:dyDescent="0.3">
      <c r="P51" s="79"/>
      <c r="R51" s="77"/>
      <c r="S51" s="77"/>
    </row>
    <row r="52" spans="1:19" s="2" customFormat="1" x14ac:dyDescent="0.3">
      <c r="A52" s="1"/>
      <c r="B52" s="1"/>
      <c r="C52" s="1"/>
      <c r="D52" s="1"/>
      <c r="E52" s="1"/>
      <c r="F52" s="1"/>
      <c r="G52" s="15"/>
      <c r="H52" s="15"/>
      <c r="K52" s="3"/>
      <c r="N52" s="3"/>
      <c r="O52" s="4"/>
    </row>
    <row r="53" spans="1:19" x14ac:dyDescent="0.3">
      <c r="G53" s="15"/>
      <c r="H53" s="15"/>
      <c r="Q53" s="2"/>
    </row>
    <row r="54" spans="1:19" s="2" customFormat="1" x14ac:dyDescent="0.3">
      <c r="A54" s="1"/>
      <c r="B54" s="1"/>
      <c r="C54" s="1"/>
      <c r="D54" s="1"/>
      <c r="E54" s="1"/>
      <c r="F54" s="1"/>
      <c r="G54" s="16"/>
      <c r="H54" s="15"/>
      <c r="N54" s="3"/>
      <c r="O54" s="4"/>
    </row>
    <row r="55" spans="1:19" s="2" customFormat="1" x14ac:dyDescent="0.3">
      <c r="A55" s="1"/>
      <c r="B55" s="1"/>
      <c r="C55" s="1"/>
      <c r="D55" s="1"/>
      <c r="E55" s="1"/>
      <c r="F55" s="1"/>
      <c r="G55" s="15"/>
      <c r="H55" s="15"/>
      <c r="N55" s="3"/>
      <c r="O55" s="4"/>
    </row>
    <row r="56" spans="1:19" s="2" customFormat="1" x14ac:dyDescent="0.3">
      <c r="A56" s="1"/>
      <c r="B56" s="1"/>
      <c r="C56" s="1"/>
      <c r="D56" s="1"/>
      <c r="E56" s="1"/>
      <c r="F56" s="1"/>
      <c r="N56" s="3"/>
      <c r="O56" s="4"/>
      <c r="Q56" s="1"/>
    </row>
    <row r="57" spans="1:19" s="2" customFormat="1" x14ac:dyDescent="0.3">
      <c r="A57" s="1"/>
      <c r="B57" s="1"/>
      <c r="C57" s="1"/>
      <c r="D57" s="1"/>
      <c r="E57" s="1"/>
      <c r="F57" s="1"/>
      <c r="N57" s="3"/>
      <c r="O57" s="4"/>
      <c r="Q57" s="1"/>
    </row>
  </sheetData>
  <mergeCells count="50">
    <mergeCell ref="A28:F28"/>
    <mergeCell ref="A29:N29"/>
    <mergeCell ref="C15:F15"/>
    <mergeCell ref="B45:N45"/>
    <mergeCell ref="B31:N31"/>
    <mergeCell ref="B32:N32"/>
    <mergeCell ref="B33:N33"/>
    <mergeCell ref="B46:N46"/>
    <mergeCell ref="B47:N47"/>
    <mergeCell ref="B34:N34"/>
    <mergeCell ref="B35:N35"/>
    <mergeCell ref="B36:N36"/>
    <mergeCell ref="B38:N38"/>
    <mergeCell ref="B37:N37"/>
    <mergeCell ref="B39:N39"/>
    <mergeCell ref="B40:N40"/>
    <mergeCell ref="B41:N41"/>
    <mergeCell ref="B42:N42"/>
    <mergeCell ref="B43:N43"/>
    <mergeCell ref="B44:N44"/>
    <mergeCell ref="Q4:R4"/>
    <mergeCell ref="A3:F3"/>
    <mergeCell ref="K28:M28"/>
    <mergeCell ref="G27:I27"/>
    <mergeCell ref="B30:N30"/>
    <mergeCell ref="B6:F6"/>
    <mergeCell ref="B4:F4"/>
    <mergeCell ref="C11:F11"/>
    <mergeCell ref="C10:F10"/>
    <mergeCell ref="C9:F9"/>
    <mergeCell ref="C8:F8"/>
    <mergeCell ref="C7:F7"/>
    <mergeCell ref="B27:F27"/>
    <mergeCell ref="B13:F13"/>
    <mergeCell ref="B12:F12"/>
    <mergeCell ref="C17:F17"/>
    <mergeCell ref="A1:O1"/>
    <mergeCell ref="B5:F5"/>
    <mergeCell ref="A2:O2"/>
    <mergeCell ref="C26:F26"/>
    <mergeCell ref="C25:F25"/>
    <mergeCell ref="C24:F24"/>
    <mergeCell ref="C23:F23"/>
    <mergeCell ref="C22:F22"/>
    <mergeCell ref="C21:F21"/>
    <mergeCell ref="C20:F20"/>
    <mergeCell ref="C19:F19"/>
    <mergeCell ref="C18:F18"/>
    <mergeCell ref="C16:F16"/>
    <mergeCell ref="C14:F14"/>
  </mergeCells>
  <pageMargins left="0.25" right="0.25" top="0.5" bottom="0.5" header="0.5" footer="0.5"/>
  <pageSetup scale="73" orientation="landscape" r:id="rId1"/>
  <headerFooter alignWithMargins="0"/>
  <ignoredErrors>
    <ignoredError sqref="A4:A6 A16:A27 A12:A13 A14"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4895CD-913B-4834-A497-147A806C7D64}">
  <sheetPr>
    <pageSetUpPr fitToPage="1"/>
  </sheetPr>
  <dimension ref="A1:N62"/>
  <sheetViews>
    <sheetView topLeftCell="A5" zoomScaleNormal="100" zoomScaleSheetLayoutView="100" workbookViewId="0">
      <selection activeCell="B1" sqref="B1:J1"/>
    </sheetView>
  </sheetViews>
  <sheetFormatPr defaultColWidth="9.1796875" defaultRowHeight="13" x14ac:dyDescent="0.3"/>
  <cols>
    <col min="1" max="1" width="2" style="17" customWidth="1"/>
    <col min="2" max="2" width="36.7265625" style="17" customWidth="1"/>
    <col min="3" max="3" width="11.54296875" style="29" customWidth="1"/>
    <col min="4" max="5" width="10.1796875" style="29" customWidth="1"/>
    <col min="6" max="6" width="11.1796875" style="29" customWidth="1"/>
    <col min="7" max="7" width="14.7265625" style="29" customWidth="1"/>
    <col min="8" max="8" width="11.54296875" style="29" customWidth="1"/>
    <col min="9" max="9" width="13.7265625" style="29" customWidth="1"/>
    <col min="10" max="10" width="5.453125" style="29" customWidth="1"/>
    <col min="11" max="17" width="7.54296875" style="17" customWidth="1"/>
    <col min="18" max="16384" width="9.1796875" style="17"/>
  </cols>
  <sheetData>
    <row r="1" spans="2:14" ht="39" customHeight="1" x14ac:dyDescent="0.3">
      <c r="B1" s="264" t="s">
        <v>380</v>
      </c>
      <c r="C1" s="264"/>
      <c r="D1" s="264"/>
      <c r="E1" s="264"/>
      <c r="F1" s="264"/>
      <c r="G1" s="264"/>
      <c r="H1" s="264"/>
      <c r="I1" s="264"/>
      <c r="J1" s="264"/>
    </row>
    <row r="2" spans="2:14" x14ac:dyDescent="0.3">
      <c r="B2" s="72"/>
      <c r="C2" s="73"/>
      <c r="D2" s="73"/>
      <c r="E2" s="73"/>
      <c r="F2" s="232"/>
      <c r="G2" s="73"/>
      <c r="H2" s="73"/>
      <c r="I2" s="73"/>
      <c r="J2" s="73"/>
    </row>
    <row r="3" spans="2:14" x14ac:dyDescent="0.3">
      <c r="B3" s="87"/>
      <c r="C3" s="306" t="s">
        <v>241</v>
      </c>
      <c r="D3" s="306"/>
      <c r="E3" s="306"/>
      <c r="F3" s="306"/>
      <c r="G3" s="306"/>
      <c r="H3" s="306"/>
      <c r="I3" s="306"/>
      <c r="J3" s="311" t="s">
        <v>14</v>
      </c>
    </row>
    <row r="4" spans="2:14" x14ac:dyDescent="0.3">
      <c r="B4" s="307" t="s">
        <v>15</v>
      </c>
      <c r="C4" s="310" t="s">
        <v>126</v>
      </c>
      <c r="D4" s="310"/>
      <c r="E4" s="310"/>
      <c r="F4" s="306" t="s">
        <v>127</v>
      </c>
      <c r="G4" s="306"/>
      <c r="H4" s="306"/>
      <c r="I4" s="306"/>
      <c r="J4" s="311"/>
    </row>
    <row r="5" spans="2:14" ht="15" customHeight="1" x14ac:dyDescent="0.3">
      <c r="B5" s="308"/>
      <c r="C5" s="310"/>
      <c r="D5" s="310"/>
      <c r="E5" s="310"/>
      <c r="F5" s="304" t="s">
        <v>62</v>
      </c>
      <c r="G5" s="304"/>
      <c r="H5" s="305" t="s">
        <v>61</v>
      </c>
      <c r="I5" s="305"/>
      <c r="J5" s="311"/>
    </row>
    <row r="6" spans="2:14" s="18" customFormat="1" ht="63.75" customHeight="1" x14ac:dyDescent="0.3">
      <c r="B6" s="309"/>
      <c r="C6" s="45" t="s">
        <v>123</v>
      </c>
      <c r="D6" s="45" t="s">
        <v>124</v>
      </c>
      <c r="E6" s="45" t="s">
        <v>125</v>
      </c>
      <c r="F6" s="45" t="s">
        <v>128</v>
      </c>
      <c r="G6" s="45" t="s">
        <v>129</v>
      </c>
      <c r="H6" s="45" t="s">
        <v>128</v>
      </c>
      <c r="I6" s="45" t="s">
        <v>129</v>
      </c>
      <c r="J6" s="311"/>
    </row>
    <row r="7" spans="2:14" x14ac:dyDescent="0.3">
      <c r="B7" s="25" t="s">
        <v>13</v>
      </c>
      <c r="C7" s="23"/>
      <c r="D7" s="23"/>
      <c r="E7" s="21"/>
      <c r="F7" s="21"/>
      <c r="G7" s="21"/>
      <c r="H7" s="22"/>
      <c r="I7" s="22"/>
      <c r="J7" s="22"/>
    </row>
    <row r="8" spans="2:14" x14ac:dyDescent="0.3">
      <c r="B8" s="25" t="s">
        <v>12</v>
      </c>
      <c r="C8" s="23"/>
      <c r="D8" s="23"/>
      <c r="E8" s="21"/>
      <c r="F8" s="21"/>
      <c r="G8" s="21"/>
      <c r="H8" s="22"/>
      <c r="I8" s="22"/>
      <c r="J8" s="22"/>
      <c r="N8" s="222"/>
    </row>
    <row r="9" spans="2:14" x14ac:dyDescent="0.3">
      <c r="B9" s="25" t="s">
        <v>11</v>
      </c>
      <c r="C9" s="21"/>
      <c r="D9" s="86"/>
      <c r="E9" s="86"/>
      <c r="F9" s="21"/>
      <c r="G9" s="21"/>
      <c r="H9" s="22"/>
      <c r="I9" s="22"/>
      <c r="J9" s="22"/>
      <c r="N9" s="222"/>
    </row>
    <row r="10" spans="2:14" ht="15" customHeight="1" x14ac:dyDescent="0.3">
      <c r="B10" s="64" t="s">
        <v>174</v>
      </c>
      <c r="C10" s="27">
        <f>'Capital O&amp;M'!F28</f>
        <v>1937</v>
      </c>
      <c r="D10" s="27">
        <f>'Capital O&amp;M'!F29</f>
        <v>1912</v>
      </c>
      <c r="E10" s="27">
        <f>'Capital O&amp;M'!F30</f>
        <v>1887</v>
      </c>
      <c r="F10" s="49">
        <v>0.62</v>
      </c>
      <c r="G10" s="50">
        <f>ROUND(AVERAGE(C10,D10,E10)*F10,0)</f>
        <v>1185</v>
      </c>
      <c r="H10" s="49">
        <v>0.38</v>
      </c>
      <c r="I10" s="50">
        <f>ROUND(AVERAGE(C10,D10,E10)*H10,0)</f>
        <v>727</v>
      </c>
      <c r="J10" s="50" t="s">
        <v>10</v>
      </c>
      <c r="N10" s="222"/>
    </row>
    <row r="11" spans="2:14" x14ac:dyDescent="0.3">
      <c r="B11" s="64" t="s">
        <v>175</v>
      </c>
      <c r="C11" s="27"/>
      <c r="D11" s="27"/>
      <c r="E11" s="27"/>
      <c r="F11" s="49"/>
      <c r="G11" s="49"/>
      <c r="H11" s="49"/>
      <c r="I11" s="49"/>
      <c r="J11" s="49"/>
      <c r="N11" s="222"/>
    </row>
    <row r="12" spans="2:14" x14ac:dyDescent="0.3">
      <c r="B12" s="28" t="s">
        <v>176</v>
      </c>
      <c r="C12" s="27">
        <v>92</v>
      </c>
      <c r="D12" s="27">
        <v>0</v>
      </c>
      <c r="E12" s="27">
        <v>4</v>
      </c>
      <c r="F12" s="49">
        <v>0.56000000000000005</v>
      </c>
      <c r="G12" s="50">
        <f>ROUND(AVERAGE(C12,D12,E12)*F12,0)</f>
        <v>18</v>
      </c>
      <c r="H12" s="49">
        <v>0.44</v>
      </c>
      <c r="I12" s="50">
        <f>ROUND(AVERAGE(C12,D12,E12)*H12,0)</f>
        <v>14</v>
      </c>
      <c r="J12" s="50" t="s">
        <v>18</v>
      </c>
      <c r="N12" s="222"/>
    </row>
    <row r="13" spans="2:14" x14ac:dyDescent="0.3">
      <c r="B13" s="28" t="s">
        <v>177</v>
      </c>
      <c r="C13" s="27">
        <v>656</v>
      </c>
      <c r="D13" s="27">
        <v>648</v>
      </c>
      <c r="E13" s="27">
        <v>654</v>
      </c>
      <c r="F13" s="49">
        <v>0.56000000000000005</v>
      </c>
      <c r="G13" s="50">
        <f>ROUND(AVERAGE(C13,D13,E13)*F13,0)</f>
        <v>365</v>
      </c>
      <c r="H13" s="49">
        <v>0.44</v>
      </c>
      <c r="I13" s="50">
        <f>ROUND(AVERAGE(C13,D13,E13)*H13,0)</f>
        <v>287</v>
      </c>
      <c r="J13" s="50" t="s">
        <v>6</v>
      </c>
      <c r="N13" s="222"/>
    </row>
    <row r="14" spans="2:14" x14ac:dyDescent="0.3">
      <c r="B14" s="28" t="s">
        <v>178</v>
      </c>
      <c r="C14" s="27">
        <v>656</v>
      </c>
      <c r="D14" s="27">
        <v>648</v>
      </c>
      <c r="E14" s="27">
        <v>654</v>
      </c>
      <c r="F14" s="49">
        <v>0.56000000000000005</v>
      </c>
      <c r="G14" s="50">
        <f>ROUND(AVERAGE(C14,D14,E14)*F14,0)</f>
        <v>365</v>
      </c>
      <c r="H14" s="49">
        <v>0.44</v>
      </c>
      <c r="I14" s="50">
        <f>ROUND(AVERAGE(C14,D14,E14)*H14,0)</f>
        <v>287</v>
      </c>
      <c r="J14" s="50" t="s">
        <v>19</v>
      </c>
      <c r="N14" s="222"/>
    </row>
    <row r="15" spans="2:14" x14ac:dyDescent="0.3">
      <c r="B15" s="64" t="s">
        <v>179</v>
      </c>
      <c r="C15" s="51"/>
      <c r="D15" s="51"/>
      <c r="E15" s="27"/>
      <c r="F15" s="49"/>
      <c r="G15" s="49"/>
      <c r="H15" s="49"/>
      <c r="I15" s="49"/>
      <c r="J15" s="49"/>
      <c r="N15" s="222"/>
    </row>
    <row r="16" spans="2:14" x14ac:dyDescent="0.3">
      <c r="B16" s="64" t="s">
        <v>180</v>
      </c>
      <c r="C16" s="51"/>
      <c r="D16" s="51"/>
      <c r="E16" s="27"/>
      <c r="F16" s="49"/>
      <c r="G16" s="49"/>
      <c r="H16" s="49"/>
      <c r="I16" s="49"/>
      <c r="J16" s="49"/>
      <c r="N16" s="222"/>
    </row>
    <row r="17" spans="2:14" x14ac:dyDescent="0.3">
      <c r="B17" s="64" t="s">
        <v>181</v>
      </c>
      <c r="C17" s="27"/>
      <c r="D17" s="27"/>
      <c r="E17" s="27"/>
      <c r="F17" s="49"/>
      <c r="G17" s="49"/>
      <c r="H17" s="49"/>
      <c r="I17" s="49"/>
      <c r="J17" s="49"/>
      <c r="N17" s="222"/>
    </row>
    <row r="18" spans="2:14" x14ac:dyDescent="0.3">
      <c r="B18" s="28" t="s">
        <v>28</v>
      </c>
      <c r="C18" s="27">
        <v>164</v>
      </c>
      <c r="D18" s="27">
        <v>0</v>
      </c>
      <c r="E18" s="27">
        <v>0</v>
      </c>
      <c r="F18" s="49">
        <v>0.27</v>
      </c>
      <c r="G18" s="50">
        <f t="shared" ref="G18:G24" si="0">ROUND(AVERAGE(C18,D18,E18)*F18,0)</f>
        <v>15</v>
      </c>
      <c r="H18" s="49">
        <v>0.73</v>
      </c>
      <c r="I18" s="50">
        <f t="shared" ref="I18:I24" si="1">ROUND(AVERAGE(C18,D18,E18)*H18,0)</f>
        <v>40</v>
      </c>
      <c r="J18" s="50" t="s">
        <v>7</v>
      </c>
      <c r="N18" s="222"/>
    </row>
    <row r="19" spans="2:14" x14ac:dyDescent="0.3">
      <c r="B19" s="28" t="s">
        <v>66</v>
      </c>
      <c r="C19" s="27">
        <v>25</v>
      </c>
      <c r="D19" s="27">
        <v>25</v>
      </c>
      <c r="E19" s="27">
        <v>25</v>
      </c>
      <c r="F19" s="49">
        <v>0.53</v>
      </c>
      <c r="G19" s="50">
        <f t="shared" si="0"/>
        <v>13</v>
      </c>
      <c r="H19" s="49">
        <v>0.47</v>
      </c>
      <c r="I19" s="50">
        <f t="shared" si="1"/>
        <v>12</v>
      </c>
      <c r="J19" s="49" t="s">
        <v>20</v>
      </c>
      <c r="N19" s="222"/>
    </row>
    <row r="20" spans="2:14" x14ac:dyDescent="0.3">
      <c r="B20" s="28" t="s">
        <v>67</v>
      </c>
      <c r="C20" s="27">
        <v>29</v>
      </c>
      <c r="D20" s="27">
        <v>30</v>
      </c>
      <c r="E20" s="27">
        <v>28</v>
      </c>
      <c r="F20" s="49">
        <v>0.27</v>
      </c>
      <c r="G20" s="50">
        <f t="shared" si="0"/>
        <v>8</v>
      </c>
      <c r="H20" s="49">
        <v>0.73</v>
      </c>
      <c r="I20" s="50">
        <f t="shared" si="1"/>
        <v>21</v>
      </c>
      <c r="J20" s="50" t="s">
        <v>21</v>
      </c>
      <c r="N20" s="222"/>
    </row>
    <row r="21" spans="2:14" x14ac:dyDescent="0.3">
      <c r="B21" s="28" t="s">
        <v>68</v>
      </c>
      <c r="C21" s="27">
        <v>29</v>
      </c>
      <c r="D21" s="27">
        <v>30</v>
      </c>
      <c r="E21" s="27">
        <v>28</v>
      </c>
      <c r="F21" s="49">
        <v>0.27</v>
      </c>
      <c r="G21" s="50">
        <f t="shared" si="0"/>
        <v>8</v>
      </c>
      <c r="H21" s="49">
        <v>0.73</v>
      </c>
      <c r="I21" s="50">
        <f t="shared" si="1"/>
        <v>21</v>
      </c>
      <c r="J21" s="50"/>
      <c r="N21" s="222"/>
    </row>
    <row r="22" spans="2:14" x14ac:dyDescent="0.3">
      <c r="B22" s="28" t="s">
        <v>69</v>
      </c>
      <c r="C22" s="27">
        <v>33</v>
      </c>
      <c r="D22" s="27">
        <v>22</v>
      </c>
      <c r="E22" s="27">
        <v>33</v>
      </c>
      <c r="F22" s="49">
        <v>0.35</v>
      </c>
      <c r="G22" s="50">
        <f t="shared" si="0"/>
        <v>10</v>
      </c>
      <c r="H22" s="49">
        <v>0.65</v>
      </c>
      <c r="I22" s="50">
        <f t="shared" si="1"/>
        <v>19</v>
      </c>
      <c r="J22" s="49" t="s">
        <v>22</v>
      </c>
      <c r="N22" s="222"/>
    </row>
    <row r="23" spans="2:14" x14ac:dyDescent="0.3">
      <c r="B23" s="28" t="s">
        <v>70</v>
      </c>
      <c r="C23" s="27">
        <v>0</v>
      </c>
      <c r="D23" s="27">
        <v>0</v>
      </c>
      <c r="E23" s="27">
        <v>0</v>
      </c>
      <c r="F23" s="49">
        <v>0.35</v>
      </c>
      <c r="G23" s="50">
        <f t="shared" si="0"/>
        <v>0</v>
      </c>
      <c r="H23" s="49">
        <v>0.65</v>
      </c>
      <c r="I23" s="50">
        <f t="shared" si="1"/>
        <v>0</v>
      </c>
      <c r="J23" s="49" t="s">
        <v>23</v>
      </c>
      <c r="N23" s="222"/>
    </row>
    <row r="24" spans="2:14" ht="15" customHeight="1" x14ac:dyDescent="0.3">
      <c r="B24" s="28" t="s">
        <v>71</v>
      </c>
      <c r="C24" s="27">
        <v>92</v>
      </c>
      <c r="D24" s="27">
        <v>0</v>
      </c>
      <c r="E24" s="27">
        <v>4</v>
      </c>
      <c r="F24" s="49">
        <v>0.56000000000000005</v>
      </c>
      <c r="G24" s="50">
        <f t="shared" si="0"/>
        <v>18</v>
      </c>
      <c r="H24" s="49">
        <v>0.44</v>
      </c>
      <c r="I24" s="50">
        <f t="shared" si="1"/>
        <v>14</v>
      </c>
      <c r="J24" s="50" t="s">
        <v>24</v>
      </c>
      <c r="N24" s="222"/>
    </row>
    <row r="25" spans="2:14" x14ac:dyDescent="0.3">
      <c r="B25" s="28" t="s">
        <v>167</v>
      </c>
      <c r="C25" s="27">
        <f>C24*0.1</f>
        <v>9.2000000000000011</v>
      </c>
      <c r="D25" s="60">
        <f>D24*0.1</f>
        <v>0</v>
      </c>
      <c r="E25" s="60">
        <f>E24*0.1</f>
        <v>0.4</v>
      </c>
      <c r="F25" s="49">
        <v>0.56000000000000005</v>
      </c>
      <c r="G25" s="61">
        <f>(AVERAGE(C25,D25,E25)*F25)</f>
        <v>1.7920000000000005</v>
      </c>
      <c r="H25" s="49">
        <v>0.44</v>
      </c>
      <c r="I25" s="61">
        <f>(AVERAGE(C25,D25,E25)*H25)</f>
        <v>1.4080000000000004</v>
      </c>
      <c r="J25" s="61" t="s">
        <v>5</v>
      </c>
      <c r="N25" s="222"/>
    </row>
    <row r="26" spans="2:14" x14ac:dyDescent="0.3">
      <c r="B26" s="28" t="s">
        <v>72</v>
      </c>
      <c r="C26" s="27" t="s">
        <v>17</v>
      </c>
      <c r="D26" s="51"/>
      <c r="E26" s="27"/>
      <c r="F26" s="49"/>
      <c r="G26" s="49"/>
      <c r="H26" s="49"/>
      <c r="I26" s="49"/>
      <c r="J26" s="49"/>
      <c r="N26" s="222"/>
    </row>
    <row r="27" spans="2:14" x14ac:dyDescent="0.3">
      <c r="B27" s="28" t="s">
        <v>73</v>
      </c>
      <c r="C27" s="27" t="s">
        <v>17</v>
      </c>
      <c r="D27" s="51"/>
      <c r="E27" s="27"/>
      <c r="F27" s="49"/>
      <c r="G27" s="49"/>
      <c r="H27" s="49"/>
      <c r="I27" s="49"/>
      <c r="J27" s="49"/>
      <c r="N27" s="222"/>
    </row>
    <row r="28" spans="2:14" x14ac:dyDescent="0.3">
      <c r="B28" s="28" t="s">
        <v>74</v>
      </c>
      <c r="C28" s="27">
        <v>656</v>
      </c>
      <c r="D28" s="27">
        <v>648</v>
      </c>
      <c r="E28" s="27">
        <v>654</v>
      </c>
      <c r="F28" s="49">
        <v>0.56000000000000005</v>
      </c>
      <c r="G28" s="50">
        <f>ROUND(AVERAGE(C28,D28,E28)*F28,0)</f>
        <v>365</v>
      </c>
      <c r="H28" s="49">
        <v>0.44</v>
      </c>
      <c r="I28" s="50">
        <f>ROUND(AVERAGE(C28,D28,E28)*H28,0)</f>
        <v>287</v>
      </c>
      <c r="J28" s="50" t="s">
        <v>25</v>
      </c>
      <c r="L28" s="255"/>
      <c r="N28" s="222"/>
    </row>
    <row r="29" spans="2:14" x14ac:dyDescent="0.3">
      <c r="B29" s="28" t="s">
        <v>101</v>
      </c>
      <c r="C29" s="27">
        <v>2</v>
      </c>
      <c r="D29" s="27">
        <v>2</v>
      </c>
      <c r="E29" s="27">
        <v>2</v>
      </c>
      <c r="F29" s="49">
        <v>0.5</v>
      </c>
      <c r="G29" s="50">
        <f>ROUND(AVERAGE(C29,D29,E29)*F29,0)</f>
        <v>1</v>
      </c>
      <c r="H29" s="49">
        <v>0.5</v>
      </c>
      <c r="I29" s="50">
        <f>ROUND(AVERAGE(C29,D29,E29)*H29,0)</f>
        <v>1</v>
      </c>
      <c r="J29" s="50" t="s">
        <v>26</v>
      </c>
      <c r="N29" s="222"/>
    </row>
    <row r="30" spans="2:14" x14ac:dyDescent="0.3">
      <c r="B30" s="28" t="s">
        <v>102</v>
      </c>
      <c r="C30" s="27">
        <v>2</v>
      </c>
      <c r="D30" s="27">
        <v>2</v>
      </c>
      <c r="E30" s="27">
        <v>2</v>
      </c>
      <c r="F30" s="49">
        <v>0.5</v>
      </c>
      <c r="G30" s="50">
        <f>ROUND(AVERAGE(C30,D30,E30)*F30,0)</f>
        <v>1</v>
      </c>
      <c r="H30" s="49">
        <v>0.5</v>
      </c>
      <c r="I30" s="50">
        <f>ROUND(AVERAGE(C30,D30,E30)*H30,0)</f>
        <v>1</v>
      </c>
      <c r="J30" s="50" t="s">
        <v>26</v>
      </c>
      <c r="N30" s="222"/>
    </row>
    <row r="31" spans="2:14" x14ac:dyDescent="0.3">
      <c r="B31" s="28" t="s">
        <v>103</v>
      </c>
      <c r="C31" s="27">
        <v>2</v>
      </c>
      <c r="D31" s="27">
        <v>2</v>
      </c>
      <c r="E31" s="27">
        <v>2</v>
      </c>
      <c r="F31" s="49">
        <v>0.5</v>
      </c>
      <c r="G31" s="50">
        <f>ROUND(AVERAGE(C31,D31,E31)*F31,0)</f>
        <v>1</v>
      </c>
      <c r="H31" s="49">
        <v>0.5</v>
      </c>
      <c r="I31" s="50">
        <f>ROUND(AVERAGE(C31,D31,E31)*H31,0)</f>
        <v>1</v>
      </c>
      <c r="J31" s="50" t="s">
        <v>26</v>
      </c>
    </row>
    <row r="32" spans="2:14" x14ac:dyDescent="0.3">
      <c r="B32" s="28" t="s">
        <v>104</v>
      </c>
      <c r="C32" s="27">
        <v>266</v>
      </c>
      <c r="D32" s="27">
        <v>266</v>
      </c>
      <c r="E32" s="27">
        <v>266</v>
      </c>
      <c r="F32" s="210"/>
      <c r="G32" s="50">
        <v>175</v>
      </c>
      <c r="H32" s="211"/>
      <c r="I32" s="50">
        <v>82</v>
      </c>
      <c r="J32" s="26" t="s">
        <v>27</v>
      </c>
    </row>
    <row r="33" spans="1:10" ht="13.5" customHeight="1" x14ac:dyDescent="0.35">
      <c r="B33" s="52"/>
      <c r="C33" s="53"/>
      <c r="D33" s="53"/>
      <c r="E33" s="53"/>
      <c r="F33" s="30"/>
      <c r="G33" s="30"/>
      <c r="H33" s="31"/>
      <c r="I33" s="31"/>
      <c r="J33" s="31"/>
    </row>
    <row r="34" spans="1:10" x14ac:dyDescent="0.3">
      <c r="B34" s="25" t="s">
        <v>9</v>
      </c>
      <c r="C34" s="27"/>
      <c r="D34" s="27"/>
      <c r="E34" s="27"/>
      <c r="F34" s="21"/>
      <c r="G34" s="21"/>
      <c r="H34" s="22"/>
      <c r="I34" s="22"/>
      <c r="J34" s="22"/>
    </row>
    <row r="35" spans="1:10" x14ac:dyDescent="0.3">
      <c r="B35" s="64" t="s">
        <v>182</v>
      </c>
      <c r="C35" s="27" t="s">
        <v>131</v>
      </c>
      <c r="D35" s="51"/>
      <c r="E35" s="27"/>
      <c r="F35" s="21"/>
      <c r="G35" s="21"/>
      <c r="H35" s="22"/>
      <c r="I35" s="22"/>
      <c r="J35" s="22"/>
    </row>
    <row r="36" spans="1:10" x14ac:dyDescent="0.3">
      <c r="B36" s="64" t="s">
        <v>183</v>
      </c>
      <c r="C36" s="27" t="s">
        <v>132</v>
      </c>
      <c r="D36" s="51"/>
      <c r="E36" s="27"/>
      <c r="F36" s="21"/>
      <c r="G36" s="21"/>
      <c r="H36" s="22"/>
      <c r="I36" s="22"/>
      <c r="J36" s="22"/>
    </row>
    <row r="37" spans="1:10" x14ac:dyDescent="0.3">
      <c r="B37" s="64" t="s">
        <v>184</v>
      </c>
      <c r="C37" s="27" t="s">
        <v>132</v>
      </c>
      <c r="D37" s="51"/>
      <c r="E37" s="27"/>
      <c r="F37" s="21"/>
      <c r="G37" s="21"/>
      <c r="H37" s="22"/>
      <c r="I37" s="22"/>
      <c r="J37" s="22"/>
    </row>
    <row r="38" spans="1:10" x14ac:dyDescent="0.3">
      <c r="B38" s="64" t="s">
        <v>185</v>
      </c>
      <c r="C38" s="27" t="s">
        <v>132</v>
      </c>
      <c r="D38" s="51"/>
      <c r="E38" s="27"/>
      <c r="F38" s="21"/>
      <c r="G38" s="21"/>
      <c r="H38" s="22"/>
      <c r="I38" s="22"/>
      <c r="J38" s="22"/>
    </row>
    <row r="39" spans="1:10" x14ac:dyDescent="0.3">
      <c r="B39" s="64" t="s">
        <v>186</v>
      </c>
      <c r="C39" s="27"/>
      <c r="D39" s="27"/>
      <c r="E39" s="27"/>
      <c r="F39" s="21"/>
      <c r="G39" s="21"/>
      <c r="H39" s="22"/>
      <c r="I39" s="22"/>
      <c r="J39" s="22"/>
    </row>
    <row r="40" spans="1:10" ht="28.5" customHeight="1" x14ac:dyDescent="0.3">
      <c r="B40" s="28" t="s">
        <v>78</v>
      </c>
      <c r="C40" s="27">
        <v>656</v>
      </c>
      <c r="D40" s="27">
        <v>648</v>
      </c>
      <c r="E40" s="27">
        <v>654</v>
      </c>
      <c r="F40" s="49">
        <v>0.56000000000000005</v>
      </c>
      <c r="G40" s="50">
        <f t="shared" ref="G40:G42" si="2">ROUND(AVERAGE(C40,D40,E40)*F40,0)</f>
        <v>365</v>
      </c>
      <c r="H40" s="49">
        <v>0.44</v>
      </c>
      <c r="I40" s="50">
        <f t="shared" ref="I40:I42" si="3">ROUND(AVERAGE(C40,D40,E40)*H40,0)</f>
        <v>287</v>
      </c>
      <c r="J40" s="50" t="s">
        <v>65</v>
      </c>
    </row>
    <row r="41" spans="1:10" ht="26" x14ac:dyDescent="0.3">
      <c r="B41" s="28" t="s">
        <v>76</v>
      </c>
      <c r="C41" s="27">
        <v>656</v>
      </c>
      <c r="D41" s="27">
        <v>648</v>
      </c>
      <c r="E41" s="27">
        <v>654</v>
      </c>
      <c r="F41" s="49">
        <v>0.56000000000000005</v>
      </c>
      <c r="G41" s="50">
        <f t="shared" si="2"/>
        <v>365</v>
      </c>
      <c r="H41" s="49">
        <v>0.44</v>
      </c>
      <c r="I41" s="50">
        <f t="shared" si="3"/>
        <v>287</v>
      </c>
      <c r="J41" s="50" t="s">
        <v>65</v>
      </c>
    </row>
    <row r="42" spans="1:10" ht="18" customHeight="1" x14ac:dyDescent="0.3">
      <c r="B42" s="28" t="s">
        <v>75</v>
      </c>
      <c r="C42" s="27">
        <v>164</v>
      </c>
      <c r="D42" s="27">
        <v>164</v>
      </c>
      <c r="E42" s="27">
        <v>164</v>
      </c>
      <c r="F42" s="49">
        <v>0.56000000000000005</v>
      </c>
      <c r="G42" s="50">
        <f t="shared" si="2"/>
        <v>92</v>
      </c>
      <c r="H42" s="49">
        <v>0.44</v>
      </c>
      <c r="I42" s="50">
        <f t="shared" si="3"/>
        <v>72</v>
      </c>
      <c r="J42" s="50" t="s">
        <v>64</v>
      </c>
    </row>
    <row r="43" spans="1:10" x14ac:dyDescent="0.3">
      <c r="B43" s="64" t="s">
        <v>187</v>
      </c>
      <c r="C43" s="27" t="s">
        <v>132</v>
      </c>
      <c r="D43" s="51"/>
      <c r="E43" s="27"/>
      <c r="F43" s="21"/>
      <c r="G43" s="21"/>
      <c r="H43" s="26"/>
      <c r="I43" s="26"/>
      <c r="J43" s="26"/>
    </row>
    <row r="44" spans="1:10" x14ac:dyDescent="0.3">
      <c r="B44" s="64" t="s">
        <v>188</v>
      </c>
      <c r="C44" s="27" t="s">
        <v>132</v>
      </c>
      <c r="D44" s="51"/>
      <c r="E44" s="27"/>
      <c r="F44" s="21"/>
      <c r="G44" s="21"/>
      <c r="H44" s="26"/>
      <c r="I44" s="26"/>
      <c r="J44" s="26"/>
    </row>
    <row r="45" spans="1:10" s="32" customFormat="1" x14ac:dyDescent="0.3">
      <c r="B45" s="88"/>
      <c r="C45" s="88"/>
      <c r="D45" s="33"/>
      <c r="E45" s="33"/>
      <c r="F45" s="88"/>
      <c r="G45" s="88"/>
      <c r="H45" s="54"/>
      <c r="I45" s="54"/>
      <c r="J45" s="54"/>
    </row>
    <row r="46" spans="1:10" s="32" customFormat="1" ht="15" customHeight="1" x14ac:dyDescent="0.3">
      <c r="A46" s="313" t="s">
        <v>121</v>
      </c>
      <c r="B46" s="313"/>
      <c r="C46" s="88"/>
      <c r="D46" s="33"/>
      <c r="E46" s="33"/>
      <c r="F46" s="88"/>
      <c r="G46" s="88"/>
      <c r="H46" s="54"/>
      <c r="I46" s="54"/>
      <c r="J46" s="54"/>
    </row>
    <row r="47" spans="1:10" s="35" customFormat="1" ht="21.75" customHeight="1" x14ac:dyDescent="0.3">
      <c r="A47" s="74" t="s">
        <v>10</v>
      </c>
      <c r="B47" s="303" t="s">
        <v>377</v>
      </c>
      <c r="C47" s="303"/>
      <c r="D47" s="303"/>
      <c r="E47" s="303"/>
      <c r="F47" s="303"/>
      <c r="G47" s="303"/>
      <c r="H47" s="303"/>
      <c r="I47" s="303"/>
      <c r="J47" s="67"/>
    </row>
    <row r="48" spans="1:10" s="35" customFormat="1" ht="27" customHeight="1" x14ac:dyDescent="0.3">
      <c r="A48" s="74" t="s">
        <v>18</v>
      </c>
      <c r="B48" s="303" t="s">
        <v>328</v>
      </c>
      <c r="C48" s="303"/>
      <c r="D48" s="303"/>
      <c r="E48" s="303"/>
      <c r="F48" s="303"/>
      <c r="G48" s="303"/>
      <c r="H48" s="303"/>
      <c r="I48" s="303"/>
      <c r="J48" s="65"/>
    </row>
    <row r="49" spans="1:10" s="18" customFormat="1" ht="15.5" x14ac:dyDescent="0.3">
      <c r="A49" s="74" t="s">
        <v>6</v>
      </c>
      <c r="B49" s="260" t="s">
        <v>329</v>
      </c>
      <c r="C49" s="260"/>
      <c r="D49" s="260"/>
      <c r="E49" s="260"/>
      <c r="F49" s="260"/>
      <c r="G49" s="260"/>
      <c r="H49" s="260"/>
      <c r="I49" s="260"/>
      <c r="J49" s="46"/>
    </row>
    <row r="50" spans="1:10" s="18" customFormat="1" ht="15.5" x14ac:dyDescent="0.3">
      <c r="A50" s="75" t="s">
        <v>19</v>
      </c>
      <c r="B50" s="260" t="s">
        <v>330</v>
      </c>
      <c r="C50" s="260"/>
      <c r="D50" s="260"/>
      <c r="E50" s="260"/>
      <c r="F50" s="260"/>
      <c r="G50" s="260"/>
      <c r="H50" s="260"/>
      <c r="I50" s="260"/>
      <c r="J50" s="35"/>
    </row>
    <row r="51" spans="1:10" s="68" customFormat="1" ht="25.5" customHeight="1" x14ac:dyDescent="0.3">
      <c r="A51" s="76" t="s">
        <v>7</v>
      </c>
      <c r="B51" s="260" t="s">
        <v>242</v>
      </c>
      <c r="C51" s="260"/>
      <c r="D51" s="260"/>
      <c r="E51" s="260"/>
      <c r="F51" s="260"/>
      <c r="G51" s="260"/>
      <c r="H51" s="260"/>
      <c r="I51" s="260"/>
      <c r="J51" s="37"/>
    </row>
    <row r="52" spans="1:10" s="68" customFormat="1" ht="15.5" x14ac:dyDescent="0.3">
      <c r="A52" s="76" t="s">
        <v>20</v>
      </c>
      <c r="B52" s="260" t="s">
        <v>331</v>
      </c>
      <c r="C52" s="260"/>
      <c r="D52" s="260"/>
      <c r="E52" s="260"/>
      <c r="F52" s="260"/>
      <c r="G52" s="260"/>
      <c r="H52" s="260"/>
      <c r="I52" s="260"/>
      <c r="J52" s="18"/>
    </row>
    <row r="53" spans="1:10" s="68" customFormat="1" ht="25.5" customHeight="1" x14ac:dyDescent="0.3">
      <c r="A53" s="76" t="s">
        <v>21</v>
      </c>
      <c r="B53" s="260" t="s">
        <v>332</v>
      </c>
      <c r="C53" s="260"/>
      <c r="D53" s="260"/>
      <c r="E53" s="260"/>
      <c r="F53" s="260"/>
      <c r="G53" s="260"/>
      <c r="H53" s="260"/>
      <c r="I53" s="260"/>
      <c r="J53" s="18"/>
    </row>
    <row r="54" spans="1:10" s="68" customFormat="1" ht="15.5" x14ac:dyDescent="0.3">
      <c r="A54" s="76" t="s">
        <v>22</v>
      </c>
      <c r="B54" s="260" t="s">
        <v>333</v>
      </c>
      <c r="C54" s="260"/>
      <c r="D54" s="260"/>
      <c r="E54" s="260"/>
      <c r="F54" s="260"/>
      <c r="G54" s="260"/>
      <c r="H54" s="260"/>
      <c r="I54" s="260"/>
      <c r="J54" s="18"/>
    </row>
    <row r="55" spans="1:10" s="68" customFormat="1" ht="15.5" x14ac:dyDescent="0.3">
      <c r="A55" s="76" t="s">
        <v>23</v>
      </c>
      <c r="B55" s="260" t="s">
        <v>334</v>
      </c>
      <c r="C55" s="260"/>
      <c r="D55" s="260"/>
      <c r="E55" s="260"/>
      <c r="F55" s="260"/>
      <c r="G55" s="260"/>
      <c r="H55" s="260"/>
      <c r="I55" s="260"/>
      <c r="J55" s="18"/>
    </row>
    <row r="56" spans="1:10" s="68" customFormat="1" ht="17.25" customHeight="1" x14ac:dyDescent="0.3">
      <c r="A56" s="76" t="s">
        <v>24</v>
      </c>
      <c r="B56" s="260" t="s">
        <v>335</v>
      </c>
      <c r="C56" s="260"/>
      <c r="D56" s="260"/>
      <c r="E56" s="260"/>
      <c r="F56" s="260"/>
      <c r="G56" s="260"/>
      <c r="H56" s="260"/>
      <c r="I56" s="260"/>
      <c r="J56" s="58"/>
    </row>
    <row r="57" spans="1:10" s="68" customFormat="1" ht="15.5" x14ac:dyDescent="0.3">
      <c r="A57" s="76" t="s">
        <v>5</v>
      </c>
      <c r="B57" s="260" t="s">
        <v>336</v>
      </c>
      <c r="C57" s="260"/>
      <c r="D57" s="260"/>
      <c r="E57" s="260"/>
      <c r="F57" s="260"/>
      <c r="G57" s="260"/>
      <c r="H57" s="260"/>
      <c r="I57" s="260"/>
      <c r="J57" s="58"/>
    </row>
    <row r="58" spans="1:10" s="68" customFormat="1" ht="15.5" x14ac:dyDescent="0.3">
      <c r="A58" s="76" t="s">
        <v>25</v>
      </c>
      <c r="B58" s="260" t="s">
        <v>337</v>
      </c>
      <c r="C58" s="260"/>
      <c r="D58" s="260"/>
      <c r="E58" s="260"/>
      <c r="F58" s="260"/>
      <c r="G58" s="260"/>
      <c r="H58" s="260"/>
      <c r="I58" s="260"/>
      <c r="J58" s="18"/>
    </row>
    <row r="59" spans="1:10" s="68" customFormat="1" ht="79.5" customHeight="1" x14ac:dyDescent="0.3">
      <c r="A59" s="75" t="s">
        <v>26</v>
      </c>
      <c r="B59" s="260" t="s">
        <v>338</v>
      </c>
      <c r="C59" s="260"/>
      <c r="D59" s="260"/>
      <c r="E59" s="260"/>
      <c r="F59" s="260"/>
      <c r="G59" s="260"/>
      <c r="H59" s="260"/>
      <c r="I59" s="260"/>
      <c r="J59" s="18"/>
    </row>
    <row r="60" spans="1:10" s="18" customFormat="1" ht="30.75" customHeight="1" x14ac:dyDescent="0.3">
      <c r="A60" s="74" t="s">
        <v>27</v>
      </c>
      <c r="B60" s="312" t="s">
        <v>339</v>
      </c>
      <c r="C60" s="312"/>
      <c r="D60" s="312"/>
      <c r="E60" s="312"/>
      <c r="F60" s="312"/>
      <c r="G60" s="312"/>
      <c r="H60" s="312"/>
      <c r="I60" s="312"/>
      <c r="J60" s="19"/>
    </row>
    <row r="61" spans="1:10" s="18" customFormat="1" ht="15.5" x14ac:dyDescent="0.3">
      <c r="A61" s="74" t="s">
        <v>65</v>
      </c>
      <c r="B61" s="260" t="s">
        <v>340</v>
      </c>
      <c r="C61" s="260"/>
      <c r="D61" s="260"/>
      <c r="E61" s="260"/>
      <c r="F61" s="260"/>
      <c r="G61" s="260"/>
      <c r="H61" s="260"/>
      <c r="I61" s="260"/>
      <c r="J61" s="58"/>
    </row>
    <row r="62" spans="1:10" s="18" customFormat="1" ht="15.5" x14ac:dyDescent="0.3">
      <c r="A62" s="74" t="s">
        <v>64</v>
      </c>
      <c r="B62" s="260" t="s">
        <v>341</v>
      </c>
      <c r="C62" s="260"/>
      <c r="D62" s="260"/>
      <c r="E62" s="260"/>
      <c r="F62" s="260"/>
      <c r="G62" s="260"/>
      <c r="H62" s="260"/>
      <c r="I62" s="260"/>
      <c r="J62" s="58"/>
    </row>
  </sheetData>
  <mergeCells count="25">
    <mergeCell ref="B60:I60"/>
    <mergeCell ref="B61:I61"/>
    <mergeCell ref="B62:I62"/>
    <mergeCell ref="A46:B46"/>
    <mergeCell ref="B57:I57"/>
    <mergeCell ref="B58:I58"/>
    <mergeCell ref="B59:I59"/>
    <mergeCell ref="B52:I52"/>
    <mergeCell ref="B53:I53"/>
    <mergeCell ref="B54:I54"/>
    <mergeCell ref="B55:I55"/>
    <mergeCell ref="B56:I56"/>
    <mergeCell ref="B47:I47"/>
    <mergeCell ref="B1:J1"/>
    <mergeCell ref="B48:I48"/>
    <mergeCell ref="B49:I49"/>
    <mergeCell ref="B50:I50"/>
    <mergeCell ref="B51:I51"/>
    <mergeCell ref="F5:G5"/>
    <mergeCell ref="H5:I5"/>
    <mergeCell ref="F4:I4"/>
    <mergeCell ref="B4:B6"/>
    <mergeCell ref="C3:I3"/>
    <mergeCell ref="C4:E5"/>
    <mergeCell ref="J3:J6"/>
  </mergeCells>
  <pageMargins left="0.25" right="0.25" top="0.5" bottom="0.5" header="0.5" footer="0.5"/>
  <pageSetup scale="38"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E70B90-3C89-4770-824F-1F8F3B3D7639}">
  <dimension ref="A1:H35"/>
  <sheetViews>
    <sheetView workbookViewId="0">
      <selection activeCell="A3" sqref="A3:C4"/>
    </sheetView>
  </sheetViews>
  <sheetFormatPr defaultRowHeight="14.5" x14ac:dyDescent="0.35"/>
  <cols>
    <col min="1" max="2" width="2.7265625" customWidth="1"/>
    <col min="3" max="3" width="51.453125" customWidth="1"/>
    <col min="4" max="5" width="12.453125" customWidth="1"/>
    <col min="6" max="6" width="13.36328125" customWidth="1"/>
    <col min="7" max="8" width="12.453125" customWidth="1"/>
  </cols>
  <sheetData>
    <row r="1" spans="1:8" ht="31.5" customHeight="1" x14ac:dyDescent="0.35">
      <c r="A1" s="264" t="s">
        <v>381</v>
      </c>
      <c r="B1" s="264"/>
      <c r="C1" s="264"/>
      <c r="D1" s="264"/>
      <c r="E1" s="264"/>
      <c r="F1" s="264"/>
      <c r="G1" s="264"/>
      <c r="H1" s="264"/>
    </row>
    <row r="2" spans="1:8" x14ac:dyDescent="0.35">
      <c r="A2" s="17"/>
      <c r="B2" s="17"/>
      <c r="C2" s="17"/>
      <c r="D2" s="17"/>
      <c r="E2" s="17"/>
      <c r="F2" s="17"/>
      <c r="G2" s="17"/>
      <c r="H2" s="17"/>
    </row>
    <row r="3" spans="1:8" x14ac:dyDescent="0.35">
      <c r="A3" s="315" t="s">
        <v>15</v>
      </c>
      <c r="B3" s="315"/>
      <c r="C3" s="315"/>
      <c r="D3" s="317" t="s">
        <v>273</v>
      </c>
      <c r="E3" s="304" t="s">
        <v>367</v>
      </c>
      <c r="F3" s="304"/>
      <c r="G3" s="305" t="s">
        <v>366</v>
      </c>
      <c r="H3" s="305"/>
    </row>
    <row r="4" spans="1:8" ht="52" x14ac:dyDescent="0.35">
      <c r="A4" s="316"/>
      <c r="B4" s="315"/>
      <c r="C4" s="315"/>
      <c r="D4" s="317"/>
      <c r="E4" s="45" t="s">
        <v>290</v>
      </c>
      <c r="F4" s="45" t="s">
        <v>129</v>
      </c>
      <c r="G4" s="45" t="s">
        <v>290</v>
      </c>
      <c r="H4" s="45" t="s">
        <v>129</v>
      </c>
    </row>
    <row r="5" spans="1:8" ht="30.75" customHeight="1" x14ac:dyDescent="0.35">
      <c r="A5" s="234" t="s">
        <v>47</v>
      </c>
      <c r="B5" s="320" t="s">
        <v>292</v>
      </c>
      <c r="C5" s="321"/>
      <c r="D5" s="21"/>
      <c r="E5" s="21"/>
      <c r="F5" s="21">
        <v>10</v>
      </c>
      <c r="G5" s="21"/>
      <c r="H5" s="21">
        <v>10</v>
      </c>
    </row>
    <row r="6" spans="1:8" ht="16.5" customHeight="1" x14ac:dyDescent="0.35">
      <c r="A6" s="220" t="s">
        <v>46</v>
      </c>
      <c r="B6" s="322" t="s">
        <v>294</v>
      </c>
      <c r="C6" s="323"/>
      <c r="D6" s="27">
        <f>AVERAGE('Number of Respondents'!C10:E10)</f>
        <v>1912</v>
      </c>
      <c r="E6" s="210">
        <v>0.19</v>
      </c>
      <c r="F6" s="21">
        <f>ROUND(D6*E6,-1)</f>
        <v>360</v>
      </c>
      <c r="G6" s="210">
        <v>0.81</v>
      </c>
      <c r="H6" s="22">
        <f>D6-F6</f>
        <v>1552</v>
      </c>
    </row>
    <row r="7" spans="1:8" x14ac:dyDescent="0.35">
      <c r="A7" s="220" t="s">
        <v>44</v>
      </c>
      <c r="B7" s="284" t="s">
        <v>43</v>
      </c>
      <c r="C7" s="319"/>
      <c r="D7" s="21"/>
      <c r="E7" s="210"/>
      <c r="F7" s="21"/>
      <c r="G7" s="210"/>
      <c r="H7" s="22"/>
    </row>
    <row r="8" spans="1:8" x14ac:dyDescent="0.35">
      <c r="A8" s="220"/>
      <c r="B8" s="233" t="s">
        <v>35</v>
      </c>
      <c r="C8" s="221" t="s">
        <v>48</v>
      </c>
      <c r="D8" s="21">
        <f>96/3</f>
        <v>32</v>
      </c>
      <c r="E8" s="210">
        <v>0.19</v>
      </c>
      <c r="F8" s="21">
        <f t="shared" ref="F8:F13" si="0">ROUND(D8*E8,0)</f>
        <v>6</v>
      </c>
      <c r="G8" s="210">
        <v>0.81</v>
      </c>
      <c r="H8" s="22">
        <f t="shared" ref="H8:H13" si="1">ROUND(D8*G8,0)</f>
        <v>26</v>
      </c>
    </row>
    <row r="9" spans="1:8" x14ac:dyDescent="0.35">
      <c r="A9" s="220"/>
      <c r="B9" s="233" t="s">
        <v>34</v>
      </c>
      <c r="C9" s="221" t="s">
        <v>49</v>
      </c>
      <c r="D9" s="27">
        <f>ROUNDDOWN(AVERAGE('Number of Respondents'!C13:E13),0)</f>
        <v>652</v>
      </c>
      <c r="E9" s="210">
        <v>0.19</v>
      </c>
      <c r="F9" s="21">
        <f t="shared" si="0"/>
        <v>124</v>
      </c>
      <c r="G9" s="210">
        <v>0.81</v>
      </c>
      <c r="H9" s="22">
        <f t="shared" si="1"/>
        <v>528</v>
      </c>
    </row>
    <row r="10" spans="1:8" x14ac:dyDescent="0.35">
      <c r="A10" s="220"/>
      <c r="B10" s="233" t="s">
        <v>33</v>
      </c>
      <c r="C10" s="221" t="s">
        <v>41</v>
      </c>
      <c r="D10" s="27">
        <f>D8</f>
        <v>32</v>
      </c>
      <c r="E10" s="210">
        <v>0.19</v>
      </c>
      <c r="F10" s="21">
        <f t="shared" si="0"/>
        <v>6</v>
      </c>
      <c r="G10" s="210">
        <v>0.81</v>
      </c>
      <c r="H10" s="22">
        <f t="shared" si="1"/>
        <v>26</v>
      </c>
    </row>
    <row r="11" spans="1:8" x14ac:dyDescent="0.35">
      <c r="A11" s="220"/>
      <c r="B11" s="233" t="s">
        <v>32</v>
      </c>
      <c r="C11" s="221" t="s">
        <v>39</v>
      </c>
      <c r="D11" s="21">
        <f>D8</f>
        <v>32</v>
      </c>
      <c r="E11" s="210">
        <v>0.19</v>
      </c>
      <c r="F11" s="21">
        <f t="shared" si="0"/>
        <v>6</v>
      </c>
      <c r="G11" s="210">
        <v>0.81</v>
      </c>
      <c r="H11" s="22">
        <f t="shared" si="1"/>
        <v>26</v>
      </c>
    </row>
    <row r="12" spans="1:8" x14ac:dyDescent="0.35">
      <c r="A12" s="220"/>
      <c r="B12" s="233" t="s">
        <v>42</v>
      </c>
      <c r="C12" s="221" t="s">
        <v>60</v>
      </c>
      <c r="D12" s="21">
        <f>D8</f>
        <v>32</v>
      </c>
      <c r="E12" s="210">
        <v>0.19</v>
      </c>
      <c r="F12" s="21">
        <f t="shared" si="0"/>
        <v>6</v>
      </c>
      <c r="G12" s="210">
        <v>0.81</v>
      </c>
      <c r="H12" s="22">
        <f t="shared" si="1"/>
        <v>26</v>
      </c>
    </row>
    <row r="13" spans="1:8" ht="15.5" x14ac:dyDescent="0.35">
      <c r="A13" s="220" t="s">
        <v>38</v>
      </c>
      <c r="B13" s="284" t="s">
        <v>296</v>
      </c>
      <c r="C13" s="319"/>
      <c r="D13" s="27">
        <f>D8*0.1</f>
        <v>3.2</v>
      </c>
      <c r="E13" s="210">
        <v>0.19</v>
      </c>
      <c r="F13" s="21">
        <f t="shared" si="0"/>
        <v>1</v>
      </c>
      <c r="G13" s="210">
        <v>0.81</v>
      </c>
      <c r="H13" s="22">
        <f t="shared" si="1"/>
        <v>3</v>
      </c>
    </row>
    <row r="14" spans="1:8" x14ac:dyDescent="0.35">
      <c r="A14" s="220" t="s">
        <v>229</v>
      </c>
      <c r="B14" s="284" t="s">
        <v>36</v>
      </c>
      <c r="C14" s="319"/>
      <c r="D14" s="21"/>
      <c r="E14" s="210"/>
      <c r="F14" s="21"/>
      <c r="G14" s="210"/>
      <c r="H14" s="22"/>
    </row>
    <row r="15" spans="1:8" x14ac:dyDescent="0.35">
      <c r="A15" s="220"/>
      <c r="B15" s="233" t="s">
        <v>35</v>
      </c>
      <c r="C15" s="221" t="s">
        <v>50</v>
      </c>
      <c r="D15" s="27">
        <f>AVERAGE('Number of Respondents'!C18:E18)</f>
        <v>54.666666666666664</v>
      </c>
      <c r="E15" s="210">
        <v>0.19</v>
      </c>
      <c r="F15" s="21">
        <f t="shared" ref="F15:F20" si="2">ROUND(D15*E15,0)</f>
        <v>10</v>
      </c>
      <c r="G15" s="210">
        <v>0.81</v>
      </c>
      <c r="H15" s="22">
        <f>ROUNDUP(D15*G15,0)</f>
        <v>45</v>
      </c>
    </row>
    <row r="16" spans="1:8" x14ac:dyDescent="0.35">
      <c r="A16" s="220"/>
      <c r="B16" s="233" t="s">
        <v>34</v>
      </c>
      <c r="C16" s="221" t="s">
        <v>63</v>
      </c>
      <c r="D16" s="27">
        <f>AVERAGE('Number of Respondents'!C19:E19)</f>
        <v>25</v>
      </c>
      <c r="E16" s="210">
        <v>0.19</v>
      </c>
      <c r="F16" s="21">
        <f t="shared" si="2"/>
        <v>5</v>
      </c>
      <c r="G16" s="210">
        <v>0.81</v>
      </c>
      <c r="H16" s="22">
        <f>ROUND(D16*G16,0)</f>
        <v>20</v>
      </c>
    </row>
    <row r="17" spans="1:8" x14ac:dyDescent="0.35">
      <c r="A17" s="220"/>
      <c r="B17" s="233" t="s">
        <v>33</v>
      </c>
      <c r="C17" s="221" t="s">
        <v>53</v>
      </c>
      <c r="D17" s="27">
        <f>AVERAGE('Number of Respondents'!C20:E20)+AVERAGE('Number of Respondents'!C21:E21)</f>
        <v>58</v>
      </c>
      <c r="E17" s="210">
        <v>0.19</v>
      </c>
      <c r="F17" s="21">
        <f t="shared" si="2"/>
        <v>11</v>
      </c>
      <c r="G17" s="210">
        <v>0.81</v>
      </c>
      <c r="H17" s="22">
        <f>ROUND(D17*G17,0)</f>
        <v>47</v>
      </c>
    </row>
    <row r="18" spans="1:8" x14ac:dyDescent="0.35">
      <c r="A18" s="220"/>
      <c r="B18" s="233" t="s">
        <v>32</v>
      </c>
      <c r="C18" s="221" t="s">
        <v>55</v>
      </c>
      <c r="D18" s="27">
        <f>AVERAGE('Number of Respondents'!C22:E22)</f>
        <v>29.333333333333332</v>
      </c>
      <c r="E18" s="210">
        <v>0.19</v>
      </c>
      <c r="F18" s="27">
        <f t="shared" si="2"/>
        <v>6</v>
      </c>
      <c r="G18" s="210">
        <v>0.81</v>
      </c>
      <c r="H18" s="22">
        <f>ROUNDDOWN(D18*G18,0)</f>
        <v>23</v>
      </c>
    </row>
    <row r="19" spans="1:8" x14ac:dyDescent="0.35">
      <c r="A19" s="220"/>
      <c r="B19" s="233" t="s">
        <v>42</v>
      </c>
      <c r="C19" s="221" t="s">
        <v>56</v>
      </c>
      <c r="D19" s="27">
        <f>AVERAGE('Number of Respondents'!C23:E23)</f>
        <v>0</v>
      </c>
      <c r="E19" s="210">
        <v>0.19</v>
      </c>
      <c r="F19" s="21">
        <f t="shared" si="2"/>
        <v>0</v>
      </c>
      <c r="G19" s="210">
        <v>0.81</v>
      </c>
      <c r="H19" s="22">
        <f>ROUND(D19*G19,0)</f>
        <v>0</v>
      </c>
    </row>
    <row r="20" spans="1:8" x14ac:dyDescent="0.35">
      <c r="A20" s="220"/>
      <c r="B20" s="233" t="s">
        <v>40</v>
      </c>
      <c r="C20" s="221" t="s">
        <v>51</v>
      </c>
      <c r="D20" s="27">
        <f>AVERAGE('Number of Respondents'!C24:E24)</f>
        <v>32</v>
      </c>
      <c r="E20" s="210">
        <v>0.19</v>
      </c>
      <c r="F20" s="21">
        <f t="shared" si="2"/>
        <v>6</v>
      </c>
      <c r="G20" s="210">
        <v>0.81</v>
      </c>
      <c r="H20" s="22">
        <f>ROUND(D20*G20,0)</f>
        <v>26</v>
      </c>
    </row>
    <row r="21" spans="1:8" x14ac:dyDescent="0.35">
      <c r="A21" s="220"/>
      <c r="B21" s="233" t="s">
        <v>57</v>
      </c>
      <c r="C21" s="221" t="s">
        <v>58</v>
      </c>
      <c r="D21" s="60">
        <f>AVERAGE('Number of Respondents'!C25:E25)</f>
        <v>3.2000000000000006</v>
      </c>
      <c r="E21" s="210">
        <v>0.19</v>
      </c>
      <c r="F21" s="21">
        <f>ROUND(D21*E21,1)</f>
        <v>0.6</v>
      </c>
      <c r="G21" s="210">
        <v>0.81</v>
      </c>
      <c r="H21" s="223">
        <f>ROUND(D21*G21,1)</f>
        <v>2.6</v>
      </c>
    </row>
    <row r="22" spans="1:8" x14ac:dyDescent="0.35">
      <c r="A22" s="220"/>
      <c r="B22" s="233" t="s">
        <v>59</v>
      </c>
      <c r="C22" s="221" t="s">
        <v>133</v>
      </c>
      <c r="D22" s="21">
        <f>D8</f>
        <v>32</v>
      </c>
      <c r="E22" s="210">
        <v>0.19</v>
      </c>
      <c r="F22" s="21">
        <f>ROUND(D22*E22,0)</f>
        <v>6</v>
      </c>
      <c r="G22" s="210">
        <v>0.81</v>
      </c>
      <c r="H22" s="22">
        <f>ROUND(D22*G22,0)</f>
        <v>26</v>
      </c>
    </row>
    <row r="23" spans="1:8" x14ac:dyDescent="0.35">
      <c r="A23" s="220"/>
      <c r="B23" s="233" t="s">
        <v>95</v>
      </c>
      <c r="C23" s="221" t="s">
        <v>54</v>
      </c>
      <c r="D23" s="27">
        <f>ROUNDDOWN(AVERAGE('Number of Respondents'!C28:E28),0)</f>
        <v>652</v>
      </c>
      <c r="E23" s="210">
        <v>0.19</v>
      </c>
      <c r="F23" s="21">
        <f>ROUND(D23*E23,0)</f>
        <v>124</v>
      </c>
      <c r="G23" s="210">
        <v>0.81</v>
      </c>
      <c r="H23" s="22">
        <f>ROUND(D23*G23,0)</f>
        <v>528</v>
      </c>
    </row>
    <row r="24" spans="1:8" x14ac:dyDescent="0.35">
      <c r="A24" s="220"/>
      <c r="B24" s="233" t="s">
        <v>96</v>
      </c>
      <c r="C24" s="221" t="s">
        <v>92</v>
      </c>
      <c r="D24" s="27">
        <f>AVERAGE('Number of Respondents'!C29:E29)</f>
        <v>2</v>
      </c>
      <c r="E24" s="210">
        <v>0.19</v>
      </c>
      <c r="F24" s="27">
        <f>ROUNDUP(D24*E24,0)</f>
        <v>1</v>
      </c>
      <c r="G24" s="210">
        <v>0.81</v>
      </c>
      <c r="H24" s="22">
        <f>ROUNDDOWN(D24*G24,0)</f>
        <v>1</v>
      </c>
    </row>
    <row r="25" spans="1:8" x14ac:dyDescent="0.35">
      <c r="A25" s="220"/>
      <c r="B25" s="233" t="s">
        <v>97</v>
      </c>
      <c r="C25" s="221" t="s">
        <v>93</v>
      </c>
      <c r="D25" s="27">
        <f>AVERAGE('Number of Respondents'!C30:E30)</f>
        <v>2</v>
      </c>
      <c r="E25" s="210">
        <v>0.19</v>
      </c>
      <c r="F25" s="27">
        <f>ROUNDUP(D25*E25,0)</f>
        <v>1</v>
      </c>
      <c r="G25" s="210">
        <v>0.81</v>
      </c>
      <c r="H25" s="22">
        <f>ROUNDDOWN(D25*G25,0)</f>
        <v>1</v>
      </c>
    </row>
    <row r="26" spans="1:8" x14ac:dyDescent="0.35">
      <c r="A26" s="220"/>
      <c r="B26" s="233" t="s">
        <v>98</v>
      </c>
      <c r="C26" s="221" t="s">
        <v>94</v>
      </c>
      <c r="D26" s="27">
        <f>AVERAGE('Number of Respondents'!C31:E31)</f>
        <v>2</v>
      </c>
      <c r="E26" s="210">
        <v>0.19</v>
      </c>
      <c r="F26" s="27">
        <f>ROUNDUP(D26*E26,0)</f>
        <v>1</v>
      </c>
      <c r="G26" s="210">
        <v>0.81</v>
      </c>
      <c r="H26" s="22">
        <f>ROUNDDOWN(D26*G26,0)</f>
        <v>1</v>
      </c>
    </row>
    <row r="27" spans="1:8" x14ac:dyDescent="0.35">
      <c r="A27" s="220"/>
      <c r="B27" s="233" t="s">
        <v>222</v>
      </c>
      <c r="C27" s="221" t="s">
        <v>100</v>
      </c>
      <c r="D27" s="27">
        <f>AVERAGE('Number of Respondents'!C32:E32)</f>
        <v>266</v>
      </c>
      <c r="E27" s="210">
        <v>0.19</v>
      </c>
      <c r="F27" s="21">
        <f>ROUND(D27*E27,0)</f>
        <v>51</v>
      </c>
      <c r="G27" s="210">
        <v>0.81</v>
      </c>
      <c r="H27" s="22">
        <f>ROUND(D27*G27,0)</f>
        <v>215</v>
      </c>
    </row>
    <row r="28" spans="1:8" ht="30" customHeight="1" x14ac:dyDescent="0.35">
      <c r="A28" s="220" t="s">
        <v>37</v>
      </c>
      <c r="B28" s="298" t="s">
        <v>224</v>
      </c>
      <c r="C28" s="318"/>
      <c r="D28" s="21">
        <f>ROUND((D8+D9)*0.2,0)</f>
        <v>137</v>
      </c>
      <c r="E28" s="210">
        <v>0.19</v>
      </c>
      <c r="F28" s="21">
        <f>ROUND(D28*E28,0)</f>
        <v>26</v>
      </c>
      <c r="G28" s="210">
        <v>0.81</v>
      </c>
      <c r="H28" s="22">
        <f>ROUND(D28*G28,0)</f>
        <v>111</v>
      </c>
    </row>
    <row r="29" spans="1:8" x14ac:dyDescent="0.35">
      <c r="A29" s="17"/>
      <c r="B29" s="17"/>
      <c r="C29" s="17"/>
      <c r="D29" s="17"/>
      <c r="E29" s="17"/>
      <c r="F29" s="17"/>
      <c r="G29" s="17"/>
      <c r="H29" s="17"/>
    </row>
    <row r="30" spans="1:8" x14ac:dyDescent="0.35">
      <c r="A30" s="32" t="s">
        <v>121</v>
      </c>
      <c r="B30" s="17"/>
      <c r="C30" s="17"/>
      <c r="D30" s="17"/>
      <c r="E30" s="17"/>
      <c r="F30" s="17"/>
      <c r="G30" s="17"/>
      <c r="H30" s="17"/>
    </row>
    <row r="31" spans="1:8" x14ac:dyDescent="0.35">
      <c r="A31" s="260" t="s">
        <v>291</v>
      </c>
      <c r="B31" s="260"/>
      <c r="C31" s="260"/>
      <c r="D31" s="260"/>
      <c r="E31" s="260"/>
      <c r="F31" s="260"/>
      <c r="G31" s="260"/>
      <c r="H31" s="260"/>
    </row>
    <row r="32" spans="1:8" x14ac:dyDescent="0.35">
      <c r="A32" s="260"/>
      <c r="B32" s="260"/>
      <c r="C32" s="260"/>
      <c r="D32" s="260"/>
      <c r="E32" s="260"/>
      <c r="F32" s="260"/>
      <c r="G32" s="260"/>
      <c r="H32" s="260"/>
    </row>
    <row r="33" spans="1:8" ht="42.75" customHeight="1" x14ac:dyDescent="0.35">
      <c r="A33" s="260" t="s">
        <v>293</v>
      </c>
      <c r="B33" s="260"/>
      <c r="C33" s="260"/>
      <c r="D33" s="260"/>
      <c r="E33" s="260"/>
      <c r="F33" s="260"/>
      <c r="G33" s="260"/>
      <c r="H33" s="260"/>
    </row>
    <row r="34" spans="1:8" ht="27.75" customHeight="1" x14ac:dyDescent="0.35">
      <c r="A34" s="260" t="s">
        <v>295</v>
      </c>
      <c r="B34" s="260"/>
      <c r="C34" s="260"/>
      <c r="D34" s="260"/>
      <c r="E34" s="260"/>
      <c r="F34" s="260"/>
      <c r="G34" s="260"/>
      <c r="H34" s="260"/>
    </row>
    <row r="35" spans="1:8" ht="15.5" x14ac:dyDescent="0.35">
      <c r="A35" s="314" t="s">
        <v>297</v>
      </c>
      <c r="B35" s="314"/>
      <c r="C35" s="314"/>
      <c r="D35" s="314"/>
      <c r="E35" s="314"/>
      <c r="F35" s="314"/>
      <c r="G35" s="314"/>
      <c r="H35" s="314"/>
    </row>
  </sheetData>
  <mergeCells count="15">
    <mergeCell ref="A1:H1"/>
    <mergeCell ref="B28:C28"/>
    <mergeCell ref="B14:C14"/>
    <mergeCell ref="B13:C13"/>
    <mergeCell ref="B5:C5"/>
    <mergeCell ref="B6:C6"/>
    <mergeCell ref="B7:C7"/>
    <mergeCell ref="A34:H34"/>
    <mergeCell ref="A35:H35"/>
    <mergeCell ref="A31:H32"/>
    <mergeCell ref="E3:F3"/>
    <mergeCell ref="G3:H3"/>
    <mergeCell ref="A3:C4"/>
    <mergeCell ref="D3:D4"/>
    <mergeCell ref="A33:H33"/>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P94"/>
  <sheetViews>
    <sheetView topLeftCell="A75" workbookViewId="0">
      <selection activeCell="G92" sqref="G92"/>
    </sheetView>
  </sheetViews>
  <sheetFormatPr defaultColWidth="9.1796875" defaultRowHeight="13" x14ac:dyDescent="0.3"/>
  <cols>
    <col min="1" max="1" width="25.54296875" style="55" customWidth="1"/>
    <col min="2" max="3" width="11.54296875" style="55" customWidth="1"/>
    <col min="4" max="4" width="14.1796875" style="55" customWidth="1"/>
    <col min="5" max="5" width="15.81640625" style="55" customWidth="1"/>
    <col min="6" max="6" width="12.26953125" style="55" customWidth="1"/>
    <col min="7" max="7" width="11.26953125" style="55" customWidth="1"/>
    <col min="8" max="8" width="12.54296875" style="55" customWidth="1"/>
    <col min="9" max="9" width="9.1796875" style="55"/>
    <col min="10" max="10" width="11.81640625" style="55" customWidth="1"/>
    <col min="11" max="11" width="14.453125" style="55" customWidth="1"/>
    <col min="12" max="13" width="13.54296875" style="55" customWidth="1"/>
    <col min="14" max="14" width="10.453125" style="55" customWidth="1"/>
    <col min="15" max="16384" width="9.1796875" style="55"/>
  </cols>
  <sheetData>
    <row r="2" spans="1:16" x14ac:dyDescent="0.3">
      <c r="A2" s="102"/>
      <c r="B2" s="102"/>
      <c r="C2" s="102"/>
      <c r="D2" s="102"/>
      <c r="E2" s="102"/>
      <c r="F2" s="102"/>
      <c r="G2" s="102"/>
      <c r="H2" s="102"/>
      <c r="I2" s="102"/>
    </row>
    <row r="3" spans="1:16" ht="15" x14ac:dyDescent="0.3">
      <c r="A3" s="326" t="s">
        <v>212</v>
      </c>
      <c r="B3" s="326"/>
      <c r="C3" s="326"/>
      <c r="D3" s="326"/>
      <c r="E3" s="326"/>
      <c r="F3" s="326"/>
      <c r="G3" s="326"/>
      <c r="H3" s="326"/>
      <c r="I3" s="102"/>
      <c r="J3" s="84"/>
      <c r="K3" s="84"/>
      <c r="L3" s="84"/>
      <c r="M3" s="84"/>
      <c r="N3" s="84"/>
      <c r="O3" s="84"/>
      <c r="P3" s="84"/>
    </row>
    <row r="4" spans="1:16" x14ac:dyDescent="0.3">
      <c r="A4" s="107" t="s">
        <v>79</v>
      </c>
      <c r="B4" s="107" t="s">
        <v>80</v>
      </c>
      <c r="C4" s="107" t="s">
        <v>82</v>
      </c>
      <c r="D4" s="107" t="s">
        <v>84</v>
      </c>
      <c r="E4" s="107" t="s">
        <v>86</v>
      </c>
      <c r="F4" s="107" t="s">
        <v>87</v>
      </c>
      <c r="G4" s="107" t="s">
        <v>89</v>
      </c>
      <c r="H4" s="107" t="s">
        <v>91</v>
      </c>
      <c r="I4" s="102"/>
      <c r="J4" s="341" t="s">
        <v>236</v>
      </c>
      <c r="K4" s="341"/>
      <c r="L4" s="341" t="s">
        <v>237</v>
      </c>
      <c r="M4" s="341"/>
      <c r="N4" s="83"/>
      <c r="O4" s="83"/>
      <c r="P4" s="83"/>
    </row>
    <row r="5" spans="1:16" ht="52" x14ac:dyDescent="0.3">
      <c r="A5" s="107" t="s">
        <v>213</v>
      </c>
      <c r="B5" s="107" t="s">
        <v>81</v>
      </c>
      <c r="C5" s="107" t="s">
        <v>83</v>
      </c>
      <c r="D5" s="107" t="s">
        <v>85</v>
      </c>
      <c r="E5" s="107" t="s">
        <v>144</v>
      </c>
      <c r="F5" s="107" t="s">
        <v>88</v>
      </c>
      <c r="G5" s="107" t="s">
        <v>90</v>
      </c>
      <c r="H5" s="107" t="s">
        <v>145</v>
      </c>
      <c r="I5" s="102"/>
      <c r="J5" s="167" t="s">
        <v>62</v>
      </c>
      <c r="K5" s="167" t="s">
        <v>61</v>
      </c>
      <c r="L5" s="167" t="s">
        <v>62</v>
      </c>
      <c r="M5" s="167" t="s">
        <v>61</v>
      </c>
      <c r="N5" s="168" t="s">
        <v>240</v>
      </c>
      <c r="O5" s="85"/>
      <c r="P5" s="83"/>
    </row>
    <row r="6" spans="1:16" ht="28.5" x14ac:dyDescent="0.3">
      <c r="A6" s="108" t="s">
        <v>155</v>
      </c>
      <c r="B6" s="109">
        <v>10067</v>
      </c>
      <c r="C6" s="109">
        <v>1105.3</v>
      </c>
      <c r="D6" s="110">
        <f>ROUND('Number of Respondents'!G12+'Number of Respondents'!I12,0)</f>
        <v>32</v>
      </c>
      <c r="E6" s="109">
        <f>D6*C6</f>
        <v>35369.599999999999</v>
      </c>
      <c r="F6" s="109">
        <v>0</v>
      </c>
      <c r="G6" s="107">
        <v>0</v>
      </c>
      <c r="H6" s="109">
        <f t="shared" ref="H6:H7" si="0">F6*G6</f>
        <v>0</v>
      </c>
      <c r="I6" s="102"/>
      <c r="J6" s="154">
        <f>'Number of Respondents'!G12</f>
        <v>18</v>
      </c>
      <c r="K6" s="156">
        <f>'Number of Respondents'!I12</f>
        <v>14</v>
      </c>
      <c r="L6" s="157">
        <f>E6*J6/(J6+K6)</f>
        <v>19895.399999999998</v>
      </c>
      <c r="M6" s="157">
        <f>E6*K6/(J6+K6)</f>
        <v>15474.199999999999</v>
      </c>
      <c r="N6" s="155">
        <f>SUM(L6:M6)</f>
        <v>35369.599999999999</v>
      </c>
    </row>
    <row r="7" spans="1:16" ht="41.5" x14ac:dyDescent="0.3">
      <c r="A7" s="108" t="s">
        <v>156</v>
      </c>
      <c r="B7" s="109">
        <v>11104</v>
      </c>
      <c r="C7" s="109">
        <v>2708.28</v>
      </c>
      <c r="D7" s="111">
        <f>'Number of Respondents'!G21+'Number of Respondents'!I21</f>
        <v>29</v>
      </c>
      <c r="E7" s="109">
        <f>D7*C7</f>
        <v>78540.12000000001</v>
      </c>
      <c r="F7" s="109">
        <v>0</v>
      </c>
      <c r="G7" s="107">
        <v>0</v>
      </c>
      <c r="H7" s="109">
        <f t="shared" si="0"/>
        <v>0</v>
      </c>
      <c r="I7" s="102"/>
      <c r="J7" s="154">
        <f>'Number of Respondents'!G21</f>
        <v>8</v>
      </c>
      <c r="K7" s="156">
        <f>'Number of Respondents'!I21</f>
        <v>21</v>
      </c>
      <c r="L7" s="157">
        <f>E7*J7/(J7+K7)</f>
        <v>21666.240000000002</v>
      </c>
      <c r="M7" s="157">
        <f t="shared" ref="M7" si="1">E7*K7/(J7+K7)</f>
        <v>56873.880000000012</v>
      </c>
      <c r="N7" s="155">
        <f t="shared" ref="N7:N9" si="2">SUM(L7:M7)</f>
        <v>78540.12000000001</v>
      </c>
    </row>
    <row r="8" spans="1:16" ht="28.5" x14ac:dyDescent="0.3">
      <c r="A8" s="108" t="s">
        <v>157</v>
      </c>
      <c r="B8" s="107">
        <v>0</v>
      </c>
      <c r="C8" s="107">
        <v>0</v>
      </c>
      <c r="D8" s="107">
        <v>0</v>
      </c>
      <c r="E8" s="109">
        <f>D8*C8</f>
        <v>0</v>
      </c>
      <c r="F8" s="112">
        <f>703.5*4</f>
        <v>2814</v>
      </c>
      <c r="G8" s="110">
        <f>'Number of Respondents'!G13+'Number of Respondents'!I13</f>
        <v>652</v>
      </c>
      <c r="H8" s="109">
        <f>F8*G8</f>
        <v>1834728</v>
      </c>
      <c r="I8" s="102"/>
      <c r="J8" s="154">
        <f>'Number of Respondents'!G13</f>
        <v>365</v>
      </c>
      <c r="K8" s="156">
        <f>'Number of Respondents'!I13</f>
        <v>287</v>
      </c>
      <c r="L8" s="157">
        <f>H8*J8/(J8+K8)</f>
        <v>1027110</v>
      </c>
      <c r="M8" s="157">
        <f>H8*K8/(J8+K8)</f>
        <v>807618</v>
      </c>
      <c r="N8" s="155">
        <f t="shared" si="2"/>
        <v>1834728</v>
      </c>
    </row>
    <row r="9" spans="1:16" ht="15.5" x14ac:dyDescent="0.3">
      <c r="A9" s="108" t="s">
        <v>158</v>
      </c>
      <c r="B9" s="107">
        <v>0</v>
      </c>
      <c r="C9" s="107">
        <v>0</v>
      </c>
      <c r="D9" s="107">
        <v>0</v>
      </c>
      <c r="E9" s="109">
        <f>D9*C9</f>
        <v>0</v>
      </c>
      <c r="F9" s="109">
        <f>17*12</f>
        <v>204</v>
      </c>
      <c r="G9" s="110">
        <f>'Number of Respondents'!G14+'Number of Respondents'!I14</f>
        <v>652</v>
      </c>
      <c r="H9" s="109">
        <f>F9*G9</f>
        <v>133008</v>
      </c>
      <c r="I9" s="102"/>
      <c r="J9" s="154">
        <f>'Number of Respondents'!G14</f>
        <v>365</v>
      </c>
      <c r="K9" s="156">
        <f>'Number of Respondents'!I14</f>
        <v>287</v>
      </c>
      <c r="L9" s="157">
        <f>H9*J9/(J9+K9)</f>
        <v>74460</v>
      </c>
      <c r="M9" s="157">
        <f>H9*K9/(J9+K9)</f>
        <v>58548</v>
      </c>
      <c r="N9" s="155">
        <f t="shared" si="2"/>
        <v>133008</v>
      </c>
    </row>
    <row r="10" spans="1:16" ht="15.5" x14ac:dyDescent="0.3">
      <c r="A10" s="108" t="s">
        <v>162</v>
      </c>
      <c r="B10" s="109">
        <v>3000</v>
      </c>
      <c r="C10" s="109">
        <v>329.38</v>
      </c>
      <c r="D10" s="111">
        <f>D6</f>
        <v>32</v>
      </c>
      <c r="E10" s="109">
        <f>D10*C10</f>
        <v>10540.16</v>
      </c>
      <c r="F10" s="325">
        <v>1000</v>
      </c>
      <c r="G10" s="324">
        <f>G8</f>
        <v>652</v>
      </c>
      <c r="H10" s="325">
        <f>G10*F10</f>
        <v>652000</v>
      </c>
      <c r="I10" s="102"/>
      <c r="J10" s="154">
        <f>J9</f>
        <v>365</v>
      </c>
      <c r="K10" s="156">
        <f>K9</f>
        <v>287</v>
      </c>
      <c r="L10" s="157">
        <f>H10*J10/(J10+K10)</f>
        <v>365000</v>
      </c>
      <c r="M10" s="157">
        <f>H10*K10/(J10+K10)</f>
        <v>287000</v>
      </c>
      <c r="N10" s="155">
        <f>SUM(L10:M10)</f>
        <v>652000</v>
      </c>
    </row>
    <row r="11" spans="1:16" ht="15.5" x14ac:dyDescent="0.3">
      <c r="A11" s="108" t="s">
        <v>163</v>
      </c>
      <c r="B11" s="109">
        <v>500</v>
      </c>
      <c r="C11" s="109">
        <v>54.9</v>
      </c>
      <c r="D11" s="111">
        <f>D6</f>
        <v>32</v>
      </c>
      <c r="E11" s="109">
        <f t="shared" ref="E11:E12" si="3">D11*C11</f>
        <v>1756.8</v>
      </c>
      <c r="F11" s="325"/>
      <c r="G11" s="324"/>
      <c r="H11" s="325"/>
      <c r="I11" s="102"/>
      <c r="J11" s="154">
        <f>'Number of Respondents'!G12</f>
        <v>18</v>
      </c>
      <c r="K11" s="154">
        <f>'Number of Respondents'!I12</f>
        <v>14</v>
      </c>
      <c r="L11" s="157">
        <f>(E10+E11+E12)*J11/(J11+K11)</f>
        <v>15810.479999999998</v>
      </c>
      <c r="M11" s="157">
        <f>(E10+E11+E12)*K11/(J11+K11)</f>
        <v>12297.039999999999</v>
      </c>
      <c r="N11" s="155">
        <f>SUM(L11:M11)</f>
        <v>28107.519999999997</v>
      </c>
    </row>
    <row r="12" spans="1:16" ht="15.5" x14ac:dyDescent="0.3">
      <c r="A12" s="108" t="s">
        <v>164</v>
      </c>
      <c r="B12" s="109">
        <v>4500</v>
      </c>
      <c r="C12" s="109">
        <v>494.08</v>
      </c>
      <c r="D12" s="111">
        <f>D6</f>
        <v>32</v>
      </c>
      <c r="E12" s="109">
        <f t="shared" si="3"/>
        <v>15810.56</v>
      </c>
      <c r="F12" s="325"/>
      <c r="G12" s="324"/>
      <c r="H12" s="325"/>
      <c r="I12" s="102"/>
      <c r="J12" s="342" t="s">
        <v>238</v>
      </c>
      <c r="K12" s="342"/>
      <c r="L12" s="115">
        <f>SUM(L6:L7)+L11</f>
        <v>57372.119999999995</v>
      </c>
      <c r="M12" s="115">
        <f>SUM(M6:M7)+M11</f>
        <v>84645.12000000001</v>
      </c>
      <c r="N12" s="56">
        <f>SUM(L12:M12)</f>
        <v>142017.24</v>
      </c>
    </row>
    <row r="13" spans="1:16" x14ac:dyDescent="0.3">
      <c r="A13" s="113" t="s">
        <v>376</v>
      </c>
      <c r="B13" s="114"/>
      <c r="C13" s="114"/>
      <c r="D13" s="114"/>
      <c r="E13" s="115">
        <f>ROUND(SUM(E6:E12),-3)</f>
        <v>142000</v>
      </c>
      <c r="F13" s="114"/>
      <c r="G13" s="114"/>
      <c r="H13" s="115">
        <f>ROUND(SUM(H6:H12),-3)</f>
        <v>2620000</v>
      </c>
      <c r="I13" s="102"/>
      <c r="J13" s="343" t="s">
        <v>239</v>
      </c>
      <c r="K13" s="343"/>
      <c r="L13" s="115">
        <f>SUM(L8:L10)</f>
        <v>1466570</v>
      </c>
      <c r="M13" s="115">
        <f>SUM(M8:M10)</f>
        <v>1153166</v>
      </c>
      <c r="N13" s="56">
        <f t="shared" ref="N13:N14" si="4">SUM(L13:M13)</f>
        <v>2619736</v>
      </c>
      <c r="O13" s="56"/>
    </row>
    <row r="14" spans="1:16" x14ac:dyDescent="0.3">
      <c r="A14" s="113" t="s">
        <v>130</v>
      </c>
      <c r="B14" s="116"/>
      <c r="C14" s="116"/>
      <c r="D14" s="116"/>
      <c r="E14" s="116"/>
      <c r="F14" s="116"/>
      <c r="G14" s="116"/>
      <c r="H14" s="117">
        <f>ROUND(E13+H13,-4)</f>
        <v>2760000</v>
      </c>
      <c r="I14" s="102"/>
      <c r="J14" s="342" t="s">
        <v>16</v>
      </c>
      <c r="K14" s="342"/>
      <c r="L14" s="117">
        <f>ROUND((L12+L13),-4)</f>
        <v>1520000</v>
      </c>
      <c r="M14" s="117">
        <f>ROUND((M12+M13),-4)</f>
        <v>1240000</v>
      </c>
      <c r="N14" s="56">
        <f t="shared" si="4"/>
        <v>2760000</v>
      </c>
    </row>
    <row r="15" spans="1:16" ht="33.75" customHeight="1" x14ac:dyDescent="0.3">
      <c r="A15" s="347" t="s">
        <v>226</v>
      </c>
      <c r="B15" s="347"/>
      <c r="C15" s="347"/>
      <c r="D15" s="347"/>
      <c r="E15" s="347"/>
      <c r="F15" s="347"/>
      <c r="G15" s="347"/>
      <c r="H15" s="347"/>
      <c r="I15" s="102"/>
    </row>
    <row r="16" spans="1:16" ht="48.75" customHeight="1" x14ac:dyDescent="0.3">
      <c r="A16" s="346" t="s">
        <v>190</v>
      </c>
      <c r="B16" s="346"/>
      <c r="C16" s="346"/>
      <c r="D16" s="346"/>
      <c r="E16" s="346"/>
      <c r="F16" s="346"/>
      <c r="G16" s="346"/>
      <c r="H16" s="346"/>
      <c r="I16" s="102"/>
    </row>
    <row r="17" spans="1:9" ht="32.25" customHeight="1" x14ac:dyDescent="0.3">
      <c r="A17" s="346" t="s">
        <v>189</v>
      </c>
      <c r="B17" s="346"/>
      <c r="C17" s="346"/>
      <c r="D17" s="346"/>
      <c r="E17" s="346"/>
      <c r="F17" s="346"/>
      <c r="G17" s="346"/>
      <c r="H17" s="346"/>
      <c r="I17" s="102"/>
    </row>
    <row r="18" spans="1:9" ht="15.5" x14ac:dyDescent="0.3">
      <c r="A18" s="348" t="s">
        <v>159</v>
      </c>
      <c r="B18" s="348"/>
      <c r="C18" s="348"/>
      <c r="D18" s="348"/>
      <c r="E18" s="348"/>
      <c r="F18" s="348"/>
      <c r="G18" s="348"/>
      <c r="H18" s="348"/>
      <c r="I18" s="102"/>
    </row>
    <row r="19" spans="1:9" ht="27.75" customHeight="1" x14ac:dyDescent="0.3">
      <c r="A19" s="346" t="s">
        <v>160</v>
      </c>
      <c r="B19" s="346"/>
      <c r="C19" s="346"/>
      <c r="D19" s="346"/>
      <c r="E19" s="346"/>
      <c r="F19" s="346"/>
      <c r="G19" s="346"/>
      <c r="H19" s="346"/>
      <c r="I19" s="102"/>
    </row>
    <row r="20" spans="1:9" ht="18.75" customHeight="1" x14ac:dyDescent="0.3">
      <c r="A20" s="346" t="s">
        <v>161</v>
      </c>
      <c r="B20" s="346"/>
      <c r="C20" s="346"/>
      <c r="D20" s="346"/>
      <c r="E20" s="346"/>
      <c r="F20" s="346"/>
      <c r="G20" s="346"/>
      <c r="H20" s="346"/>
      <c r="I20" s="102"/>
    </row>
    <row r="21" spans="1:9" x14ac:dyDescent="0.3">
      <c r="A21" s="102"/>
      <c r="B21" s="102"/>
      <c r="C21" s="102"/>
      <c r="D21" s="102"/>
      <c r="E21" s="102"/>
      <c r="F21" s="102"/>
      <c r="G21" s="102"/>
      <c r="H21" s="102"/>
      <c r="I21" s="102"/>
    </row>
    <row r="22" spans="1:9" x14ac:dyDescent="0.3">
      <c r="A22" s="102"/>
      <c r="B22" s="102"/>
      <c r="C22" s="102"/>
      <c r="D22" s="102"/>
      <c r="E22" s="102"/>
      <c r="F22" s="102"/>
      <c r="G22" s="102"/>
      <c r="H22" s="102"/>
      <c r="I22" s="102"/>
    </row>
    <row r="23" spans="1:9" x14ac:dyDescent="0.3">
      <c r="A23" s="102"/>
      <c r="B23" s="102"/>
      <c r="C23" s="102"/>
      <c r="D23" s="102"/>
      <c r="E23" s="102"/>
      <c r="F23" s="102"/>
      <c r="G23" s="102"/>
      <c r="H23" s="102"/>
      <c r="I23" s="102"/>
    </row>
    <row r="24" spans="1:9" ht="15" x14ac:dyDescent="0.3">
      <c r="A24" s="327" t="s">
        <v>126</v>
      </c>
      <c r="B24" s="327"/>
      <c r="C24" s="327"/>
      <c r="D24" s="327"/>
      <c r="E24" s="327"/>
      <c r="F24" s="327"/>
      <c r="G24" s="102"/>
      <c r="H24" s="102"/>
      <c r="I24" s="102"/>
    </row>
    <row r="25" spans="1:9" ht="39" x14ac:dyDescent="0.3">
      <c r="A25" s="103"/>
      <c r="B25" s="344" t="s">
        <v>146</v>
      </c>
      <c r="C25" s="344"/>
      <c r="D25" s="104" t="s">
        <v>147</v>
      </c>
      <c r="E25" s="104"/>
      <c r="F25" s="104"/>
      <c r="G25" s="102"/>
      <c r="H25" s="102"/>
      <c r="I25" s="102"/>
    </row>
    <row r="26" spans="1:9" x14ac:dyDescent="0.3">
      <c r="A26" s="104"/>
      <c r="B26" s="105" t="s">
        <v>79</v>
      </c>
      <c r="C26" s="105" t="s">
        <v>80</v>
      </c>
      <c r="D26" s="105" t="s">
        <v>82</v>
      </c>
      <c r="E26" s="105" t="s">
        <v>84</v>
      </c>
      <c r="F26" s="105" t="s">
        <v>86</v>
      </c>
      <c r="G26" s="102"/>
      <c r="H26" s="102"/>
      <c r="I26" s="102"/>
    </row>
    <row r="27" spans="1:9" ht="78" x14ac:dyDescent="0.3">
      <c r="A27" s="105" t="s">
        <v>148</v>
      </c>
      <c r="B27" s="105" t="s">
        <v>153</v>
      </c>
      <c r="C27" s="105" t="s">
        <v>154</v>
      </c>
      <c r="D27" s="105" t="s">
        <v>149</v>
      </c>
      <c r="E27" s="105" t="s">
        <v>150</v>
      </c>
      <c r="F27" s="105" t="s">
        <v>151</v>
      </c>
      <c r="G27" s="102"/>
      <c r="H27" s="102"/>
      <c r="I27" s="102"/>
    </row>
    <row r="28" spans="1:9" x14ac:dyDescent="0.3">
      <c r="A28" s="105">
        <v>1</v>
      </c>
      <c r="B28" s="105">
        <v>0</v>
      </c>
      <c r="C28" s="106">
        <f>1999-12-50</f>
        <v>1937</v>
      </c>
      <c r="D28" s="105">
        <v>0</v>
      </c>
      <c r="E28" s="105">
        <v>0</v>
      </c>
      <c r="F28" s="106">
        <f>B28+C28+D28-E28</f>
        <v>1937</v>
      </c>
      <c r="G28" s="166"/>
      <c r="H28" s="102"/>
      <c r="I28" s="102"/>
    </row>
    <row r="29" spans="1:9" x14ac:dyDescent="0.3">
      <c r="A29" s="105">
        <v>2</v>
      </c>
      <c r="B29" s="105">
        <v>0</v>
      </c>
      <c r="C29" s="106">
        <f>C28-25</f>
        <v>1912</v>
      </c>
      <c r="D29" s="105">
        <v>0</v>
      </c>
      <c r="E29" s="105">
        <v>0</v>
      </c>
      <c r="F29" s="106">
        <f t="shared" ref="F29:F30" si="5">B29+C29+D29-E29</f>
        <v>1912</v>
      </c>
      <c r="G29" s="195"/>
      <c r="H29" s="102"/>
      <c r="I29" s="102"/>
    </row>
    <row r="30" spans="1:9" x14ac:dyDescent="0.3">
      <c r="A30" s="105">
        <v>3</v>
      </c>
      <c r="B30" s="105">
        <v>0</v>
      </c>
      <c r="C30" s="106">
        <f>C29-25</f>
        <v>1887</v>
      </c>
      <c r="D30" s="105">
        <v>0</v>
      </c>
      <c r="E30" s="105">
        <v>0</v>
      </c>
      <c r="F30" s="106">
        <f t="shared" si="5"/>
        <v>1887</v>
      </c>
      <c r="G30" s="102"/>
      <c r="H30" s="102"/>
      <c r="I30" s="102"/>
    </row>
    <row r="31" spans="1:9" x14ac:dyDescent="0.3">
      <c r="A31" s="104" t="s">
        <v>152</v>
      </c>
      <c r="B31" s="105">
        <f>AVERAGE(B28:B30)</f>
        <v>0</v>
      </c>
      <c r="C31" s="106">
        <f t="shared" ref="C31:E31" si="6">AVERAGE(C28:C30)</f>
        <v>1912</v>
      </c>
      <c r="D31" s="105">
        <f t="shared" si="6"/>
        <v>0</v>
      </c>
      <c r="E31" s="105">
        <f t="shared" si="6"/>
        <v>0</v>
      </c>
      <c r="F31" s="106">
        <f>AVERAGE(F28:F30)</f>
        <v>1912</v>
      </c>
      <c r="G31" s="102"/>
      <c r="H31" s="102"/>
      <c r="I31" s="102"/>
    </row>
    <row r="32" spans="1:9" ht="32.25" customHeight="1" x14ac:dyDescent="0.3">
      <c r="A32" s="345" t="s">
        <v>225</v>
      </c>
      <c r="B32" s="345"/>
      <c r="C32" s="345"/>
      <c r="D32" s="345"/>
      <c r="E32" s="345"/>
      <c r="F32" s="345"/>
      <c r="G32" s="102"/>
      <c r="H32" s="102"/>
      <c r="I32" s="102"/>
    </row>
    <row r="33" spans="1:9" ht="85" customHeight="1" x14ac:dyDescent="0.3">
      <c r="A33" s="346" t="s">
        <v>379</v>
      </c>
      <c r="B33" s="346"/>
      <c r="C33" s="346"/>
      <c r="D33" s="346"/>
      <c r="E33" s="346"/>
      <c r="F33" s="346"/>
      <c r="G33" s="195"/>
      <c r="H33" s="102"/>
      <c r="I33" s="102"/>
    </row>
    <row r="34" spans="1:9" ht="48" customHeight="1" thickBot="1" x14ac:dyDescent="0.35">
      <c r="A34" s="148"/>
      <c r="B34" s="148"/>
      <c r="C34" s="148"/>
      <c r="D34" s="148"/>
      <c r="E34" s="148"/>
      <c r="F34" s="102"/>
      <c r="G34" s="102"/>
      <c r="H34" s="102"/>
    </row>
    <row r="35" spans="1:9" ht="15" x14ac:dyDescent="0.3">
      <c r="A35" s="338" t="s">
        <v>211</v>
      </c>
      <c r="B35" s="339"/>
      <c r="C35" s="339"/>
      <c r="D35" s="339"/>
      <c r="E35" s="340"/>
      <c r="F35" s="195"/>
      <c r="G35" s="102"/>
      <c r="H35" s="102"/>
    </row>
    <row r="36" spans="1:9" ht="104.25" customHeight="1" thickBot="1" x14ac:dyDescent="0.35">
      <c r="A36" s="246" t="s">
        <v>194</v>
      </c>
      <c r="B36" s="245" t="s">
        <v>355</v>
      </c>
      <c r="C36" s="245" t="s">
        <v>195</v>
      </c>
      <c r="D36" s="245" t="s">
        <v>196</v>
      </c>
      <c r="E36" s="247" t="s">
        <v>356</v>
      </c>
      <c r="F36" s="102"/>
      <c r="G36" s="102"/>
      <c r="H36" s="102"/>
    </row>
    <row r="37" spans="1:9" s="192" customFormat="1" x14ac:dyDescent="0.3">
      <c r="A37" s="329" t="s">
        <v>252</v>
      </c>
      <c r="B37" s="330"/>
      <c r="C37" s="330"/>
      <c r="D37" s="330"/>
      <c r="E37" s="331"/>
      <c r="F37" s="102"/>
      <c r="G37" s="102"/>
      <c r="H37" s="102"/>
    </row>
    <row r="38" spans="1:9" x14ac:dyDescent="0.3">
      <c r="A38" s="243" t="s">
        <v>197</v>
      </c>
      <c r="B38" s="149">
        <f>'Table 1A-Private'!F9</f>
        <v>18</v>
      </c>
      <c r="C38" s="150">
        <v>1</v>
      </c>
      <c r="D38" s="150" t="s">
        <v>132</v>
      </c>
      <c r="E38" s="238">
        <f t="shared" ref="E38:E51" si="7">B38*C38</f>
        <v>18</v>
      </c>
      <c r="F38" s="102"/>
      <c r="G38" s="102"/>
      <c r="H38" s="102"/>
    </row>
    <row r="39" spans="1:9" x14ac:dyDescent="0.3">
      <c r="A39" s="243" t="s">
        <v>198</v>
      </c>
      <c r="B39" s="149">
        <f>'Table 1A-Private'!F15</f>
        <v>15</v>
      </c>
      <c r="C39" s="150">
        <v>1</v>
      </c>
      <c r="D39" s="150" t="s">
        <v>132</v>
      </c>
      <c r="E39" s="238">
        <f t="shared" si="7"/>
        <v>15</v>
      </c>
      <c r="F39" s="102"/>
      <c r="G39" s="102"/>
      <c r="H39" s="102"/>
    </row>
    <row r="40" spans="1:9" ht="15" customHeight="1" x14ac:dyDescent="0.3">
      <c r="A40" s="243" t="s">
        <v>199</v>
      </c>
      <c r="B40" s="149">
        <f>'Table 1A-Private'!F16</f>
        <v>13</v>
      </c>
      <c r="C40" s="150">
        <v>1</v>
      </c>
      <c r="D40" s="150" t="s">
        <v>132</v>
      </c>
      <c r="E40" s="238">
        <f t="shared" si="7"/>
        <v>13</v>
      </c>
      <c r="F40" s="102"/>
      <c r="G40" s="102"/>
      <c r="H40" s="102"/>
    </row>
    <row r="41" spans="1:9" x14ac:dyDescent="0.3">
      <c r="A41" s="243" t="s">
        <v>200</v>
      </c>
      <c r="B41" s="149">
        <f>'Table 1A-Private'!F17</f>
        <v>8</v>
      </c>
      <c r="C41" s="150">
        <v>1</v>
      </c>
      <c r="D41" s="150" t="s">
        <v>132</v>
      </c>
      <c r="E41" s="238">
        <f t="shared" si="7"/>
        <v>8</v>
      </c>
      <c r="F41" s="102"/>
      <c r="G41" s="102"/>
      <c r="H41" s="102"/>
    </row>
    <row r="42" spans="1:9" x14ac:dyDescent="0.3">
      <c r="A42" s="243" t="s">
        <v>201</v>
      </c>
      <c r="B42" s="149">
        <f>'Table 1A-Private'!F18</f>
        <v>8</v>
      </c>
      <c r="C42" s="150">
        <v>1</v>
      </c>
      <c r="D42" s="150" t="s">
        <v>132</v>
      </c>
      <c r="E42" s="238">
        <f t="shared" si="7"/>
        <v>8</v>
      </c>
      <c r="F42" s="102"/>
      <c r="G42" s="102"/>
      <c r="H42" s="102"/>
    </row>
    <row r="43" spans="1:9" x14ac:dyDescent="0.3">
      <c r="A43" s="243" t="s">
        <v>202</v>
      </c>
      <c r="B43" s="149">
        <f>'Table 1A-Private'!F19</f>
        <v>10</v>
      </c>
      <c r="C43" s="150">
        <v>1</v>
      </c>
      <c r="D43" s="150" t="s">
        <v>132</v>
      </c>
      <c r="E43" s="238">
        <f t="shared" si="7"/>
        <v>10</v>
      </c>
      <c r="F43" s="102"/>
      <c r="G43" s="102"/>
      <c r="H43" s="102"/>
    </row>
    <row r="44" spans="1:9" x14ac:dyDescent="0.3">
      <c r="A44" s="243" t="s">
        <v>203</v>
      </c>
      <c r="B44" s="149">
        <f>'Table 1A-Private'!F20</f>
        <v>0</v>
      </c>
      <c r="C44" s="150">
        <v>1</v>
      </c>
      <c r="D44" s="150" t="s">
        <v>132</v>
      </c>
      <c r="E44" s="238">
        <f t="shared" si="7"/>
        <v>0</v>
      </c>
      <c r="F44" s="102"/>
      <c r="G44" s="102"/>
      <c r="H44" s="102"/>
    </row>
    <row r="45" spans="1:9" ht="26" x14ac:dyDescent="0.3">
      <c r="A45" s="243" t="s">
        <v>204</v>
      </c>
      <c r="B45" s="149">
        <f>'Table 1A-Private'!F21</f>
        <v>18</v>
      </c>
      <c r="C45" s="150">
        <v>1</v>
      </c>
      <c r="D45" s="150" t="s">
        <v>132</v>
      </c>
      <c r="E45" s="238">
        <f t="shared" si="7"/>
        <v>18</v>
      </c>
      <c r="F45" s="102"/>
      <c r="G45" s="102"/>
      <c r="H45" s="102"/>
    </row>
    <row r="46" spans="1:9" x14ac:dyDescent="0.3">
      <c r="A46" s="243" t="s">
        <v>205</v>
      </c>
      <c r="B46" s="151">
        <f>'Table 1A-Private'!F22</f>
        <v>1.7920000000000005</v>
      </c>
      <c r="C46" s="150">
        <v>1</v>
      </c>
      <c r="D46" s="150" t="s">
        <v>132</v>
      </c>
      <c r="E46" s="244">
        <f t="shared" si="7"/>
        <v>1.7920000000000005</v>
      </c>
      <c r="F46" s="102"/>
      <c r="G46" s="102"/>
      <c r="H46" s="102"/>
    </row>
    <row r="47" spans="1:9" x14ac:dyDescent="0.3">
      <c r="A47" s="243" t="s">
        <v>206</v>
      </c>
      <c r="B47" s="149">
        <f>'Table 1A-Private'!F25</f>
        <v>365</v>
      </c>
      <c r="C47" s="150">
        <v>1</v>
      </c>
      <c r="D47" s="150" t="s">
        <v>132</v>
      </c>
      <c r="E47" s="238">
        <f t="shared" si="7"/>
        <v>365</v>
      </c>
      <c r="F47" s="102"/>
      <c r="G47" s="102"/>
      <c r="H47" s="102"/>
    </row>
    <row r="48" spans="1:9" x14ac:dyDescent="0.3">
      <c r="A48" s="243" t="s">
        <v>207</v>
      </c>
      <c r="B48" s="149">
        <f>'Table 1A-Private'!F26</f>
        <v>1</v>
      </c>
      <c r="C48" s="150">
        <v>1</v>
      </c>
      <c r="D48" s="150" t="s">
        <v>132</v>
      </c>
      <c r="E48" s="238">
        <f t="shared" si="7"/>
        <v>1</v>
      </c>
      <c r="F48" s="102"/>
      <c r="G48" s="102"/>
      <c r="H48" s="102"/>
    </row>
    <row r="49" spans="1:8" x14ac:dyDescent="0.3">
      <c r="A49" s="243" t="s">
        <v>208</v>
      </c>
      <c r="B49" s="149">
        <f>'Table 1A-Private'!F27</f>
        <v>1</v>
      </c>
      <c r="C49" s="150">
        <v>1</v>
      </c>
      <c r="D49" s="150" t="s">
        <v>132</v>
      </c>
      <c r="E49" s="238">
        <f t="shared" si="7"/>
        <v>1</v>
      </c>
      <c r="F49" s="102"/>
      <c r="G49" s="102"/>
      <c r="H49" s="102"/>
    </row>
    <row r="50" spans="1:8" x14ac:dyDescent="0.3">
      <c r="A50" s="243" t="s">
        <v>209</v>
      </c>
      <c r="B50" s="149">
        <f>'Table 1A-Private'!F28</f>
        <v>1</v>
      </c>
      <c r="C50" s="150">
        <v>1</v>
      </c>
      <c r="D50" s="150" t="s">
        <v>132</v>
      </c>
      <c r="E50" s="238">
        <f t="shared" si="7"/>
        <v>1</v>
      </c>
      <c r="F50" s="102"/>
      <c r="G50" s="102"/>
      <c r="H50" s="102"/>
    </row>
    <row r="51" spans="1:8" ht="15.75" customHeight="1" x14ac:dyDescent="0.3">
      <c r="A51" s="243" t="s">
        <v>210</v>
      </c>
      <c r="B51" s="149">
        <f>'Table 1A-Private'!F29</f>
        <v>175</v>
      </c>
      <c r="C51" s="150">
        <v>1</v>
      </c>
      <c r="D51" s="150" t="s">
        <v>132</v>
      </c>
      <c r="E51" s="238">
        <f t="shared" si="7"/>
        <v>175</v>
      </c>
      <c r="F51" s="102"/>
      <c r="G51" s="102"/>
      <c r="H51" s="102"/>
    </row>
    <row r="52" spans="1:8" ht="18.75" customHeight="1" thickBot="1" x14ac:dyDescent="0.35">
      <c r="A52" s="332" t="s">
        <v>250</v>
      </c>
      <c r="B52" s="333"/>
      <c r="C52" s="333"/>
      <c r="D52" s="334"/>
      <c r="E52" s="242">
        <f>ROUND(SUM(E38:E51),0)</f>
        <v>635</v>
      </c>
      <c r="F52" s="102"/>
    </row>
    <row r="53" spans="1:8" s="192" customFormat="1" x14ac:dyDescent="0.3">
      <c r="A53" s="329" t="s">
        <v>253</v>
      </c>
      <c r="B53" s="330"/>
      <c r="C53" s="330"/>
      <c r="D53" s="330"/>
      <c r="E53" s="331"/>
      <c r="F53" s="102"/>
      <c r="G53" s="102"/>
      <c r="H53" s="152"/>
    </row>
    <row r="54" spans="1:8" x14ac:dyDescent="0.3">
      <c r="A54" s="243" t="s">
        <v>197</v>
      </c>
      <c r="B54" s="149">
        <f>'Table 1B-Public'!F9</f>
        <v>14</v>
      </c>
      <c r="C54" s="150">
        <v>1</v>
      </c>
      <c r="D54" s="150" t="s">
        <v>132</v>
      </c>
      <c r="E54" s="238">
        <f t="shared" ref="E54:E67" si="8">B54*C54</f>
        <v>14</v>
      </c>
      <c r="F54" s="102"/>
      <c r="G54" s="102"/>
      <c r="H54" s="102"/>
    </row>
    <row r="55" spans="1:8" x14ac:dyDescent="0.3">
      <c r="A55" s="243" t="s">
        <v>198</v>
      </c>
      <c r="B55" s="149">
        <f>'Table 1B-Public'!F15</f>
        <v>40</v>
      </c>
      <c r="C55" s="150">
        <v>1</v>
      </c>
      <c r="D55" s="150" t="s">
        <v>132</v>
      </c>
      <c r="E55" s="238">
        <f t="shared" si="8"/>
        <v>40</v>
      </c>
      <c r="F55" s="102"/>
      <c r="G55" s="102"/>
      <c r="H55" s="102"/>
    </row>
    <row r="56" spans="1:8" x14ac:dyDescent="0.3">
      <c r="A56" s="243" t="s">
        <v>199</v>
      </c>
      <c r="B56" s="149">
        <f>'Table 1B-Public'!F16</f>
        <v>12</v>
      </c>
      <c r="C56" s="150">
        <v>1</v>
      </c>
      <c r="D56" s="150" t="s">
        <v>132</v>
      </c>
      <c r="E56" s="238">
        <f t="shared" si="8"/>
        <v>12</v>
      </c>
    </row>
    <row r="57" spans="1:8" x14ac:dyDescent="0.3">
      <c r="A57" s="243" t="s">
        <v>200</v>
      </c>
      <c r="B57" s="149">
        <f>'Table 1B-Public'!F17</f>
        <v>21</v>
      </c>
      <c r="C57" s="150">
        <v>1</v>
      </c>
      <c r="D57" s="150" t="s">
        <v>132</v>
      </c>
      <c r="E57" s="238">
        <f t="shared" si="8"/>
        <v>21</v>
      </c>
    </row>
    <row r="58" spans="1:8" x14ac:dyDescent="0.3">
      <c r="A58" s="243" t="s">
        <v>201</v>
      </c>
      <c r="B58" s="149">
        <f>'Table 1B-Public'!F18</f>
        <v>21</v>
      </c>
      <c r="C58" s="150">
        <v>1</v>
      </c>
      <c r="D58" s="150" t="s">
        <v>132</v>
      </c>
      <c r="E58" s="238">
        <f t="shared" si="8"/>
        <v>21</v>
      </c>
    </row>
    <row r="59" spans="1:8" x14ac:dyDescent="0.3">
      <c r="A59" s="243" t="s">
        <v>202</v>
      </c>
      <c r="B59" s="149">
        <f>'Table 1B-Public'!F19</f>
        <v>19</v>
      </c>
      <c r="C59" s="150">
        <v>1</v>
      </c>
      <c r="D59" s="150" t="s">
        <v>132</v>
      </c>
      <c r="E59" s="238">
        <f t="shared" si="8"/>
        <v>19</v>
      </c>
    </row>
    <row r="60" spans="1:8" x14ac:dyDescent="0.3">
      <c r="A60" s="243" t="s">
        <v>203</v>
      </c>
      <c r="B60" s="149">
        <f>'Table 1B-Public'!F20</f>
        <v>0</v>
      </c>
      <c r="C60" s="150">
        <v>1</v>
      </c>
      <c r="D60" s="150" t="s">
        <v>132</v>
      </c>
      <c r="E60" s="238">
        <f t="shared" si="8"/>
        <v>0</v>
      </c>
    </row>
    <row r="61" spans="1:8" ht="26" x14ac:dyDescent="0.3">
      <c r="A61" s="243" t="s">
        <v>204</v>
      </c>
      <c r="B61" s="149">
        <f>'Table 1B-Public'!F21</f>
        <v>14</v>
      </c>
      <c r="C61" s="150">
        <v>1</v>
      </c>
      <c r="D61" s="150" t="s">
        <v>132</v>
      </c>
      <c r="E61" s="238">
        <f t="shared" si="8"/>
        <v>14</v>
      </c>
    </row>
    <row r="62" spans="1:8" x14ac:dyDescent="0.3">
      <c r="A62" s="243" t="s">
        <v>205</v>
      </c>
      <c r="B62" s="151">
        <f>'Table 1B-Public'!F22</f>
        <v>1.4080000000000004</v>
      </c>
      <c r="C62" s="150">
        <v>1</v>
      </c>
      <c r="D62" s="150" t="s">
        <v>132</v>
      </c>
      <c r="E62" s="244">
        <f t="shared" si="8"/>
        <v>1.4080000000000004</v>
      </c>
    </row>
    <row r="63" spans="1:8" x14ac:dyDescent="0.3">
      <c r="A63" s="243" t="s">
        <v>206</v>
      </c>
      <c r="B63" s="149">
        <f>'Table 1B-Public'!F25</f>
        <v>287</v>
      </c>
      <c r="C63" s="150">
        <v>1</v>
      </c>
      <c r="D63" s="150" t="s">
        <v>132</v>
      </c>
      <c r="E63" s="238">
        <f t="shared" si="8"/>
        <v>287</v>
      </c>
    </row>
    <row r="64" spans="1:8" x14ac:dyDescent="0.3">
      <c r="A64" s="243" t="s">
        <v>207</v>
      </c>
      <c r="B64" s="149">
        <f>'Table 1B-Public'!F26</f>
        <v>1</v>
      </c>
      <c r="C64" s="150">
        <v>1</v>
      </c>
      <c r="D64" s="150" t="s">
        <v>132</v>
      </c>
      <c r="E64" s="238">
        <f t="shared" si="8"/>
        <v>1</v>
      </c>
    </row>
    <row r="65" spans="1:5" x14ac:dyDescent="0.3">
      <c r="A65" s="243" t="s">
        <v>208</v>
      </c>
      <c r="B65" s="149">
        <f>'Table 1B-Public'!F27</f>
        <v>1</v>
      </c>
      <c r="C65" s="150">
        <v>1</v>
      </c>
      <c r="D65" s="150" t="s">
        <v>132</v>
      </c>
      <c r="E65" s="238">
        <f t="shared" si="8"/>
        <v>1</v>
      </c>
    </row>
    <row r="66" spans="1:5" x14ac:dyDescent="0.3">
      <c r="A66" s="243" t="s">
        <v>209</v>
      </c>
      <c r="B66" s="149">
        <f>'Table 1B-Public'!F28</f>
        <v>1</v>
      </c>
      <c r="C66" s="150">
        <v>1</v>
      </c>
      <c r="D66" s="150" t="s">
        <v>132</v>
      </c>
      <c r="E66" s="238">
        <f t="shared" si="8"/>
        <v>1</v>
      </c>
    </row>
    <row r="67" spans="1:5" ht="15.75" customHeight="1" x14ac:dyDescent="0.3">
      <c r="A67" s="243" t="s">
        <v>210</v>
      </c>
      <c r="B67" s="149">
        <f>'Table 1B-Public'!F29</f>
        <v>82</v>
      </c>
      <c r="C67" s="150">
        <v>1</v>
      </c>
      <c r="D67" s="150" t="s">
        <v>132</v>
      </c>
      <c r="E67" s="238">
        <f t="shared" si="8"/>
        <v>82</v>
      </c>
    </row>
    <row r="68" spans="1:5" ht="13.5" thickBot="1" x14ac:dyDescent="0.35">
      <c r="A68" s="332" t="s">
        <v>249</v>
      </c>
      <c r="B68" s="333"/>
      <c r="C68" s="333"/>
      <c r="D68" s="334"/>
      <c r="E68" s="242">
        <f>ROUND(SUM(E54:E67),0)</f>
        <v>514</v>
      </c>
    </row>
    <row r="69" spans="1:5" s="192" customFormat="1" x14ac:dyDescent="0.3">
      <c r="A69" s="329" t="s">
        <v>254</v>
      </c>
      <c r="B69" s="330"/>
      <c r="C69" s="330"/>
      <c r="D69" s="330"/>
      <c r="E69" s="331"/>
    </row>
    <row r="70" spans="1:5" x14ac:dyDescent="0.3">
      <c r="A70" s="237" t="s">
        <v>375</v>
      </c>
      <c r="B70" s="149">
        <f>'Table 1C-State and Local'!E14</f>
        <v>10</v>
      </c>
      <c r="C70" s="150">
        <v>1</v>
      </c>
      <c r="D70" s="150" t="s">
        <v>132</v>
      </c>
      <c r="E70" s="238">
        <f t="shared" ref="E70:E82" si="9">B70*C70</f>
        <v>10</v>
      </c>
    </row>
    <row r="71" spans="1:5" ht="26" x14ac:dyDescent="0.3">
      <c r="A71" s="239" t="s">
        <v>343</v>
      </c>
      <c r="B71" s="149">
        <f>'Table 1C-State and Local'!E15</f>
        <v>5</v>
      </c>
      <c r="C71" s="150">
        <v>1</v>
      </c>
      <c r="D71" s="150" t="s">
        <v>132</v>
      </c>
      <c r="E71" s="238">
        <f t="shared" si="9"/>
        <v>5</v>
      </c>
    </row>
    <row r="72" spans="1:5" ht="15.75" customHeight="1" x14ac:dyDescent="0.3">
      <c r="A72" s="237" t="s">
        <v>353</v>
      </c>
      <c r="B72" s="149">
        <f>'Table 1C-State and Local'!E16</f>
        <v>11</v>
      </c>
      <c r="C72" s="150">
        <v>1</v>
      </c>
      <c r="D72" s="150" t="s">
        <v>132</v>
      </c>
      <c r="E72" s="238">
        <f t="shared" si="9"/>
        <v>11</v>
      </c>
    </row>
    <row r="73" spans="1:5" x14ac:dyDescent="0.3">
      <c r="A73" s="237" t="s">
        <v>344</v>
      </c>
      <c r="B73" s="149">
        <f>'Table 1C-State and Local'!E17</f>
        <v>6</v>
      </c>
      <c r="C73" s="150">
        <v>1</v>
      </c>
      <c r="D73" s="150" t="s">
        <v>132</v>
      </c>
      <c r="E73" s="238">
        <f t="shared" si="9"/>
        <v>6</v>
      </c>
    </row>
    <row r="74" spans="1:5" x14ac:dyDescent="0.3">
      <c r="A74" s="237" t="s">
        <v>345</v>
      </c>
      <c r="B74" s="149">
        <f>'Table 1C-State and Local'!E18</f>
        <v>0</v>
      </c>
      <c r="C74" s="150">
        <v>1</v>
      </c>
      <c r="D74" s="150" t="s">
        <v>132</v>
      </c>
      <c r="E74" s="238">
        <f t="shared" si="9"/>
        <v>0</v>
      </c>
    </row>
    <row r="75" spans="1:5" x14ac:dyDescent="0.3">
      <c r="A75" s="237" t="s">
        <v>346</v>
      </c>
      <c r="B75" s="149">
        <f>'Table 1C-State and Local'!E19</f>
        <v>6</v>
      </c>
      <c r="C75" s="150">
        <v>1</v>
      </c>
      <c r="D75" s="150" t="s">
        <v>132</v>
      </c>
      <c r="E75" s="238">
        <f t="shared" si="9"/>
        <v>6</v>
      </c>
    </row>
    <row r="76" spans="1:5" ht="26" x14ac:dyDescent="0.3">
      <c r="A76" s="239" t="s">
        <v>347</v>
      </c>
      <c r="B76" s="149">
        <f>'Table 1C-State and Local'!E20</f>
        <v>0.6</v>
      </c>
      <c r="C76" s="150">
        <v>1</v>
      </c>
      <c r="D76" s="150" t="s">
        <v>132</v>
      </c>
      <c r="E76" s="238">
        <f t="shared" si="9"/>
        <v>0.6</v>
      </c>
    </row>
    <row r="77" spans="1:5" x14ac:dyDescent="0.3">
      <c r="A77" s="237" t="s">
        <v>354</v>
      </c>
      <c r="B77" s="149">
        <f>'Table 1C-State and Local'!E21</f>
        <v>6</v>
      </c>
      <c r="C77" s="150">
        <v>1</v>
      </c>
      <c r="D77" s="150" t="s">
        <v>132</v>
      </c>
      <c r="E77" s="238">
        <f t="shared" si="9"/>
        <v>6</v>
      </c>
    </row>
    <row r="78" spans="1:5" x14ac:dyDescent="0.3">
      <c r="A78" s="237" t="s">
        <v>348</v>
      </c>
      <c r="B78" s="149">
        <f>'Table 1C-State and Local'!E22</f>
        <v>124</v>
      </c>
      <c r="C78" s="150">
        <v>1</v>
      </c>
      <c r="D78" s="150" t="s">
        <v>132</v>
      </c>
      <c r="E78" s="240">
        <f t="shared" si="9"/>
        <v>124</v>
      </c>
    </row>
    <row r="79" spans="1:5" x14ac:dyDescent="0.3">
      <c r="A79" s="237" t="s">
        <v>349</v>
      </c>
      <c r="B79" s="149">
        <f>'Table 1C-State and Local'!E23</f>
        <v>1</v>
      </c>
      <c r="C79" s="150">
        <v>1</v>
      </c>
      <c r="D79" s="150" t="s">
        <v>132</v>
      </c>
      <c r="E79" s="238">
        <f t="shared" si="9"/>
        <v>1</v>
      </c>
    </row>
    <row r="80" spans="1:5" x14ac:dyDescent="0.3">
      <c r="A80" s="237" t="s">
        <v>350</v>
      </c>
      <c r="B80" s="149">
        <f>'Table 1C-State and Local'!E24</f>
        <v>1</v>
      </c>
      <c r="C80" s="150">
        <v>1</v>
      </c>
      <c r="D80" s="150" t="s">
        <v>132</v>
      </c>
      <c r="E80" s="238">
        <f t="shared" si="9"/>
        <v>1</v>
      </c>
    </row>
    <row r="81" spans="1:8" x14ac:dyDescent="0.3">
      <c r="A81" s="237" t="s">
        <v>351</v>
      </c>
      <c r="B81" s="149">
        <f>'Table 1C-State and Local'!E25</f>
        <v>1</v>
      </c>
      <c r="C81" s="150">
        <v>1</v>
      </c>
      <c r="D81" s="150" t="s">
        <v>132</v>
      </c>
      <c r="E81" s="238">
        <f t="shared" si="9"/>
        <v>1</v>
      </c>
    </row>
    <row r="82" spans="1:8" x14ac:dyDescent="0.3">
      <c r="A82" s="241" t="s">
        <v>352</v>
      </c>
      <c r="B82" s="149">
        <f>'Table 1C-State and Local'!E26</f>
        <v>51</v>
      </c>
      <c r="C82" s="150">
        <v>1</v>
      </c>
      <c r="D82" s="150" t="s">
        <v>132</v>
      </c>
      <c r="E82" s="238">
        <f t="shared" si="9"/>
        <v>51</v>
      </c>
    </row>
    <row r="83" spans="1:8" ht="13.5" thickBot="1" x14ac:dyDescent="0.35">
      <c r="A83" s="332" t="s">
        <v>251</v>
      </c>
      <c r="B83" s="333"/>
      <c r="C83" s="333"/>
      <c r="D83" s="334"/>
      <c r="E83" s="242">
        <f>ROUND(SUM(E70:E82),0)</f>
        <v>223</v>
      </c>
    </row>
    <row r="84" spans="1:8" ht="18.75" customHeight="1" thickBot="1" x14ac:dyDescent="0.35">
      <c r="A84" s="335" t="s">
        <v>248</v>
      </c>
      <c r="B84" s="336"/>
      <c r="C84" s="336"/>
      <c r="D84" s="337"/>
      <c r="E84" s="248">
        <f>SUM(E52,E68,E83)</f>
        <v>1372</v>
      </c>
      <c r="G84" s="102" t="s">
        <v>218</v>
      </c>
      <c r="H84" s="152">
        <f>('Table 1C-State and Local'!F28+'Table 1B-Public'!N42)/'Capital O&amp;M'!E84</f>
        <v>463.62973760932942</v>
      </c>
    </row>
    <row r="87" spans="1:8" x14ac:dyDescent="0.3">
      <c r="A87" s="328" t="s">
        <v>255</v>
      </c>
      <c r="B87" s="328"/>
      <c r="C87" s="328"/>
      <c r="D87" s="328"/>
      <c r="E87" s="328"/>
      <c r="F87" s="328"/>
      <c r="G87" s="328"/>
      <c r="H87" s="328"/>
    </row>
    <row r="88" spans="1:8" ht="26" x14ac:dyDescent="0.3">
      <c r="A88" s="201" t="s">
        <v>256</v>
      </c>
      <c r="B88" s="202" t="s">
        <v>126</v>
      </c>
      <c r="C88" s="202" t="s">
        <v>257</v>
      </c>
      <c r="D88" s="202" t="s">
        <v>258</v>
      </c>
      <c r="E88" s="202" t="s">
        <v>259</v>
      </c>
      <c r="F88" s="202" t="s">
        <v>260</v>
      </c>
      <c r="G88" s="202" t="s">
        <v>261</v>
      </c>
      <c r="H88" s="203" t="s">
        <v>262</v>
      </c>
    </row>
    <row r="89" spans="1:8" x14ac:dyDescent="0.3">
      <c r="A89" s="201" t="s">
        <v>62</v>
      </c>
      <c r="B89" s="200">
        <f>'Number of Respondents'!G10</f>
        <v>1185</v>
      </c>
      <c r="C89" s="204">
        <f>E52</f>
        <v>635</v>
      </c>
      <c r="D89" s="209">
        <f>'Table 1A-Private'!G42</f>
        <v>81015.199999999997</v>
      </c>
      <c r="E89" s="200">
        <f>'Table 1A-Private'!G30</f>
        <v>276036.26599999995</v>
      </c>
      <c r="F89" s="200">
        <f>E89+D89</f>
        <v>357051.46599999996</v>
      </c>
      <c r="G89" s="209">
        <f>F89/C89</f>
        <v>562.28577322834644</v>
      </c>
      <c r="H89" s="200">
        <f>F89/B89</f>
        <v>301.30925400843876</v>
      </c>
    </row>
    <row r="90" spans="1:8" x14ac:dyDescent="0.3">
      <c r="A90" s="201" t="s">
        <v>61</v>
      </c>
      <c r="B90" s="200">
        <f>'Number of Respondents'!I10</f>
        <v>727</v>
      </c>
      <c r="C90" s="204">
        <f>E68</f>
        <v>514</v>
      </c>
      <c r="D90" s="209">
        <f>'Table 1B-Public'!G42</f>
        <v>63700.800000000003</v>
      </c>
      <c r="E90" s="209">
        <f>'Table 1B-Public'!G30</f>
        <v>213049.70066666667</v>
      </c>
      <c r="F90" s="200">
        <f>D90+E90</f>
        <v>276750.50066666666</v>
      </c>
      <c r="G90" s="209">
        <f>F90/C90</f>
        <v>538.42509857328139</v>
      </c>
      <c r="H90" s="200">
        <f>F90/B90</f>
        <v>380.67469142595138</v>
      </c>
    </row>
    <row r="91" spans="1:8" x14ac:dyDescent="0.3">
      <c r="A91" s="201" t="s">
        <v>263</v>
      </c>
      <c r="B91" s="200">
        <v>10</v>
      </c>
      <c r="C91" s="200">
        <f>E83</f>
        <v>223</v>
      </c>
      <c r="D91" s="249">
        <f>SUM('Table 1C-State and Local'!F14:H26)</f>
        <v>584.25749999999994</v>
      </c>
      <c r="E91" s="249">
        <f>SUM('Table 1C-State and Local'!F4:H12)</f>
        <v>1516.1599999999996</v>
      </c>
      <c r="F91" s="200">
        <f>D91+E91</f>
        <v>2100.4174999999996</v>
      </c>
      <c r="G91" s="200">
        <f>F91/C91</f>
        <v>9.4189125560538098</v>
      </c>
      <c r="H91" s="200">
        <f>F91/B91</f>
        <v>210.04174999999995</v>
      </c>
    </row>
    <row r="92" spans="1:8" x14ac:dyDescent="0.3">
      <c r="A92" s="201" t="s">
        <v>16</v>
      </c>
      <c r="B92" s="205" t="s">
        <v>264</v>
      </c>
      <c r="C92" s="205">
        <f>SUM(C89:C91)</f>
        <v>1372</v>
      </c>
      <c r="D92" s="205">
        <f>SUM(D89:D91)</f>
        <v>145300.25750000001</v>
      </c>
      <c r="E92" s="205">
        <f>SUM(E89:E91)</f>
        <v>490602.12666666659</v>
      </c>
      <c r="F92" s="205">
        <f>SUM(F89:F91)</f>
        <v>635902.38416666654</v>
      </c>
      <c r="G92" s="206">
        <f>F92/C92</f>
        <v>463.48570274538378</v>
      </c>
      <c r="H92" s="205" t="s">
        <v>264</v>
      </c>
    </row>
    <row r="94" spans="1:8" x14ac:dyDescent="0.3">
      <c r="F94" s="258"/>
    </row>
  </sheetData>
  <mergeCells count="28">
    <mergeCell ref="A20:H20"/>
    <mergeCell ref="F10:F12"/>
    <mergeCell ref="A15:H15"/>
    <mergeCell ref="A16:H16"/>
    <mergeCell ref="A17:H17"/>
    <mergeCell ref="A18:H18"/>
    <mergeCell ref="A19:H19"/>
    <mergeCell ref="J4:K4"/>
    <mergeCell ref="L4:M4"/>
    <mergeCell ref="J12:K12"/>
    <mergeCell ref="J13:K13"/>
    <mergeCell ref="J14:K14"/>
    <mergeCell ref="G10:G12"/>
    <mergeCell ref="H10:H12"/>
    <mergeCell ref="A3:H3"/>
    <mergeCell ref="A24:F24"/>
    <mergeCell ref="A87:H87"/>
    <mergeCell ref="A53:E53"/>
    <mergeCell ref="A37:E37"/>
    <mergeCell ref="A69:E69"/>
    <mergeCell ref="A52:D52"/>
    <mergeCell ref="A68:D68"/>
    <mergeCell ref="A83:D83"/>
    <mergeCell ref="A84:D84"/>
    <mergeCell ref="A35:E35"/>
    <mergeCell ref="B25:C25"/>
    <mergeCell ref="A32:F32"/>
    <mergeCell ref="A33:F33"/>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haredContentType xmlns="Microsoft.SharePoint.Taxonomy.ContentTypeSync" SourceId="29f62856-1543-49d4-a736-4569d363f533" ContentTypeId="0x0101" PreviousValue="false"/>
</file>

<file path=customXml/item3.xml><?xml version="1.0" encoding="utf-8"?>
<p:properties xmlns:p="http://schemas.microsoft.com/office/2006/metadata/properties" xmlns:xsi="http://www.w3.org/2001/XMLSchema-instance" xmlns:pc="http://schemas.microsoft.com/office/infopath/2007/PartnerControls">
  <documentManagement>
    <Record xmlns="4ffa91fb-a0ff-4ac5-b2db-65c790d184a4">Shared</Record>
    <Language xmlns="http://schemas.microsoft.com/sharepoint/v3">English</Language>
    <Document_x0020_Creation_x0020_Date xmlns="4ffa91fb-a0ff-4ac5-b2db-65c790d184a4">2020-11-02T17:58:36+00:00</Document_x0020_Creation_x0020_Date>
    <_Source xmlns="http://schemas.microsoft.com/sharepoint/v3/fields" xsi:nil="true"/>
    <j747ac98061d40f0aa7bd47e1db5675d xmlns="4ffa91fb-a0ff-4ac5-b2db-65c790d184a4">
      <Terms xmlns="http://schemas.microsoft.com/office/infopath/2007/PartnerControls"/>
    </j747ac98061d40f0aa7bd47e1db5675d>
    <External_x0020_Contributor xmlns="4ffa91fb-a0ff-4ac5-b2db-65c790d184a4" xsi:nil="true"/>
    <TaxKeywordTaxHTField xmlns="4ffa91fb-a0ff-4ac5-b2db-65c790d184a4">
      <Terms xmlns="http://schemas.microsoft.com/office/infopath/2007/PartnerControls"/>
    </TaxKeywordTaxHTField>
    <Rights xmlns="4ffa91fb-a0ff-4ac5-b2db-65c790d184a4" xsi:nil="tru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Records_x0020_Date xmlns="0a649cfe-4b5c-4768-8616-91f3c5fa8351" xsi:nil="true"/>
    <Records_x0020_Status xmlns="0a649cfe-4b5c-4768-8616-91f3c5fa8351">Pending</Records_x0020_Status>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07804992087E664C80213BBECC87D7C5" ma:contentTypeVersion="37" ma:contentTypeDescription="Create a new document." ma:contentTypeScope="" ma:versionID="520914f0515d11cab6ef72f21af65cf1">
  <xsd:schema xmlns:xsd="http://www.w3.org/2001/XMLSchema" xmlns:xs="http://www.w3.org/2001/XMLSchema" xmlns:p="http://schemas.microsoft.com/office/2006/metadata/properties" xmlns:ns1="http://schemas.microsoft.com/sharepoint/v3" xmlns:ns3="4ffa91fb-a0ff-4ac5-b2db-65c790d184a4" xmlns:ns4="http://schemas.microsoft.com/sharepoint.v3" xmlns:ns5="http://schemas.microsoft.com/sharepoint/v3/fields" xmlns:ns6="80377dfa-2fcc-4c15-9433-ebfcd06defd6" xmlns:ns7="0a649cfe-4b5c-4768-8616-91f3c5fa8351" targetNamespace="http://schemas.microsoft.com/office/2006/metadata/properties" ma:root="true" ma:fieldsID="428909dbd3eca8fcce87e8707e4f3ed8" ns1:_="" ns3:_="" ns4:_="" ns5:_="" ns6:_="" ns7:_="">
    <xsd:import namespace="http://schemas.microsoft.com/sharepoint/v3"/>
    <xsd:import namespace="4ffa91fb-a0ff-4ac5-b2db-65c790d184a4"/>
    <xsd:import namespace="http://schemas.microsoft.com/sharepoint.v3"/>
    <xsd:import namespace="http://schemas.microsoft.com/sharepoint/v3/fields"/>
    <xsd:import namespace="80377dfa-2fcc-4c15-9433-ebfcd06defd6"/>
    <xsd:import namespace="0a649cfe-4b5c-4768-8616-91f3c5fa8351"/>
    <xsd:element name="properties">
      <xsd:complexType>
        <xsd:sequence>
          <xsd:element name="documentManagement">
            <xsd:complexType>
              <xsd:all>
                <xsd:element ref="ns3:Document_x0020_Creation_x0020_Date" minOccurs="0"/>
                <xsd:element ref="ns3:Creator" minOccurs="0"/>
                <xsd:element ref="ns3:EPA_x0020_Office" minOccurs="0"/>
                <xsd:element ref="ns3:Record" minOccurs="0"/>
                <xsd:element ref="ns4:CategoryDescription" minOccurs="0"/>
                <xsd:element ref="ns3:Identifier" minOccurs="0"/>
                <xsd:element ref="ns3:EPA_x0020_Contributor" minOccurs="0"/>
                <xsd:element ref="ns3:External_x0020_Contributor" minOccurs="0"/>
                <xsd:element ref="ns5:_Coverage" minOccurs="0"/>
                <xsd:element ref="ns3:EPA_x0020_Related_x0020_Documents" minOccurs="0"/>
                <xsd:element ref="ns5:_Source" minOccurs="0"/>
                <xsd:element ref="ns3:Rights" minOccurs="0"/>
                <xsd:element ref="ns1:Language" minOccurs="0"/>
                <xsd:element ref="ns3:j747ac98061d40f0aa7bd47e1db5675d" minOccurs="0"/>
                <xsd:element ref="ns3:TaxKeywordTaxHTField" minOccurs="0"/>
                <xsd:element ref="ns3:TaxCatchAllLabel" minOccurs="0"/>
                <xsd:element ref="ns3:TaxCatchAll" minOccurs="0"/>
                <xsd:element ref="ns6:MediaServiceMetadata" minOccurs="0"/>
                <xsd:element ref="ns6:MediaServiceFastMetadata" minOccurs="0"/>
                <xsd:element ref="ns7:SharedWithUsers" minOccurs="0"/>
                <xsd:element ref="ns7:SharedWithDetails" minOccurs="0"/>
                <xsd:element ref="ns7:SharingHintHash" minOccurs="0"/>
                <xsd:element ref="ns7:Records_x0020_Status" minOccurs="0"/>
                <xsd:element ref="ns7:Records_x0020_Date" minOccurs="0"/>
                <xsd:element ref="ns6:MediaServiceAutoKeyPoints" minOccurs="0"/>
                <xsd:element ref="ns6:MediaServiceKeyPoints" minOccurs="0"/>
                <xsd:element ref="ns6:MediaServiceAutoTags" minOccurs="0"/>
                <xsd:element ref="ns6:MediaServiceGenerationTime" minOccurs="0"/>
                <xsd:element ref="ns6:MediaServiceEventHashCode" minOccurs="0"/>
                <xsd:element ref="ns6:MediaServiceOCR" minOccurs="0"/>
                <xsd:element ref="ns6:MediaServiceDateTaken" minOccurs="0"/>
                <xsd:element ref="ns6: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hidden="true" ma:list="{43a3f819-d1f1-4d52-8826-84fa7c6c0225}" ma:internalName="TaxCatchAllLabel" ma:readOnly="true" ma:showField="CatchAllDataLabel" ma:web="0a649cfe-4b5c-4768-8616-91f3c5fa8351">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hidden="true" ma:list="{43a3f819-d1f1-4d52-8826-84fa7c6c0225}" ma:internalName="TaxCatchAll" ma:showField="CatchAllData" ma:web="0a649cfe-4b5c-4768-8616-91f3c5fa8351">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0377dfa-2fcc-4c15-9433-ebfcd06defd6" elementFormDefault="qualified">
    <xsd:import namespace="http://schemas.microsoft.com/office/2006/documentManagement/types"/>
    <xsd:import namespace="http://schemas.microsoft.com/office/infopath/2007/PartnerControls"/>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element name="MediaServiceAutoKeyPoints" ma:index="35" nillable="true" ma:displayName="MediaServiceAutoKeyPoints" ma:hidden="true" ma:internalName="MediaServiceAutoKeyPoints" ma:readOnly="true">
      <xsd:simpleType>
        <xsd:restriction base="dms:Note"/>
      </xsd:simpleType>
    </xsd:element>
    <xsd:element name="MediaServiceKeyPoints" ma:index="36" nillable="true" ma:displayName="KeyPoints" ma:internalName="MediaServiceKeyPoints" ma:readOnly="true">
      <xsd:simpleType>
        <xsd:restriction base="dms:Note">
          <xsd:maxLength value="255"/>
        </xsd:restriction>
      </xsd:simpleType>
    </xsd:element>
    <xsd:element name="MediaServiceAutoTags" ma:index="37" nillable="true" ma:displayName="Tags" ma:internalName="MediaServiceAutoTags" ma:readOnly="true">
      <xsd:simpleType>
        <xsd:restriction base="dms:Text"/>
      </xsd:simpleType>
    </xsd:element>
    <xsd:element name="MediaServiceGenerationTime" ma:index="38" nillable="true" ma:displayName="MediaServiceGenerationTime" ma:hidden="true" ma:internalName="MediaServiceGenerationTime" ma:readOnly="true">
      <xsd:simpleType>
        <xsd:restriction base="dms:Text"/>
      </xsd:simpleType>
    </xsd:element>
    <xsd:element name="MediaServiceEventHashCode" ma:index="39" nillable="true" ma:displayName="MediaServiceEventHashCode" ma:hidden="true" ma:internalName="MediaServiceEventHashCode" ma:readOnly="true">
      <xsd:simpleType>
        <xsd:restriction base="dms:Text"/>
      </xsd:simpleType>
    </xsd:element>
    <xsd:element name="MediaServiceOCR" ma:index="40" nillable="true" ma:displayName="Extracted Text" ma:internalName="MediaServiceOCR" ma:readOnly="true">
      <xsd:simpleType>
        <xsd:restriction base="dms:Note">
          <xsd:maxLength value="255"/>
        </xsd:restriction>
      </xsd:simpleType>
    </xsd:element>
    <xsd:element name="MediaServiceDateTaken" ma:index="41" nillable="true" ma:displayName="MediaServiceDateTaken" ma:hidden="true" ma:internalName="MediaServiceDateTaken" ma:readOnly="true">
      <xsd:simpleType>
        <xsd:restriction base="dms:Text"/>
      </xsd:simpleType>
    </xsd:element>
    <xsd:element name="MediaServiceLocation" ma:index="42"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a649cfe-4b5c-4768-8616-91f3c5fa8351" elementFormDefault="qualified">
    <xsd:import namespace="http://schemas.microsoft.com/office/2006/documentManagement/types"/>
    <xsd:import namespace="http://schemas.microsoft.com/office/infopath/2007/PartnerControls"/>
    <xsd:element name="SharedWithUsers" ma:index="3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1" nillable="true" ma:displayName="Shared With Details" ma:internalName="SharedWithDetails" ma:readOnly="true">
      <xsd:simpleType>
        <xsd:restriction base="dms:Note">
          <xsd:maxLength value="255"/>
        </xsd:restriction>
      </xsd:simpleType>
    </xsd:element>
    <xsd:element name="SharingHintHash" ma:index="32" nillable="true" ma:displayName="Sharing Hint Hash" ma:hidden="true" ma:internalName="SharingHintHash" ma:readOnly="true">
      <xsd:simpleType>
        <xsd:restriction base="dms:Text"/>
      </xsd:simpleType>
    </xsd:element>
    <xsd:element name="Records_x0020_Status" ma:index="33" nillable="true" ma:displayName="Records Status" ma:default="Pending" ma:internalName="Records_x0020_Status">
      <xsd:simpleType>
        <xsd:restriction base="dms:Text"/>
      </xsd:simpleType>
    </xsd:element>
    <xsd:element name="Records_x0020_Date" ma:index="34" nillable="true" ma:displayName="Records Date" ma:hidden="true" ma:internalName="Records_x0020_Date">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19A041B-820C-4C19-90FF-4A55C86A376A}">
  <ds:schemaRefs>
    <ds:schemaRef ds:uri="http://schemas.microsoft.com/sharepoint/v3/contenttype/forms"/>
  </ds:schemaRefs>
</ds:datastoreItem>
</file>

<file path=customXml/itemProps2.xml><?xml version="1.0" encoding="utf-8"?>
<ds:datastoreItem xmlns:ds="http://schemas.openxmlformats.org/officeDocument/2006/customXml" ds:itemID="{23788516-3E7E-43E4-A13A-34CFDDB46520}">
  <ds:schemaRefs>
    <ds:schemaRef ds:uri="Microsoft.SharePoint.Taxonomy.ContentTypeSync"/>
  </ds:schemaRefs>
</ds:datastoreItem>
</file>

<file path=customXml/itemProps3.xml><?xml version="1.0" encoding="utf-8"?>
<ds:datastoreItem xmlns:ds="http://schemas.openxmlformats.org/officeDocument/2006/customXml" ds:itemID="{039113CE-4E81-469F-A213-B0F609EDD42F}">
  <ds:schemaRefs>
    <ds:schemaRef ds:uri="http://purl.org/dc/terms/"/>
    <ds:schemaRef ds:uri="http://schemas.microsoft.com/sharepoint.v3"/>
    <ds:schemaRef ds:uri="http://schemas.openxmlformats.org/package/2006/metadata/core-properties"/>
    <ds:schemaRef ds:uri="http://www.w3.org/XML/1998/namespace"/>
    <ds:schemaRef ds:uri="http://schemas.microsoft.com/office/2006/documentManagement/types"/>
    <ds:schemaRef ds:uri="http://schemas.microsoft.com/office/infopath/2007/PartnerControls"/>
    <ds:schemaRef ds:uri="http://purl.org/dc/elements/1.1/"/>
    <ds:schemaRef ds:uri="0a649cfe-4b5c-4768-8616-91f3c5fa8351"/>
    <ds:schemaRef ds:uri="http://schemas.microsoft.com/office/2006/metadata/properties"/>
    <ds:schemaRef ds:uri="80377dfa-2fcc-4c15-9433-ebfcd06defd6"/>
    <ds:schemaRef ds:uri="http://schemas.microsoft.com/sharepoint/v3/fields"/>
    <ds:schemaRef ds:uri="4ffa91fb-a0ff-4ac5-b2db-65c790d184a4"/>
    <ds:schemaRef ds:uri="http://schemas.microsoft.com/sharepoint/v3"/>
    <ds:schemaRef ds:uri="http://purl.org/dc/dcmitype/"/>
  </ds:schemaRefs>
</ds:datastoreItem>
</file>

<file path=customXml/itemProps4.xml><?xml version="1.0" encoding="utf-8"?>
<ds:datastoreItem xmlns:ds="http://schemas.openxmlformats.org/officeDocument/2006/customXml" ds:itemID="{25CD1EE8-5E41-4725-A474-690E5EDDC7E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ffa91fb-a0ff-4ac5-b2db-65c790d184a4"/>
    <ds:schemaRef ds:uri="http://schemas.microsoft.com/sharepoint.v3"/>
    <ds:schemaRef ds:uri="http://schemas.microsoft.com/sharepoint/v3/fields"/>
    <ds:schemaRef ds:uri="80377dfa-2fcc-4c15-9433-ebfcd06defd6"/>
    <ds:schemaRef ds:uri="0a649cfe-4b5c-4768-8616-91f3c5fa835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7</vt:i4>
      </vt:variant>
    </vt:vector>
  </HeadingPairs>
  <TitlesOfParts>
    <vt:vector size="14" baseType="lpstr">
      <vt:lpstr>Table 1A-Private</vt:lpstr>
      <vt:lpstr>Table 1B-Public</vt:lpstr>
      <vt:lpstr>Table 1C-State and Local</vt:lpstr>
      <vt:lpstr>Table 2</vt:lpstr>
      <vt:lpstr>Number of Respondents</vt:lpstr>
      <vt:lpstr>SP-FP Respondents</vt:lpstr>
      <vt:lpstr>Capital O&amp;M</vt:lpstr>
      <vt:lpstr>'Number of Respondents'!Print_Area</vt:lpstr>
      <vt:lpstr>'Table 1A-Private'!Print_Area</vt:lpstr>
      <vt:lpstr>'Table 1B-Public'!Print_Area</vt:lpstr>
      <vt:lpstr>'Table 2'!Print_Area</vt:lpstr>
      <vt:lpstr>'Number of Respondents'!Print_Titles</vt:lpstr>
      <vt:lpstr>'Table 1A-Private'!Print_Titles</vt:lpstr>
      <vt:lpstr>'Table 1B-Public'!Print_Titles</vt:lpstr>
    </vt:vector>
  </TitlesOfParts>
  <Company>Eastern Research Group,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ASingleton</dc:creator>
  <cp:lastModifiedBy>Wrigley, William</cp:lastModifiedBy>
  <cp:lastPrinted>2015-05-27T12:47:04Z</cp:lastPrinted>
  <dcterms:created xsi:type="dcterms:W3CDTF">2014-03-24T13:25:26Z</dcterms:created>
  <dcterms:modified xsi:type="dcterms:W3CDTF">2020-12-08T14:42:18Z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0x01010007804992087E664C80213BBECC87D7C5</vt:lpwstr>
  </property>
  <property fmtid="{D5CDD505-2E9C-101B-9397-08002B2CF9AE}" pid="3" name="TaxKeyword">
    <vt:lpwstr/>
  </property>
</Properties>
</file>