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Dsalahud\Documents\"/>
    </mc:Choice>
  </mc:AlternateContent>
  <xr:revisionPtr revIDLastSave="0" documentId="8_{B8B9699F-62E3-42B1-9738-AB636A2AAA5A}" xr6:coauthVersionLast="45" xr6:coauthVersionMax="45" xr10:uidLastSave="{00000000-0000-0000-0000-000000000000}"/>
  <bookViews>
    <workbookView xWindow="-110" yWindow="-110" windowWidth="19420" windowHeight="10420" xr2:uid="{00000000-000D-0000-FFFF-FFFF00000000}"/>
  </bookViews>
  <sheets>
    <sheet name="Industry" sheetId="1" r:id="rId1"/>
    <sheet name="Agency" sheetId="2" r:id="rId2"/>
    <sheet name="Reporting_for_Test" sheetId="3" r:id="rId3"/>
  </sheets>
  <definedNames>
    <definedName name="_GoBack" localSheetId="0">Industry!$N$25</definedName>
    <definedName name="_xlnm.Print_Area" localSheetId="1">Agency!$A$1:$I$35</definedName>
    <definedName name="_xlnm.Print_Area" localSheetId="0">Industry!$A$1:$I$74</definedName>
    <definedName name="_xlnm.Print_Titles" localSheetId="0">Industry!$3:$4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45" i="1"/>
  <c r="I46" i="1" l="1"/>
  <c r="K49" i="1"/>
  <c r="K48" i="1"/>
  <c r="B11" i="3" l="1"/>
  <c r="B10" i="3"/>
  <c r="B8" i="3"/>
  <c r="E22" i="2" l="1"/>
  <c r="E21" i="2"/>
  <c r="E20" i="2"/>
  <c r="E11" i="2"/>
  <c r="E12" i="2"/>
  <c r="E13" i="2"/>
  <c r="E15" i="2"/>
  <c r="E16" i="2"/>
  <c r="E17" i="2"/>
  <c r="E10" i="2"/>
  <c r="D43" i="1"/>
  <c r="D42" i="1"/>
  <c r="D41" i="1"/>
  <c r="D11" i="3"/>
  <c r="F11" i="3" s="1"/>
  <c r="D33" i="1"/>
  <c r="D32" i="1"/>
  <c r="D31" i="1"/>
  <c r="F31" i="1" s="1"/>
  <c r="D30" i="1"/>
  <c r="D29" i="1"/>
  <c r="D28" i="1"/>
  <c r="D27" i="1"/>
  <c r="D10" i="3" s="1"/>
  <c r="F10" i="3" s="1"/>
  <c r="D26" i="1"/>
  <c r="D25" i="1"/>
  <c r="D24" i="1"/>
  <c r="D23" i="1"/>
  <c r="D19" i="1"/>
  <c r="D18" i="1"/>
  <c r="D17" i="1"/>
  <c r="D15" i="1"/>
  <c r="D14" i="1"/>
  <c r="D13" i="1"/>
  <c r="D12" i="1"/>
  <c r="D8" i="3" s="1"/>
  <c r="F8" i="3" s="1"/>
  <c r="D11" i="1"/>
  <c r="D10" i="1"/>
  <c r="D17" i="2"/>
  <c r="F17" i="2" s="1"/>
  <c r="I48" i="1"/>
  <c r="I49" i="1" s="1"/>
  <c r="I47" i="1"/>
  <c r="E27" i="1"/>
  <c r="E13" i="1"/>
  <c r="E8" i="2" s="1"/>
  <c r="E12" i="1"/>
  <c r="E5" i="2" s="1"/>
  <c r="D8" i="1"/>
  <c r="L2" i="1"/>
  <c r="H3" i="3" s="1"/>
  <c r="K2" i="1"/>
  <c r="G3" i="3" s="1"/>
  <c r="J2" i="1"/>
  <c r="F3" i="3" s="1"/>
  <c r="E14" i="2" l="1"/>
  <c r="E18" i="2" s="1"/>
  <c r="F13" i="1"/>
  <c r="H13" i="1" s="1"/>
  <c r="F12" i="1"/>
  <c r="G12" i="1" s="1"/>
  <c r="E7" i="2"/>
  <c r="G11" i="3"/>
  <c r="H11" i="3"/>
  <c r="H10" i="3"/>
  <c r="G10" i="3"/>
  <c r="H8" i="3"/>
  <c r="G8" i="3"/>
  <c r="G17" i="2"/>
  <c r="H17" i="2"/>
  <c r="H31" i="1"/>
  <c r="G31" i="1"/>
  <c r="H12" i="1"/>
  <c r="G13" i="1" l="1"/>
  <c r="I13" i="1" s="1"/>
  <c r="I31" i="1"/>
  <c r="I8" i="3"/>
  <c r="I11" i="3"/>
  <c r="I17" i="2"/>
  <c r="I10" i="3"/>
  <c r="F12" i="3"/>
  <c r="I12" i="1"/>
  <c r="I12" i="3" l="1"/>
  <c r="F15" i="1"/>
  <c r="G15" i="1" l="1"/>
  <c r="H15" i="1"/>
  <c r="F19" i="1"/>
  <c r="F18" i="1"/>
  <c r="F17" i="1"/>
  <c r="F14" i="1"/>
  <c r="I15" i="1" l="1"/>
  <c r="H14" i="1"/>
  <c r="G17" i="1"/>
  <c r="G18" i="1"/>
  <c r="G19" i="1"/>
  <c r="H18" i="1"/>
  <c r="H17" i="1"/>
  <c r="H19" i="1"/>
  <c r="G14" i="1"/>
  <c r="I14" i="1" l="1"/>
  <c r="I17" i="1"/>
  <c r="I18" i="1"/>
  <c r="I19" i="1"/>
  <c r="D22" i="2" l="1"/>
  <c r="F22" i="2" s="1"/>
  <c r="D21" i="2"/>
  <c r="F21" i="2" s="1"/>
  <c r="D20" i="2"/>
  <c r="F20" i="2" s="1"/>
  <c r="D18" i="2"/>
  <c r="F18" i="2" s="1"/>
  <c r="D16" i="2"/>
  <c r="F16" i="2" s="1"/>
  <c r="D15" i="2"/>
  <c r="F15" i="2" s="1"/>
  <c r="D14" i="2"/>
  <c r="F14" i="2" s="1"/>
  <c r="D13" i="2"/>
  <c r="F13" i="2" s="1"/>
  <c r="D12" i="2"/>
  <c r="F12" i="2" s="1"/>
  <c r="D11" i="2"/>
  <c r="F11" i="2" s="1"/>
  <c r="D10" i="2"/>
  <c r="F10" i="2" s="1"/>
  <c r="D8" i="2"/>
  <c r="F8" i="2" s="1"/>
  <c r="D7" i="2"/>
  <c r="F7" i="2" s="1"/>
  <c r="D5" i="2"/>
  <c r="F5" i="2" s="1"/>
  <c r="H20" i="2" l="1"/>
  <c r="G20" i="2"/>
  <c r="G15" i="2"/>
  <c r="H15" i="2"/>
  <c r="G7" i="2"/>
  <c r="H7" i="2"/>
  <c r="H16" i="2"/>
  <c r="G16" i="2"/>
  <c r="H10" i="2"/>
  <c r="G10" i="2"/>
  <c r="H14" i="2"/>
  <c r="G14" i="2"/>
  <c r="I14" i="2" s="1"/>
  <c r="H11" i="2"/>
  <c r="G11" i="2"/>
  <c r="G21" i="2"/>
  <c r="H21" i="2"/>
  <c r="H12" i="2"/>
  <c r="G12" i="2"/>
  <c r="H22" i="2"/>
  <c r="G22" i="2"/>
  <c r="H8" i="2"/>
  <c r="G8" i="2"/>
  <c r="G13" i="2"/>
  <c r="H13" i="2"/>
  <c r="H18" i="2"/>
  <c r="G18" i="2"/>
  <c r="H5" i="2"/>
  <c r="G5" i="2"/>
  <c r="F43" i="1"/>
  <c r="G43" i="1" s="1"/>
  <c r="F42" i="1"/>
  <c r="F41" i="1"/>
  <c r="F33" i="1"/>
  <c r="G33" i="1" s="1"/>
  <c r="F32" i="1"/>
  <c r="F30" i="1"/>
  <c r="G30" i="1" s="1"/>
  <c r="F29" i="1"/>
  <c r="F28" i="1"/>
  <c r="G28" i="1" s="1"/>
  <c r="F27" i="1"/>
  <c r="F26" i="1"/>
  <c r="G26" i="1" s="1"/>
  <c r="F25" i="1"/>
  <c r="F24" i="1"/>
  <c r="G24" i="1" s="1"/>
  <c r="F23" i="1"/>
  <c r="F11" i="1"/>
  <c r="F10" i="1"/>
  <c r="F8" i="1"/>
  <c r="I18" i="2" l="1"/>
  <c r="I12" i="2"/>
  <c r="I11" i="2"/>
  <c r="I15" i="2"/>
  <c r="I10" i="2"/>
  <c r="I7" i="2"/>
  <c r="I13" i="2"/>
  <c r="I8" i="2"/>
  <c r="G10" i="1"/>
  <c r="I22" i="2"/>
  <c r="F23" i="2"/>
  <c r="I16" i="2"/>
  <c r="I20" i="2"/>
  <c r="I21" i="2"/>
  <c r="I5" i="2"/>
  <c r="H11" i="1"/>
  <c r="G11" i="1"/>
  <c r="G41" i="1"/>
  <c r="H41" i="1"/>
  <c r="G25" i="1"/>
  <c r="G32" i="1"/>
  <c r="H25" i="1"/>
  <c r="H32" i="1"/>
  <c r="G23" i="1"/>
  <c r="H23" i="1"/>
  <c r="G29" i="1"/>
  <c r="H29" i="1"/>
  <c r="G8" i="1"/>
  <c r="H8" i="1"/>
  <c r="G42" i="1"/>
  <c r="H42" i="1"/>
  <c r="G27" i="1"/>
  <c r="H27" i="1"/>
  <c r="H10" i="1"/>
  <c r="H43" i="1"/>
  <c r="I43" i="1" s="1"/>
  <c r="H24" i="1"/>
  <c r="I24" i="1" s="1"/>
  <c r="H26" i="1"/>
  <c r="I26" i="1" s="1"/>
  <c r="H28" i="1"/>
  <c r="I28" i="1" s="1"/>
  <c r="H30" i="1"/>
  <c r="I30" i="1" s="1"/>
  <c r="H33" i="1"/>
  <c r="I33" i="1" s="1"/>
  <c r="I10" i="1" l="1"/>
  <c r="I23" i="2"/>
  <c r="I29" i="1"/>
  <c r="I11" i="1"/>
  <c r="I32" i="1"/>
  <c r="I41" i="1"/>
  <c r="I25" i="1"/>
  <c r="I27" i="1"/>
  <c r="I23" i="1"/>
  <c r="I42" i="1"/>
  <c r="I8" i="1"/>
  <c r="F46" i="1" l="1"/>
  <c r="K50" i="1" s="1"/>
  <c r="I34" i="1"/>
  <c r="I45" i="1"/>
  <c r="I50" i="1" l="1"/>
</calcChain>
</file>

<file path=xl/sharedStrings.xml><?xml version="1.0" encoding="utf-8"?>
<sst xmlns="http://schemas.openxmlformats.org/spreadsheetml/2006/main" count="177" uniqueCount="133">
  <si>
    <t>Burden item</t>
  </si>
  <si>
    <t>(A)</t>
  </si>
  <si>
    <t>Person-hours per occurrence</t>
  </si>
  <si>
    <t>(B)</t>
  </si>
  <si>
    <t>No. of occurrences per respondent per year</t>
  </si>
  <si>
    <t>(C)</t>
  </si>
  <si>
    <t xml:space="preserve"> Person-hours per respondent per year (C=AxB)</t>
  </si>
  <si>
    <t>(D)</t>
  </si>
  <si>
    <r>
      <t xml:space="preserve">Respondents per year  </t>
    </r>
    <r>
      <rPr>
        <b/>
        <vertAlign val="superscript"/>
        <sz val="10"/>
        <color rgb="FF000000"/>
        <rFont val="Times New Roman"/>
        <family val="1"/>
      </rPr>
      <t>a</t>
    </r>
  </si>
  <si>
    <t>(E)</t>
  </si>
  <si>
    <t>Technical person-hours per year (E=CxD)</t>
  </si>
  <si>
    <t>(F)</t>
  </si>
  <si>
    <t>(G)</t>
  </si>
  <si>
    <t>(H)</t>
  </si>
  <si>
    <r>
      <t xml:space="preserve">Cost, $  </t>
    </r>
    <r>
      <rPr>
        <b/>
        <vertAlign val="superscript"/>
        <sz val="10"/>
        <color rgb="FF000000"/>
        <rFont val="Times New Roman"/>
        <family val="1"/>
      </rPr>
      <t>b</t>
    </r>
  </si>
  <si>
    <t>1.  Applications</t>
  </si>
  <si>
    <t>N/A</t>
  </si>
  <si>
    <t>2.  Survey and Studies</t>
  </si>
  <si>
    <t>3.  Reporting Requirements</t>
  </si>
  <si>
    <t>B.  Required activities</t>
  </si>
  <si>
    <t>C.  Create information</t>
  </si>
  <si>
    <t>See 3B</t>
  </si>
  <si>
    <t>D.  Gather existing information</t>
  </si>
  <si>
    <t>E.   Write report</t>
  </si>
  <si>
    <t>Notification of applicability</t>
  </si>
  <si>
    <t xml:space="preserve">Notification of anticipated startup </t>
  </si>
  <si>
    <t>Notification of actual startup</t>
  </si>
  <si>
    <t xml:space="preserve">Notification of compliance status </t>
  </si>
  <si>
    <t>Subtotal for Reporting Requirements</t>
  </si>
  <si>
    <t>4.  Recordkeeping Requirements</t>
  </si>
  <si>
    <t>B.  Plan activities</t>
  </si>
  <si>
    <t>See 4E</t>
  </si>
  <si>
    <t xml:space="preserve">C.  Implement activities </t>
  </si>
  <si>
    <t>D.  Develop record system</t>
  </si>
  <si>
    <t xml:space="preserve"> </t>
  </si>
  <si>
    <t>E.  Time to enter information</t>
  </si>
  <si>
    <t>F.  Time to train personnel</t>
  </si>
  <si>
    <t>Subtotal for  Recordkeeping Requirements</t>
  </si>
  <si>
    <t>Assumptions:</t>
  </si>
  <si>
    <t>Activity</t>
  </si>
  <si>
    <t>EPA person-hours per occurrence</t>
  </si>
  <si>
    <t>No. of occurrences per plant per year</t>
  </si>
  <si>
    <t>EPA person-hours per plant per year (C=AxB)</t>
  </si>
  <si>
    <r>
      <t xml:space="preserve">Plants per year  </t>
    </r>
    <r>
      <rPr>
        <b/>
        <vertAlign val="superscript"/>
        <sz val="10"/>
        <color rgb="FF000000"/>
        <rFont val="Times New Roman"/>
        <family val="1"/>
      </rPr>
      <t>a</t>
    </r>
  </si>
  <si>
    <t>Management person-hours per year (Ex0.05)</t>
  </si>
  <si>
    <t>Clerical person-hours per year (Ex0.1)</t>
  </si>
  <si>
    <t>Attend initial performance test</t>
  </si>
  <si>
    <t>Attend repeat performance test</t>
  </si>
  <si>
    <t>Retesting preparation</t>
  </si>
  <si>
    <t>Retesting</t>
  </si>
  <si>
    <t>Notification of construction/reconstruction</t>
  </si>
  <si>
    <t>Notification of anticipated startup</t>
  </si>
  <si>
    <t>Notification of initial performance test</t>
  </si>
  <si>
    <t xml:space="preserve">Notification of compliance status     </t>
  </si>
  <si>
    <r>
      <t xml:space="preserve">Notification of intent to use alternative fuel </t>
    </r>
    <r>
      <rPr>
        <vertAlign val="superscript"/>
        <sz val="12"/>
        <color rgb="FF000000"/>
        <rFont val="Times New Roman"/>
        <family val="1"/>
      </rPr>
      <t>c</t>
    </r>
  </si>
  <si>
    <r>
      <t xml:space="preserve">Deviation </t>
    </r>
    <r>
      <rPr>
        <vertAlign val="superscript"/>
        <sz val="12"/>
        <color rgb="FF000000"/>
        <rFont val="Times New Roman"/>
        <family val="1"/>
      </rPr>
      <t>d</t>
    </r>
  </si>
  <si>
    <r>
      <t xml:space="preserve">No Deviation </t>
    </r>
    <r>
      <rPr>
        <vertAlign val="superscript"/>
        <sz val="12"/>
        <color rgb="FF000000"/>
        <rFont val="Times New Roman"/>
        <family val="1"/>
      </rPr>
      <t>e</t>
    </r>
  </si>
  <si>
    <t>hr/resp</t>
  </si>
  <si>
    <t xml:space="preserve">             a)  RATA audit (one per year) </t>
  </si>
  <si>
    <t xml:space="preserve">             b)  RAA audit (three per year) </t>
  </si>
  <si>
    <t xml:space="preserve">             c)  Daily calibration and operation</t>
  </si>
  <si>
    <t xml:space="preserve">A.  Familiarization with rule requirements </t>
  </si>
  <si>
    <t>See 3A</t>
  </si>
  <si>
    <t>&lt;-- Note to EPA: Added costing for CEMS, but the assumption is that no one is using CEMS and no new sources at this time.</t>
  </si>
  <si>
    <t>&lt;-- Note to EPA: Added costing for CEMS, but the assumption is that no one is using CEMS, required for only a very narrow set of sources complying with a non-standard CD or invoking process changes.</t>
  </si>
  <si>
    <t xml:space="preserve">&lt;-- Note: The previous ICR included 4 hours of burden per occurance here, and doublecounted/overestimated the burden already included in 3A. </t>
  </si>
  <si>
    <t>Develop an operation, maintenance, monitoring plan</t>
  </si>
  <si>
    <r>
      <t xml:space="preserve">Update operation, maintenance, monitoring plan </t>
    </r>
    <r>
      <rPr>
        <vertAlign val="superscript"/>
        <sz val="10"/>
        <rFont val="Times New Roman"/>
        <family val="1"/>
      </rPr>
      <t>d</t>
    </r>
  </si>
  <si>
    <r>
      <t xml:space="preserve">Performance tests and reports </t>
    </r>
    <r>
      <rPr>
        <vertAlign val="superscript"/>
        <sz val="10"/>
        <rFont val="Times New Roman"/>
        <family val="1"/>
      </rPr>
      <t>e</t>
    </r>
  </si>
  <si>
    <r>
      <t xml:space="preserve">Performance retests and reports </t>
    </r>
    <r>
      <rPr>
        <vertAlign val="superscript"/>
        <sz val="10"/>
        <rFont val="Times New Roman"/>
        <family val="1"/>
      </rPr>
      <t>e</t>
    </r>
  </si>
  <si>
    <r>
      <t xml:space="preserve">Initial CMS performance evaluation </t>
    </r>
    <r>
      <rPr>
        <vertAlign val="superscript"/>
        <sz val="10"/>
        <rFont val="Times New Roman"/>
        <family val="1"/>
      </rPr>
      <t>f</t>
    </r>
  </si>
  <si>
    <r>
      <t xml:space="preserve">Initial CEMS demonstration </t>
    </r>
    <r>
      <rPr>
        <vertAlign val="superscript"/>
        <sz val="10"/>
        <rFont val="Times New Roman"/>
        <family val="1"/>
      </rPr>
      <t>g</t>
    </r>
  </si>
  <si>
    <r>
      <t xml:space="preserve">Notification of performance test </t>
    </r>
    <r>
      <rPr>
        <vertAlign val="superscript"/>
        <sz val="10"/>
        <color rgb="FF000000"/>
        <rFont val="Times New Roman"/>
        <family val="1"/>
      </rPr>
      <t>e</t>
    </r>
  </si>
  <si>
    <r>
      <t xml:space="preserve">Notification of intent to use alternative fuel </t>
    </r>
    <r>
      <rPr>
        <vertAlign val="superscript"/>
        <sz val="10"/>
        <color theme="1"/>
        <rFont val="Times New Roman"/>
        <family val="1"/>
      </rPr>
      <t>h</t>
    </r>
  </si>
  <si>
    <r>
      <t xml:space="preserve">Request approval to bypass the control device for maintenance </t>
    </r>
    <r>
      <rPr>
        <vertAlign val="superscript"/>
        <sz val="10"/>
        <color theme="1"/>
        <rFont val="Times New Roman"/>
        <family val="1"/>
      </rPr>
      <t>i</t>
    </r>
  </si>
  <si>
    <r>
      <t xml:space="preserve">Semi-annual compliance report with deviations </t>
    </r>
    <r>
      <rPr>
        <vertAlign val="superscript"/>
        <sz val="10"/>
        <color theme="1"/>
        <rFont val="Times New Roman"/>
        <family val="1"/>
      </rPr>
      <t>j</t>
    </r>
  </si>
  <si>
    <r>
      <t xml:space="preserve">Semi-annual compliance report with no deviations </t>
    </r>
    <r>
      <rPr>
        <vertAlign val="superscript"/>
        <sz val="10"/>
        <color theme="1"/>
        <rFont val="Times New Roman"/>
        <family val="1"/>
      </rPr>
      <t>k</t>
    </r>
  </si>
  <si>
    <r>
      <t xml:space="preserve">Report of alternative fuel use </t>
    </r>
    <r>
      <rPr>
        <vertAlign val="superscript"/>
        <sz val="10"/>
        <color theme="1"/>
        <rFont val="Times New Roman"/>
        <family val="1"/>
      </rPr>
      <t>l</t>
    </r>
  </si>
  <si>
    <t>Submit report of performance testing results electronically</t>
  </si>
  <si>
    <t xml:space="preserve">H. Time for audits </t>
  </si>
  <si>
    <r>
      <t xml:space="preserve">Annual Capital Costs: Performance tests </t>
    </r>
    <r>
      <rPr>
        <vertAlign val="superscript"/>
        <sz val="10"/>
        <rFont val="Times New Roman"/>
        <family val="1"/>
      </rPr>
      <t>p</t>
    </r>
  </si>
  <si>
    <r>
      <t xml:space="preserve">Total Annual Costs (O &amp; M) </t>
    </r>
    <r>
      <rPr>
        <vertAlign val="superscript"/>
        <sz val="10"/>
        <rFont val="Times New Roman"/>
        <family val="1"/>
      </rPr>
      <t>p</t>
    </r>
  </si>
  <si>
    <r>
      <t>c</t>
    </r>
    <r>
      <rPr>
        <sz val="10"/>
        <color theme="1"/>
        <rFont val="Times New Roman"/>
        <family val="1"/>
      </rPr>
      <t xml:space="preserve"> We have assumed that the number of person-hours per occurrence is an average over 3 years of Year 1 (5), Year 2 (0.5), and Year 3(0.5) with more effort in Year 1 to read and understand the amendments.</t>
    </r>
  </si>
  <si>
    <r>
      <t>d</t>
    </r>
    <r>
      <rPr>
        <sz val="10"/>
        <color theme="1"/>
        <rFont val="Times New Roman"/>
        <family val="1"/>
      </rPr>
      <t xml:space="preserve"> We have assumed that all three facilities will need to update their plan, for an average number of respondents of 1 per year.</t>
    </r>
  </si>
  <si>
    <r>
      <t>f</t>
    </r>
    <r>
      <rPr>
        <sz val="10"/>
        <color theme="1"/>
        <rFont val="Times New Roman"/>
        <family val="1"/>
      </rPr>
      <t xml:space="preserve"> We assume 12 hours are required to complete the CMS performance evaluation. This activity only applies to new sources.</t>
    </r>
  </si>
  <si>
    <r>
      <t>g</t>
    </r>
    <r>
      <rPr>
        <sz val="10"/>
        <color theme="1"/>
        <rFont val="Times New Roman"/>
        <family val="1"/>
      </rPr>
      <t xml:space="preserve"> We have assumed that there are no existing respondents required to comply using THC CEMS.</t>
    </r>
  </si>
  <si>
    <r>
      <t>h</t>
    </r>
    <r>
      <rPr>
        <sz val="10"/>
        <color theme="1"/>
        <rFont val="Times New Roman"/>
        <family val="1"/>
      </rPr>
      <t xml:space="preserve"> We have assumed that three respondents will use alternative fuel once per year and will have to submit notification of intent to use alternative fuel.</t>
    </r>
  </si>
  <si>
    <r>
      <t>j</t>
    </r>
    <r>
      <rPr>
        <sz val="10"/>
        <color theme="1"/>
        <rFont val="Times New Roman"/>
        <family val="1"/>
      </rPr>
      <t xml:space="preserve"> We have assumed that two respondents will report a deviation once per year.</t>
    </r>
  </si>
  <si>
    <r>
      <t>k</t>
    </r>
    <r>
      <rPr>
        <sz val="10"/>
        <color theme="1"/>
        <rFont val="Times New Roman"/>
        <family val="1"/>
      </rPr>
      <t xml:space="preserve"> We have assumed that one respondent will report no deviations on a semi-annual basis and the other two respondents will report no deviations for one of the two semi-annual reports per year.</t>
    </r>
  </si>
  <si>
    <r>
      <t>l</t>
    </r>
    <r>
      <rPr>
        <sz val="10"/>
        <color theme="1"/>
        <rFont val="Times New Roman"/>
        <family val="1"/>
      </rPr>
      <t xml:space="preserve"> We have assumed that three respondents will report on alternative fuel usage once a year.</t>
    </r>
  </si>
  <si>
    <r>
      <t>m</t>
    </r>
    <r>
      <rPr>
        <sz val="10"/>
        <color theme="1"/>
        <rFont val="Times New Roman"/>
        <family val="1"/>
      </rPr>
      <t xml:space="preserve"> We have assumed that information will be recorded once per week for 52 weeks per year.</t>
    </r>
  </si>
  <si>
    <r>
      <t>o</t>
    </r>
    <r>
      <rPr>
        <sz val="10"/>
        <color theme="1"/>
        <rFont val="Times New Roman"/>
        <family val="1"/>
      </rPr>
      <t xml:space="preserve"> Totals have been rounded to 3 significant values. Figures may not add exactly due to rounding.</t>
    </r>
  </si>
  <si>
    <r>
      <t>p</t>
    </r>
    <r>
      <rPr>
        <sz val="10"/>
        <color theme="1"/>
        <rFont val="Times New Roman"/>
        <family val="1"/>
      </rPr>
      <t xml:space="preserve"> See Section 6(b)(iii) for details.</t>
    </r>
  </si>
  <si>
    <t>Table 1: Annual Respondent Burden and Cost – NESHAP for Refractory Products Manufacturing (40 CFR Part 63, Subpart SSSSS) (Amendments)</t>
  </si>
  <si>
    <t>Table 2: Average Annual EPA Burden and Cost – NESHAP for Refractory Products Manufacturing (40 CFR Part 63, Subpart SSSSS) (Amendments)</t>
  </si>
  <si>
    <r>
      <t xml:space="preserve">Notification of alternative fuel use </t>
    </r>
    <r>
      <rPr>
        <vertAlign val="superscript"/>
        <sz val="12"/>
        <color rgb="FF000000"/>
        <rFont val="Times New Roman"/>
        <family val="1"/>
      </rPr>
      <t>f</t>
    </r>
  </si>
  <si>
    <r>
      <t xml:space="preserve">TOTAL ANNUAL BURDEN AND COST (rounded) </t>
    </r>
    <r>
      <rPr>
        <b/>
        <vertAlign val="superscript"/>
        <sz val="10"/>
        <color rgb="FF000000"/>
        <rFont val="Times New Roman"/>
        <family val="1"/>
      </rPr>
      <t>g</t>
    </r>
  </si>
  <si>
    <t xml:space="preserve">Review performance test report </t>
  </si>
  <si>
    <r>
      <t>c</t>
    </r>
    <r>
      <rPr>
        <sz val="10"/>
        <color theme="1"/>
        <rFont val="Times New Roman"/>
        <family val="1"/>
      </rPr>
      <t xml:space="preserve"> We have assumed that three respondents will use alternative fuel once per year and will have to submit notification of intent to use alternative fuel.</t>
    </r>
  </si>
  <si>
    <r>
      <t>d</t>
    </r>
    <r>
      <rPr>
        <sz val="10"/>
        <color theme="1"/>
        <rFont val="Times New Roman"/>
        <family val="1"/>
      </rPr>
      <t xml:space="preserve"> We have assumed that two respondents will report deviations once a year.</t>
    </r>
  </si>
  <si>
    <r>
      <t>f</t>
    </r>
    <r>
      <rPr>
        <sz val="10"/>
        <color theme="1"/>
        <rFont val="Times New Roman"/>
        <family val="1"/>
      </rPr>
      <t xml:space="preserve"> We have assumed that three respondents will report on alternative fuel usage once a year.</t>
    </r>
  </si>
  <si>
    <r>
      <t>g</t>
    </r>
    <r>
      <rPr>
        <sz val="10"/>
        <color theme="1"/>
        <rFont val="Times New Roman"/>
        <family val="1"/>
      </rPr>
      <t xml:space="preserve"> Totals have been rounded to 3 significant values.  Figures may not add exactly due to rounding.</t>
    </r>
  </si>
  <si>
    <t>Respondent Burden and Cost for Performance Test, in the Year the Test is Performed – NESHAP for Refractory Products Manufacturing (40 CFR Part 63, Subpart SSSSS) (Amendments)</t>
  </si>
  <si>
    <r>
      <t xml:space="preserve">A.  Familiarization with the regulatory requirements </t>
    </r>
    <r>
      <rPr>
        <vertAlign val="superscript"/>
        <sz val="10"/>
        <rFont val="Times New Roman"/>
        <family val="1"/>
      </rPr>
      <t>c</t>
    </r>
    <r>
      <rPr>
        <sz val="10"/>
        <rFont val="Times New Roman"/>
        <family val="1"/>
      </rPr>
      <t xml:space="preserve"> </t>
    </r>
  </si>
  <si>
    <r>
      <t xml:space="preserve">Total Cost per year, $ </t>
    </r>
    <r>
      <rPr>
        <b/>
        <vertAlign val="superscript"/>
        <sz val="10"/>
        <color rgb="FF000000"/>
        <rFont val="Times New Roman"/>
        <family val="1"/>
      </rPr>
      <t>b</t>
    </r>
  </si>
  <si>
    <t>Request for approval to bypass the control device for maintenance</t>
  </si>
  <si>
    <t>Report review</t>
  </si>
  <si>
    <t>period of this ICR.</t>
  </si>
  <si>
    <r>
      <t>b</t>
    </r>
    <r>
      <rPr>
        <sz val="10"/>
        <color theme="1"/>
        <rFont val="Times New Roman"/>
        <family val="1"/>
      </rPr>
      <t xml:space="preserve"> This ICR uses the following labor rates: $148.81 per hour for Executive, Administrative, and Managerial labor; $121.88 per hour for Technical labor, and $60.69 per hour for Clerical labor. These rates are from</t>
    </r>
  </si>
  <si>
    <t>the United States Department of Labor, Bureau of Labor Statistics, June 2020, “Table 2: Civilian Workers, by Occupational and Industry group.” The rates are from column 1, “Total Compensation.” The</t>
  </si>
  <si>
    <t>rates have been increased by 110% to account for the benefit packages available to those employed by private industry.</t>
  </si>
  <si>
    <r>
      <t>i</t>
    </r>
    <r>
      <rPr>
        <sz val="10"/>
        <color theme="1"/>
        <rFont val="Times New Roman"/>
        <family val="1"/>
      </rPr>
      <t xml:space="preserve"> Facilities must request approval to bypass the control device for each instance of control device maintenance. The estimated number of requests per year is based on information from industry regarding the types</t>
    </r>
  </si>
  <si>
    <t>of scheduled routine maintenance.</t>
  </si>
  <si>
    <r>
      <t>a</t>
    </r>
    <r>
      <rPr>
        <sz val="10"/>
        <color theme="1"/>
        <rFont val="Times New Roman"/>
        <family val="1"/>
      </rPr>
      <t xml:space="preserve"> We have assumed that the average number of respondents that will be subject to the rule will be three. There will be no additional new source per year that will become subject to the rule over the 3-year</t>
    </r>
  </si>
  <si>
    <r>
      <t>a</t>
    </r>
    <r>
      <rPr>
        <sz val="10"/>
        <color theme="1"/>
        <rFont val="Times New Roman"/>
        <family val="1"/>
      </rPr>
      <t xml:space="preserve"> We have assumed that the average number of respondents that will be subject to the rule will be three. There will be no additional new source per year that will become subject to the rule over the</t>
    </r>
  </si>
  <si>
    <t>3-year period of this ICR.</t>
  </si>
  <si>
    <r>
      <t>b</t>
    </r>
    <r>
      <rPr>
        <sz val="10"/>
        <color theme="1"/>
        <rFont val="Times New Roman"/>
        <family val="1"/>
      </rPr>
      <t xml:space="preserve">  This cost is based on the following labor rates which incorporates a 1.6 benefits multiplication factor to account for government overhead expenses: Managerial rate of $66.35 (GS-13, Step 5,</t>
    </r>
  </si>
  <si>
    <t>$41.47 x 1.6), Technical rate of $50.72 (GS-12, Step 1, $31.70 x 1.6), and Clerical rate of $27.46 (GS-6, Step 3, $17.16 x 1.6). These rates are from the Office of Personnel Management (OPM)</t>
  </si>
  <si>
    <t>“2020 General Schedule” which excludes locality rates of pay.</t>
  </si>
  <si>
    <r>
      <t xml:space="preserve">n </t>
    </r>
    <r>
      <rPr>
        <sz val="10"/>
        <color theme="1"/>
        <rFont val="Times New Roman"/>
        <family val="1"/>
      </rPr>
      <t>We have assumed that it will take 0.25 hours for information to be transmitted or disclosed, and two semi-annual reports with at least one more report (e.g. notification of fuel change) will be submitted annually.</t>
    </r>
  </si>
  <si>
    <r>
      <t>e</t>
    </r>
    <r>
      <rPr>
        <sz val="10"/>
        <color theme="1"/>
        <rFont val="Times New Roman"/>
        <family val="1"/>
      </rPr>
      <t xml:space="preserve"> We have assumed that one respondent will report no deviations twice a year and that the other two respondents will report no deviations for one of the two semi-annual reports.</t>
    </r>
  </si>
  <si>
    <t>Semi-annual compliance reports</t>
  </si>
  <si>
    <r>
      <t xml:space="preserve">Quarterly Appendix F audits of CEMS (THC) </t>
    </r>
    <r>
      <rPr>
        <vertAlign val="superscript"/>
        <sz val="10"/>
        <rFont val="Times New Roman"/>
        <family val="1"/>
      </rPr>
      <t>g</t>
    </r>
  </si>
  <si>
    <r>
      <t>e</t>
    </r>
    <r>
      <rPr>
        <sz val="10"/>
        <color theme="1"/>
        <rFont val="Times New Roman"/>
        <family val="1"/>
      </rPr>
      <t xml:space="preserve"> The person-hours per response account for tests on both continuous and batch sources. Tests for continuous sources may be shorter than average and tests for batch sources may be longer than average.</t>
    </r>
  </si>
  <si>
    <t>In addition, we have assumed that the respondents per year is 0.8 for performance testing since there are effectively 4 separate sets of tests that would have to be done every 5 years across the three facilities.</t>
  </si>
  <si>
    <t>We have also assumed that one test will need to be redone each five years, or 0.2 respondents per year.</t>
  </si>
  <si>
    <t>Responses not included in Table 1:</t>
  </si>
  <si>
    <r>
      <t>Records of all information required by standards</t>
    </r>
    <r>
      <rPr>
        <vertAlign val="superscript"/>
        <sz val="10"/>
        <color rgb="FF000000"/>
        <rFont val="Times New Roman"/>
        <family val="1"/>
      </rPr>
      <t xml:space="preserve"> m</t>
    </r>
  </si>
  <si>
    <r>
      <t xml:space="preserve">G. Time to transmit or disclose information </t>
    </r>
    <r>
      <rPr>
        <vertAlign val="superscript"/>
        <sz val="10"/>
        <color rgb="FF000000"/>
        <rFont val="Times New Roman"/>
        <family val="1"/>
      </rPr>
      <t>n</t>
    </r>
  </si>
  <si>
    <r>
      <t xml:space="preserve">TOTAL ANNUAL BURDEN AND COSTS (rounded): </t>
    </r>
    <r>
      <rPr>
        <b/>
        <vertAlign val="superscript"/>
        <sz val="10"/>
        <rFont val="Times New Roman"/>
        <family val="1"/>
      </rPr>
      <t>o</t>
    </r>
  </si>
  <si>
    <r>
      <t xml:space="preserve">TOTAL CAPITAL/O&amp;M COST (rounded): </t>
    </r>
    <r>
      <rPr>
        <b/>
        <vertAlign val="superscript"/>
        <sz val="10"/>
        <rFont val="Times New Roman"/>
        <family val="1"/>
      </rPr>
      <t>o</t>
    </r>
  </si>
  <si>
    <r>
      <t xml:space="preserve">GRAND TOTAL (rounded): </t>
    </r>
    <r>
      <rPr>
        <b/>
        <vertAlign val="superscript"/>
        <sz val="10"/>
        <rFont val="Times New Roman"/>
        <family val="1"/>
      </rPr>
      <t>o</t>
    </r>
  </si>
  <si>
    <t>Total responses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</si>
</sst>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26"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rgb="FF000000"/>
      <name val="Times New Roman"/>
      <family val="1"/>
    </font>
    <font>
      <vertAlign val="superscript"/>
      <sz val="10"/>
      <color rgb="FF000000"/>
      <name val="Times New Roman"/>
      <family val="1"/>
    </font>
    <font>
      <b/>
      <sz val="10"/>
      <color theme="1"/>
      <name val="Times New Roman"/>
      <family val="1"/>
    </font>
    <font>
      <sz val="10"/>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i/>
      <sz val="10"/>
      <color theme="1"/>
      <name val="Times New Roman"/>
      <family val="1"/>
    </font>
    <font>
      <b/>
      <i/>
      <sz val="11"/>
      <color theme="1"/>
      <name val="Calibri"/>
      <family val="2"/>
      <scheme val="minor"/>
    </font>
    <font>
      <b/>
      <sz val="11"/>
      <name val="Calibri"/>
      <family val="2"/>
      <scheme val="minor"/>
    </font>
    <font>
      <b/>
      <sz val="10"/>
      <name val="Times New Roman"/>
      <family val="1"/>
    </font>
    <font>
      <b/>
      <sz val="12"/>
      <name val="Times New Roman"/>
      <family val="1"/>
    </font>
    <font>
      <sz val="11"/>
      <color rgb="FFFF0000"/>
      <name val="Calibri"/>
      <family val="2"/>
      <scheme val="minor"/>
    </font>
    <font>
      <strike/>
      <sz val="10"/>
      <color rgb="FFFF0000"/>
      <name val="Times New Roman"/>
      <family val="1"/>
    </font>
    <font>
      <sz val="10"/>
      <name val="Times New Roman"/>
      <family val="1"/>
    </font>
    <font>
      <sz val="11"/>
      <name val="Calibri"/>
      <family val="2"/>
      <scheme val="minor"/>
    </font>
    <font>
      <vertAlign val="superscript"/>
      <sz val="10"/>
      <name val="Times New Roman"/>
      <family val="1"/>
    </font>
    <font>
      <sz val="10"/>
      <color rgb="FFFF0000"/>
      <name val="Times New Roman"/>
      <family val="1"/>
    </font>
    <font>
      <vertAlign val="superscript"/>
      <sz val="10"/>
      <color theme="1"/>
      <name val="Times New Roman"/>
      <family val="1"/>
    </font>
    <font>
      <b/>
      <vertAlign val="superscript"/>
      <sz val="10"/>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0" fillId="0" borderId="0" xfId="0" applyAlignment="1">
      <alignment wrapText="1"/>
    </xf>
    <xf numFmtId="0" fontId="3" fillId="0" borderId="1" xfId="0" applyFont="1" applyBorder="1" applyAlignment="1">
      <alignment horizontal="left"/>
    </xf>
    <xf numFmtId="0" fontId="3" fillId="0" borderId="1" xfId="0" applyFont="1" applyBorder="1" applyAlignment="1">
      <alignment horizontal="center" wrapText="1"/>
    </xf>
    <xf numFmtId="6" fontId="3" fillId="0" borderId="1" xfId="0" applyNumberFormat="1" applyFont="1" applyBorder="1" applyAlignment="1">
      <alignment horizontal="right" wrapText="1"/>
    </xf>
    <xf numFmtId="0" fontId="1" fillId="0" borderId="1" xfId="0" applyFont="1" applyBorder="1" applyAlignment="1">
      <alignment horizontal="left"/>
    </xf>
    <xf numFmtId="0" fontId="3" fillId="0" borderId="1" xfId="0" applyFont="1" applyBorder="1" applyAlignment="1">
      <alignment horizontal="center"/>
    </xf>
    <xf numFmtId="6" fontId="3" fillId="0" borderId="1" xfId="0" applyNumberFormat="1" applyFont="1" applyBorder="1" applyAlignment="1">
      <alignment horizontal="right"/>
    </xf>
    <xf numFmtId="0" fontId="0" fillId="0" borderId="1" xfId="0" applyBorder="1" applyAlignment="1"/>
    <xf numFmtId="0" fontId="3" fillId="0" borderId="1" xfId="0" applyFont="1" applyBorder="1" applyAlignment="1">
      <alignment horizontal="right"/>
    </xf>
    <xf numFmtId="6" fontId="1" fillId="0" borderId="1" xfId="0" applyNumberFormat="1" applyFont="1" applyBorder="1" applyAlignment="1">
      <alignment horizontal="right"/>
    </xf>
    <xf numFmtId="0" fontId="1" fillId="0" borderId="2" xfId="0" applyFont="1" applyBorder="1" applyAlignment="1"/>
    <xf numFmtId="0" fontId="1" fillId="0" borderId="3" xfId="0" applyFont="1" applyBorder="1" applyAlignment="1">
      <alignment wrapText="1"/>
    </xf>
    <xf numFmtId="0" fontId="8" fillId="0" borderId="0" xfId="0" applyFont="1"/>
    <xf numFmtId="164" fontId="3" fillId="0" borderId="1" xfId="0" applyNumberFormat="1" applyFont="1" applyBorder="1" applyAlignment="1">
      <alignment horizontal="right" wrapText="1"/>
    </xf>
    <xf numFmtId="0" fontId="12" fillId="0" borderId="1" xfId="0" applyFont="1" applyBorder="1" applyAlignment="1">
      <alignment horizontal="left"/>
    </xf>
    <xf numFmtId="0" fontId="14" fillId="0" borderId="1" xfId="0" applyFont="1" applyBorder="1" applyAlignment="1">
      <alignment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xf numFmtId="1" fontId="0" fillId="0" borderId="0" xfId="0" applyNumberFormat="1"/>
    <xf numFmtId="0" fontId="1" fillId="0" borderId="2" xfId="0" applyFont="1" applyBorder="1" applyAlignment="1">
      <alignment wrapText="1"/>
    </xf>
    <xf numFmtId="0" fontId="1" fillId="0" borderId="2" xfId="0" applyFont="1" applyBorder="1" applyAlignment="1">
      <alignment horizontal="center" wrapText="1"/>
    </xf>
    <xf numFmtId="0" fontId="1" fillId="0" borderId="3" xfId="0" applyFont="1" applyBorder="1" applyAlignment="1">
      <alignment horizontal="center" vertical="center" wrapText="1"/>
    </xf>
    <xf numFmtId="0" fontId="1" fillId="0" borderId="2" xfId="0" applyFont="1" applyBorder="1" applyAlignment="1">
      <alignment horizontal="center"/>
    </xf>
    <xf numFmtId="0" fontId="8" fillId="0" borderId="0" xfId="0" applyFont="1" applyBorder="1"/>
    <xf numFmtId="0" fontId="9" fillId="0" borderId="0" xfId="0" applyFont="1" applyBorder="1" applyAlignment="1">
      <alignment horizontal="left" indent="5"/>
    </xf>
    <xf numFmtId="0" fontId="10" fillId="0" borderId="0" xfId="0" applyFont="1" applyBorder="1"/>
    <xf numFmtId="0" fontId="11" fillId="0" borderId="0" xfId="0" applyFont="1" applyBorder="1"/>
    <xf numFmtId="0" fontId="18" fillId="0" borderId="0" xfId="0" applyFont="1"/>
    <xf numFmtId="0" fontId="20" fillId="0" borderId="1" xfId="0" applyFont="1" applyBorder="1" applyAlignment="1">
      <alignment horizontal="left"/>
    </xf>
    <xf numFmtId="0" fontId="20" fillId="0" borderId="1" xfId="0" applyFont="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wrapText="1"/>
    </xf>
    <xf numFmtId="0" fontId="20" fillId="0" borderId="1" xfId="0" applyFont="1" applyBorder="1" applyAlignment="1">
      <alignment horizontal="right" wrapText="1"/>
    </xf>
    <xf numFmtId="0" fontId="20" fillId="0" borderId="1" xfId="0" applyFont="1" applyBorder="1" applyAlignment="1">
      <alignment horizontal="center" vertical="center" wrapText="1"/>
    </xf>
    <xf numFmtId="0" fontId="20" fillId="0" borderId="1" xfId="0" applyFont="1" applyBorder="1" applyAlignment="1">
      <alignment horizontal="left" indent="2"/>
    </xf>
    <xf numFmtId="6" fontId="20" fillId="0" borderId="1" xfId="0" applyNumberFormat="1" applyFont="1" applyBorder="1" applyAlignment="1">
      <alignment horizontal="right" wrapText="1"/>
    </xf>
    <xf numFmtId="0" fontId="20" fillId="0" borderId="1" xfId="0" applyFont="1" applyFill="1" applyBorder="1" applyAlignment="1">
      <alignment horizontal="center" vertical="center" wrapText="1"/>
    </xf>
    <xf numFmtId="2" fontId="0" fillId="0" borderId="0" xfId="0" applyNumberFormat="1"/>
    <xf numFmtId="0" fontId="7" fillId="0" borderId="0" xfId="0" applyFont="1"/>
    <xf numFmtId="0" fontId="23" fillId="0" borderId="0" xfId="0" applyFont="1" applyBorder="1"/>
    <xf numFmtId="0" fontId="3" fillId="0" borderId="1" xfId="0" applyFont="1" applyBorder="1" applyAlignment="1">
      <alignment horizontal="left" indent="2"/>
    </xf>
    <xf numFmtId="0" fontId="0" fillId="0" borderId="1" xfId="0" applyBorder="1"/>
    <xf numFmtId="165" fontId="13" fillId="2" borderId="1" xfId="0" applyNumberFormat="1" applyFont="1" applyFill="1" applyBorder="1" applyAlignment="1">
      <alignment wrapText="1"/>
    </xf>
    <xf numFmtId="0" fontId="9" fillId="0" borderId="0" xfId="0" applyFont="1" applyAlignment="1">
      <alignment horizontal="left" indent="5"/>
    </xf>
    <xf numFmtId="0" fontId="10" fillId="0" borderId="0" xfId="0" applyFont="1"/>
    <xf numFmtId="0" fontId="11" fillId="0" borderId="0" xfId="0" applyFont="1"/>
    <xf numFmtId="0" fontId="24" fillId="0" borderId="0" xfId="0" applyFont="1" applyAlignment="1">
      <alignment wrapText="1"/>
    </xf>
    <xf numFmtId="0" fontId="20" fillId="0" borderId="1" xfId="0"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1" xfId="0" applyFont="1" applyBorder="1" applyAlignment="1">
      <alignment horizontal="right"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right" vertical="center" wrapText="1"/>
    </xf>
    <xf numFmtId="6" fontId="20"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3" fillId="0" borderId="6" xfId="0" applyFont="1" applyBorder="1" applyAlignment="1">
      <alignment horizontal="center" vertical="center" wrapText="1"/>
    </xf>
    <xf numFmtId="165" fontId="3" fillId="0" borderId="1" xfId="0" applyNumberFormat="1" applyFont="1" applyBorder="1" applyAlignment="1">
      <alignment horizontal="right" vertical="center" wrapText="1"/>
    </xf>
    <xf numFmtId="0" fontId="20" fillId="0" borderId="6" xfId="0" applyFont="1" applyBorder="1" applyAlignment="1">
      <alignment horizontal="center" vertical="center" wrapText="1"/>
    </xf>
    <xf numFmtId="0" fontId="14" fillId="0" borderId="1" xfId="0" applyFont="1" applyBorder="1" applyAlignment="1">
      <alignment vertical="center" wrapText="1"/>
    </xf>
    <xf numFmtId="165" fontId="13" fillId="0" borderId="1" xfId="0" applyNumberFormat="1" applyFont="1" applyBorder="1" applyAlignment="1">
      <alignment vertical="center" wrapText="1"/>
    </xf>
    <xf numFmtId="0" fontId="0" fillId="0" borderId="1" xfId="0" applyFill="1" applyBorder="1" applyAlignment="1">
      <alignment vertical="center" wrapText="1"/>
    </xf>
    <xf numFmtId="164" fontId="3" fillId="0" borderId="1" xfId="0" applyNumberFormat="1" applyFont="1" applyFill="1" applyBorder="1" applyAlignment="1">
      <alignment horizontal="right" vertical="center" wrapText="1"/>
    </xf>
    <xf numFmtId="0" fontId="19" fillId="0" borderId="1" xfId="0"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0" fontId="0" fillId="0" borderId="1" xfId="0" applyBorder="1" applyAlignment="1">
      <alignment vertical="center" wrapText="1"/>
    </xf>
    <xf numFmtId="164"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13" fillId="0" borderId="6" xfId="0" applyFont="1" applyBorder="1" applyAlignment="1">
      <alignment vertical="center" wrapText="1"/>
    </xf>
    <xf numFmtId="0" fontId="13" fillId="0" borderId="1" xfId="0" applyFont="1" applyBorder="1" applyAlignment="1">
      <alignment vertical="center" wrapText="1"/>
    </xf>
    <xf numFmtId="0" fontId="0" fillId="0" borderId="6" xfId="0" applyBorder="1" applyAlignment="1">
      <alignment vertical="center" wrapText="1"/>
    </xf>
    <xf numFmtId="165" fontId="1" fillId="0" borderId="1" xfId="0" applyNumberFormat="1" applyFont="1" applyBorder="1" applyAlignment="1">
      <alignment horizontal="right" vertical="center" wrapText="1"/>
    </xf>
    <xf numFmtId="0" fontId="0" fillId="0" borderId="5" xfId="0" applyBorder="1" applyAlignment="1">
      <alignment vertical="center" wrapText="1"/>
    </xf>
    <xf numFmtId="0" fontId="15" fillId="0" borderId="5" xfId="0" applyFont="1" applyBorder="1" applyAlignment="1">
      <alignment vertical="center"/>
    </xf>
    <xf numFmtId="0" fontId="15" fillId="0" borderId="6" xfId="0" applyFont="1" applyBorder="1" applyAlignment="1">
      <alignment vertical="center"/>
    </xf>
    <xf numFmtId="165" fontId="20" fillId="0" borderId="1" xfId="0" applyNumberFormat="1" applyFont="1" applyBorder="1" applyAlignment="1">
      <alignment vertical="center"/>
    </xf>
    <xf numFmtId="165" fontId="16" fillId="0" borderId="1" xfId="0" applyNumberFormat="1" applyFont="1" applyBorder="1" applyAlignment="1">
      <alignment vertical="center"/>
    </xf>
    <xf numFmtId="0" fontId="6" fillId="0" borderId="0" xfId="0" applyFont="1" applyAlignment="1">
      <alignment vertical="top"/>
    </xf>
    <xf numFmtId="0" fontId="24" fillId="0" borderId="0" xfId="0" applyFont="1" applyAlignment="1">
      <alignment horizontal="left" vertical="top"/>
    </xf>
    <xf numFmtId="0" fontId="7" fillId="0" borderId="0" xfId="0" applyFont="1" applyAlignment="1">
      <alignment vertical="top"/>
    </xf>
    <xf numFmtId="0" fontId="23" fillId="0" borderId="0" xfId="0" applyFont="1" applyAlignment="1">
      <alignment vertical="top"/>
    </xf>
    <xf numFmtId="15" fontId="7" fillId="0" borderId="0" xfId="0" applyNumberFormat="1" applyFont="1" applyAlignment="1">
      <alignment vertical="top"/>
    </xf>
    <xf numFmtId="0" fontId="7" fillId="0" borderId="0" xfId="0" applyFont="1" applyAlignment="1">
      <alignment horizontal="left" vertical="top" indent="2"/>
    </xf>
    <xf numFmtId="0" fontId="20" fillId="0" borderId="1" xfId="0" applyFont="1" applyBorder="1" applyAlignment="1">
      <alignment horizontal="left" wrapText="1" indent="2"/>
    </xf>
    <xf numFmtId="0" fontId="20" fillId="0" borderId="1" xfId="0" applyFont="1" applyBorder="1" applyAlignment="1">
      <alignment horizontal="left" wrapText="1"/>
    </xf>
    <xf numFmtId="0" fontId="7" fillId="0" borderId="1" xfId="0" applyFont="1" applyBorder="1" applyAlignment="1">
      <alignment horizontal="left" indent="2"/>
    </xf>
    <xf numFmtId="0" fontId="3" fillId="0" borderId="1" xfId="0" applyFont="1" applyFill="1" applyBorder="1" applyAlignment="1">
      <alignment horizontal="left"/>
    </xf>
    <xf numFmtId="0" fontId="16" fillId="0" borderId="1" xfId="0" applyFont="1" applyBorder="1" applyAlignment="1"/>
    <xf numFmtId="0" fontId="20" fillId="0" borderId="4" xfId="0" applyFont="1" applyBorder="1" applyAlignment="1"/>
    <xf numFmtId="0" fontId="16" fillId="0" borderId="4" xfId="0" applyFont="1" applyBorder="1" applyAlignment="1"/>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 fillId="0" borderId="4" xfId="0" applyNumberFormat="1" applyFont="1" applyBorder="1" applyAlignment="1">
      <alignment horizontal="center"/>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1" fontId="12" fillId="0" borderId="4" xfId="0" applyNumberFormat="1" applyFont="1" applyBorder="1" applyAlignment="1">
      <alignment horizontal="center" wrapText="1"/>
    </xf>
    <xf numFmtId="1" fontId="12" fillId="0" borderId="5" xfId="0" applyNumberFormat="1" applyFont="1" applyBorder="1" applyAlignment="1">
      <alignment horizontal="center" wrapText="1"/>
    </xf>
    <xf numFmtId="1" fontId="12" fillId="0" borderId="6" xfId="0" applyNumberFormat="1"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4"/>
  <sheetViews>
    <sheetView tabSelected="1" zoomScaleNormal="100" workbookViewId="0">
      <selection activeCell="A3" sqref="A3"/>
    </sheetView>
  </sheetViews>
  <sheetFormatPr defaultRowHeight="14.5" x14ac:dyDescent="0.35"/>
  <cols>
    <col min="1" max="1" width="52.7265625" customWidth="1"/>
    <col min="2" max="8" width="12.54296875" customWidth="1"/>
    <col min="9" max="9" width="10.81640625" customWidth="1"/>
    <col min="10" max="10" width="6.7265625" customWidth="1"/>
  </cols>
  <sheetData>
    <row r="1" spans="1:14" ht="15.5" x14ac:dyDescent="0.35">
      <c r="A1" s="19" t="s">
        <v>93</v>
      </c>
    </row>
    <row r="2" spans="1:14" x14ac:dyDescent="0.35">
      <c r="J2" s="39">
        <f>58.04*2.1</f>
        <v>121.884</v>
      </c>
      <c r="K2" s="39">
        <f>70.86*2.1</f>
        <v>148.80600000000001</v>
      </c>
      <c r="L2">
        <f>28.9*2.1</f>
        <v>60.69</v>
      </c>
    </row>
    <row r="3" spans="1:14" s="1" customFormat="1" ht="15.5" x14ac:dyDescent="0.35">
      <c r="A3" s="21" t="s">
        <v>0</v>
      </c>
      <c r="B3" s="22" t="s">
        <v>1</v>
      </c>
      <c r="C3" s="22" t="s">
        <v>3</v>
      </c>
      <c r="D3" s="22" t="s">
        <v>5</v>
      </c>
      <c r="E3" s="22" t="s">
        <v>7</v>
      </c>
      <c r="F3" s="22" t="s">
        <v>9</v>
      </c>
      <c r="G3" s="22" t="s">
        <v>11</v>
      </c>
      <c r="H3" s="22" t="s">
        <v>12</v>
      </c>
      <c r="I3" s="22" t="s">
        <v>13</v>
      </c>
      <c r="N3" s="13"/>
    </row>
    <row r="4" spans="1:14" s="1" customFormat="1" ht="52" x14ac:dyDescent="0.35">
      <c r="A4" s="12"/>
      <c r="B4" s="23" t="s">
        <v>2</v>
      </c>
      <c r="C4" s="23" t="s">
        <v>4</v>
      </c>
      <c r="D4" s="23" t="s">
        <v>6</v>
      </c>
      <c r="E4" s="23" t="s">
        <v>8</v>
      </c>
      <c r="F4" s="23" t="s">
        <v>10</v>
      </c>
      <c r="G4" s="23" t="s">
        <v>44</v>
      </c>
      <c r="H4" s="23" t="s">
        <v>45</v>
      </c>
      <c r="I4" s="23" t="s">
        <v>104</v>
      </c>
      <c r="N4" s="13"/>
    </row>
    <row r="5" spans="1:14" ht="15.75" customHeight="1" x14ac:dyDescent="0.35">
      <c r="A5" s="30" t="s">
        <v>15</v>
      </c>
      <c r="B5" s="35" t="s">
        <v>16</v>
      </c>
      <c r="C5" s="50"/>
      <c r="D5" s="51"/>
      <c r="E5" s="51"/>
      <c r="F5" s="51"/>
      <c r="G5" s="51"/>
      <c r="H5" s="51"/>
      <c r="I5" s="52"/>
      <c r="N5" s="13"/>
    </row>
    <row r="6" spans="1:14" ht="15.75" customHeight="1" x14ac:dyDescent="0.35">
      <c r="A6" s="30" t="s">
        <v>17</v>
      </c>
      <c r="B6" s="35" t="s">
        <v>16</v>
      </c>
      <c r="C6" s="50"/>
      <c r="D6" s="51"/>
      <c r="E6" s="51"/>
      <c r="F6" s="51"/>
      <c r="G6" s="51"/>
      <c r="H6" s="51"/>
      <c r="I6" s="52"/>
      <c r="N6" s="25"/>
    </row>
    <row r="7" spans="1:14" ht="15.75" customHeight="1" x14ac:dyDescent="0.35">
      <c r="A7" s="30" t="s">
        <v>18</v>
      </c>
      <c r="B7" s="53"/>
      <c r="C7" s="54"/>
      <c r="D7" s="53"/>
      <c r="E7" s="53"/>
      <c r="F7" s="53"/>
      <c r="G7" s="53"/>
      <c r="H7" s="53"/>
      <c r="I7" s="55"/>
      <c r="N7" s="26"/>
    </row>
    <row r="8" spans="1:14" ht="15.75" customHeight="1" x14ac:dyDescent="0.35">
      <c r="A8" s="49" t="s">
        <v>103</v>
      </c>
      <c r="B8" s="35">
        <v>2</v>
      </c>
      <c r="C8" s="35">
        <v>1</v>
      </c>
      <c r="D8" s="35">
        <f>B8*C8</f>
        <v>2</v>
      </c>
      <c r="E8" s="35">
        <v>3</v>
      </c>
      <c r="F8" s="35">
        <f>D8*E8</f>
        <v>6</v>
      </c>
      <c r="G8" s="35">
        <f>F8*0.05</f>
        <v>0.30000000000000004</v>
      </c>
      <c r="H8" s="35">
        <f>F8*0.1</f>
        <v>0.60000000000000009</v>
      </c>
      <c r="I8" s="56">
        <f>F8*J$2+G8*K$2+H8*L$2</f>
        <v>812.35979999999995</v>
      </c>
      <c r="N8" s="26"/>
    </row>
    <row r="9" spans="1:14" ht="15.75" customHeight="1" x14ac:dyDescent="0.35">
      <c r="A9" s="30" t="s">
        <v>19</v>
      </c>
      <c r="B9" s="53"/>
      <c r="C9" s="53"/>
      <c r="D9" s="53"/>
      <c r="E9" s="38"/>
      <c r="F9" s="53"/>
      <c r="G9" s="53"/>
      <c r="H9" s="53"/>
      <c r="I9" s="55"/>
      <c r="N9" s="25"/>
    </row>
    <row r="10" spans="1:14" ht="15.75" customHeight="1" x14ac:dyDescent="0.35">
      <c r="A10" s="36" t="s">
        <v>66</v>
      </c>
      <c r="B10" s="35">
        <v>32</v>
      </c>
      <c r="C10" s="35">
        <v>1</v>
      </c>
      <c r="D10" s="35">
        <f t="shared" ref="D10:D19" si="0">B10*C10</f>
        <v>32</v>
      </c>
      <c r="E10" s="35">
        <v>0</v>
      </c>
      <c r="F10" s="35">
        <f t="shared" ref="F10:F11" si="1">D10*E10</f>
        <v>0</v>
      </c>
      <c r="G10" s="35">
        <f t="shared" ref="G10:G11" si="2">F10*0.05</f>
        <v>0</v>
      </c>
      <c r="H10" s="35">
        <f t="shared" ref="H10:H11" si="3">F10*0.1</f>
        <v>0</v>
      </c>
      <c r="I10" s="56">
        <f t="shared" ref="I10:I15" si="4">F10*J$2+G10*K$2+H10*L$2</f>
        <v>0</v>
      </c>
      <c r="N10" s="25"/>
    </row>
    <row r="11" spans="1:14" s="40" customFormat="1" ht="15.75" customHeight="1" x14ac:dyDescent="0.3">
      <c r="A11" s="36" t="s">
        <v>67</v>
      </c>
      <c r="B11" s="35">
        <v>4</v>
      </c>
      <c r="C11" s="35">
        <v>1</v>
      </c>
      <c r="D11" s="35">
        <f t="shared" si="0"/>
        <v>4</v>
      </c>
      <c r="E11" s="35">
        <v>1</v>
      </c>
      <c r="F11" s="35">
        <f t="shared" si="1"/>
        <v>4</v>
      </c>
      <c r="G11" s="35">
        <f t="shared" si="2"/>
        <v>0.2</v>
      </c>
      <c r="H11" s="35">
        <f t="shared" si="3"/>
        <v>0.4</v>
      </c>
      <c r="I11" s="56">
        <f t="shared" si="4"/>
        <v>541.57319999999993</v>
      </c>
      <c r="N11" s="41"/>
    </row>
    <row r="12" spans="1:14" s="40" customFormat="1" ht="15.75" customHeight="1" x14ac:dyDescent="0.35">
      <c r="A12" s="36" t="s">
        <v>68</v>
      </c>
      <c r="B12" s="35">
        <v>48</v>
      </c>
      <c r="C12" s="35">
        <v>1</v>
      </c>
      <c r="D12" s="35">
        <f t="shared" si="0"/>
        <v>48</v>
      </c>
      <c r="E12" s="35">
        <f>4/5</f>
        <v>0.8</v>
      </c>
      <c r="F12" s="35">
        <f t="shared" ref="F12:F13" si="5">D12*E12</f>
        <v>38.400000000000006</v>
      </c>
      <c r="G12" s="35">
        <f t="shared" ref="G12:G13" si="6">F12*0.05</f>
        <v>1.9200000000000004</v>
      </c>
      <c r="H12" s="35">
        <f t="shared" ref="H12:H13" si="7">F12*0.1</f>
        <v>3.8400000000000007</v>
      </c>
      <c r="I12" s="56">
        <f t="shared" si="4"/>
        <v>5199.1027200000008</v>
      </c>
      <c r="J12" s="29"/>
      <c r="N12" s="41"/>
    </row>
    <row r="13" spans="1:14" s="40" customFormat="1" ht="15.75" customHeight="1" x14ac:dyDescent="0.3">
      <c r="A13" s="36" t="s">
        <v>69</v>
      </c>
      <c r="B13" s="35">
        <v>24</v>
      </c>
      <c r="C13" s="35">
        <v>1</v>
      </c>
      <c r="D13" s="35">
        <f t="shared" si="0"/>
        <v>24</v>
      </c>
      <c r="E13" s="35">
        <f>1/5</f>
        <v>0.2</v>
      </c>
      <c r="F13" s="35">
        <f t="shared" si="5"/>
        <v>4.8000000000000007</v>
      </c>
      <c r="G13" s="35">
        <f t="shared" si="6"/>
        <v>0.24000000000000005</v>
      </c>
      <c r="H13" s="35">
        <f t="shared" si="7"/>
        <v>0.48000000000000009</v>
      </c>
      <c r="I13" s="56">
        <f t="shared" si="4"/>
        <v>649.8878400000001</v>
      </c>
      <c r="N13" s="41"/>
    </row>
    <row r="14" spans="1:14" ht="15.75" customHeight="1" x14ac:dyDescent="0.35">
      <c r="A14" s="36" t="s">
        <v>70</v>
      </c>
      <c r="B14" s="35">
        <v>12</v>
      </c>
      <c r="C14" s="35">
        <v>1</v>
      </c>
      <c r="D14" s="35">
        <f t="shared" si="0"/>
        <v>12</v>
      </c>
      <c r="E14" s="35">
        <v>0</v>
      </c>
      <c r="F14" s="35">
        <f t="shared" ref="F14:F15" si="8">D14*E14</f>
        <v>0</v>
      </c>
      <c r="G14" s="35">
        <f t="shared" ref="G14:G15" si="9">F14*0.05</f>
        <v>0</v>
      </c>
      <c r="H14" s="35">
        <f t="shared" ref="H14:H15" si="10">F14*0.1</f>
        <v>0</v>
      </c>
      <c r="I14" s="56">
        <f t="shared" si="4"/>
        <v>0</v>
      </c>
      <c r="N14" s="27"/>
    </row>
    <row r="15" spans="1:14" ht="15.75" customHeight="1" x14ac:dyDescent="0.35">
      <c r="A15" s="36" t="s">
        <v>71</v>
      </c>
      <c r="B15" s="35">
        <v>229</v>
      </c>
      <c r="C15" s="35">
        <v>1</v>
      </c>
      <c r="D15" s="35">
        <f t="shared" si="0"/>
        <v>229</v>
      </c>
      <c r="E15" s="35">
        <v>0</v>
      </c>
      <c r="F15" s="35">
        <f t="shared" si="8"/>
        <v>0</v>
      </c>
      <c r="G15" s="35">
        <f t="shared" si="9"/>
        <v>0</v>
      </c>
      <c r="H15" s="35">
        <f t="shared" si="10"/>
        <v>0</v>
      </c>
      <c r="I15" s="56">
        <f t="shared" si="4"/>
        <v>0</v>
      </c>
      <c r="J15" s="29" t="s">
        <v>63</v>
      </c>
      <c r="N15" s="27"/>
    </row>
    <row r="16" spans="1:14" ht="15.75" customHeight="1" x14ac:dyDescent="0.35">
      <c r="A16" s="85" t="s">
        <v>122</v>
      </c>
      <c r="B16" s="35"/>
      <c r="C16" s="35"/>
      <c r="D16" s="35"/>
      <c r="E16" s="35"/>
      <c r="F16" s="35"/>
      <c r="G16" s="35"/>
      <c r="H16" s="35"/>
      <c r="I16" s="56"/>
      <c r="N16" s="27"/>
    </row>
    <row r="17" spans="1:14" ht="15.75" customHeight="1" x14ac:dyDescent="0.35">
      <c r="A17" s="86" t="s">
        <v>58</v>
      </c>
      <c r="B17" s="35">
        <v>4</v>
      </c>
      <c r="C17" s="35">
        <v>1</v>
      </c>
      <c r="D17" s="35">
        <f t="shared" si="0"/>
        <v>4</v>
      </c>
      <c r="E17" s="35">
        <v>0</v>
      </c>
      <c r="F17" s="35">
        <f t="shared" ref="F17:F19" si="11">D17*E17</f>
        <v>0</v>
      </c>
      <c r="G17" s="35">
        <f t="shared" ref="G17:G19" si="12">F17*0.05</f>
        <v>0</v>
      </c>
      <c r="H17" s="35">
        <f t="shared" ref="H17:H19" si="13">F17*0.1</f>
        <v>0</v>
      </c>
      <c r="I17" s="56">
        <f>F17*J$2+G17*K$2+H17*L$2</f>
        <v>0</v>
      </c>
      <c r="J17" s="29" t="s">
        <v>64</v>
      </c>
      <c r="N17" s="27"/>
    </row>
    <row r="18" spans="1:14" ht="15.75" customHeight="1" x14ac:dyDescent="0.35">
      <c r="A18" s="86" t="s">
        <v>59</v>
      </c>
      <c r="B18" s="35">
        <v>4</v>
      </c>
      <c r="C18" s="35">
        <v>3</v>
      </c>
      <c r="D18" s="35">
        <f t="shared" si="0"/>
        <v>12</v>
      </c>
      <c r="E18" s="35">
        <v>0</v>
      </c>
      <c r="F18" s="35">
        <f t="shared" si="11"/>
        <v>0</v>
      </c>
      <c r="G18" s="35">
        <f t="shared" si="12"/>
        <v>0</v>
      </c>
      <c r="H18" s="35">
        <f t="shared" si="13"/>
        <v>0</v>
      </c>
      <c r="I18" s="56">
        <f>F18*J$2+G18*K$2+H18*L$2</f>
        <v>0</v>
      </c>
      <c r="N18" s="27"/>
    </row>
    <row r="19" spans="1:14" ht="15.75" customHeight="1" x14ac:dyDescent="0.35">
      <c r="A19" s="86" t="s">
        <v>60</v>
      </c>
      <c r="B19" s="35">
        <v>1</v>
      </c>
      <c r="C19" s="35">
        <v>365</v>
      </c>
      <c r="D19" s="35">
        <f t="shared" si="0"/>
        <v>365</v>
      </c>
      <c r="E19" s="35">
        <v>0</v>
      </c>
      <c r="F19" s="35">
        <f t="shared" si="11"/>
        <v>0</v>
      </c>
      <c r="G19" s="35">
        <f t="shared" si="12"/>
        <v>0</v>
      </c>
      <c r="H19" s="35">
        <f t="shared" si="13"/>
        <v>0</v>
      </c>
      <c r="I19" s="56">
        <f>F19*J$2+G19*K$2+H19*L$2</f>
        <v>0</v>
      </c>
      <c r="N19" s="27"/>
    </row>
    <row r="20" spans="1:14" ht="15.75" customHeight="1" x14ac:dyDescent="0.35">
      <c r="A20" s="30" t="s">
        <v>20</v>
      </c>
      <c r="B20" s="35" t="s">
        <v>21</v>
      </c>
      <c r="C20" s="51"/>
      <c r="D20" s="51"/>
      <c r="E20" s="35"/>
      <c r="F20" s="51"/>
      <c r="G20" s="51"/>
      <c r="H20" s="51"/>
      <c r="I20" s="52"/>
      <c r="N20" s="28"/>
    </row>
    <row r="21" spans="1:14" ht="15.75" customHeight="1" x14ac:dyDescent="0.35">
      <c r="A21" s="30" t="s">
        <v>22</v>
      </c>
      <c r="B21" s="35" t="s">
        <v>21</v>
      </c>
      <c r="C21" s="51"/>
      <c r="D21" s="51"/>
      <c r="E21" s="35"/>
      <c r="F21" s="51"/>
      <c r="G21" s="51"/>
      <c r="H21" s="51"/>
      <c r="I21" s="52"/>
      <c r="N21" s="28"/>
    </row>
    <row r="22" spans="1:14" ht="15.75" customHeight="1" x14ac:dyDescent="0.35">
      <c r="A22" s="30" t="s">
        <v>23</v>
      </c>
      <c r="B22" s="53"/>
      <c r="C22" s="53"/>
      <c r="D22" s="53"/>
      <c r="E22" s="38"/>
      <c r="F22" s="53"/>
      <c r="G22" s="53"/>
      <c r="H22" s="53"/>
      <c r="I22" s="55"/>
      <c r="N22" s="28"/>
    </row>
    <row r="23" spans="1:14" ht="15.75" customHeight="1" x14ac:dyDescent="0.35">
      <c r="A23" s="36" t="s">
        <v>24</v>
      </c>
      <c r="B23" s="35">
        <v>2</v>
      </c>
      <c r="C23" s="35">
        <v>1</v>
      </c>
      <c r="D23" s="35">
        <f t="shared" ref="D23:D33" si="14">B23*C23</f>
        <v>2</v>
      </c>
      <c r="E23" s="35">
        <v>0</v>
      </c>
      <c r="F23" s="35">
        <f t="shared" ref="F23:F33" si="15">D23*E23</f>
        <v>0</v>
      </c>
      <c r="G23" s="35">
        <f t="shared" ref="G23:G33" si="16">F23*0.05</f>
        <v>0</v>
      </c>
      <c r="H23" s="35">
        <f t="shared" ref="H23:H33" si="17">F23*0.1</f>
        <v>0</v>
      </c>
      <c r="I23" s="56">
        <f t="shared" ref="I23:I33" si="18">F23*J$2+G23*K$2+H23*L$2</f>
        <v>0</v>
      </c>
      <c r="N23" s="28"/>
    </row>
    <row r="24" spans="1:14" ht="15.75" customHeight="1" x14ac:dyDescent="0.35">
      <c r="A24" s="36" t="s">
        <v>50</v>
      </c>
      <c r="B24" s="35">
        <v>2</v>
      </c>
      <c r="C24" s="35">
        <v>1</v>
      </c>
      <c r="D24" s="35">
        <f t="shared" si="14"/>
        <v>2</v>
      </c>
      <c r="E24" s="35">
        <v>0</v>
      </c>
      <c r="F24" s="35">
        <f t="shared" si="15"/>
        <v>0</v>
      </c>
      <c r="G24" s="35">
        <f t="shared" si="16"/>
        <v>0</v>
      </c>
      <c r="H24" s="35">
        <f t="shared" si="17"/>
        <v>0</v>
      </c>
      <c r="I24" s="56">
        <f t="shared" si="18"/>
        <v>0</v>
      </c>
      <c r="N24" s="25"/>
    </row>
    <row r="25" spans="1:14" ht="15.75" customHeight="1" x14ac:dyDescent="0.35">
      <c r="A25" s="36" t="s">
        <v>25</v>
      </c>
      <c r="B25" s="35">
        <v>2</v>
      </c>
      <c r="C25" s="35">
        <v>1</v>
      </c>
      <c r="D25" s="35">
        <f t="shared" si="14"/>
        <v>2</v>
      </c>
      <c r="E25" s="35">
        <v>0</v>
      </c>
      <c r="F25" s="35">
        <f t="shared" si="15"/>
        <v>0</v>
      </c>
      <c r="G25" s="35">
        <f t="shared" si="16"/>
        <v>0</v>
      </c>
      <c r="H25" s="35">
        <f t="shared" si="17"/>
        <v>0</v>
      </c>
      <c r="I25" s="56">
        <f t="shared" si="18"/>
        <v>0</v>
      </c>
      <c r="N25" s="25"/>
    </row>
    <row r="26" spans="1:14" ht="15.75" customHeight="1" x14ac:dyDescent="0.35">
      <c r="A26" s="36" t="s">
        <v>26</v>
      </c>
      <c r="B26" s="35">
        <v>2</v>
      </c>
      <c r="C26" s="35">
        <v>1</v>
      </c>
      <c r="D26" s="35">
        <f t="shared" si="14"/>
        <v>2</v>
      </c>
      <c r="E26" s="35">
        <v>0</v>
      </c>
      <c r="F26" s="35">
        <f t="shared" si="15"/>
        <v>0</v>
      </c>
      <c r="G26" s="35">
        <f t="shared" si="16"/>
        <v>0</v>
      </c>
      <c r="H26" s="35">
        <f t="shared" si="17"/>
        <v>0</v>
      </c>
      <c r="I26" s="56">
        <f t="shared" si="18"/>
        <v>0</v>
      </c>
      <c r="N26" s="25"/>
    </row>
    <row r="27" spans="1:14" ht="15.75" customHeight="1" x14ac:dyDescent="0.35">
      <c r="A27" s="42" t="s">
        <v>72</v>
      </c>
      <c r="B27" s="17">
        <v>2</v>
      </c>
      <c r="C27" s="17">
        <v>1</v>
      </c>
      <c r="D27" s="35">
        <f t="shared" si="14"/>
        <v>2</v>
      </c>
      <c r="E27" s="17">
        <f>(4/5)+(1/5)</f>
        <v>1</v>
      </c>
      <c r="F27" s="17">
        <f t="shared" si="15"/>
        <v>2</v>
      </c>
      <c r="G27" s="17">
        <f t="shared" si="16"/>
        <v>0.1</v>
      </c>
      <c r="H27" s="17">
        <f t="shared" si="17"/>
        <v>0.2</v>
      </c>
      <c r="I27" s="57">
        <f t="shared" si="18"/>
        <v>270.78659999999996</v>
      </c>
      <c r="N27" s="25"/>
    </row>
    <row r="28" spans="1:14" ht="15.75" customHeight="1" x14ac:dyDescent="0.35">
      <c r="A28" s="42" t="s">
        <v>27</v>
      </c>
      <c r="B28" s="17">
        <v>16</v>
      </c>
      <c r="C28" s="17">
        <v>1</v>
      </c>
      <c r="D28" s="35">
        <f t="shared" si="14"/>
        <v>16</v>
      </c>
      <c r="E28" s="18">
        <v>1</v>
      </c>
      <c r="F28" s="17">
        <f t="shared" si="15"/>
        <v>16</v>
      </c>
      <c r="G28" s="17">
        <f t="shared" si="16"/>
        <v>0.8</v>
      </c>
      <c r="H28" s="17">
        <f t="shared" si="17"/>
        <v>1.6</v>
      </c>
      <c r="I28" s="57">
        <f t="shared" si="18"/>
        <v>2166.2927999999997</v>
      </c>
      <c r="N28" s="25"/>
    </row>
    <row r="29" spans="1:14" ht="15.75" customHeight="1" x14ac:dyDescent="0.35">
      <c r="A29" s="87" t="s">
        <v>73</v>
      </c>
      <c r="B29" s="58">
        <v>2</v>
      </c>
      <c r="C29" s="17">
        <v>1</v>
      </c>
      <c r="D29" s="35">
        <f t="shared" si="14"/>
        <v>2</v>
      </c>
      <c r="E29" s="17">
        <v>3</v>
      </c>
      <c r="F29" s="17">
        <f t="shared" si="15"/>
        <v>6</v>
      </c>
      <c r="G29" s="17">
        <f t="shared" si="16"/>
        <v>0.30000000000000004</v>
      </c>
      <c r="H29" s="17">
        <f t="shared" si="17"/>
        <v>0.60000000000000009</v>
      </c>
      <c r="I29" s="59">
        <f t="shared" si="18"/>
        <v>812.35979999999995</v>
      </c>
      <c r="N29" s="25"/>
    </row>
    <row r="30" spans="1:14" ht="15.75" customHeight="1" x14ac:dyDescent="0.35">
      <c r="A30" s="87" t="s">
        <v>74</v>
      </c>
      <c r="B30" s="60">
        <v>1</v>
      </c>
      <c r="C30" s="35">
        <v>6</v>
      </c>
      <c r="D30" s="35">
        <f t="shared" si="14"/>
        <v>6</v>
      </c>
      <c r="E30" s="35">
        <v>1</v>
      </c>
      <c r="F30" s="17">
        <f t="shared" si="15"/>
        <v>6</v>
      </c>
      <c r="G30" s="17">
        <f t="shared" si="16"/>
        <v>0.30000000000000004</v>
      </c>
      <c r="H30" s="17">
        <f t="shared" si="17"/>
        <v>0.60000000000000009</v>
      </c>
      <c r="I30" s="59">
        <f t="shared" si="18"/>
        <v>812.35979999999995</v>
      </c>
      <c r="N30" s="25"/>
    </row>
    <row r="31" spans="1:14" ht="15.75" customHeight="1" x14ac:dyDescent="0.35">
      <c r="A31" s="87" t="s">
        <v>75</v>
      </c>
      <c r="B31" s="58">
        <v>16</v>
      </c>
      <c r="C31" s="17">
        <v>1</v>
      </c>
      <c r="D31" s="35">
        <f t="shared" si="14"/>
        <v>16</v>
      </c>
      <c r="E31" s="17">
        <v>2</v>
      </c>
      <c r="F31" s="17">
        <f t="shared" ref="F31" si="19">D31*E31</f>
        <v>32</v>
      </c>
      <c r="G31" s="17">
        <f t="shared" ref="G31" si="20">F31*0.05</f>
        <v>1.6</v>
      </c>
      <c r="H31" s="17">
        <f t="shared" ref="H31" si="21">F31*0.1</f>
        <v>3.2</v>
      </c>
      <c r="I31" s="59">
        <f t="shared" si="18"/>
        <v>4332.5855999999994</v>
      </c>
      <c r="N31" s="25"/>
    </row>
    <row r="32" spans="1:14" ht="15.75" customHeight="1" x14ac:dyDescent="0.35">
      <c r="A32" s="87" t="s">
        <v>76</v>
      </c>
      <c r="B32" s="58">
        <v>8</v>
      </c>
      <c r="C32" s="17">
        <v>2</v>
      </c>
      <c r="D32" s="35">
        <f t="shared" si="14"/>
        <v>16</v>
      </c>
      <c r="E32" s="17">
        <v>2</v>
      </c>
      <c r="F32" s="17">
        <f>D32*E32</f>
        <v>32</v>
      </c>
      <c r="G32" s="17">
        <f t="shared" si="16"/>
        <v>1.6</v>
      </c>
      <c r="H32" s="17">
        <f t="shared" si="17"/>
        <v>3.2</v>
      </c>
      <c r="I32" s="59">
        <f t="shared" si="18"/>
        <v>4332.5855999999994</v>
      </c>
      <c r="N32" s="25"/>
    </row>
    <row r="33" spans="1:12" ht="15.75" customHeight="1" x14ac:dyDescent="0.35">
      <c r="A33" s="87" t="s">
        <v>77</v>
      </c>
      <c r="B33" s="58">
        <v>4</v>
      </c>
      <c r="C33" s="17">
        <v>1</v>
      </c>
      <c r="D33" s="35">
        <f t="shared" si="14"/>
        <v>4</v>
      </c>
      <c r="E33" s="17">
        <v>3</v>
      </c>
      <c r="F33" s="17">
        <f t="shared" si="15"/>
        <v>12</v>
      </c>
      <c r="G33" s="17">
        <f t="shared" si="16"/>
        <v>0.60000000000000009</v>
      </c>
      <c r="H33" s="17">
        <f t="shared" si="17"/>
        <v>1.2000000000000002</v>
      </c>
      <c r="I33" s="59">
        <f t="shared" si="18"/>
        <v>1624.7195999999999</v>
      </c>
    </row>
    <row r="34" spans="1:12" ht="15.75" customHeight="1" x14ac:dyDescent="0.35">
      <c r="A34" s="15" t="s">
        <v>28</v>
      </c>
      <c r="B34" s="61"/>
      <c r="C34" s="61"/>
      <c r="D34" s="61"/>
      <c r="E34" s="61"/>
      <c r="F34" s="95">
        <f>ROUND(SUM(F5:H33),0)</f>
        <v>183</v>
      </c>
      <c r="G34" s="96"/>
      <c r="H34" s="97"/>
      <c r="I34" s="62">
        <f>SUM(I5:I33)</f>
        <v>21554.613359999999</v>
      </c>
    </row>
    <row r="35" spans="1:12" ht="15.75" customHeight="1" x14ac:dyDescent="0.35">
      <c r="A35" s="2" t="s">
        <v>29</v>
      </c>
      <c r="B35" s="63"/>
      <c r="C35" s="63"/>
      <c r="D35" s="63"/>
      <c r="E35" s="63"/>
      <c r="F35" s="63"/>
      <c r="G35" s="63"/>
      <c r="H35" s="63"/>
      <c r="I35" s="64"/>
    </row>
    <row r="36" spans="1:12" ht="15.75" customHeight="1" x14ac:dyDescent="0.35">
      <c r="A36" s="88" t="s">
        <v>61</v>
      </c>
      <c r="B36" s="38" t="s">
        <v>62</v>
      </c>
      <c r="C36" s="65"/>
      <c r="D36" s="65"/>
      <c r="E36" s="65"/>
      <c r="F36" s="65"/>
      <c r="G36" s="65"/>
      <c r="H36" s="65"/>
      <c r="I36" s="66"/>
      <c r="J36" s="29" t="s">
        <v>65</v>
      </c>
    </row>
    <row r="37" spans="1:12" ht="15.75" customHeight="1" x14ac:dyDescent="0.35">
      <c r="A37" s="2" t="s">
        <v>30</v>
      </c>
      <c r="B37" s="17" t="s">
        <v>31</v>
      </c>
      <c r="C37" s="67"/>
      <c r="D37" s="67"/>
      <c r="E37" s="67"/>
      <c r="F37" s="67"/>
      <c r="G37" s="67"/>
      <c r="H37" s="67"/>
      <c r="I37" s="68"/>
    </row>
    <row r="38" spans="1:12" ht="15.75" customHeight="1" x14ac:dyDescent="0.35">
      <c r="A38" s="2" t="s">
        <v>32</v>
      </c>
      <c r="B38" s="17" t="s">
        <v>31</v>
      </c>
      <c r="C38" s="67"/>
      <c r="D38" s="67"/>
      <c r="E38" s="67"/>
      <c r="F38" s="67"/>
      <c r="G38" s="67"/>
      <c r="H38" s="67"/>
      <c r="I38" s="68"/>
    </row>
    <row r="39" spans="1:12" ht="15.75" customHeight="1" x14ac:dyDescent="0.35">
      <c r="A39" s="2" t="s">
        <v>33</v>
      </c>
      <c r="B39" s="17" t="s">
        <v>31</v>
      </c>
      <c r="C39" s="67"/>
      <c r="D39" s="67"/>
      <c r="E39" s="67"/>
      <c r="F39" s="67"/>
      <c r="G39" s="67"/>
      <c r="H39" s="67"/>
      <c r="I39" s="68" t="s">
        <v>34</v>
      </c>
    </row>
    <row r="40" spans="1:12" ht="15.75" customHeight="1" x14ac:dyDescent="0.35">
      <c r="A40" s="2" t="s">
        <v>35</v>
      </c>
      <c r="B40" s="67"/>
      <c r="C40" s="67"/>
      <c r="D40" s="67"/>
      <c r="E40" s="67"/>
      <c r="F40" s="67"/>
      <c r="G40" s="67"/>
      <c r="H40" s="67"/>
      <c r="I40" s="68"/>
    </row>
    <row r="41" spans="1:12" ht="15.75" customHeight="1" x14ac:dyDescent="0.35">
      <c r="A41" s="42" t="s">
        <v>127</v>
      </c>
      <c r="B41" s="17">
        <v>0.25</v>
      </c>
      <c r="C41" s="17">
        <v>52</v>
      </c>
      <c r="D41" s="35">
        <f t="shared" ref="D41:D43" si="22">B41*C41</f>
        <v>13</v>
      </c>
      <c r="E41" s="17">
        <v>3</v>
      </c>
      <c r="F41" s="17">
        <f t="shared" ref="F41:F42" si="23">D41*E41</f>
        <v>39</v>
      </c>
      <c r="G41" s="17">
        <f t="shared" ref="G41:G42" si="24">F41*0.05</f>
        <v>1.9500000000000002</v>
      </c>
      <c r="H41" s="17">
        <f t="shared" ref="H41:H42" si="25">F41*0.1</f>
        <v>3.9000000000000004</v>
      </c>
      <c r="I41" s="59">
        <f>F41*J$2+G41*K$2+H41*L$2</f>
        <v>5280.3386999999993</v>
      </c>
    </row>
    <row r="42" spans="1:12" ht="15.75" customHeight="1" x14ac:dyDescent="0.35">
      <c r="A42" s="2" t="s">
        <v>36</v>
      </c>
      <c r="B42" s="17">
        <v>20</v>
      </c>
      <c r="C42" s="17">
        <v>1</v>
      </c>
      <c r="D42" s="35">
        <f t="shared" si="22"/>
        <v>20</v>
      </c>
      <c r="E42" s="17">
        <v>0</v>
      </c>
      <c r="F42" s="17">
        <f t="shared" si="23"/>
        <v>0</v>
      </c>
      <c r="G42" s="17">
        <f t="shared" si="24"/>
        <v>0</v>
      </c>
      <c r="H42" s="17">
        <f t="shared" si="25"/>
        <v>0</v>
      </c>
      <c r="I42" s="57">
        <f>F42*J$2+G42*K$2+H42*L$2</f>
        <v>0</v>
      </c>
    </row>
    <row r="43" spans="1:12" ht="15.75" customHeight="1" x14ac:dyDescent="0.35">
      <c r="A43" s="2" t="s">
        <v>128</v>
      </c>
      <c r="B43" s="17">
        <v>0.25</v>
      </c>
      <c r="C43" s="17">
        <v>3</v>
      </c>
      <c r="D43" s="35">
        <f t="shared" si="22"/>
        <v>0.75</v>
      </c>
      <c r="E43" s="17">
        <v>3</v>
      </c>
      <c r="F43" s="17">
        <f>D43*E43</f>
        <v>2.25</v>
      </c>
      <c r="G43" s="17">
        <f>F43*0.05</f>
        <v>0.1125</v>
      </c>
      <c r="H43" s="17">
        <f>F43*0.1</f>
        <v>0.22500000000000001</v>
      </c>
      <c r="I43" s="57">
        <f>F43*J$2+G43*K$2+H43*L$2</f>
        <v>304.63492500000001</v>
      </c>
    </row>
    <row r="44" spans="1:12" ht="15.75" customHeight="1" x14ac:dyDescent="0.35">
      <c r="A44" s="2" t="s">
        <v>79</v>
      </c>
      <c r="B44" s="17" t="s">
        <v>16</v>
      </c>
      <c r="C44" s="67"/>
      <c r="D44" s="67"/>
      <c r="E44" s="67"/>
      <c r="F44" s="67"/>
      <c r="G44" s="67"/>
      <c r="H44" s="67"/>
      <c r="I44" s="69"/>
    </row>
    <row r="45" spans="1:12" ht="15.75" customHeight="1" x14ac:dyDescent="0.35">
      <c r="A45" s="15" t="s">
        <v>37</v>
      </c>
      <c r="B45" s="70"/>
      <c r="C45" s="71"/>
      <c r="D45" s="71"/>
      <c r="E45" s="71"/>
      <c r="F45" s="95">
        <f>ROUND(SUM(F36:H44),0)</f>
        <v>47</v>
      </c>
      <c r="G45" s="96"/>
      <c r="H45" s="97"/>
      <c r="I45" s="62">
        <f>SUM(I36:I44)</f>
        <v>5584.9736249999996</v>
      </c>
    </row>
    <row r="46" spans="1:12" ht="15.75" customHeight="1" x14ac:dyDescent="0.35">
      <c r="A46" s="89" t="s">
        <v>129</v>
      </c>
      <c r="B46" s="72"/>
      <c r="C46" s="67"/>
      <c r="D46" s="67"/>
      <c r="E46" s="67"/>
      <c r="F46" s="92">
        <f>F45+F34</f>
        <v>230</v>
      </c>
      <c r="G46" s="93"/>
      <c r="H46" s="94"/>
      <c r="I46" s="73">
        <f>ROUND(I45+I34,-2)</f>
        <v>27100</v>
      </c>
    </row>
    <row r="47" spans="1:12" ht="15.75" customHeight="1" x14ac:dyDescent="0.35">
      <c r="A47" s="90" t="s">
        <v>80</v>
      </c>
      <c r="B47" s="74"/>
      <c r="C47" s="74"/>
      <c r="D47" s="74"/>
      <c r="E47" s="74"/>
      <c r="F47" s="75"/>
      <c r="G47" s="75"/>
      <c r="H47" s="76"/>
      <c r="I47" s="59">
        <f>(115300+23575)/3</f>
        <v>46291.666666666664</v>
      </c>
      <c r="L47" t="s">
        <v>126</v>
      </c>
    </row>
    <row r="48" spans="1:12" ht="15.75" customHeight="1" x14ac:dyDescent="0.35">
      <c r="A48" s="90" t="s">
        <v>81</v>
      </c>
      <c r="B48" s="74"/>
      <c r="C48" s="74"/>
      <c r="D48" s="74"/>
      <c r="E48" s="74"/>
      <c r="F48" s="75"/>
      <c r="G48" s="75"/>
      <c r="H48" s="76"/>
      <c r="I48" s="77">
        <f>22440+ROUND(380*3,-1)</f>
        <v>23580</v>
      </c>
      <c r="K48">
        <f>1*E27</f>
        <v>1</v>
      </c>
      <c r="L48" t="s">
        <v>78</v>
      </c>
    </row>
    <row r="49" spans="1:12" ht="15.75" customHeight="1" x14ac:dyDescent="0.35">
      <c r="A49" s="91" t="s">
        <v>130</v>
      </c>
      <c r="B49" s="75"/>
      <c r="C49" s="75"/>
      <c r="D49" s="75"/>
      <c r="E49" s="75"/>
      <c r="F49" s="75"/>
      <c r="G49" s="75"/>
      <c r="H49" s="76"/>
      <c r="I49" s="78">
        <f>ROUND(I48+I47,-2)</f>
        <v>69900</v>
      </c>
      <c r="K49">
        <f>SUMPRODUCT(C23:C33,E23:E33)+K48</f>
        <v>21</v>
      </c>
      <c r="L49" t="s">
        <v>132</v>
      </c>
    </row>
    <row r="50" spans="1:12" ht="15.75" customHeight="1" x14ac:dyDescent="0.35">
      <c r="A50" s="91" t="s">
        <v>131</v>
      </c>
      <c r="B50" s="75"/>
      <c r="C50" s="75"/>
      <c r="D50" s="75"/>
      <c r="E50" s="75"/>
      <c r="F50" s="75"/>
      <c r="G50" s="75"/>
      <c r="H50" s="76"/>
      <c r="I50" s="78">
        <f>ROUND(I49+I46,-2)</f>
        <v>97000</v>
      </c>
      <c r="K50" s="20">
        <f>F46/K49</f>
        <v>10.952380952380953</v>
      </c>
      <c r="L50" t="s">
        <v>57</v>
      </c>
    </row>
    <row r="52" spans="1:12" s="81" customFormat="1" ht="13" x14ac:dyDescent="0.35">
      <c r="A52" s="79" t="s">
        <v>38</v>
      </c>
    </row>
    <row r="53" spans="1:12" s="81" customFormat="1" ht="15.5" x14ac:dyDescent="0.35">
      <c r="A53" s="80" t="s">
        <v>113</v>
      </c>
    </row>
    <row r="54" spans="1:12" s="81" customFormat="1" ht="15.75" customHeight="1" x14ac:dyDescent="0.35">
      <c r="A54" s="84" t="s">
        <v>107</v>
      </c>
    </row>
    <row r="55" spans="1:12" s="81" customFormat="1" ht="15.5" x14ac:dyDescent="0.35">
      <c r="A55" s="80" t="s">
        <v>108</v>
      </c>
    </row>
    <row r="56" spans="1:12" s="81" customFormat="1" ht="13" x14ac:dyDescent="0.35">
      <c r="A56" s="84" t="s">
        <v>109</v>
      </c>
    </row>
    <row r="57" spans="1:12" s="81" customFormat="1" ht="15.75" customHeight="1" x14ac:dyDescent="0.35">
      <c r="A57" s="84" t="s">
        <v>110</v>
      </c>
    </row>
    <row r="58" spans="1:12" s="81" customFormat="1" ht="15.5" x14ac:dyDescent="0.35">
      <c r="A58" s="80" t="s">
        <v>82</v>
      </c>
      <c r="D58" s="82"/>
    </row>
    <row r="59" spans="1:12" s="81" customFormat="1" ht="15.5" x14ac:dyDescent="0.35">
      <c r="A59" s="80" t="s">
        <v>83</v>
      </c>
    </row>
    <row r="60" spans="1:12" s="81" customFormat="1" ht="15.5" x14ac:dyDescent="0.35">
      <c r="A60" s="80" t="s">
        <v>123</v>
      </c>
    </row>
    <row r="61" spans="1:12" s="81" customFormat="1" ht="13" x14ac:dyDescent="0.35">
      <c r="A61" s="84" t="s">
        <v>124</v>
      </c>
    </row>
    <row r="62" spans="1:12" s="84" customFormat="1" ht="15.75" customHeight="1" x14ac:dyDescent="0.35">
      <c r="A62" s="84" t="s">
        <v>125</v>
      </c>
    </row>
    <row r="63" spans="1:12" s="81" customFormat="1" ht="15.5" x14ac:dyDescent="0.35">
      <c r="A63" s="80" t="s">
        <v>84</v>
      </c>
    </row>
    <row r="64" spans="1:12" s="81" customFormat="1" ht="15.5" x14ac:dyDescent="0.35">
      <c r="A64" s="80" t="s">
        <v>85</v>
      </c>
    </row>
    <row r="65" spans="1:6" s="81" customFormat="1" ht="15.5" x14ac:dyDescent="0.35">
      <c r="A65" s="80" t="s">
        <v>86</v>
      </c>
      <c r="F65" s="83"/>
    </row>
    <row r="66" spans="1:6" s="81" customFormat="1" ht="15.5" x14ac:dyDescent="0.35">
      <c r="A66" s="80" t="s">
        <v>111</v>
      </c>
    </row>
    <row r="67" spans="1:6" s="84" customFormat="1" ht="15.75" customHeight="1" x14ac:dyDescent="0.35">
      <c r="A67" s="84" t="s">
        <v>112</v>
      </c>
    </row>
    <row r="68" spans="1:6" s="81" customFormat="1" ht="15.5" x14ac:dyDescent="0.35">
      <c r="A68" s="80" t="s">
        <v>87</v>
      </c>
    </row>
    <row r="69" spans="1:6" s="81" customFormat="1" ht="15.5" x14ac:dyDescent="0.35">
      <c r="A69" s="80" t="s">
        <v>88</v>
      </c>
    </row>
    <row r="70" spans="1:6" s="81" customFormat="1" ht="15.5" x14ac:dyDescent="0.35">
      <c r="A70" s="80" t="s">
        <v>89</v>
      </c>
    </row>
    <row r="71" spans="1:6" s="81" customFormat="1" ht="15.5" x14ac:dyDescent="0.35">
      <c r="A71" s="80" t="s">
        <v>90</v>
      </c>
    </row>
    <row r="72" spans="1:6" s="81" customFormat="1" ht="15.5" x14ac:dyDescent="0.35">
      <c r="A72" s="80" t="s">
        <v>119</v>
      </c>
    </row>
    <row r="73" spans="1:6" s="81" customFormat="1" ht="15.5" x14ac:dyDescent="0.35">
      <c r="A73" s="80" t="s">
        <v>91</v>
      </c>
    </row>
    <row r="74" spans="1:6" s="81" customFormat="1" ht="15.5" x14ac:dyDescent="0.35">
      <c r="A74" s="80" t="s">
        <v>92</v>
      </c>
    </row>
  </sheetData>
  <mergeCells count="3">
    <mergeCell ref="F46:H46"/>
    <mergeCell ref="F34:H34"/>
    <mergeCell ref="F45:H45"/>
  </mergeCells>
  <pageMargins left="0.7" right="0.7"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workbookViewId="0">
      <selection activeCell="E18" sqref="E18"/>
    </sheetView>
  </sheetViews>
  <sheetFormatPr defaultRowHeight="14.5" x14ac:dyDescent="0.35"/>
  <cols>
    <col min="1" max="1" width="54.453125" customWidth="1"/>
    <col min="2" max="2" width="10.453125" customWidth="1"/>
    <col min="3" max="3" width="11" customWidth="1"/>
    <col min="4" max="4" width="11.54296875" customWidth="1"/>
    <col min="6" max="6" width="11.1796875" customWidth="1"/>
    <col min="7" max="7" width="11.26953125" customWidth="1"/>
    <col min="8" max="8" width="11.54296875" customWidth="1"/>
    <col min="9" max="9" width="10.81640625" customWidth="1"/>
  </cols>
  <sheetData>
    <row r="1" spans="1:12" ht="15.5" x14ac:dyDescent="0.35">
      <c r="A1" s="19" t="s">
        <v>94</v>
      </c>
    </row>
    <row r="2" spans="1:12" x14ac:dyDescent="0.35">
      <c r="J2">
        <v>50.72</v>
      </c>
      <c r="K2">
        <v>66.349999999999994</v>
      </c>
      <c r="L2">
        <v>27.46</v>
      </c>
    </row>
    <row r="3" spans="1:12" x14ac:dyDescent="0.35">
      <c r="A3" s="11" t="s">
        <v>39</v>
      </c>
      <c r="B3" s="24" t="s">
        <v>1</v>
      </c>
      <c r="C3" s="24" t="s">
        <v>3</v>
      </c>
      <c r="D3" s="24" t="s">
        <v>5</v>
      </c>
      <c r="E3" s="24" t="s">
        <v>7</v>
      </c>
      <c r="F3" s="24" t="s">
        <v>9</v>
      </c>
      <c r="G3" s="24" t="s">
        <v>11</v>
      </c>
      <c r="H3" s="24" t="s">
        <v>12</v>
      </c>
      <c r="I3" s="24" t="s">
        <v>13</v>
      </c>
    </row>
    <row r="4" spans="1:12" s="1" customFormat="1" ht="52" x14ac:dyDescent="0.35">
      <c r="A4" s="12"/>
      <c r="B4" s="23" t="s">
        <v>40</v>
      </c>
      <c r="C4" s="23" t="s">
        <v>41</v>
      </c>
      <c r="D4" s="23" t="s">
        <v>42</v>
      </c>
      <c r="E4" s="23" t="s">
        <v>43</v>
      </c>
      <c r="F4" s="23" t="s">
        <v>10</v>
      </c>
      <c r="G4" s="23" t="s">
        <v>44</v>
      </c>
      <c r="H4" s="23" t="s">
        <v>45</v>
      </c>
      <c r="I4" s="23" t="s">
        <v>104</v>
      </c>
    </row>
    <row r="5" spans="1:12" ht="16.5" customHeight="1" x14ac:dyDescent="0.35">
      <c r="A5" s="2" t="s">
        <v>46</v>
      </c>
      <c r="B5" s="6">
        <v>48</v>
      </c>
      <c r="C5" s="6">
        <v>1</v>
      </c>
      <c r="D5" s="6">
        <f>B5*C5</f>
        <v>48</v>
      </c>
      <c r="E5" s="6">
        <f>Industry!E12</f>
        <v>0.8</v>
      </c>
      <c r="F5" s="6">
        <f>D5*E5</f>
        <v>38.400000000000006</v>
      </c>
      <c r="G5" s="6">
        <f>F5*0.05</f>
        <v>1.9200000000000004</v>
      </c>
      <c r="H5" s="6">
        <f>F5*0.1</f>
        <v>3.8400000000000007</v>
      </c>
      <c r="I5" s="7">
        <f>F5*J$2+G5*K$2+H5*L$2</f>
        <v>2180.4863999999998</v>
      </c>
    </row>
    <row r="6" spans="1:12" ht="16.5" customHeight="1" x14ac:dyDescent="0.35">
      <c r="A6" s="2" t="s">
        <v>47</v>
      </c>
      <c r="B6" s="43"/>
      <c r="C6" s="43"/>
      <c r="D6" s="8"/>
      <c r="E6" s="8"/>
      <c r="F6" s="8"/>
      <c r="G6" s="8"/>
      <c r="H6" s="8"/>
      <c r="I6" s="9"/>
    </row>
    <row r="7" spans="1:12" ht="16.5" customHeight="1" x14ac:dyDescent="0.35">
      <c r="A7" s="2" t="s">
        <v>48</v>
      </c>
      <c r="B7" s="6">
        <v>8</v>
      </c>
      <c r="C7" s="6">
        <v>1</v>
      </c>
      <c r="D7" s="6">
        <f t="shared" ref="D7:D8" si="0">B7*C7</f>
        <v>8</v>
      </c>
      <c r="E7" s="6">
        <f>Industry!E13</f>
        <v>0.2</v>
      </c>
      <c r="F7" s="6">
        <f t="shared" ref="F7:F8" si="1">D7*E7</f>
        <v>1.6</v>
      </c>
      <c r="G7" s="6">
        <f t="shared" ref="G7:G8" si="2">F7*0.05</f>
        <v>8.0000000000000016E-2</v>
      </c>
      <c r="H7" s="6">
        <f t="shared" ref="H7:H8" si="3">F7*0.1</f>
        <v>0.16000000000000003</v>
      </c>
      <c r="I7" s="7">
        <f>F7*J$2+G7*K$2+H7*L$2</f>
        <v>90.853600000000014</v>
      </c>
    </row>
    <row r="8" spans="1:12" ht="16.5" customHeight="1" x14ac:dyDescent="0.35">
      <c r="A8" s="2" t="s">
        <v>49</v>
      </c>
      <c r="B8" s="6">
        <v>20</v>
      </c>
      <c r="C8" s="6">
        <v>1</v>
      </c>
      <c r="D8" s="6">
        <f t="shared" si="0"/>
        <v>20</v>
      </c>
      <c r="E8" s="6">
        <f>Industry!E13</f>
        <v>0.2</v>
      </c>
      <c r="F8" s="6">
        <f t="shared" si="1"/>
        <v>4</v>
      </c>
      <c r="G8" s="6">
        <f t="shared" si="2"/>
        <v>0.2</v>
      </c>
      <c r="H8" s="6">
        <f t="shared" si="3"/>
        <v>0.4</v>
      </c>
      <c r="I8" s="7">
        <f>F8*J$2+G8*K$2+H8*L$2</f>
        <v>227.13400000000001</v>
      </c>
    </row>
    <row r="9" spans="1:12" ht="16.5" customHeight="1" x14ac:dyDescent="0.35">
      <c r="A9" s="2" t="s">
        <v>106</v>
      </c>
      <c r="B9" s="43"/>
      <c r="C9" s="43"/>
      <c r="D9" s="8"/>
      <c r="E9" s="8"/>
      <c r="F9" s="8"/>
      <c r="G9" s="8"/>
      <c r="H9" s="8"/>
      <c r="I9" s="9"/>
    </row>
    <row r="10" spans="1:12" ht="16.5" customHeight="1" x14ac:dyDescent="0.35">
      <c r="A10" s="42" t="s">
        <v>24</v>
      </c>
      <c r="B10" s="6">
        <v>2</v>
      </c>
      <c r="C10" s="6">
        <v>1</v>
      </c>
      <c r="D10" s="6">
        <f t="shared" ref="D10:D18" si="4">B10*C10</f>
        <v>2</v>
      </c>
      <c r="E10" s="6">
        <f>Industry!E23</f>
        <v>0</v>
      </c>
      <c r="F10" s="6">
        <f t="shared" ref="F10:F18" si="5">D10*E10</f>
        <v>0</v>
      </c>
      <c r="G10" s="6">
        <f t="shared" ref="G10:G18" si="6">F10*0.05</f>
        <v>0</v>
      </c>
      <c r="H10" s="6">
        <f t="shared" ref="H10:H18" si="7">F10*0.1</f>
        <v>0</v>
      </c>
      <c r="I10" s="7">
        <f t="shared" ref="I10:I18" si="8">F10*J$2+G10*K$2+H10*L$2</f>
        <v>0</v>
      </c>
    </row>
    <row r="11" spans="1:12" ht="16.5" customHeight="1" x14ac:dyDescent="0.35">
      <c r="A11" s="42" t="s">
        <v>50</v>
      </c>
      <c r="B11" s="6">
        <v>2</v>
      </c>
      <c r="C11" s="6">
        <v>1</v>
      </c>
      <c r="D11" s="6">
        <f t="shared" si="4"/>
        <v>2</v>
      </c>
      <c r="E11" s="6">
        <f>Industry!E24</f>
        <v>0</v>
      </c>
      <c r="F11" s="6">
        <f t="shared" si="5"/>
        <v>0</v>
      </c>
      <c r="G11" s="6">
        <f t="shared" si="6"/>
        <v>0</v>
      </c>
      <c r="H11" s="6">
        <f t="shared" si="7"/>
        <v>0</v>
      </c>
      <c r="I11" s="7">
        <f t="shared" si="8"/>
        <v>0</v>
      </c>
    </row>
    <row r="12" spans="1:12" ht="16.5" customHeight="1" x14ac:dyDescent="0.35">
      <c r="A12" s="42" t="s">
        <v>51</v>
      </c>
      <c r="B12" s="6">
        <v>2</v>
      </c>
      <c r="C12" s="6">
        <v>1</v>
      </c>
      <c r="D12" s="6">
        <f t="shared" si="4"/>
        <v>2</v>
      </c>
      <c r="E12" s="6">
        <f>Industry!E25</f>
        <v>0</v>
      </c>
      <c r="F12" s="6">
        <f t="shared" si="5"/>
        <v>0</v>
      </c>
      <c r="G12" s="6">
        <f t="shared" si="6"/>
        <v>0</v>
      </c>
      <c r="H12" s="6">
        <f t="shared" si="7"/>
        <v>0</v>
      </c>
      <c r="I12" s="7">
        <f t="shared" si="8"/>
        <v>0</v>
      </c>
    </row>
    <row r="13" spans="1:12" ht="16.5" customHeight="1" x14ac:dyDescent="0.35">
      <c r="A13" s="42" t="s">
        <v>26</v>
      </c>
      <c r="B13" s="6">
        <v>2</v>
      </c>
      <c r="C13" s="6">
        <v>1</v>
      </c>
      <c r="D13" s="6">
        <f t="shared" si="4"/>
        <v>2</v>
      </c>
      <c r="E13" s="6">
        <f>Industry!E26</f>
        <v>0</v>
      </c>
      <c r="F13" s="6">
        <f t="shared" si="5"/>
        <v>0</v>
      </c>
      <c r="G13" s="6">
        <f t="shared" si="6"/>
        <v>0</v>
      </c>
      <c r="H13" s="6">
        <f t="shared" si="7"/>
        <v>0</v>
      </c>
      <c r="I13" s="7">
        <f t="shared" si="8"/>
        <v>0</v>
      </c>
    </row>
    <row r="14" spans="1:12" ht="16.5" customHeight="1" x14ac:dyDescent="0.35">
      <c r="A14" s="42" t="s">
        <v>52</v>
      </c>
      <c r="B14" s="6">
        <v>2</v>
      </c>
      <c r="C14" s="6">
        <v>1</v>
      </c>
      <c r="D14" s="6">
        <f t="shared" si="4"/>
        <v>2</v>
      </c>
      <c r="E14" s="6">
        <f>Industry!E27</f>
        <v>1</v>
      </c>
      <c r="F14" s="6">
        <f t="shared" si="5"/>
        <v>2</v>
      </c>
      <c r="G14" s="6">
        <f t="shared" si="6"/>
        <v>0.1</v>
      </c>
      <c r="H14" s="6">
        <f t="shared" si="7"/>
        <v>0.2</v>
      </c>
      <c r="I14" s="7">
        <f t="shared" si="8"/>
        <v>113.56700000000001</v>
      </c>
    </row>
    <row r="15" spans="1:12" ht="16.5" customHeight="1" x14ac:dyDescent="0.35">
      <c r="A15" s="42" t="s">
        <v>53</v>
      </c>
      <c r="B15" s="6">
        <v>2</v>
      </c>
      <c r="C15" s="6">
        <v>1</v>
      </c>
      <c r="D15" s="6">
        <f t="shared" si="4"/>
        <v>2</v>
      </c>
      <c r="E15" s="6">
        <f>Industry!E28</f>
        <v>1</v>
      </c>
      <c r="F15" s="6">
        <f t="shared" si="5"/>
        <v>2</v>
      </c>
      <c r="G15" s="6">
        <f t="shared" si="6"/>
        <v>0.1</v>
      </c>
      <c r="H15" s="6">
        <f t="shared" si="7"/>
        <v>0.2</v>
      </c>
      <c r="I15" s="7">
        <f t="shared" si="8"/>
        <v>113.56700000000001</v>
      </c>
    </row>
    <row r="16" spans="1:12" ht="16.5" customHeight="1" x14ac:dyDescent="0.35">
      <c r="A16" s="42" t="s">
        <v>54</v>
      </c>
      <c r="B16" s="6">
        <v>2</v>
      </c>
      <c r="C16" s="6">
        <v>1</v>
      </c>
      <c r="D16" s="6">
        <f t="shared" si="4"/>
        <v>2</v>
      </c>
      <c r="E16" s="6">
        <f>Industry!E29</f>
        <v>3</v>
      </c>
      <c r="F16" s="6">
        <f t="shared" si="5"/>
        <v>6</v>
      </c>
      <c r="G16" s="6">
        <f t="shared" si="6"/>
        <v>0.30000000000000004</v>
      </c>
      <c r="H16" s="6">
        <f t="shared" si="7"/>
        <v>0.60000000000000009</v>
      </c>
      <c r="I16" s="7">
        <f t="shared" si="8"/>
        <v>340.70100000000002</v>
      </c>
    </row>
    <row r="17" spans="1:14" ht="16.5" customHeight="1" x14ac:dyDescent="0.35">
      <c r="A17" s="42" t="s">
        <v>105</v>
      </c>
      <c r="B17" s="6">
        <v>2</v>
      </c>
      <c r="C17" s="6">
        <v>6</v>
      </c>
      <c r="D17" s="6">
        <f t="shared" ref="D17" si="9">B17*C17</f>
        <v>12</v>
      </c>
      <c r="E17" s="6">
        <f>Industry!E30</f>
        <v>1</v>
      </c>
      <c r="F17" s="6">
        <f t="shared" si="5"/>
        <v>12</v>
      </c>
      <c r="G17" s="6">
        <f t="shared" si="6"/>
        <v>0.60000000000000009</v>
      </c>
      <c r="H17" s="6">
        <f t="shared" si="7"/>
        <v>1.2000000000000002</v>
      </c>
      <c r="I17" s="7">
        <f t="shared" si="8"/>
        <v>681.40200000000004</v>
      </c>
    </row>
    <row r="18" spans="1:14" ht="16.5" customHeight="1" x14ac:dyDescent="0.35">
      <c r="A18" s="42" t="s">
        <v>97</v>
      </c>
      <c r="B18" s="6">
        <v>40</v>
      </c>
      <c r="C18" s="6">
        <v>1</v>
      </c>
      <c r="D18" s="6">
        <f t="shared" si="4"/>
        <v>40</v>
      </c>
      <c r="E18" s="6">
        <f>E14</f>
        <v>1</v>
      </c>
      <c r="F18" s="6">
        <f t="shared" si="5"/>
        <v>40</v>
      </c>
      <c r="G18" s="6">
        <f t="shared" si="6"/>
        <v>2</v>
      </c>
      <c r="H18" s="6">
        <f t="shared" si="7"/>
        <v>4</v>
      </c>
      <c r="I18" s="7">
        <f t="shared" si="8"/>
        <v>2271.34</v>
      </c>
    </row>
    <row r="19" spans="1:14" ht="16.5" customHeight="1" x14ac:dyDescent="0.35">
      <c r="A19" s="2" t="s">
        <v>121</v>
      </c>
      <c r="B19" s="43"/>
      <c r="C19" s="43"/>
      <c r="D19" s="8"/>
      <c r="E19" s="8"/>
      <c r="F19" s="8"/>
      <c r="G19" s="8"/>
      <c r="H19" s="8"/>
      <c r="I19" s="9"/>
    </row>
    <row r="20" spans="1:14" ht="16.5" customHeight="1" x14ac:dyDescent="0.35">
      <c r="A20" s="42" t="s">
        <v>55</v>
      </c>
      <c r="B20" s="6">
        <v>16</v>
      </c>
      <c r="C20" s="6">
        <v>1</v>
      </c>
      <c r="D20" s="6">
        <f t="shared" ref="D20:D22" si="10">B20*C20</f>
        <v>16</v>
      </c>
      <c r="E20" s="6">
        <f>Industry!E31</f>
        <v>2</v>
      </c>
      <c r="F20" s="6">
        <f t="shared" ref="F20:F22" si="11">D20*E20</f>
        <v>32</v>
      </c>
      <c r="G20" s="6">
        <f t="shared" ref="G20:G22" si="12">F20*0.05</f>
        <v>1.6</v>
      </c>
      <c r="H20" s="6">
        <f t="shared" ref="H20:H22" si="13">F20*0.1</f>
        <v>3.2</v>
      </c>
      <c r="I20" s="7">
        <f>F20*J$2+G20*K$2+H20*L$2</f>
        <v>1817.0720000000001</v>
      </c>
    </row>
    <row r="21" spans="1:14" ht="16.5" customHeight="1" x14ac:dyDescent="0.35">
      <c r="A21" s="42" t="s">
        <v>56</v>
      </c>
      <c r="B21" s="6">
        <v>8</v>
      </c>
      <c r="C21" s="6">
        <v>2</v>
      </c>
      <c r="D21" s="6">
        <f t="shared" si="10"/>
        <v>16</v>
      </c>
      <c r="E21" s="6">
        <f>Industry!E32</f>
        <v>2</v>
      </c>
      <c r="F21" s="6">
        <f t="shared" si="11"/>
        <v>32</v>
      </c>
      <c r="G21" s="6">
        <f t="shared" si="12"/>
        <v>1.6</v>
      </c>
      <c r="H21" s="6">
        <f t="shared" si="13"/>
        <v>3.2</v>
      </c>
      <c r="I21" s="7">
        <f>F21*J$2+G21*K$2+H21*L$2</f>
        <v>1817.0720000000001</v>
      </c>
    </row>
    <row r="22" spans="1:14" ht="16.5" customHeight="1" x14ac:dyDescent="0.35">
      <c r="A22" s="2" t="s">
        <v>95</v>
      </c>
      <c r="B22" s="6">
        <v>2</v>
      </c>
      <c r="C22" s="6">
        <v>1</v>
      </c>
      <c r="D22" s="6">
        <f t="shared" si="10"/>
        <v>2</v>
      </c>
      <c r="E22" s="6">
        <f>Industry!E33</f>
        <v>3</v>
      </c>
      <c r="F22" s="6">
        <f t="shared" si="11"/>
        <v>6</v>
      </c>
      <c r="G22" s="6">
        <f t="shared" si="12"/>
        <v>0.30000000000000004</v>
      </c>
      <c r="H22" s="6">
        <f t="shared" si="13"/>
        <v>0.60000000000000009</v>
      </c>
      <c r="I22" s="7">
        <f>F22*J$2+G22*K$2+H22*L$2</f>
        <v>340.70100000000002</v>
      </c>
    </row>
    <row r="23" spans="1:14" ht="16.5" customHeight="1" x14ac:dyDescent="0.35">
      <c r="A23" s="5" t="s">
        <v>96</v>
      </c>
      <c r="B23" s="8"/>
      <c r="C23" s="8"/>
      <c r="D23" s="8"/>
      <c r="E23" s="8"/>
      <c r="F23" s="98">
        <f>SUM(F5:H22)</f>
        <v>202.4</v>
      </c>
      <c r="G23" s="99"/>
      <c r="H23" s="100"/>
      <c r="I23" s="10">
        <f>ROUND(SUM(I5:I22),-1)</f>
        <v>9990</v>
      </c>
    </row>
    <row r="24" spans="1:14" s="40" customFormat="1" ht="13" x14ac:dyDescent="0.3"/>
    <row r="25" spans="1:14" s="40" customFormat="1" ht="13" x14ac:dyDescent="0.3">
      <c r="A25" s="79" t="s">
        <v>38</v>
      </c>
    </row>
    <row r="26" spans="1:14" s="40" customFormat="1" ht="15.5" x14ac:dyDescent="0.3">
      <c r="A26" s="80" t="s">
        <v>114</v>
      </c>
    </row>
    <row r="27" spans="1:14" s="40" customFormat="1" ht="15.75" customHeight="1" x14ac:dyDescent="0.3">
      <c r="A27" s="84" t="s">
        <v>115</v>
      </c>
    </row>
    <row r="28" spans="1:14" s="40" customFormat="1" ht="15.5" x14ac:dyDescent="0.3">
      <c r="A28" s="80" t="s">
        <v>116</v>
      </c>
      <c r="B28" s="48"/>
      <c r="C28" s="48"/>
      <c r="D28" s="48"/>
      <c r="E28" s="48"/>
      <c r="F28" s="48"/>
      <c r="G28" s="48"/>
      <c r="H28" s="48"/>
      <c r="I28" s="48"/>
      <c r="J28" s="48"/>
      <c r="K28" s="48"/>
      <c r="L28" s="48"/>
      <c r="M28" s="48"/>
      <c r="N28" s="48"/>
    </row>
    <row r="29" spans="1:14" s="40" customFormat="1" ht="12.75" customHeight="1" x14ac:dyDescent="0.3">
      <c r="A29" s="84" t="s">
        <v>117</v>
      </c>
      <c r="B29" s="48"/>
      <c r="C29" s="48"/>
      <c r="D29" s="48"/>
      <c r="E29" s="48"/>
      <c r="F29" s="48"/>
      <c r="G29" s="48"/>
      <c r="H29" s="48"/>
      <c r="I29" s="48"/>
      <c r="J29" s="48"/>
      <c r="K29" s="48"/>
      <c r="L29" s="48"/>
      <c r="M29" s="48"/>
      <c r="N29" s="48"/>
    </row>
    <row r="30" spans="1:14" s="40" customFormat="1" ht="15.75" customHeight="1" x14ac:dyDescent="0.3">
      <c r="A30" s="84" t="s">
        <v>118</v>
      </c>
      <c r="B30" s="48"/>
      <c r="C30" s="48"/>
      <c r="D30" s="48"/>
      <c r="E30" s="48"/>
      <c r="F30" s="48"/>
      <c r="G30" s="48"/>
      <c r="H30" s="48"/>
      <c r="I30" s="48"/>
      <c r="J30" s="48"/>
      <c r="K30" s="48"/>
      <c r="L30" s="48"/>
      <c r="M30" s="48"/>
      <c r="N30" s="48"/>
    </row>
    <row r="31" spans="1:14" s="40" customFormat="1" ht="15.5" x14ac:dyDescent="0.3">
      <c r="A31" s="80" t="s">
        <v>98</v>
      </c>
    </row>
    <row r="32" spans="1:14" s="40" customFormat="1" ht="15.5" x14ac:dyDescent="0.3">
      <c r="A32" s="80" t="s">
        <v>99</v>
      </c>
    </row>
    <row r="33" spans="1:1" s="40" customFormat="1" ht="15.5" x14ac:dyDescent="0.3">
      <c r="A33" s="80" t="s">
        <v>120</v>
      </c>
    </row>
    <row r="34" spans="1:1" s="40" customFormat="1" ht="15.5" x14ac:dyDescent="0.3">
      <c r="A34" s="80" t="s">
        <v>100</v>
      </c>
    </row>
    <row r="35" spans="1:1" s="40" customFormat="1" ht="15.5" x14ac:dyDescent="0.3">
      <c r="A35" s="80" t="s">
        <v>101</v>
      </c>
    </row>
    <row r="36" spans="1:1" s="40" customFormat="1" ht="13" x14ac:dyDescent="0.3"/>
  </sheetData>
  <mergeCells count="1">
    <mergeCell ref="F23:H23"/>
  </mergeCells>
  <pageMargins left="0.7" right="0.7" top="0.75" bottom="0.7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3841-78A7-4BD9-9641-E1B8469304CB}">
  <dimension ref="A1:J12"/>
  <sheetViews>
    <sheetView workbookViewId="0">
      <selection activeCell="A27" sqref="A27"/>
    </sheetView>
  </sheetViews>
  <sheetFormatPr defaultRowHeight="14.5" x14ac:dyDescent="0.35"/>
  <cols>
    <col min="1" max="1" width="52.7265625" customWidth="1"/>
    <col min="2" max="2" width="14.1796875" customWidth="1"/>
    <col min="3" max="9" width="12.54296875" customWidth="1"/>
  </cols>
  <sheetData>
    <row r="1" spans="1:10" ht="15.5" x14ac:dyDescent="0.35">
      <c r="A1" s="19" t="s">
        <v>102</v>
      </c>
    </row>
    <row r="2" spans="1:10" ht="15.5" x14ac:dyDescent="0.35">
      <c r="A2" s="19"/>
    </row>
    <row r="3" spans="1:10" x14ac:dyDescent="0.35">
      <c r="F3" s="39">
        <f>Industry!J2</f>
        <v>121.884</v>
      </c>
      <c r="G3" s="39">
        <f>Industry!K2</f>
        <v>148.80600000000001</v>
      </c>
      <c r="H3" s="39">
        <f>Industry!L2</f>
        <v>60.69</v>
      </c>
    </row>
    <row r="4" spans="1:10" s="1" customFormat="1" ht="15.5" x14ac:dyDescent="0.35">
      <c r="A4" s="21" t="s">
        <v>0</v>
      </c>
      <c r="B4" s="22" t="s">
        <v>1</v>
      </c>
      <c r="C4" s="22" t="s">
        <v>3</v>
      </c>
      <c r="D4" s="22" t="s">
        <v>5</v>
      </c>
      <c r="E4" s="22" t="s">
        <v>7</v>
      </c>
      <c r="F4" s="22" t="s">
        <v>9</v>
      </c>
      <c r="G4" s="22" t="s">
        <v>11</v>
      </c>
      <c r="H4" s="22" t="s">
        <v>12</v>
      </c>
      <c r="I4" s="22" t="s">
        <v>13</v>
      </c>
      <c r="J4" s="13"/>
    </row>
    <row r="5" spans="1:10" s="1" customFormat="1" ht="52" x14ac:dyDescent="0.35">
      <c r="A5" s="12"/>
      <c r="B5" s="23" t="s">
        <v>2</v>
      </c>
      <c r="C5" s="23" t="s">
        <v>4</v>
      </c>
      <c r="D5" s="23" t="s">
        <v>6</v>
      </c>
      <c r="E5" s="23" t="s">
        <v>8</v>
      </c>
      <c r="F5" s="23" t="s">
        <v>10</v>
      </c>
      <c r="G5" s="23" t="s">
        <v>44</v>
      </c>
      <c r="H5" s="23" t="s">
        <v>45</v>
      </c>
      <c r="I5" s="23" t="s">
        <v>14</v>
      </c>
      <c r="J5" s="13"/>
    </row>
    <row r="6" spans="1:10" ht="15.5" x14ac:dyDescent="0.35">
      <c r="A6" s="30" t="s">
        <v>18</v>
      </c>
      <c r="B6" s="33"/>
      <c r="C6" s="32"/>
      <c r="D6" s="33"/>
      <c r="E6" s="33"/>
      <c r="F6" s="33"/>
      <c r="G6" s="33"/>
      <c r="H6" s="33"/>
      <c r="I6" s="34"/>
      <c r="J6" s="45"/>
    </row>
    <row r="7" spans="1:10" ht="15.5" x14ac:dyDescent="0.35">
      <c r="A7" s="30" t="s">
        <v>19</v>
      </c>
      <c r="B7" s="33"/>
      <c r="C7" s="33"/>
      <c r="D7" s="33"/>
      <c r="E7" s="35"/>
      <c r="F7" s="33"/>
      <c r="G7" s="33"/>
      <c r="H7" s="33"/>
      <c r="I7" s="34"/>
      <c r="J7" s="13"/>
    </row>
    <row r="8" spans="1:10" ht="16" x14ac:dyDescent="0.35">
      <c r="A8" s="36" t="s">
        <v>68</v>
      </c>
      <c r="B8" s="31">
        <f>Industry!B12</f>
        <v>48</v>
      </c>
      <c r="C8" s="31">
        <v>1</v>
      </c>
      <c r="D8" s="31">
        <f>Industry!D12</f>
        <v>48</v>
      </c>
      <c r="E8" s="35">
        <v>1</v>
      </c>
      <c r="F8" s="31">
        <f t="shared" ref="F8" si="0">D8*E8</f>
        <v>48</v>
      </c>
      <c r="G8" s="31">
        <f t="shared" ref="G8" si="1">F8*0.05</f>
        <v>2.4000000000000004</v>
      </c>
      <c r="H8" s="31">
        <f t="shared" ref="H8" si="2">F8*0.1</f>
        <v>4.8000000000000007</v>
      </c>
      <c r="I8" s="37">
        <f>F8*F$3+G8*G$3+H8*H$3</f>
        <v>6498.8783999999996</v>
      </c>
      <c r="J8" s="46"/>
    </row>
    <row r="9" spans="1:10" x14ac:dyDescent="0.35">
      <c r="A9" s="30" t="s">
        <v>23</v>
      </c>
      <c r="B9" s="33"/>
      <c r="C9" s="33"/>
      <c r="D9" s="33"/>
      <c r="E9" s="35"/>
      <c r="F9" s="33"/>
      <c r="G9" s="33"/>
      <c r="H9" s="33"/>
      <c r="I9" s="34"/>
      <c r="J9" s="47"/>
    </row>
    <row r="10" spans="1:10" ht="16" x14ac:dyDescent="0.35">
      <c r="A10" s="2" t="s">
        <v>72</v>
      </c>
      <c r="B10" s="3">
        <f>Industry!B27</f>
        <v>2</v>
      </c>
      <c r="C10" s="3">
        <v>1</v>
      </c>
      <c r="D10" s="3">
        <f>Industry!D27</f>
        <v>2</v>
      </c>
      <c r="E10" s="18">
        <v>1</v>
      </c>
      <c r="F10" s="3">
        <f t="shared" ref="F10:F11" si="3">D10*E10</f>
        <v>2</v>
      </c>
      <c r="G10" s="3">
        <f t="shared" ref="G10:G11" si="4">F10*0.05</f>
        <v>0.1</v>
      </c>
      <c r="H10" s="3">
        <f t="shared" ref="H10:H11" si="5">F10*0.1</f>
        <v>0.2</v>
      </c>
      <c r="I10" s="4">
        <f t="shared" ref="I10:I11" si="6">F10*F$3+G10*G$3+H10*H$3</f>
        <v>270.78659999999996</v>
      </c>
      <c r="J10" s="13"/>
    </row>
    <row r="11" spans="1:10" x14ac:dyDescent="0.35">
      <c r="A11" s="2" t="s">
        <v>78</v>
      </c>
      <c r="B11" s="3" t="e">
        <f>Industry!#REF!</f>
        <v>#REF!</v>
      </c>
      <c r="C11" s="3">
        <v>1</v>
      </c>
      <c r="D11" s="3" t="e">
        <f>Industry!#REF!</f>
        <v>#REF!</v>
      </c>
      <c r="E11" s="3">
        <v>1</v>
      </c>
      <c r="F11" s="3" t="e">
        <f t="shared" si="3"/>
        <v>#REF!</v>
      </c>
      <c r="G11" s="3" t="e">
        <f t="shared" si="4"/>
        <v>#REF!</v>
      </c>
      <c r="H11" s="3" t="e">
        <f t="shared" si="5"/>
        <v>#REF!</v>
      </c>
      <c r="I11" s="14" t="e">
        <f t="shared" si="6"/>
        <v>#REF!</v>
      </c>
    </row>
    <row r="12" spans="1:10" x14ac:dyDescent="0.35">
      <c r="A12" s="15" t="s">
        <v>28</v>
      </c>
      <c r="B12" s="16"/>
      <c r="C12" s="16"/>
      <c r="D12" s="16"/>
      <c r="E12" s="16"/>
      <c r="F12" s="101">
        <f>SUM(F6:H10)</f>
        <v>57.500000000000007</v>
      </c>
      <c r="G12" s="102"/>
      <c r="H12" s="103"/>
      <c r="I12" s="44" t="e">
        <f>ROUND(SUM(I6:I11),-2)</f>
        <v>#REF!</v>
      </c>
    </row>
  </sheetData>
  <mergeCells count="1">
    <mergeCell ref="F12:H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Industry</vt:lpstr>
      <vt:lpstr>Agency</vt:lpstr>
      <vt:lpstr>Reporting_for_Test</vt:lpstr>
      <vt:lpstr>Industry!_GoBack</vt:lpstr>
      <vt:lpstr>Agency!Print_Area</vt:lpstr>
      <vt:lpstr>Industry!Print_Area</vt:lpstr>
      <vt:lpstr>Industry!Print_Titles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Salahuddin, Diane</cp:lastModifiedBy>
  <cp:lastPrinted>2020-12-02T17:04:29Z</cp:lastPrinted>
  <dcterms:created xsi:type="dcterms:W3CDTF">2015-03-31T15:02:34Z</dcterms:created>
  <dcterms:modified xsi:type="dcterms:W3CDTF">2021-01-13T23:46:23Z</dcterms:modified>
</cp:coreProperties>
</file>