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a.Sandberg\OneDrive - USDA\Documents\0584-0613 Generic Clearance for Quick Response Surveys 2021 Renewal\ICR from PO 2.24.21\"/>
    </mc:Choice>
  </mc:AlternateContent>
  <bookViews>
    <workbookView xWindow="390" yWindow="390" windowWidth="18780" windowHeight="9360"/>
  </bookViews>
  <sheets>
    <sheet name="Full" sheetId="1" r:id="rId1"/>
  </sheets>
  <definedNames>
    <definedName name="_xlnm._FilterDatabase" localSheetId="0" hidden="1">Full!$A$3:$T$205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6" i="1" l="1"/>
  <c r="C230" i="1"/>
  <c r="D193" i="1"/>
  <c r="D188" i="1"/>
  <c r="D148" i="1"/>
  <c r="D143" i="1"/>
  <c r="D138" i="1"/>
  <c r="D133" i="1"/>
  <c r="D203" i="1"/>
  <c r="D127" i="1"/>
  <c r="D122" i="1"/>
  <c r="D117" i="1"/>
  <c r="D102" i="1"/>
  <c r="D97" i="1"/>
  <c r="D82" i="1"/>
  <c r="D77" i="1"/>
  <c r="D132" i="1"/>
  <c r="C231" i="1"/>
  <c r="D231" i="1"/>
  <c r="C232" i="1"/>
  <c r="D204" i="1"/>
  <c r="C233" i="1"/>
  <c r="E127" i="1"/>
  <c r="E122" i="1"/>
  <c r="E117" i="1"/>
  <c r="E112" i="1"/>
  <c r="E107" i="1"/>
  <c r="E102" i="1"/>
  <c r="E97" i="1"/>
  <c r="E92" i="1"/>
  <c r="E87" i="1"/>
  <c r="E82" i="1"/>
  <c r="E77" i="1"/>
  <c r="E132" i="1"/>
  <c r="E4" i="1"/>
  <c r="E13" i="1"/>
  <c r="E22" i="1"/>
  <c r="E40" i="1"/>
  <c r="E49" i="1"/>
  <c r="E58" i="1"/>
  <c r="E67" i="1"/>
  <c r="E31" i="1"/>
  <c r="E76" i="1"/>
  <c r="E193" i="1"/>
  <c r="E188" i="1"/>
  <c r="E183" i="1"/>
  <c r="E168" i="1"/>
  <c r="E163" i="1"/>
  <c r="E148" i="1"/>
  <c r="E143" i="1"/>
  <c r="E138" i="1"/>
  <c r="E133" i="1"/>
  <c r="E203" i="1"/>
  <c r="E204" i="1"/>
  <c r="E209" i="1"/>
  <c r="J127" i="1"/>
  <c r="J122" i="1"/>
  <c r="J117" i="1"/>
  <c r="J112" i="1"/>
  <c r="J107" i="1"/>
  <c r="J102" i="1"/>
  <c r="J97" i="1"/>
  <c r="J92" i="1"/>
  <c r="J87" i="1"/>
  <c r="J82" i="1"/>
  <c r="J77" i="1"/>
  <c r="J132" i="1"/>
  <c r="J4" i="1"/>
  <c r="J13" i="1"/>
  <c r="J22" i="1"/>
  <c r="J40" i="1"/>
  <c r="J49" i="1"/>
  <c r="J58" i="1"/>
  <c r="J67" i="1"/>
  <c r="J31" i="1"/>
  <c r="J76" i="1"/>
  <c r="J198" i="1"/>
  <c r="J193" i="1"/>
  <c r="J188" i="1"/>
  <c r="J183" i="1"/>
  <c r="J178" i="1"/>
  <c r="J173" i="1"/>
  <c r="J168" i="1"/>
  <c r="J163" i="1"/>
  <c r="J158" i="1"/>
  <c r="J153" i="1"/>
  <c r="J148" i="1"/>
  <c r="J143" i="1"/>
  <c r="J138" i="1"/>
  <c r="J133" i="1"/>
  <c r="J203" i="1"/>
  <c r="J204" i="1"/>
  <c r="E210" i="1"/>
  <c r="F208" i="1"/>
  <c r="L77" i="1"/>
  <c r="N77" i="1"/>
  <c r="G77" i="1"/>
  <c r="I77" i="1"/>
  <c r="Q77" i="1"/>
  <c r="S77" i="1"/>
  <c r="D78" i="1"/>
  <c r="E78" i="1"/>
  <c r="J78" i="1"/>
  <c r="L78" i="1"/>
  <c r="N78" i="1"/>
  <c r="G78" i="1"/>
  <c r="I78" i="1"/>
  <c r="Q78" i="1"/>
  <c r="S78" i="1"/>
  <c r="D79" i="1"/>
  <c r="E79" i="1"/>
  <c r="J79" i="1"/>
  <c r="L79" i="1"/>
  <c r="N79" i="1"/>
  <c r="G79" i="1"/>
  <c r="I79" i="1"/>
  <c r="Q79" i="1"/>
  <c r="S79" i="1"/>
  <c r="D80" i="1"/>
  <c r="E80" i="1"/>
  <c r="J80" i="1"/>
  <c r="L80" i="1"/>
  <c r="N80" i="1"/>
  <c r="G80" i="1"/>
  <c r="I80" i="1"/>
  <c r="Q80" i="1"/>
  <c r="S80" i="1"/>
  <c r="D81" i="1"/>
  <c r="E81" i="1"/>
  <c r="J81" i="1"/>
  <c r="L81" i="1"/>
  <c r="N81" i="1"/>
  <c r="G81" i="1"/>
  <c r="I81" i="1"/>
  <c r="Q81" i="1"/>
  <c r="S81" i="1"/>
  <c r="L82" i="1"/>
  <c r="N82" i="1"/>
  <c r="G82" i="1"/>
  <c r="I82" i="1"/>
  <c r="Q82" i="1"/>
  <c r="S82" i="1"/>
  <c r="D83" i="1"/>
  <c r="E83" i="1"/>
  <c r="J83" i="1"/>
  <c r="L83" i="1"/>
  <c r="N83" i="1"/>
  <c r="G83" i="1"/>
  <c r="I83" i="1"/>
  <c r="Q83" i="1"/>
  <c r="S83" i="1"/>
  <c r="D84" i="1"/>
  <c r="E84" i="1"/>
  <c r="J84" i="1"/>
  <c r="L84" i="1"/>
  <c r="N84" i="1"/>
  <c r="G84" i="1"/>
  <c r="I84" i="1"/>
  <c r="Q84" i="1"/>
  <c r="S84" i="1"/>
  <c r="D85" i="1"/>
  <c r="E85" i="1"/>
  <c r="J85" i="1"/>
  <c r="L85" i="1"/>
  <c r="N85" i="1"/>
  <c r="G85" i="1"/>
  <c r="I85" i="1"/>
  <c r="Q85" i="1"/>
  <c r="S85" i="1"/>
  <c r="D86" i="1"/>
  <c r="E86" i="1"/>
  <c r="J86" i="1"/>
  <c r="L86" i="1"/>
  <c r="N86" i="1"/>
  <c r="G86" i="1"/>
  <c r="I86" i="1"/>
  <c r="Q86" i="1"/>
  <c r="S86" i="1"/>
  <c r="L87" i="1"/>
  <c r="N87" i="1"/>
  <c r="G87" i="1"/>
  <c r="I87" i="1"/>
  <c r="Q87" i="1"/>
  <c r="S87" i="1"/>
  <c r="D88" i="1"/>
  <c r="E88" i="1"/>
  <c r="J88" i="1"/>
  <c r="L88" i="1"/>
  <c r="N88" i="1"/>
  <c r="G88" i="1"/>
  <c r="I88" i="1"/>
  <c r="Q88" i="1"/>
  <c r="S88" i="1"/>
  <c r="D89" i="1"/>
  <c r="E89" i="1"/>
  <c r="J89" i="1"/>
  <c r="L89" i="1"/>
  <c r="N89" i="1"/>
  <c r="G89" i="1"/>
  <c r="I89" i="1"/>
  <c r="Q89" i="1"/>
  <c r="S89" i="1"/>
  <c r="D90" i="1"/>
  <c r="E90" i="1"/>
  <c r="J90" i="1"/>
  <c r="L90" i="1"/>
  <c r="N90" i="1"/>
  <c r="G90" i="1"/>
  <c r="I90" i="1"/>
  <c r="Q90" i="1"/>
  <c r="S90" i="1"/>
  <c r="D91" i="1"/>
  <c r="E91" i="1"/>
  <c r="J91" i="1"/>
  <c r="L91" i="1"/>
  <c r="N91" i="1"/>
  <c r="G91" i="1"/>
  <c r="I91" i="1"/>
  <c r="Q91" i="1"/>
  <c r="S91" i="1"/>
  <c r="L92" i="1"/>
  <c r="N92" i="1"/>
  <c r="G92" i="1"/>
  <c r="I92" i="1"/>
  <c r="Q92" i="1"/>
  <c r="S92" i="1"/>
  <c r="D93" i="1"/>
  <c r="E93" i="1"/>
  <c r="J93" i="1"/>
  <c r="L93" i="1"/>
  <c r="N93" i="1"/>
  <c r="G93" i="1"/>
  <c r="I93" i="1"/>
  <c r="Q93" i="1"/>
  <c r="S93" i="1"/>
  <c r="D94" i="1"/>
  <c r="E94" i="1"/>
  <c r="J94" i="1"/>
  <c r="L94" i="1"/>
  <c r="N94" i="1"/>
  <c r="G94" i="1"/>
  <c r="I94" i="1"/>
  <c r="Q94" i="1"/>
  <c r="S94" i="1"/>
  <c r="D95" i="1"/>
  <c r="E95" i="1"/>
  <c r="J95" i="1"/>
  <c r="L95" i="1"/>
  <c r="N95" i="1"/>
  <c r="G95" i="1"/>
  <c r="I95" i="1"/>
  <c r="Q95" i="1"/>
  <c r="S95" i="1"/>
  <c r="D96" i="1"/>
  <c r="E96" i="1"/>
  <c r="J96" i="1"/>
  <c r="L96" i="1"/>
  <c r="N96" i="1"/>
  <c r="G96" i="1"/>
  <c r="I96" i="1"/>
  <c r="Q96" i="1"/>
  <c r="S96" i="1"/>
  <c r="L97" i="1"/>
  <c r="N97" i="1"/>
  <c r="G97" i="1"/>
  <c r="I97" i="1"/>
  <c r="Q97" i="1"/>
  <c r="S97" i="1"/>
  <c r="D98" i="1"/>
  <c r="E98" i="1"/>
  <c r="J98" i="1"/>
  <c r="L98" i="1"/>
  <c r="N98" i="1"/>
  <c r="G98" i="1"/>
  <c r="I98" i="1"/>
  <c r="Q98" i="1"/>
  <c r="S98" i="1"/>
  <c r="D99" i="1"/>
  <c r="E99" i="1"/>
  <c r="J99" i="1"/>
  <c r="L99" i="1"/>
  <c r="N99" i="1"/>
  <c r="G99" i="1"/>
  <c r="I99" i="1"/>
  <c r="Q99" i="1"/>
  <c r="S99" i="1"/>
  <c r="D100" i="1"/>
  <c r="E100" i="1"/>
  <c r="J100" i="1"/>
  <c r="L100" i="1"/>
  <c r="N100" i="1"/>
  <c r="G100" i="1"/>
  <c r="I100" i="1"/>
  <c r="Q100" i="1"/>
  <c r="S100" i="1"/>
  <c r="D101" i="1"/>
  <c r="E101" i="1"/>
  <c r="J101" i="1"/>
  <c r="L101" i="1"/>
  <c r="N101" i="1"/>
  <c r="G101" i="1"/>
  <c r="I101" i="1"/>
  <c r="Q101" i="1"/>
  <c r="S101" i="1"/>
  <c r="L102" i="1"/>
  <c r="N102" i="1"/>
  <c r="G102" i="1"/>
  <c r="I102" i="1"/>
  <c r="Q102" i="1"/>
  <c r="S102" i="1"/>
  <c r="D103" i="1"/>
  <c r="E103" i="1"/>
  <c r="J103" i="1"/>
  <c r="L103" i="1"/>
  <c r="N103" i="1"/>
  <c r="G103" i="1"/>
  <c r="I103" i="1"/>
  <c r="Q103" i="1"/>
  <c r="S103" i="1"/>
  <c r="D104" i="1"/>
  <c r="E104" i="1"/>
  <c r="J104" i="1"/>
  <c r="L104" i="1"/>
  <c r="N104" i="1"/>
  <c r="G104" i="1"/>
  <c r="I104" i="1"/>
  <c r="Q104" i="1"/>
  <c r="S104" i="1"/>
  <c r="D105" i="1"/>
  <c r="E105" i="1"/>
  <c r="J105" i="1"/>
  <c r="L105" i="1"/>
  <c r="N105" i="1"/>
  <c r="G105" i="1"/>
  <c r="I105" i="1"/>
  <c r="Q105" i="1"/>
  <c r="S105" i="1"/>
  <c r="D106" i="1"/>
  <c r="E106" i="1"/>
  <c r="J106" i="1"/>
  <c r="L106" i="1"/>
  <c r="N106" i="1"/>
  <c r="G106" i="1"/>
  <c r="I106" i="1"/>
  <c r="Q106" i="1"/>
  <c r="S106" i="1"/>
  <c r="L107" i="1"/>
  <c r="N107" i="1"/>
  <c r="G107" i="1"/>
  <c r="I107" i="1"/>
  <c r="Q107" i="1"/>
  <c r="S107" i="1"/>
  <c r="D108" i="1"/>
  <c r="E108" i="1"/>
  <c r="J108" i="1"/>
  <c r="L108" i="1"/>
  <c r="N108" i="1"/>
  <c r="G108" i="1"/>
  <c r="I108" i="1"/>
  <c r="Q108" i="1"/>
  <c r="S108" i="1"/>
  <c r="D109" i="1"/>
  <c r="E109" i="1"/>
  <c r="J109" i="1"/>
  <c r="L109" i="1"/>
  <c r="N109" i="1"/>
  <c r="G109" i="1"/>
  <c r="I109" i="1"/>
  <c r="Q109" i="1"/>
  <c r="S109" i="1"/>
  <c r="D110" i="1"/>
  <c r="E110" i="1"/>
  <c r="J110" i="1"/>
  <c r="L110" i="1"/>
  <c r="N110" i="1"/>
  <c r="G110" i="1"/>
  <c r="I110" i="1"/>
  <c r="Q110" i="1"/>
  <c r="S110" i="1"/>
  <c r="D111" i="1"/>
  <c r="E111" i="1"/>
  <c r="J111" i="1"/>
  <c r="L111" i="1"/>
  <c r="N111" i="1"/>
  <c r="G111" i="1"/>
  <c r="I111" i="1"/>
  <c r="Q111" i="1"/>
  <c r="S111" i="1"/>
  <c r="L112" i="1"/>
  <c r="N112" i="1"/>
  <c r="G112" i="1"/>
  <c r="I112" i="1"/>
  <c r="Q112" i="1"/>
  <c r="S112" i="1"/>
  <c r="D113" i="1"/>
  <c r="E113" i="1"/>
  <c r="J113" i="1"/>
  <c r="L113" i="1"/>
  <c r="N113" i="1"/>
  <c r="G113" i="1"/>
  <c r="I113" i="1"/>
  <c r="Q113" i="1"/>
  <c r="S113" i="1"/>
  <c r="D114" i="1"/>
  <c r="E114" i="1"/>
  <c r="J114" i="1"/>
  <c r="L114" i="1"/>
  <c r="N114" i="1"/>
  <c r="G114" i="1"/>
  <c r="I114" i="1"/>
  <c r="Q114" i="1"/>
  <c r="S114" i="1"/>
  <c r="D115" i="1"/>
  <c r="E115" i="1"/>
  <c r="J115" i="1"/>
  <c r="L115" i="1"/>
  <c r="N115" i="1"/>
  <c r="G115" i="1"/>
  <c r="I115" i="1"/>
  <c r="Q115" i="1"/>
  <c r="S115" i="1"/>
  <c r="D116" i="1"/>
  <c r="E116" i="1"/>
  <c r="J116" i="1"/>
  <c r="L116" i="1"/>
  <c r="N116" i="1"/>
  <c r="G116" i="1"/>
  <c r="I116" i="1"/>
  <c r="Q116" i="1"/>
  <c r="S116" i="1"/>
  <c r="L117" i="1"/>
  <c r="N117" i="1"/>
  <c r="G117" i="1"/>
  <c r="I117" i="1"/>
  <c r="Q117" i="1"/>
  <c r="S117" i="1"/>
  <c r="D118" i="1"/>
  <c r="E118" i="1"/>
  <c r="J118" i="1"/>
  <c r="L118" i="1"/>
  <c r="N118" i="1"/>
  <c r="G118" i="1"/>
  <c r="I118" i="1"/>
  <c r="Q118" i="1"/>
  <c r="S118" i="1"/>
  <c r="D119" i="1"/>
  <c r="E119" i="1"/>
  <c r="J119" i="1"/>
  <c r="L119" i="1"/>
  <c r="N119" i="1"/>
  <c r="G119" i="1"/>
  <c r="I119" i="1"/>
  <c r="Q119" i="1"/>
  <c r="S119" i="1"/>
  <c r="D120" i="1"/>
  <c r="E120" i="1"/>
  <c r="J120" i="1"/>
  <c r="L120" i="1"/>
  <c r="N120" i="1"/>
  <c r="G120" i="1"/>
  <c r="I120" i="1"/>
  <c r="Q120" i="1"/>
  <c r="S120" i="1"/>
  <c r="D121" i="1"/>
  <c r="E121" i="1"/>
  <c r="J121" i="1"/>
  <c r="L121" i="1"/>
  <c r="N121" i="1"/>
  <c r="G121" i="1"/>
  <c r="I121" i="1"/>
  <c r="Q121" i="1"/>
  <c r="S121" i="1"/>
  <c r="L122" i="1"/>
  <c r="N122" i="1"/>
  <c r="G122" i="1"/>
  <c r="I122" i="1"/>
  <c r="Q122" i="1"/>
  <c r="S122" i="1"/>
  <c r="D123" i="1"/>
  <c r="E123" i="1"/>
  <c r="J123" i="1"/>
  <c r="L123" i="1"/>
  <c r="N123" i="1"/>
  <c r="G123" i="1"/>
  <c r="I123" i="1"/>
  <c r="Q123" i="1"/>
  <c r="S123" i="1"/>
  <c r="D124" i="1"/>
  <c r="E124" i="1"/>
  <c r="J124" i="1"/>
  <c r="L124" i="1"/>
  <c r="N124" i="1"/>
  <c r="G124" i="1"/>
  <c r="I124" i="1"/>
  <c r="Q124" i="1"/>
  <c r="S124" i="1"/>
  <c r="D125" i="1"/>
  <c r="E125" i="1"/>
  <c r="J125" i="1"/>
  <c r="L125" i="1"/>
  <c r="N125" i="1"/>
  <c r="G125" i="1"/>
  <c r="I125" i="1"/>
  <c r="Q125" i="1"/>
  <c r="S125" i="1"/>
  <c r="D126" i="1"/>
  <c r="E126" i="1"/>
  <c r="J126" i="1"/>
  <c r="L126" i="1"/>
  <c r="N126" i="1"/>
  <c r="G126" i="1"/>
  <c r="I126" i="1"/>
  <c r="Q126" i="1"/>
  <c r="S126" i="1"/>
  <c r="L127" i="1"/>
  <c r="N127" i="1"/>
  <c r="G127" i="1"/>
  <c r="I127" i="1"/>
  <c r="Q127" i="1"/>
  <c r="S127" i="1"/>
  <c r="D128" i="1"/>
  <c r="E128" i="1"/>
  <c r="J128" i="1"/>
  <c r="L128" i="1"/>
  <c r="N128" i="1"/>
  <c r="G128" i="1"/>
  <c r="I128" i="1"/>
  <c r="Q128" i="1"/>
  <c r="S128" i="1"/>
  <c r="D129" i="1"/>
  <c r="E129" i="1"/>
  <c r="J129" i="1"/>
  <c r="L129" i="1"/>
  <c r="N129" i="1"/>
  <c r="G129" i="1"/>
  <c r="I129" i="1"/>
  <c r="Q129" i="1"/>
  <c r="S129" i="1"/>
  <c r="D130" i="1"/>
  <c r="E130" i="1"/>
  <c r="J130" i="1"/>
  <c r="L130" i="1"/>
  <c r="N130" i="1"/>
  <c r="G130" i="1"/>
  <c r="I130" i="1"/>
  <c r="Q130" i="1"/>
  <c r="S130" i="1"/>
  <c r="D131" i="1"/>
  <c r="E131" i="1"/>
  <c r="J131" i="1"/>
  <c r="L131" i="1"/>
  <c r="N131" i="1"/>
  <c r="G131" i="1"/>
  <c r="I131" i="1"/>
  <c r="Q131" i="1"/>
  <c r="S131" i="1"/>
  <c r="S132" i="1"/>
  <c r="G4" i="1"/>
  <c r="I4" i="1"/>
  <c r="L4" i="1"/>
  <c r="N4" i="1"/>
  <c r="Q4" i="1"/>
  <c r="S4" i="1"/>
  <c r="D5" i="1"/>
  <c r="E5" i="1"/>
  <c r="G5" i="1"/>
  <c r="I5" i="1"/>
  <c r="J5" i="1"/>
  <c r="L5" i="1"/>
  <c r="N5" i="1"/>
  <c r="Q5" i="1"/>
  <c r="S5" i="1"/>
  <c r="D6" i="1"/>
  <c r="E6" i="1"/>
  <c r="G6" i="1"/>
  <c r="I6" i="1"/>
  <c r="J6" i="1"/>
  <c r="L6" i="1"/>
  <c r="N6" i="1"/>
  <c r="Q6" i="1"/>
  <c r="S6" i="1"/>
  <c r="D7" i="1"/>
  <c r="E7" i="1"/>
  <c r="G7" i="1"/>
  <c r="I7" i="1"/>
  <c r="J7" i="1"/>
  <c r="L7" i="1"/>
  <c r="N7" i="1"/>
  <c r="Q7" i="1"/>
  <c r="S7" i="1"/>
  <c r="E8" i="1"/>
  <c r="G8" i="1"/>
  <c r="I8" i="1"/>
  <c r="J8" i="1"/>
  <c r="L8" i="1"/>
  <c r="N8" i="1"/>
  <c r="Q8" i="1"/>
  <c r="S8" i="1"/>
  <c r="D9" i="1"/>
  <c r="E9" i="1"/>
  <c r="G9" i="1"/>
  <c r="I9" i="1"/>
  <c r="J9" i="1"/>
  <c r="L9" i="1"/>
  <c r="N9" i="1"/>
  <c r="Q9" i="1"/>
  <c r="S9" i="1"/>
  <c r="D10" i="1"/>
  <c r="E10" i="1"/>
  <c r="G10" i="1"/>
  <c r="I10" i="1"/>
  <c r="J10" i="1"/>
  <c r="L10" i="1"/>
  <c r="N10" i="1"/>
  <c r="Q10" i="1"/>
  <c r="S10" i="1"/>
  <c r="D11" i="1"/>
  <c r="E11" i="1"/>
  <c r="G11" i="1"/>
  <c r="I11" i="1"/>
  <c r="J11" i="1"/>
  <c r="L11" i="1"/>
  <c r="N11" i="1"/>
  <c r="Q11" i="1"/>
  <c r="S11" i="1"/>
  <c r="D12" i="1"/>
  <c r="E12" i="1"/>
  <c r="G12" i="1"/>
  <c r="I12" i="1"/>
  <c r="J12" i="1"/>
  <c r="L12" i="1"/>
  <c r="N12" i="1"/>
  <c r="Q12" i="1"/>
  <c r="S12" i="1"/>
  <c r="G13" i="1"/>
  <c r="I13" i="1"/>
  <c r="L13" i="1"/>
  <c r="N13" i="1"/>
  <c r="Q13" i="1"/>
  <c r="S13" i="1"/>
  <c r="D14" i="1"/>
  <c r="E14" i="1"/>
  <c r="G14" i="1"/>
  <c r="I14" i="1"/>
  <c r="J14" i="1"/>
  <c r="L14" i="1"/>
  <c r="N14" i="1"/>
  <c r="Q14" i="1"/>
  <c r="S14" i="1"/>
  <c r="D15" i="1"/>
  <c r="E15" i="1"/>
  <c r="G15" i="1"/>
  <c r="I15" i="1"/>
  <c r="J15" i="1"/>
  <c r="L15" i="1"/>
  <c r="N15" i="1"/>
  <c r="Q15" i="1"/>
  <c r="S15" i="1"/>
  <c r="D16" i="1"/>
  <c r="E16" i="1"/>
  <c r="G16" i="1"/>
  <c r="I16" i="1"/>
  <c r="J16" i="1"/>
  <c r="L16" i="1"/>
  <c r="N16" i="1"/>
  <c r="Q16" i="1"/>
  <c r="S16" i="1"/>
  <c r="E17" i="1"/>
  <c r="G17" i="1"/>
  <c r="I17" i="1"/>
  <c r="J17" i="1"/>
  <c r="L17" i="1"/>
  <c r="N17" i="1"/>
  <c r="Q17" i="1"/>
  <c r="S17" i="1"/>
  <c r="D18" i="1"/>
  <c r="E18" i="1"/>
  <c r="G18" i="1"/>
  <c r="I18" i="1"/>
  <c r="J18" i="1"/>
  <c r="L18" i="1"/>
  <c r="N18" i="1"/>
  <c r="Q18" i="1"/>
  <c r="S18" i="1"/>
  <c r="D19" i="1"/>
  <c r="E19" i="1"/>
  <c r="G19" i="1"/>
  <c r="I19" i="1"/>
  <c r="J19" i="1"/>
  <c r="L19" i="1"/>
  <c r="N19" i="1"/>
  <c r="Q19" i="1"/>
  <c r="S19" i="1"/>
  <c r="D20" i="1"/>
  <c r="E20" i="1"/>
  <c r="G20" i="1"/>
  <c r="I20" i="1"/>
  <c r="J20" i="1"/>
  <c r="L20" i="1"/>
  <c r="N20" i="1"/>
  <c r="Q20" i="1"/>
  <c r="S20" i="1"/>
  <c r="D21" i="1"/>
  <c r="E21" i="1"/>
  <c r="G21" i="1"/>
  <c r="I21" i="1"/>
  <c r="J21" i="1"/>
  <c r="L21" i="1"/>
  <c r="N21" i="1"/>
  <c r="Q21" i="1"/>
  <c r="S21" i="1"/>
  <c r="G22" i="1"/>
  <c r="I22" i="1"/>
  <c r="L22" i="1"/>
  <c r="N22" i="1"/>
  <c r="Q22" i="1"/>
  <c r="S22" i="1"/>
  <c r="D23" i="1"/>
  <c r="E23" i="1"/>
  <c r="G23" i="1"/>
  <c r="I23" i="1"/>
  <c r="J23" i="1"/>
  <c r="L23" i="1"/>
  <c r="N23" i="1"/>
  <c r="Q23" i="1"/>
  <c r="S23" i="1"/>
  <c r="D24" i="1"/>
  <c r="E24" i="1"/>
  <c r="G24" i="1"/>
  <c r="I24" i="1"/>
  <c r="J24" i="1"/>
  <c r="L24" i="1"/>
  <c r="N24" i="1"/>
  <c r="Q24" i="1"/>
  <c r="S24" i="1"/>
  <c r="D25" i="1"/>
  <c r="E25" i="1"/>
  <c r="G25" i="1"/>
  <c r="I25" i="1"/>
  <c r="J25" i="1"/>
  <c r="L25" i="1"/>
  <c r="N25" i="1"/>
  <c r="Q25" i="1"/>
  <c r="S25" i="1"/>
  <c r="E26" i="1"/>
  <c r="G26" i="1"/>
  <c r="I26" i="1"/>
  <c r="J26" i="1"/>
  <c r="L26" i="1"/>
  <c r="N26" i="1"/>
  <c r="Q26" i="1"/>
  <c r="S26" i="1"/>
  <c r="D27" i="1"/>
  <c r="E27" i="1"/>
  <c r="G27" i="1"/>
  <c r="I27" i="1"/>
  <c r="J27" i="1"/>
  <c r="L27" i="1"/>
  <c r="N27" i="1"/>
  <c r="Q27" i="1"/>
  <c r="S27" i="1"/>
  <c r="D28" i="1"/>
  <c r="E28" i="1"/>
  <c r="G28" i="1"/>
  <c r="I28" i="1"/>
  <c r="J28" i="1"/>
  <c r="L28" i="1"/>
  <c r="N28" i="1"/>
  <c r="Q28" i="1"/>
  <c r="S28" i="1"/>
  <c r="D29" i="1"/>
  <c r="E29" i="1"/>
  <c r="G29" i="1"/>
  <c r="I29" i="1"/>
  <c r="J29" i="1"/>
  <c r="L29" i="1"/>
  <c r="N29" i="1"/>
  <c r="Q29" i="1"/>
  <c r="S29" i="1"/>
  <c r="D30" i="1"/>
  <c r="E30" i="1"/>
  <c r="G30" i="1"/>
  <c r="I30" i="1"/>
  <c r="J30" i="1"/>
  <c r="L30" i="1"/>
  <c r="N30" i="1"/>
  <c r="Q30" i="1"/>
  <c r="S30" i="1"/>
  <c r="G31" i="1"/>
  <c r="I31" i="1"/>
  <c r="L31" i="1"/>
  <c r="N31" i="1"/>
  <c r="Q31" i="1"/>
  <c r="S31" i="1"/>
  <c r="D32" i="1"/>
  <c r="E32" i="1"/>
  <c r="G32" i="1"/>
  <c r="I32" i="1"/>
  <c r="J32" i="1"/>
  <c r="L32" i="1"/>
  <c r="N32" i="1"/>
  <c r="Q32" i="1"/>
  <c r="S32" i="1"/>
  <c r="D33" i="1"/>
  <c r="E33" i="1"/>
  <c r="G33" i="1"/>
  <c r="I33" i="1"/>
  <c r="J33" i="1"/>
  <c r="L33" i="1"/>
  <c r="N33" i="1"/>
  <c r="Q33" i="1"/>
  <c r="S33" i="1"/>
  <c r="D34" i="1"/>
  <c r="E34" i="1"/>
  <c r="G34" i="1"/>
  <c r="I34" i="1"/>
  <c r="J34" i="1"/>
  <c r="L34" i="1"/>
  <c r="N34" i="1"/>
  <c r="Q34" i="1"/>
  <c r="S34" i="1"/>
  <c r="E35" i="1"/>
  <c r="G35" i="1"/>
  <c r="I35" i="1"/>
  <c r="J35" i="1"/>
  <c r="L35" i="1"/>
  <c r="N35" i="1"/>
  <c r="Q35" i="1"/>
  <c r="S35" i="1"/>
  <c r="D36" i="1"/>
  <c r="E36" i="1"/>
  <c r="G36" i="1"/>
  <c r="I36" i="1"/>
  <c r="J36" i="1"/>
  <c r="L36" i="1"/>
  <c r="N36" i="1"/>
  <c r="Q36" i="1"/>
  <c r="S36" i="1"/>
  <c r="D37" i="1"/>
  <c r="E37" i="1"/>
  <c r="G37" i="1"/>
  <c r="I37" i="1"/>
  <c r="J37" i="1"/>
  <c r="L37" i="1"/>
  <c r="N37" i="1"/>
  <c r="Q37" i="1"/>
  <c r="S37" i="1"/>
  <c r="D38" i="1"/>
  <c r="E38" i="1"/>
  <c r="G38" i="1"/>
  <c r="I38" i="1"/>
  <c r="J38" i="1"/>
  <c r="L38" i="1"/>
  <c r="N38" i="1"/>
  <c r="Q38" i="1"/>
  <c r="S38" i="1"/>
  <c r="D39" i="1"/>
  <c r="E39" i="1"/>
  <c r="G39" i="1"/>
  <c r="I39" i="1"/>
  <c r="J39" i="1"/>
  <c r="L39" i="1"/>
  <c r="N39" i="1"/>
  <c r="Q39" i="1"/>
  <c r="S39" i="1"/>
  <c r="G40" i="1"/>
  <c r="I40" i="1"/>
  <c r="L40" i="1"/>
  <c r="N40" i="1"/>
  <c r="Q40" i="1"/>
  <c r="S40" i="1"/>
  <c r="D41" i="1"/>
  <c r="E41" i="1"/>
  <c r="G41" i="1"/>
  <c r="I41" i="1"/>
  <c r="J41" i="1"/>
  <c r="L41" i="1"/>
  <c r="N41" i="1"/>
  <c r="Q41" i="1"/>
  <c r="S41" i="1"/>
  <c r="D42" i="1"/>
  <c r="E42" i="1"/>
  <c r="G42" i="1"/>
  <c r="I42" i="1"/>
  <c r="J42" i="1"/>
  <c r="L42" i="1"/>
  <c r="N42" i="1"/>
  <c r="Q42" i="1"/>
  <c r="S42" i="1"/>
  <c r="D43" i="1"/>
  <c r="E43" i="1"/>
  <c r="G43" i="1"/>
  <c r="I43" i="1"/>
  <c r="J43" i="1"/>
  <c r="L43" i="1"/>
  <c r="N43" i="1"/>
  <c r="Q43" i="1"/>
  <c r="S43" i="1"/>
  <c r="E44" i="1"/>
  <c r="G44" i="1"/>
  <c r="I44" i="1"/>
  <c r="J44" i="1"/>
  <c r="L44" i="1"/>
  <c r="N44" i="1"/>
  <c r="Q44" i="1"/>
  <c r="S44" i="1"/>
  <c r="D45" i="1"/>
  <c r="E45" i="1"/>
  <c r="G45" i="1"/>
  <c r="I45" i="1"/>
  <c r="J45" i="1"/>
  <c r="L45" i="1"/>
  <c r="N45" i="1"/>
  <c r="Q45" i="1"/>
  <c r="S45" i="1"/>
  <c r="D46" i="1"/>
  <c r="E46" i="1"/>
  <c r="G46" i="1"/>
  <c r="I46" i="1"/>
  <c r="J46" i="1"/>
  <c r="L46" i="1"/>
  <c r="N46" i="1"/>
  <c r="Q46" i="1"/>
  <c r="S46" i="1"/>
  <c r="D47" i="1"/>
  <c r="E47" i="1"/>
  <c r="G47" i="1"/>
  <c r="I47" i="1"/>
  <c r="J47" i="1"/>
  <c r="L47" i="1"/>
  <c r="N47" i="1"/>
  <c r="Q47" i="1"/>
  <c r="S47" i="1"/>
  <c r="D48" i="1"/>
  <c r="E48" i="1"/>
  <c r="G48" i="1"/>
  <c r="I48" i="1"/>
  <c r="J48" i="1"/>
  <c r="L48" i="1"/>
  <c r="N48" i="1"/>
  <c r="Q48" i="1"/>
  <c r="S48" i="1"/>
  <c r="G49" i="1"/>
  <c r="I49" i="1"/>
  <c r="L49" i="1"/>
  <c r="N49" i="1"/>
  <c r="Q49" i="1"/>
  <c r="S49" i="1"/>
  <c r="D50" i="1"/>
  <c r="E50" i="1"/>
  <c r="G50" i="1"/>
  <c r="I50" i="1"/>
  <c r="J50" i="1"/>
  <c r="L50" i="1"/>
  <c r="N50" i="1"/>
  <c r="Q50" i="1"/>
  <c r="S50" i="1"/>
  <c r="D51" i="1"/>
  <c r="E51" i="1"/>
  <c r="G51" i="1"/>
  <c r="I51" i="1"/>
  <c r="J51" i="1"/>
  <c r="L51" i="1"/>
  <c r="N51" i="1"/>
  <c r="Q51" i="1"/>
  <c r="S51" i="1"/>
  <c r="D52" i="1"/>
  <c r="E52" i="1"/>
  <c r="G52" i="1"/>
  <c r="I52" i="1"/>
  <c r="J52" i="1"/>
  <c r="L52" i="1"/>
  <c r="N52" i="1"/>
  <c r="Q52" i="1"/>
  <c r="S52" i="1"/>
  <c r="E53" i="1"/>
  <c r="G53" i="1"/>
  <c r="I53" i="1"/>
  <c r="J53" i="1"/>
  <c r="L53" i="1"/>
  <c r="N53" i="1"/>
  <c r="Q53" i="1"/>
  <c r="S53" i="1"/>
  <c r="D54" i="1"/>
  <c r="E54" i="1"/>
  <c r="G54" i="1"/>
  <c r="I54" i="1"/>
  <c r="J54" i="1"/>
  <c r="L54" i="1"/>
  <c r="N54" i="1"/>
  <c r="Q54" i="1"/>
  <c r="S54" i="1"/>
  <c r="D55" i="1"/>
  <c r="E55" i="1"/>
  <c r="G55" i="1"/>
  <c r="I55" i="1"/>
  <c r="J55" i="1"/>
  <c r="L55" i="1"/>
  <c r="N55" i="1"/>
  <c r="Q55" i="1"/>
  <c r="S55" i="1"/>
  <c r="D56" i="1"/>
  <c r="E56" i="1"/>
  <c r="G56" i="1"/>
  <c r="I56" i="1"/>
  <c r="J56" i="1"/>
  <c r="L56" i="1"/>
  <c r="N56" i="1"/>
  <c r="Q56" i="1"/>
  <c r="S56" i="1"/>
  <c r="D57" i="1"/>
  <c r="E57" i="1"/>
  <c r="G57" i="1"/>
  <c r="I57" i="1"/>
  <c r="J57" i="1"/>
  <c r="L57" i="1"/>
  <c r="N57" i="1"/>
  <c r="Q57" i="1"/>
  <c r="S57" i="1"/>
  <c r="G58" i="1"/>
  <c r="I58" i="1"/>
  <c r="L58" i="1"/>
  <c r="N58" i="1"/>
  <c r="Q58" i="1"/>
  <c r="S58" i="1"/>
  <c r="D59" i="1"/>
  <c r="E59" i="1"/>
  <c r="G59" i="1"/>
  <c r="I59" i="1"/>
  <c r="J59" i="1"/>
  <c r="L59" i="1"/>
  <c r="N59" i="1"/>
  <c r="Q59" i="1"/>
  <c r="S59" i="1"/>
  <c r="D60" i="1"/>
  <c r="E60" i="1"/>
  <c r="G60" i="1"/>
  <c r="I60" i="1"/>
  <c r="J60" i="1"/>
  <c r="L60" i="1"/>
  <c r="N60" i="1"/>
  <c r="Q60" i="1"/>
  <c r="S60" i="1"/>
  <c r="D61" i="1"/>
  <c r="E61" i="1"/>
  <c r="G61" i="1"/>
  <c r="I61" i="1"/>
  <c r="J61" i="1"/>
  <c r="L61" i="1"/>
  <c r="N61" i="1"/>
  <c r="Q61" i="1"/>
  <c r="S61" i="1"/>
  <c r="E62" i="1"/>
  <c r="G62" i="1"/>
  <c r="I62" i="1"/>
  <c r="J62" i="1"/>
  <c r="L62" i="1"/>
  <c r="N62" i="1"/>
  <c r="Q62" i="1"/>
  <c r="S62" i="1"/>
  <c r="D63" i="1"/>
  <c r="E63" i="1"/>
  <c r="G63" i="1"/>
  <c r="I63" i="1"/>
  <c r="J63" i="1"/>
  <c r="L63" i="1"/>
  <c r="N63" i="1"/>
  <c r="Q63" i="1"/>
  <c r="S63" i="1"/>
  <c r="D64" i="1"/>
  <c r="E64" i="1"/>
  <c r="G64" i="1"/>
  <c r="I64" i="1"/>
  <c r="J64" i="1"/>
  <c r="L64" i="1"/>
  <c r="N64" i="1"/>
  <c r="Q64" i="1"/>
  <c r="S64" i="1"/>
  <c r="D65" i="1"/>
  <c r="E65" i="1"/>
  <c r="G65" i="1"/>
  <c r="I65" i="1"/>
  <c r="J65" i="1"/>
  <c r="L65" i="1"/>
  <c r="N65" i="1"/>
  <c r="Q65" i="1"/>
  <c r="S65" i="1"/>
  <c r="D66" i="1"/>
  <c r="E66" i="1"/>
  <c r="G66" i="1"/>
  <c r="I66" i="1"/>
  <c r="J66" i="1"/>
  <c r="L66" i="1"/>
  <c r="N66" i="1"/>
  <c r="Q66" i="1"/>
  <c r="S66" i="1"/>
  <c r="G67" i="1"/>
  <c r="I67" i="1"/>
  <c r="L67" i="1"/>
  <c r="N67" i="1"/>
  <c r="Q67" i="1"/>
  <c r="S67" i="1"/>
  <c r="D68" i="1"/>
  <c r="E68" i="1"/>
  <c r="G68" i="1"/>
  <c r="I68" i="1"/>
  <c r="J68" i="1"/>
  <c r="L68" i="1"/>
  <c r="N68" i="1"/>
  <c r="Q68" i="1"/>
  <c r="S68" i="1"/>
  <c r="D69" i="1"/>
  <c r="E69" i="1"/>
  <c r="G69" i="1"/>
  <c r="I69" i="1"/>
  <c r="J69" i="1"/>
  <c r="L69" i="1"/>
  <c r="N69" i="1"/>
  <c r="Q69" i="1"/>
  <c r="S69" i="1"/>
  <c r="D70" i="1"/>
  <c r="E70" i="1"/>
  <c r="G70" i="1"/>
  <c r="I70" i="1"/>
  <c r="J70" i="1"/>
  <c r="L70" i="1"/>
  <c r="N70" i="1"/>
  <c r="Q70" i="1"/>
  <c r="S70" i="1"/>
  <c r="E71" i="1"/>
  <c r="G71" i="1"/>
  <c r="I71" i="1"/>
  <c r="J71" i="1"/>
  <c r="L71" i="1"/>
  <c r="N71" i="1"/>
  <c r="Q71" i="1"/>
  <c r="S71" i="1"/>
  <c r="D72" i="1"/>
  <c r="E72" i="1"/>
  <c r="G72" i="1"/>
  <c r="I72" i="1"/>
  <c r="J72" i="1"/>
  <c r="L72" i="1"/>
  <c r="N72" i="1"/>
  <c r="Q72" i="1"/>
  <c r="S72" i="1"/>
  <c r="D73" i="1"/>
  <c r="E73" i="1"/>
  <c r="G73" i="1"/>
  <c r="I73" i="1"/>
  <c r="J73" i="1"/>
  <c r="L73" i="1"/>
  <c r="N73" i="1"/>
  <c r="Q73" i="1"/>
  <c r="S73" i="1"/>
  <c r="D74" i="1"/>
  <c r="E74" i="1"/>
  <c r="G74" i="1"/>
  <c r="I74" i="1"/>
  <c r="J74" i="1"/>
  <c r="L74" i="1"/>
  <c r="N74" i="1"/>
  <c r="Q74" i="1"/>
  <c r="S74" i="1"/>
  <c r="D75" i="1"/>
  <c r="E75" i="1"/>
  <c r="G75" i="1"/>
  <c r="I75" i="1"/>
  <c r="J75" i="1"/>
  <c r="L75" i="1"/>
  <c r="N75" i="1"/>
  <c r="Q75" i="1"/>
  <c r="S75" i="1"/>
  <c r="S76" i="1"/>
  <c r="L133" i="1"/>
  <c r="N133" i="1"/>
  <c r="G133" i="1"/>
  <c r="I133" i="1"/>
  <c r="Q133" i="1"/>
  <c r="S133" i="1"/>
  <c r="D134" i="1"/>
  <c r="E134" i="1"/>
  <c r="J134" i="1"/>
  <c r="L134" i="1"/>
  <c r="N134" i="1"/>
  <c r="G134" i="1"/>
  <c r="I134" i="1"/>
  <c r="Q134" i="1"/>
  <c r="S134" i="1"/>
  <c r="D135" i="1"/>
  <c r="E135" i="1"/>
  <c r="J135" i="1"/>
  <c r="L135" i="1"/>
  <c r="N135" i="1"/>
  <c r="G135" i="1"/>
  <c r="I135" i="1"/>
  <c r="Q135" i="1"/>
  <c r="S135" i="1"/>
  <c r="D136" i="1"/>
  <c r="E136" i="1"/>
  <c r="J136" i="1"/>
  <c r="L136" i="1"/>
  <c r="N136" i="1"/>
  <c r="G136" i="1"/>
  <c r="I136" i="1"/>
  <c r="Q136" i="1"/>
  <c r="S136" i="1"/>
  <c r="D137" i="1"/>
  <c r="E137" i="1"/>
  <c r="J137" i="1"/>
  <c r="L137" i="1"/>
  <c r="N137" i="1"/>
  <c r="G137" i="1"/>
  <c r="I137" i="1"/>
  <c r="Q137" i="1"/>
  <c r="S137" i="1"/>
  <c r="L138" i="1"/>
  <c r="N138" i="1"/>
  <c r="G138" i="1"/>
  <c r="I138" i="1"/>
  <c r="Q138" i="1"/>
  <c r="S138" i="1"/>
  <c r="D139" i="1"/>
  <c r="E139" i="1"/>
  <c r="J139" i="1"/>
  <c r="L139" i="1"/>
  <c r="N139" i="1"/>
  <c r="G139" i="1"/>
  <c r="I139" i="1"/>
  <c r="Q139" i="1"/>
  <c r="S139" i="1"/>
  <c r="D140" i="1"/>
  <c r="E140" i="1"/>
  <c r="J140" i="1"/>
  <c r="L140" i="1"/>
  <c r="N140" i="1"/>
  <c r="G140" i="1"/>
  <c r="I140" i="1"/>
  <c r="Q140" i="1"/>
  <c r="S140" i="1"/>
  <c r="D141" i="1"/>
  <c r="E141" i="1"/>
  <c r="J141" i="1"/>
  <c r="L141" i="1"/>
  <c r="N141" i="1"/>
  <c r="G141" i="1"/>
  <c r="I141" i="1"/>
  <c r="Q141" i="1"/>
  <c r="S141" i="1"/>
  <c r="D142" i="1"/>
  <c r="E142" i="1"/>
  <c r="J142" i="1"/>
  <c r="L142" i="1"/>
  <c r="N142" i="1"/>
  <c r="G142" i="1"/>
  <c r="I142" i="1"/>
  <c r="Q142" i="1"/>
  <c r="S142" i="1"/>
  <c r="L143" i="1"/>
  <c r="N143" i="1"/>
  <c r="G143" i="1"/>
  <c r="I143" i="1"/>
  <c r="Q143" i="1"/>
  <c r="S143" i="1"/>
  <c r="D144" i="1"/>
  <c r="E144" i="1"/>
  <c r="J144" i="1"/>
  <c r="L144" i="1"/>
  <c r="N144" i="1"/>
  <c r="G144" i="1"/>
  <c r="I144" i="1"/>
  <c r="Q144" i="1"/>
  <c r="S144" i="1"/>
  <c r="D145" i="1"/>
  <c r="E145" i="1"/>
  <c r="J145" i="1"/>
  <c r="L145" i="1"/>
  <c r="N145" i="1"/>
  <c r="G145" i="1"/>
  <c r="I145" i="1"/>
  <c r="Q145" i="1"/>
  <c r="S145" i="1"/>
  <c r="D146" i="1"/>
  <c r="E146" i="1"/>
  <c r="J146" i="1"/>
  <c r="L146" i="1"/>
  <c r="N146" i="1"/>
  <c r="G146" i="1"/>
  <c r="I146" i="1"/>
  <c r="Q146" i="1"/>
  <c r="S146" i="1"/>
  <c r="D147" i="1"/>
  <c r="E147" i="1"/>
  <c r="J147" i="1"/>
  <c r="L147" i="1"/>
  <c r="N147" i="1"/>
  <c r="G147" i="1"/>
  <c r="I147" i="1"/>
  <c r="Q147" i="1"/>
  <c r="S147" i="1"/>
  <c r="L148" i="1"/>
  <c r="N148" i="1"/>
  <c r="G148" i="1"/>
  <c r="I148" i="1"/>
  <c r="Q148" i="1"/>
  <c r="S148" i="1"/>
  <c r="D149" i="1"/>
  <c r="E149" i="1"/>
  <c r="J149" i="1"/>
  <c r="L149" i="1"/>
  <c r="N149" i="1"/>
  <c r="G149" i="1"/>
  <c r="I149" i="1"/>
  <c r="Q149" i="1"/>
  <c r="S149" i="1"/>
  <c r="D150" i="1"/>
  <c r="E150" i="1"/>
  <c r="J150" i="1"/>
  <c r="L150" i="1"/>
  <c r="N150" i="1"/>
  <c r="G150" i="1"/>
  <c r="I150" i="1"/>
  <c r="Q150" i="1"/>
  <c r="S150" i="1"/>
  <c r="D151" i="1"/>
  <c r="E151" i="1"/>
  <c r="J151" i="1"/>
  <c r="L151" i="1"/>
  <c r="N151" i="1"/>
  <c r="G151" i="1"/>
  <c r="I151" i="1"/>
  <c r="Q151" i="1"/>
  <c r="S151" i="1"/>
  <c r="D152" i="1"/>
  <c r="E152" i="1"/>
  <c r="J152" i="1"/>
  <c r="L152" i="1"/>
  <c r="N152" i="1"/>
  <c r="G152" i="1"/>
  <c r="I152" i="1"/>
  <c r="Q152" i="1"/>
  <c r="S152" i="1"/>
  <c r="L153" i="1"/>
  <c r="N153" i="1"/>
  <c r="G153" i="1"/>
  <c r="I153" i="1"/>
  <c r="Q153" i="1"/>
  <c r="S153" i="1"/>
  <c r="D154" i="1"/>
  <c r="E154" i="1"/>
  <c r="J154" i="1"/>
  <c r="L154" i="1"/>
  <c r="N154" i="1"/>
  <c r="G154" i="1"/>
  <c r="I154" i="1"/>
  <c r="Q154" i="1"/>
  <c r="S154" i="1"/>
  <c r="D155" i="1"/>
  <c r="E155" i="1"/>
  <c r="J155" i="1"/>
  <c r="L155" i="1"/>
  <c r="N155" i="1"/>
  <c r="G155" i="1"/>
  <c r="I155" i="1"/>
  <c r="Q155" i="1"/>
  <c r="S155" i="1"/>
  <c r="D156" i="1"/>
  <c r="E156" i="1"/>
  <c r="J156" i="1"/>
  <c r="L156" i="1"/>
  <c r="N156" i="1"/>
  <c r="G156" i="1"/>
  <c r="I156" i="1"/>
  <c r="Q156" i="1"/>
  <c r="S156" i="1"/>
  <c r="D157" i="1"/>
  <c r="E157" i="1"/>
  <c r="J157" i="1"/>
  <c r="L157" i="1"/>
  <c r="N157" i="1"/>
  <c r="G157" i="1"/>
  <c r="I157" i="1"/>
  <c r="Q157" i="1"/>
  <c r="S157" i="1"/>
  <c r="L158" i="1"/>
  <c r="N158" i="1"/>
  <c r="G158" i="1"/>
  <c r="I158" i="1"/>
  <c r="Q158" i="1"/>
  <c r="S158" i="1"/>
  <c r="D159" i="1"/>
  <c r="E159" i="1"/>
  <c r="J159" i="1"/>
  <c r="L159" i="1"/>
  <c r="N159" i="1"/>
  <c r="G159" i="1"/>
  <c r="I159" i="1"/>
  <c r="Q159" i="1"/>
  <c r="S159" i="1"/>
  <c r="D160" i="1"/>
  <c r="E160" i="1"/>
  <c r="J160" i="1"/>
  <c r="L160" i="1"/>
  <c r="N160" i="1"/>
  <c r="G160" i="1"/>
  <c r="I160" i="1"/>
  <c r="Q160" i="1"/>
  <c r="S160" i="1"/>
  <c r="D161" i="1"/>
  <c r="E161" i="1"/>
  <c r="J161" i="1"/>
  <c r="L161" i="1"/>
  <c r="N161" i="1"/>
  <c r="G161" i="1"/>
  <c r="I161" i="1"/>
  <c r="Q161" i="1"/>
  <c r="S161" i="1"/>
  <c r="D162" i="1"/>
  <c r="E162" i="1"/>
  <c r="J162" i="1"/>
  <c r="L162" i="1"/>
  <c r="N162" i="1"/>
  <c r="G162" i="1"/>
  <c r="I162" i="1"/>
  <c r="Q162" i="1"/>
  <c r="S162" i="1"/>
  <c r="L163" i="1"/>
  <c r="N163" i="1"/>
  <c r="G163" i="1"/>
  <c r="I163" i="1"/>
  <c r="Q163" i="1"/>
  <c r="S163" i="1"/>
  <c r="D164" i="1"/>
  <c r="E164" i="1"/>
  <c r="J164" i="1"/>
  <c r="L164" i="1"/>
  <c r="N164" i="1"/>
  <c r="G164" i="1"/>
  <c r="I164" i="1"/>
  <c r="Q164" i="1"/>
  <c r="S164" i="1"/>
  <c r="D165" i="1"/>
  <c r="E165" i="1"/>
  <c r="J165" i="1"/>
  <c r="L165" i="1"/>
  <c r="N165" i="1"/>
  <c r="G165" i="1"/>
  <c r="I165" i="1"/>
  <c r="Q165" i="1"/>
  <c r="S165" i="1"/>
  <c r="D166" i="1"/>
  <c r="E166" i="1"/>
  <c r="J166" i="1"/>
  <c r="L166" i="1"/>
  <c r="N166" i="1"/>
  <c r="G166" i="1"/>
  <c r="I166" i="1"/>
  <c r="Q166" i="1"/>
  <c r="S166" i="1"/>
  <c r="D167" i="1"/>
  <c r="E167" i="1"/>
  <c r="J167" i="1"/>
  <c r="L167" i="1"/>
  <c r="N167" i="1"/>
  <c r="G167" i="1"/>
  <c r="I167" i="1"/>
  <c r="Q167" i="1"/>
  <c r="S167" i="1"/>
  <c r="L168" i="1"/>
  <c r="N168" i="1"/>
  <c r="G168" i="1"/>
  <c r="I168" i="1"/>
  <c r="Q168" i="1"/>
  <c r="S168" i="1"/>
  <c r="D169" i="1"/>
  <c r="E169" i="1"/>
  <c r="J169" i="1"/>
  <c r="L169" i="1"/>
  <c r="N169" i="1"/>
  <c r="G169" i="1"/>
  <c r="I169" i="1"/>
  <c r="Q169" i="1"/>
  <c r="S169" i="1"/>
  <c r="D170" i="1"/>
  <c r="E170" i="1"/>
  <c r="J170" i="1"/>
  <c r="L170" i="1"/>
  <c r="N170" i="1"/>
  <c r="G170" i="1"/>
  <c r="I170" i="1"/>
  <c r="Q170" i="1"/>
  <c r="S170" i="1"/>
  <c r="D171" i="1"/>
  <c r="E171" i="1"/>
  <c r="J171" i="1"/>
  <c r="L171" i="1"/>
  <c r="N171" i="1"/>
  <c r="G171" i="1"/>
  <c r="I171" i="1"/>
  <c r="Q171" i="1"/>
  <c r="S171" i="1"/>
  <c r="D172" i="1"/>
  <c r="E172" i="1"/>
  <c r="J172" i="1"/>
  <c r="L172" i="1"/>
  <c r="N172" i="1"/>
  <c r="G172" i="1"/>
  <c r="I172" i="1"/>
  <c r="Q172" i="1"/>
  <c r="S172" i="1"/>
  <c r="L173" i="1"/>
  <c r="N173" i="1"/>
  <c r="G173" i="1"/>
  <c r="I173" i="1"/>
  <c r="Q173" i="1"/>
  <c r="S173" i="1"/>
  <c r="D174" i="1"/>
  <c r="E174" i="1"/>
  <c r="J174" i="1"/>
  <c r="L174" i="1"/>
  <c r="N174" i="1"/>
  <c r="G174" i="1"/>
  <c r="I174" i="1"/>
  <c r="Q174" i="1"/>
  <c r="S174" i="1"/>
  <c r="D175" i="1"/>
  <c r="E175" i="1"/>
  <c r="J175" i="1"/>
  <c r="L175" i="1"/>
  <c r="N175" i="1"/>
  <c r="G175" i="1"/>
  <c r="I175" i="1"/>
  <c r="Q175" i="1"/>
  <c r="S175" i="1"/>
  <c r="D176" i="1"/>
  <c r="E176" i="1"/>
  <c r="J176" i="1"/>
  <c r="L176" i="1"/>
  <c r="N176" i="1"/>
  <c r="G176" i="1"/>
  <c r="I176" i="1"/>
  <c r="Q176" i="1"/>
  <c r="S176" i="1"/>
  <c r="D177" i="1"/>
  <c r="E177" i="1"/>
  <c r="J177" i="1"/>
  <c r="L177" i="1"/>
  <c r="N177" i="1"/>
  <c r="G177" i="1"/>
  <c r="I177" i="1"/>
  <c r="Q177" i="1"/>
  <c r="S177" i="1"/>
  <c r="L178" i="1"/>
  <c r="N178" i="1"/>
  <c r="G178" i="1"/>
  <c r="I178" i="1"/>
  <c r="Q178" i="1"/>
  <c r="S178" i="1"/>
  <c r="D179" i="1"/>
  <c r="E179" i="1"/>
  <c r="J179" i="1"/>
  <c r="L179" i="1"/>
  <c r="N179" i="1"/>
  <c r="G179" i="1"/>
  <c r="I179" i="1"/>
  <c r="Q179" i="1"/>
  <c r="S179" i="1"/>
  <c r="D180" i="1"/>
  <c r="E180" i="1"/>
  <c r="J180" i="1"/>
  <c r="L180" i="1"/>
  <c r="N180" i="1"/>
  <c r="G180" i="1"/>
  <c r="I180" i="1"/>
  <c r="Q180" i="1"/>
  <c r="S180" i="1"/>
  <c r="D181" i="1"/>
  <c r="E181" i="1"/>
  <c r="J181" i="1"/>
  <c r="L181" i="1"/>
  <c r="N181" i="1"/>
  <c r="G181" i="1"/>
  <c r="I181" i="1"/>
  <c r="Q181" i="1"/>
  <c r="S181" i="1"/>
  <c r="D182" i="1"/>
  <c r="E182" i="1"/>
  <c r="J182" i="1"/>
  <c r="L182" i="1"/>
  <c r="N182" i="1"/>
  <c r="G182" i="1"/>
  <c r="I182" i="1"/>
  <c r="Q182" i="1"/>
  <c r="S182" i="1"/>
  <c r="L183" i="1"/>
  <c r="N183" i="1"/>
  <c r="G183" i="1"/>
  <c r="I183" i="1"/>
  <c r="Q183" i="1"/>
  <c r="S183" i="1"/>
  <c r="D184" i="1"/>
  <c r="E184" i="1"/>
  <c r="J184" i="1"/>
  <c r="L184" i="1"/>
  <c r="N184" i="1"/>
  <c r="G184" i="1"/>
  <c r="I184" i="1"/>
  <c r="Q184" i="1"/>
  <c r="S184" i="1"/>
  <c r="D185" i="1"/>
  <c r="E185" i="1"/>
  <c r="J185" i="1"/>
  <c r="L185" i="1"/>
  <c r="N185" i="1"/>
  <c r="G185" i="1"/>
  <c r="I185" i="1"/>
  <c r="Q185" i="1"/>
  <c r="S185" i="1"/>
  <c r="D186" i="1"/>
  <c r="E186" i="1"/>
  <c r="J186" i="1"/>
  <c r="L186" i="1"/>
  <c r="N186" i="1"/>
  <c r="G186" i="1"/>
  <c r="I186" i="1"/>
  <c r="Q186" i="1"/>
  <c r="S186" i="1"/>
  <c r="D187" i="1"/>
  <c r="E187" i="1"/>
  <c r="J187" i="1"/>
  <c r="L187" i="1"/>
  <c r="N187" i="1"/>
  <c r="G187" i="1"/>
  <c r="I187" i="1"/>
  <c r="Q187" i="1"/>
  <c r="S187" i="1"/>
  <c r="L188" i="1"/>
  <c r="N188" i="1"/>
  <c r="G188" i="1"/>
  <c r="I188" i="1"/>
  <c r="Q188" i="1"/>
  <c r="S188" i="1"/>
  <c r="D189" i="1"/>
  <c r="E189" i="1"/>
  <c r="J189" i="1"/>
  <c r="L189" i="1"/>
  <c r="N189" i="1"/>
  <c r="G189" i="1"/>
  <c r="I189" i="1"/>
  <c r="Q189" i="1"/>
  <c r="S189" i="1"/>
  <c r="D190" i="1"/>
  <c r="E190" i="1"/>
  <c r="J190" i="1"/>
  <c r="L190" i="1"/>
  <c r="N190" i="1"/>
  <c r="G190" i="1"/>
  <c r="I190" i="1"/>
  <c r="Q190" i="1"/>
  <c r="S190" i="1"/>
  <c r="D191" i="1"/>
  <c r="E191" i="1"/>
  <c r="J191" i="1"/>
  <c r="L191" i="1"/>
  <c r="N191" i="1"/>
  <c r="G191" i="1"/>
  <c r="I191" i="1"/>
  <c r="Q191" i="1"/>
  <c r="S191" i="1"/>
  <c r="D192" i="1"/>
  <c r="E192" i="1"/>
  <c r="J192" i="1"/>
  <c r="L192" i="1"/>
  <c r="N192" i="1"/>
  <c r="G192" i="1"/>
  <c r="I192" i="1"/>
  <c r="Q192" i="1"/>
  <c r="S192" i="1"/>
  <c r="L193" i="1"/>
  <c r="N193" i="1"/>
  <c r="G193" i="1"/>
  <c r="I193" i="1"/>
  <c r="Q193" i="1"/>
  <c r="S193" i="1"/>
  <c r="D194" i="1"/>
  <c r="E194" i="1"/>
  <c r="J194" i="1"/>
  <c r="L194" i="1"/>
  <c r="N194" i="1"/>
  <c r="G194" i="1"/>
  <c r="I194" i="1"/>
  <c r="Q194" i="1"/>
  <c r="S194" i="1"/>
  <c r="D195" i="1"/>
  <c r="E195" i="1"/>
  <c r="J195" i="1"/>
  <c r="L195" i="1"/>
  <c r="N195" i="1"/>
  <c r="G195" i="1"/>
  <c r="I195" i="1"/>
  <c r="Q195" i="1"/>
  <c r="S195" i="1"/>
  <c r="D196" i="1"/>
  <c r="E196" i="1"/>
  <c r="J196" i="1"/>
  <c r="L196" i="1"/>
  <c r="N196" i="1"/>
  <c r="G196" i="1"/>
  <c r="I196" i="1"/>
  <c r="Q196" i="1"/>
  <c r="S196" i="1"/>
  <c r="D197" i="1"/>
  <c r="E197" i="1"/>
  <c r="J197" i="1"/>
  <c r="L197" i="1"/>
  <c r="N197" i="1"/>
  <c r="G197" i="1"/>
  <c r="I197" i="1"/>
  <c r="Q197" i="1"/>
  <c r="S197" i="1"/>
  <c r="L198" i="1"/>
  <c r="N198" i="1"/>
  <c r="G198" i="1"/>
  <c r="I198" i="1"/>
  <c r="Q198" i="1"/>
  <c r="S198" i="1"/>
  <c r="D199" i="1"/>
  <c r="E199" i="1"/>
  <c r="J199" i="1"/>
  <c r="L199" i="1"/>
  <c r="N199" i="1"/>
  <c r="G199" i="1"/>
  <c r="I199" i="1"/>
  <c r="Q199" i="1"/>
  <c r="S199" i="1"/>
  <c r="D200" i="1"/>
  <c r="E200" i="1"/>
  <c r="J200" i="1"/>
  <c r="L200" i="1"/>
  <c r="N200" i="1"/>
  <c r="G200" i="1"/>
  <c r="I200" i="1"/>
  <c r="Q200" i="1"/>
  <c r="S200" i="1"/>
  <c r="D201" i="1"/>
  <c r="E201" i="1"/>
  <c r="J201" i="1"/>
  <c r="L201" i="1"/>
  <c r="N201" i="1"/>
  <c r="G201" i="1"/>
  <c r="I201" i="1"/>
  <c r="Q201" i="1"/>
  <c r="S201" i="1"/>
  <c r="D202" i="1"/>
  <c r="E202" i="1"/>
  <c r="J202" i="1"/>
  <c r="L202" i="1"/>
  <c r="N202" i="1"/>
  <c r="G202" i="1"/>
  <c r="I202" i="1"/>
  <c r="Q202" i="1"/>
  <c r="S202" i="1"/>
  <c r="S203" i="1"/>
  <c r="S204" i="1"/>
  <c r="S210" i="1"/>
  <c r="S211" i="1"/>
  <c r="S212" i="1"/>
  <c r="S207" i="1"/>
  <c r="S208" i="1"/>
  <c r="Q132" i="1"/>
  <c r="I76" i="1"/>
  <c r="N76" i="1"/>
  <c r="Q76" i="1"/>
  <c r="Q203" i="1"/>
  <c r="Q204" i="1"/>
  <c r="C227" i="1"/>
  <c r="C236" i="1"/>
  <c r="O52" i="1"/>
  <c r="P52" i="1"/>
  <c r="O57" i="1"/>
  <c r="P57" i="1"/>
  <c r="O61" i="1"/>
  <c r="P61" i="1"/>
  <c r="O66" i="1"/>
  <c r="P66" i="1"/>
  <c r="O70" i="1"/>
  <c r="P70" i="1"/>
  <c r="O75" i="1"/>
  <c r="P75" i="1"/>
  <c r="C237" i="1"/>
  <c r="C235" i="1"/>
  <c r="D238" i="1"/>
  <c r="D235" i="1"/>
  <c r="L132" i="1"/>
  <c r="L76" i="1"/>
  <c r="L203" i="1"/>
  <c r="L204" i="1"/>
  <c r="G132" i="1"/>
  <c r="G76" i="1"/>
  <c r="G203" i="1"/>
  <c r="G204" i="1"/>
  <c r="O204" i="1"/>
  <c r="C228" i="1"/>
  <c r="D216" i="1"/>
  <c r="E216" i="1"/>
  <c r="D225" i="1"/>
  <c r="D212" i="1"/>
  <c r="E212" i="1"/>
  <c r="C226" i="1"/>
  <c r="C225" i="1"/>
  <c r="C222" i="1"/>
  <c r="O188" i="1"/>
  <c r="O193" i="1"/>
  <c r="O198" i="1"/>
  <c r="O183" i="1"/>
  <c r="O178" i="1"/>
  <c r="O173" i="1"/>
  <c r="O168" i="1"/>
  <c r="O163" i="1"/>
  <c r="O158" i="1"/>
  <c r="O153" i="1"/>
  <c r="O148" i="1"/>
  <c r="O143" i="1"/>
  <c r="O138" i="1"/>
  <c r="O133" i="1"/>
  <c r="O127" i="1"/>
  <c r="O122" i="1"/>
  <c r="O117" i="1"/>
  <c r="O112" i="1"/>
  <c r="O107" i="1"/>
  <c r="O102" i="1"/>
  <c r="O97" i="1"/>
  <c r="O92" i="1"/>
  <c r="O87" i="1"/>
  <c r="O82" i="1"/>
  <c r="O77" i="1"/>
  <c r="O71" i="1"/>
  <c r="O62" i="1"/>
  <c r="O53" i="1"/>
  <c r="O44" i="1"/>
  <c r="O35" i="1"/>
  <c r="O26" i="1"/>
  <c r="O17" i="1"/>
  <c r="C219" i="1"/>
  <c r="C220" i="1"/>
  <c r="C218" i="1"/>
  <c r="D215" i="1"/>
  <c r="E214" i="1"/>
  <c r="E213" i="1"/>
  <c r="E211" i="1"/>
  <c r="D208" i="1"/>
  <c r="D211" i="1"/>
  <c r="E208" i="1"/>
  <c r="N132" i="1"/>
  <c r="N203" i="1"/>
  <c r="N204" i="1"/>
  <c r="I132" i="1"/>
  <c r="I203" i="1"/>
  <c r="I204" i="1"/>
  <c r="O134" i="1"/>
  <c r="O135" i="1"/>
  <c r="O136" i="1"/>
  <c r="O137" i="1"/>
  <c r="O139" i="1"/>
  <c r="O140" i="1"/>
  <c r="O141" i="1"/>
  <c r="O142" i="1"/>
  <c r="O144" i="1"/>
  <c r="O145" i="1"/>
  <c r="O146" i="1"/>
  <c r="O147" i="1"/>
  <c r="O149" i="1"/>
  <c r="O150" i="1"/>
  <c r="O151" i="1"/>
  <c r="O152" i="1"/>
  <c r="O154" i="1"/>
  <c r="O155" i="1"/>
  <c r="O156" i="1"/>
  <c r="O157" i="1"/>
  <c r="O159" i="1"/>
  <c r="O160" i="1"/>
  <c r="O161" i="1"/>
  <c r="O162" i="1"/>
  <c r="O164" i="1"/>
  <c r="O165" i="1"/>
  <c r="O166" i="1"/>
  <c r="O167" i="1"/>
  <c r="O169" i="1"/>
  <c r="O170" i="1"/>
  <c r="O171" i="1"/>
  <c r="O172" i="1"/>
  <c r="O174" i="1"/>
  <c r="O175" i="1"/>
  <c r="O176" i="1"/>
  <c r="O177" i="1"/>
  <c r="O179" i="1"/>
  <c r="O180" i="1"/>
  <c r="O181" i="1"/>
  <c r="O182" i="1"/>
  <c r="O184" i="1"/>
  <c r="O185" i="1"/>
  <c r="O186" i="1"/>
  <c r="O187" i="1"/>
  <c r="O189" i="1"/>
  <c r="O190" i="1"/>
  <c r="O191" i="1"/>
  <c r="O192" i="1"/>
  <c r="O194" i="1"/>
  <c r="O195" i="1"/>
  <c r="O196" i="1"/>
  <c r="O197" i="1"/>
  <c r="O199" i="1"/>
  <c r="O200" i="1"/>
  <c r="O201" i="1"/>
  <c r="O202" i="1"/>
  <c r="O203" i="1"/>
  <c r="P203" i="1"/>
  <c r="H203" i="1"/>
  <c r="F203" i="1"/>
  <c r="P202" i="1"/>
  <c r="P201" i="1"/>
  <c r="P200" i="1"/>
  <c r="P199" i="1"/>
  <c r="P197" i="1"/>
  <c r="P196" i="1"/>
  <c r="P195" i="1"/>
  <c r="P194" i="1"/>
  <c r="P192" i="1"/>
  <c r="P191" i="1"/>
  <c r="P190" i="1"/>
  <c r="P189" i="1"/>
  <c r="P187" i="1"/>
  <c r="P186" i="1"/>
  <c r="P185" i="1"/>
  <c r="P184" i="1"/>
  <c r="P182" i="1"/>
  <c r="P181" i="1"/>
  <c r="P180" i="1"/>
  <c r="P179" i="1"/>
  <c r="P177" i="1"/>
  <c r="P176" i="1"/>
  <c r="P175" i="1"/>
  <c r="P174" i="1"/>
  <c r="P172" i="1"/>
  <c r="P171" i="1"/>
  <c r="P170" i="1"/>
  <c r="P169" i="1"/>
  <c r="P167" i="1"/>
  <c r="P166" i="1"/>
  <c r="P165" i="1"/>
  <c r="P164" i="1"/>
  <c r="P162" i="1"/>
  <c r="P161" i="1"/>
  <c r="P160" i="1"/>
  <c r="P159" i="1"/>
  <c r="P154" i="1"/>
  <c r="P155" i="1"/>
  <c r="P156" i="1"/>
  <c r="P157" i="1"/>
  <c r="P152" i="1"/>
  <c r="P151" i="1"/>
  <c r="P150" i="1"/>
  <c r="P149" i="1"/>
  <c r="P147" i="1"/>
  <c r="P146" i="1"/>
  <c r="P145" i="1"/>
  <c r="P144" i="1"/>
  <c r="P142" i="1"/>
  <c r="P141" i="1"/>
  <c r="P140" i="1"/>
  <c r="P139" i="1"/>
  <c r="P137" i="1"/>
  <c r="P136" i="1"/>
  <c r="P135" i="1"/>
  <c r="P134" i="1"/>
  <c r="O78" i="1"/>
  <c r="O79" i="1"/>
  <c r="O80" i="1"/>
  <c r="O81" i="1"/>
  <c r="O83" i="1"/>
  <c r="O84" i="1"/>
  <c r="O85" i="1"/>
  <c r="O86" i="1"/>
  <c r="O88" i="1"/>
  <c r="O89" i="1"/>
  <c r="O90" i="1"/>
  <c r="O91" i="1"/>
  <c r="O93" i="1"/>
  <c r="O94" i="1"/>
  <c r="O95" i="1"/>
  <c r="O96" i="1"/>
  <c r="O98" i="1"/>
  <c r="O99" i="1"/>
  <c r="O100" i="1"/>
  <c r="O101" i="1"/>
  <c r="O103" i="1"/>
  <c r="O104" i="1"/>
  <c r="O105" i="1"/>
  <c r="O106" i="1"/>
  <c r="O108" i="1"/>
  <c r="O109" i="1"/>
  <c r="O110" i="1"/>
  <c r="O111" i="1"/>
  <c r="O113" i="1"/>
  <c r="O114" i="1"/>
  <c r="O115" i="1"/>
  <c r="O116" i="1"/>
  <c r="O118" i="1"/>
  <c r="O119" i="1"/>
  <c r="O120" i="1"/>
  <c r="O121" i="1"/>
  <c r="O123" i="1"/>
  <c r="O124" i="1"/>
  <c r="O125" i="1"/>
  <c r="O126" i="1"/>
  <c r="O128" i="1"/>
  <c r="O129" i="1"/>
  <c r="O130" i="1"/>
  <c r="O131" i="1"/>
  <c r="O132" i="1"/>
  <c r="M132" i="1"/>
  <c r="F132" i="1"/>
  <c r="P131" i="1"/>
  <c r="P130" i="1"/>
  <c r="P129" i="1"/>
  <c r="P128" i="1"/>
  <c r="P126" i="1"/>
  <c r="P125" i="1"/>
  <c r="P124" i="1"/>
  <c r="P123" i="1"/>
  <c r="P121" i="1"/>
  <c r="P120" i="1"/>
  <c r="P119" i="1"/>
  <c r="P118" i="1"/>
  <c r="P116" i="1"/>
  <c r="P115" i="1"/>
  <c r="P114" i="1"/>
  <c r="P113" i="1"/>
  <c r="P111" i="1"/>
  <c r="P110" i="1"/>
  <c r="P109" i="1"/>
  <c r="P108" i="1"/>
  <c r="P106" i="1"/>
  <c r="P105" i="1"/>
  <c r="P104" i="1"/>
  <c r="P103" i="1"/>
  <c r="P101" i="1"/>
  <c r="P100" i="1"/>
  <c r="P99" i="1"/>
  <c r="P98" i="1"/>
  <c r="P96" i="1"/>
  <c r="P95" i="1"/>
  <c r="P94" i="1"/>
  <c r="P93" i="1"/>
  <c r="P91" i="1"/>
  <c r="P90" i="1"/>
  <c r="P89" i="1"/>
  <c r="P88" i="1"/>
  <c r="O76" i="1"/>
  <c r="H76" i="1"/>
  <c r="F76" i="1"/>
  <c r="O69" i="1"/>
  <c r="P76" i="1"/>
  <c r="O74" i="1"/>
  <c r="P74" i="1"/>
  <c r="O73" i="1"/>
  <c r="P73" i="1"/>
  <c r="O72" i="1"/>
  <c r="P72" i="1"/>
  <c r="O65" i="1"/>
  <c r="P65" i="1"/>
  <c r="O64" i="1"/>
  <c r="P64" i="1"/>
  <c r="O63" i="1"/>
  <c r="P63" i="1"/>
  <c r="O56" i="1"/>
  <c r="P56" i="1"/>
  <c r="O55" i="1"/>
  <c r="P55" i="1"/>
  <c r="O54" i="1"/>
  <c r="P54" i="1"/>
  <c r="O48" i="1"/>
  <c r="P48" i="1"/>
  <c r="O47" i="1"/>
  <c r="P47" i="1"/>
  <c r="O46" i="1"/>
  <c r="P46" i="1"/>
  <c r="O45" i="1"/>
  <c r="P45" i="1"/>
  <c r="O39" i="1"/>
  <c r="P39" i="1"/>
  <c r="O38" i="1"/>
  <c r="P38" i="1"/>
  <c r="O37" i="1"/>
  <c r="P37" i="1"/>
  <c r="O36" i="1"/>
  <c r="P36" i="1"/>
  <c r="O30" i="1"/>
  <c r="P30" i="1"/>
  <c r="O29" i="1"/>
  <c r="P29" i="1"/>
  <c r="O28" i="1"/>
  <c r="P28" i="1"/>
  <c r="O27" i="1"/>
  <c r="P27" i="1"/>
  <c r="O21" i="1"/>
  <c r="P21" i="1"/>
  <c r="O20" i="1"/>
  <c r="P20" i="1"/>
  <c r="O19" i="1"/>
  <c r="P19" i="1"/>
  <c r="O18" i="1"/>
  <c r="P18" i="1"/>
  <c r="P69" i="1"/>
  <c r="O68" i="1"/>
  <c r="P68" i="1"/>
  <c r="O60" i="1"/>
  <c r="P60" i="1"/>
  <c r="O59" i="1"/>
  <c r="P59" i="1"/>
  <c r="O51" i="1"/>
  <c r="P51" i="1"/>
  <c r="O50" i="1"/>
  <c r="P50" i="1"/>
  <c r="O43" i="1"/>
  <c r="P43" i="1"/>
  <c r="O42" i="1"/>
  <c r="P42" i="1"/>
  <c r="O41" i="1"/>
  <c r="P41" i="1"/>
  <c r="O34" i="1"/>
  <c r="P34" i="1"/>
  <c r="O33" i="1"/>
  <c r="P33" i="1"/>
  <c r="O32" i="1"/>
  <c r="P32" i="1"/>
  <c r="O25" i="1"/>
  <c r="P25" i="1"/>
  <c r="O24" i="1"/>
  <c r="P24" i="1"/>
  <c r="O23" i="1"/>
  <c r="P23" i="1"/>
  <c r="O16" i="1"/>
  <c r="P16" i="1"/>
  <c r="O15" i="1"/>
  <c r="P15" i="1"/>
  <c r="O14" i="1"/>
  <c r="P14" i="1"/>
  <c r="P86" i="1"/>
  <c r="P85" i="1"/>
  <c r="P84" i="1"/>
  <c r="P83" i="1"/>
  <c r="P81" i="1"/>
  <c r="P80" i="1"/>
  <c r="P79" i="1"/>
  <c r="P78" i="1"/>
  <c r="O9" i="1"/>
  <c r="P9" i="1"/>
  <c r="O5" i="1"/>
  <c r="P5" i="1"/>
  <c r="O7" i="1"/>
  <c r="P7" i="1"/>
  <c r="O6" i="1"/>
  <c r="P6" i="1"/>
  <c r="P158" i="1"/>
  <c r="P173" i="1"/>
  <c r="P153" i="1"/>
  <c r="P178" i="1"/>
  <c r="P183" i="1"/>
  <c r="P168" i="1"/>
  <c r="P163" i="1"/>
  <c r="P133" i="1"/>
  <c r="T122" i="1"/>
  <c r="T82" i="1"/>
  <c r="T87" i="1"/>
  <c r="T102" i="1"/>
  <c r="T112" i="1"/>
  <c r="T92" i="1"/>
  <c r="T97" i="1"/>
  <c r="T127" i="1"/>
  <c r="T117" i="1"/>
  <c r="T107" i="1"/>
  <c r="P122" i="1"/>
  <c r="P127" i="1"/>
  <c r="P112" i="1"/>
  <c r="P82" i="1"/>
  <c r="P117" i="1"/>
  <c r="P107" i="1"/>
  <c r="K132" i="1"/>
  <c r="P92" i="1"/>
  <c r="P188" i="1"/>
  <c r="P193" i="1"/>
  <c r="P97" i="1"/>
  <c r="P102" i="1"/>
  <c r="P87" i="1"/>
  <c r="P77" i="1"/>
  <c r="P143" i="1"/>
  <c r="P198" i="1"/>
  <c r="P132" i="1"/>
  <c r="P148" i="1"/>
  <c r="T77" i="1"/>
  <c r="T132" i="1"/>
  <c r="K203" i="1"/>
  <c r="M203" i="1"/>
  <c r="P138" i="1"/>
  <c r="O67" i="1"/>
  <c r="O31" i="1"/>
  <c r="P71" i="1"/>
  <c r="P62" i="1"/>
  <c r="P26" i="1"/>
  <c r="P53" i="1"/>
  <c r="P31" i="1"/>
  <c r="P35" i="1"/>
  <c r="P67" i="1"/>
  <c r="P44" i="1"/>
  <c r="O49" i="1"/>
  <c r="O58" i="1"/>
  <c r="O40" i="1"/>
  <c r="P49" i="1"/>
  <c r="P40" i="1"/>
  <c r="P58" i="1"/>
  <c r="T40" i="1"/>
  <c r="T58" i="1"/>
  <c r="T49" i="1"/>
  <c r="O4" i="1"/>
  <c r="T31" i="1"/>
  <c r="T26" i="1"/>
  <c r="T44" i="1"/>
  <c r="T35" i="1"/>
  <c r="T71" i="1"/>
  <c r="T62" i="1"/>
  <c r="T53" i="1"/>
  <c r="T67" i="1"/>
  <c r="O13" i="1"/>
  <c r="O8" i="1"/>
  <c r="O22" i="1"/>
  <c r="T22" i="1"/>
  <c r="P22" i="1"/>
  <c r="P17" i="1"/>
  <c r="P8" i="1"/>
  <c r="P13" i="1"/>
  <c r="T17" i="1"/>
  <c r="P4" i="1"/>
  <c r="T13" i="1"/>
  <c r="T4" i="1"/>
  <c r="T8" i="1"/>
  <c r="T76" i="1"/>
  <c r="T204" i="1"/>
  <c r="O12" i="1"/>
  <c r="P12" i="1"/>
  <c r="O11" i="1"/>
  <c r="P11" i="1"/>
  <c r="O10" i="1"/>
  <c r="P10" i="1"/>
  <c r="K204" i="1"/>
  <c r="M204" i="1"/>
  <c r="H132" i="1"/>
  <c r="F204" i="1"/>
  <c r="P204" i="1"/>
  <c r="H204" i="1"/>
</calcChain>
</file>

<file path=xl/comments1.xml><?xml version="1.0" encoding="utf-8"?>
<comments xmlns="http://schemas.openxmlformats.org/spreadsheetml/2006/main">
  <authors>
    <author>tc={5DBC3313-8170-41B9-91C5-6F2737CCF3BB}</author>
  </authors>
  <commentList>
    <comment ref="D77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Decreased to 75% to reflect removing NPOs</t>
        </r>
      </text>
    </comment>
  </commentList>
</comments>
</file>

<file path=xl/sharedStrings.xml><?xml version="1.0" encoding="utf-8"?>
<sst xmlns="http://schemas.openxmlformats.org/spreadsheetml/2006/main" count="290" uniqueCount="88">
  <si>
    <t>Responsive</t>
  </si>
  <si>
    <t>Non-Responsive</t>
  </si>
  <si>
    <t>Sample Size</t>
  </si>
  <si>
    <t>Annual burden (hours)</t>
  </si>
  <si>
    <t>Hours per response</t>
  </si>
  <si>
    <t>Annual  burden (hours)</t>
  </si>
  <si>
    <t>Hourly Wage Rate</t>
  </si>
  <si>
    <t>3-Year Cost of Respondent Burden</t>
  </si>
  <si>
    <t>State Agencies</t>
  </si>
  <si>
    <t>WIC State Agency</t>
  </si>
  <si>
    <t>SFSP State Agency</t>
  </si>
  <si>
    <t>CACFP State Agency</t>
  </si>
  <si>
    <t>TEFAP State Agency</t>
  </si>
  <si>
    <t>FDPIR State Agency/ITO</t>
  </si>
  <si>
    <t>USDA Foods in Schools State Agency</t>
  </si>
  <si>
    <t>CSFP State Agency</t>
  </si>
  <si>
    <t>State Agencies Sub-Total</t>
  </si>
  <si>
    <t>Local Agencies</t>
  </si>
  <si>
    <t>Local WIC Agency</t>
  </si>
  <si>
    <t>Local WIC Site</t>
  </si>
  <si>
    <t>SFSP Sponsor</t>
  </si>
  <si>
    <t>SFSP Site</t>
  </si>
  <si>
    <t>USDA Foods in Schools Provider</t>
  </si>
  <si>
    <t>CSFP Local Agency</t>
  </si>
  <si>
    <t>Local  Agencies Sub-Total</t>
  </si>
  <si>
    <t>*Totals may not add up due to rounding.</t>
  </si>
  <si>
    <t>TOTAL*</t>
  </si>
  <si>
    <t>NSLP/SBP/FFVP State Agency</t>
  </si>
  <si>
    <t>Instrument</t>
  </si>
  <si>
    <t>Number of respondents</t>
  </si>
  <si>
    <t xml:space="preserve">Total Annual Responses </t>
  </si>
  <si>
    <t>Number of 
Non-respondents</t>
  </si>
  <si>
    <t>Frequency of Response</t>
  </si>
  <si>
    <t>All</t>
  </si>
  <si>
    <t>Total Annual Burden Estimate (hours)</t>
  </si>
  <si>
    <t>SFA (NSLP/SBP/FFVP)</t>
  </si>
  <si>
    <t>School (NSLP/SBP/FFVP)</t>
  </si>
  <si>
    <t>USDA Foods in Schools 
Local Agency</t>
  </si>
  <si>
    <t>Businesses</t>
  </si>
  <si>
    <t>Businesses Sub-Total</t>
  </si>
  <si>
    <t>Total Annual Responses</t>
  </si>
  <si>
    <t>Total Annual Cost of Respondent Burden</t>
  </si>
  <si>
    <t>Survey</t>
  </si>
  <si>
    <t>Sampling Frame Info Request</t>
  </si>
  <si>
    <t>Reospendent Type</t>
  </si>
  <si>
    <t>CACFP Head Start Center Sponsors</t>
  </si>
  <si>
    <t>CACFP FDCH Sponsors</t>
  </si>
  <si>
    <t>CACFP Head Start Center Providers</t>
  </si>
  <si>
    <t>CACFP Family Day Care Home Providers</t>
  </si>
  <si>
    <t>CACFP Adult Day Care Centers</t>
  </si>
  <si>
    <t>TEFAP Eligible Recipient Agencies</t>
  </si>
  <si>
    <t>TEFAP Emergency Feeding Organizations</t>
  </si>
  <si>
    <t>CACFP Child Care Center Sponsors</t>
  </si>
  <si>
    <t>CACFP Child Care Centers</t>
  </si>
  <si>
    <t>Appendix C. Estimated Annualized Burden</t>
  </si>
  <si>
    <t>Reminder 1</t>
  </si>
  <si>
    <t>Reminder 2</t>
  </si>
  <si>
    <t>Recruitment Email</t>
  </si>
  <si>
    <t>Reminder 3</t>
  </si>
  <si>
    <t xml:space="preserve">Reminder 3 </t>
  </si>
  <si>
    <t>Advance Notification</t>
  </si>
  <si>
    <t>Annually</t>
  </si>
  <si>
    <t>Over 3 years</t>
  </si>
  <si>
    <t xml:space="preserve">Total Number of Respondents: </t>
  </si>
  <si>
    <t>Non ressponsive</t>
  </si>
  <si>
    <t>Number of Responses per Respondent:</t>
  </si>
  <si>
    <t xml:space="preserve">Total Responses: </t>
  </si>
  <si>
    <t>Responsive responses</t>
  </si>
  <si>
    <t>Non responsive responses</t>
  </si>
  <si>
    <t>Time per Response:</t>
  </si>
  <si>
    <t>Total burden hours</t>
  </si>
  <si>
    <t>Total Electronic responses:</t>
  </si>
  <si>
    <t>Electronic survey</t>
  </si>
  <si>
    <t>% electronic</t>
  </si>
  <si>
    <t>Small entities</t>
  </si>
  <si>
    <t>Difference from previous:</t>
  </si>
  <si>
    <t>3 year Burden hours</t>
  </si>
  <si>
    <t>3 year Total responses</t>
  </si>
  <si>
    <t>Annual burden</t>
  </si>
  <si>
    <t>Annual total responses</t>
  </si>
  <si>
    <t>State responses</t>
  </si>
  <si>
    <t>Local agency &amp; site responses</t>
  </si>
  <si>
    <t xml:space="preserve">Overall responses </t>
  </si>
  <si>
    <t>Overall resonse rate</t>
  </si>
  <si>
    <t xml:space="preserve">Total annual program change burden </t>
  </si>
  <si>
    <t>Advance notification/recruitment</t>
  </si>
  <si>
    <t>Program adjustment</t>
  </si>
  <si>
    <t>full calculations  available in QRS Burden Table ICR 3.0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</si>
</sst>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"/>
    <numFmt numFmtId="166" formatCode="0.0"/>
    <numFmt numFmtId="167" formatCode="0.0000"/>
    <numFmt numFmtId="168" formatCode="_(* #,##0_);_(* \(#,##0\);_(* &quot;-&quot;??_);_(@_)"/>
    <numFmt numFmtId="169" formatCode="#,##0.000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3" borderId="0" applyNumberFormat="0" applyBorder="0" applyAlignment="0" applyProtection="0"/>
  </cellStyleXfs>
  <cellXfs count="208">
    <xf numFmtId="0" fontId="0" fillId="0" borderId="0" xfId="0"/>
    <xf numFmtId="0" fontId="0" fillId="0" borderId="0" xfId="0" applyFont="1" applyFill="1" applyAlignment="1"/>
    <xf numFmtId="0" fontId="0" fillId="0" borderId="3" xfId="0" applyFont="1" applyFill="1" applyBorder="1" applyAlignment="1"/>
    <xf numFmtId="0" fontId="1" fillId="0" borderId="6" xfId="0" applyFont="1" applyFill="1" applyBorder="1" applyAlignment="1">
      <alignment wrapText="1" readingOrder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2" xfId="0" applyFont="1" applyFill="1" applyBorder="1" applyAlignment="1"/>
    <xf numFmtId="44" fontId="2" fillId="0" borderId="4" xfId="1" applyFont="1" applyFill="1" applyBorder="1" applyAlignment="1"/>
    <xf numFmtId="44" fontId="2" fillId="0" borderId="5" xfId="0" applyNumberFormat="1" applyFont="1" applyFill="1" applyBorder="1" applyAlignment="1"/>
    <xf numFmtId="44" fontId="2" fillId="2" borderId="16" xfId="0" applyNumberFormat="1" applyFont="1" applyFill="1" applyBorder="1" applyAlignment="1"/>
    <xf numFmtId="44" fontId="0" fillId="2" borderId="19" xfId="0" applyNumberFormat="1" applyFont="1" applyFill="1" applyBorder="1" applyAlignment="1"/>
    <xf numFmtId="0" fontId="1" fillId="0" borderId="13" xfId="0" applyFont="1" applyFill="1" applyBorder="1" applyAlignment="1">
      <alignment textRotation="90" wrapText="1"/>
    </xf>
    <xf numFmtId="3" fontId="0" fillId="0" borderId="0" xfId="0" applyNumberFormat="1" applyFont="1" applyFill="1" applyAlignment="1"/>
    <xf numFmtId="0" fontId="0" fillId="0" borderId="0" xfId="0" applyFont="1" applyFill="1" applyAlignment="1">
      <alignment horizontal="center"/>
    </xf>
    <xf numFmtId="44" fontId="4" fillId="0" borderId="5" xfId="0" applyNumberFormat="1" applyFont="1" applyFill="1" applyBorder="1" applyAlignment="1"/>
    <xf numFmtId="0" fontId="0" fillId="0" borderId="0" xfId="0" applyFont="1" applyFill="1" applyAlignment="1"/>
    <xf numFmtId="0" fontId="0" fillId="0" borderId="0" xfId="0" applyFont="1" applyFill="1" applyAlignment="1"/>
    <xf numFmtId="44" fontId="1" fillId="0" borderId="14" xfId="1" applyFont="1" applyFill="1" applyBorder="1" applyAlignment="1">
      <alignment wrapText="1"/>
    </xf>
    <xf numFmtId="44" fontId="0" fillId="0" borderId="0" xfId="0" applyNumberFormat="1" applyFont="1" applyFill="1" applyAlignment="1"/>
    <xf numFmtId="0" fontId="0" fillId="0" borderId="0" xfId="0" applyFont="1" applyFill="1" applyAlignment="1"/>
    <xf numFmtId="44" fontId="2" fillId="0" borderId="5" xfId="0" applyNumberFormat="1" applyFont="1" applyBorder="1"/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 readingOrder="1"/>
    </xf>
    <xf numFmtId="0" fontId="6" fillId="0" borderId="1" xfId="0" applyFont="1" applyFill="1" applyBorder="1" applyAlignment="1">
      <alignment horizontal="left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3" fontId="6" fillId="0" borderId="27" xfId="0" applyNumberFormat="1" applyFont="1" applyFill="1" applyBorder="1" applyAlignment="1">
      <alignment horizontal="center" vertical="center" wrapText="1"/>
    </xf>
    <xf numFmtId="3" fontId="6" fillId="0" borderId="26" xfId="0" applyNumberFormat="1" applyFont="1" applyFill="1" applyBorder="1" applyAlignment="1">
      <alignment horizontal="center" vertical="center" wrapText="1"/>
    </xf>
    <xf numFmtId="3" fontId="8" fillId="0" borderId="27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6" fillId="2" borderId="15" xfId="0" applyNumberFormat="1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165" fontId="6" fillId="2" borderId="16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textRotation="90" wrapText="1" readingOrder="1"/>
    </xf>
    <xf numFmtId="0" fontId="5" fillId="0" borderId="9" xfId="0" applyFont="1" applyFill="1" applyBorder="1" applyAlignment="1">
      <alignment horizontal="center" vertical="center" textRotation="90" wrapText="1" readingOrder="1"/>
    </xf>
    <xf numFmtId="3" fontId="0" fillId="0" borderId="0" xfId="0" applyNumberFormat="1"/>
    <xf numFmtId="0" fontId="6" fillId="0" borderId="24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center" vertical="center" wrapText="1"/>
    </xf>
    <xf numFmtId="3" fontId="6" fillId="0" borderId="22" xfId="0" applyNumberFormat="1" applyFont="1" applyFill="1" applyBorder="1" applyAlignment="1">
      <alignment horizontal="center" vertical="center" wrapText="1"/>
    </xf>
    <xf numFmtId="2" fontId="6" fillId="0" borderId="22" xfId="0" applyNumberFormat="1" applyFont="1" applyFill="1" applyBorder="1" applyAlignment="1">
      <alignment horizontal="center" vertical="center" wrapText="1"/>
    </xf>
    <xf numFmtId="3" fontId="6" fillId="2" borderId="16" xfId="0" applyNumberFormat="1" applyFont="1" applyFill="1" applyBorder="1" applyAlignment="1">
      <alignment horizontal="center" vertical="center" wrapText="1"/>
    </xf>
    <xf numFmtId="3" fontId="6" fillId="2" borderId="17" xfId="0" applyNumberFormat="1" applyFont="1" applyFill="1" applyBorder="1" applyAlignment="1">
      <alignment horizontal="center" vertical="center" wrapText="1"/>
    </xf>
    <xf numFmtId="1" fontId="6" fillId="2" borderId="15" xfId="0" applyNumberFormat="1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3" fontId="5" fillId="0" borderId="32" xfId="0" applyNumberFormat="1" applyFont="1" applyFill="1" applyBorder="1" applyAlignment="1">
      <alignment horizontal="center" vertical="center" wrapText="1"/>
    </xf>
    <xf numFmtId="2" fontId="5" fillId="0" borderId="31" xfId="0" applyNumberFormat="1" applyFont="1" applyFill="1" applyBorder="1" applyAlignment="1">
      <alignment horizontal="center" vertical="center" wrapText="1"/>
    </xf>
    <xf numFmtId="4" fontId="5" fillId="0" borderId="31" xfId="0" applyNumberFormat="1" applyFont="1" applyFill="1" applyBorder="1" applyAlignment="1">
      <alignment horizontal="center" vertical="center" wrapText="1"/>
    </xf>
    <xf numFmtId="3" fontId="6" fillId="0" borderId="33" xfId="0" applyNumberFormat="1" applyFont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5" fillId="0" borderId="32" xfId="0" applyNumberFormat="1" applyFont="1" applyFill="1" applyBorder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2" fontId="6" fillId="0" borderId="25" xfId="0" applyNumberFormat="1" applyFont="1" applyBorder="1" applyAlignment="1">
      <alignment horizontal="center" vertical="center" wrapText="1"/>
    </xf>
    <xf numFmtId="3" fontId="6" fillId="0" borderId="25" xfId="0" applyNumberFormat="1" applyFont="1" applyFill="1" applyBorder="1" applyAlignment="1">
      <alignment horizontal="center" vertical="center" wrapText="1"/>
    </xf>
    <xf numFmtId="4" fontId="6" fillId="0" borderId="25" xfId="0" applyNumberFormat="1" applyFont="1" applyFill="1" applyBorder="1" applyAlignment="1">
      <alignment horizontal="center" vertical="center" wrapText="1"/>
    </xf>
    <xf numFmtId="166" fontId="6" fillId="0" borderId="34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center" vertical="center"/>
    </xf>
    <xf numFmtId="166" fontId="6" fillId="0" borderId="27" xfId="0" applyNumberFormat="1" applyFont="1" applyBorder="1" applyAlignment="1">
      <alignment horizontal="center" vertical="center"/>
    </xf>
    <xf numFmtId="0" fontId="6" fillId="0" borderId="36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4" fontId="6" fillId="0" borderId="22" xfId="0" applyNumberFormat="1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3" fontId="6" fillId="2" borderId="38" xfId="0" applyNumberFormat="1" applyFont="1" applyFill="1" applyBorder="1" applyAlignment="1">
      <alignment horizontal="center" vertical="center" wrapText="1"/>
    </xf>
    <xf numFmtId="3" fontId="6" fillId="2" borderId="39" xfId="0" applyNumberFormat="1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3" fontId="6" fillId="0" borderId="33" xfId="0" applyNumberFormat="1" applyFont="1" applyFill="1" applyBorder="1" applyAlignment="1">
      <alignment horizontal="center" vertical="center" wrapText="1"/>
    </xf>
    <xf numFmtId="165" fontId="6" fillId="2" borderId="15" xfId="0" applyNumberFormat="1" applyFont="1" applyFill="1" applyBorder="1" applyAlignment="1">
      <alignment horizontal="center" vertical="center" wrapText="1"/>
    </xf>
    <xf numFmtId="165" fontId="6" fillId="0" borderId="40" xfId="0" applyNumberFormat="1" applyFont="1" applyFill="1" applyBorder="1" applyAlignment="1">
      <alignment horizontal="center" vertical="center"/>
    </xf>
    <xf numFmtId="165" fontId="8" fillId="0" borderId="40" xfId="0" applyNumberFormat="1" applyFont="1" applyFill="1" applyBorder="1" applyAlignment="1">
      <alignment horizontal="center" vertical="center"/>
    </xf>
    <xf numFmtId="166" fontId="6" fillId="0" borderId="40" xfId="0" applyNumberFormat="1" applyFont="1" applyFill="1" applyBorder="1" applyAlignment="1">
      <alignment horizontal="center" vertical="center"/>
    </xf>
    <xf numFmtId="166" fontId="6" fillId="0" borderId="40" xfId="0" applyNumberFormat="1" applyFont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textRotation="90" wrapText="1" readingOrder="1"/>
    </xf>
    <xf numFmtId="4" fontId="6" fillId="0" borderId="35" xfId="0" applyNumberFormat="1" applyFont="1" applyFill="1" applyBorder="1" applyAlignment="1">
      <alignment horizontal="center" vertical="center" wrapText="1"/>
    </xf>
    <xf numFmtId="165" fontId="6" fillId="0" borderId="41" xfId="0" applyNumberFormat="1" applyFont="1" applyFill="1" applyBorder="1" applyAlignment="1">
      <alignment horizontal="center" vertical="center"/>
    </xf>
    <xf numFmtId="3" fontId="6" fillId="0" borderId="34" xfId="0" applyNumberFormat="1" applyFont="1" applyFill="1" applyBorder="1" applyAlignment="1">
      <alignment horizontal="center" vertical="center" wrapText="1"/>
    </xf>
    <xf numFmtId="3" fontId="6" fillId="0" borderId="42" xfId="0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 wrapText="1"/>
    </xf>
    <xf numFmtId="165" fontId="6" fillId="0" borderId="34" xfId="0" applyNumberFormat="1" applyFont="1" applyFill="1" applyBorder="1" applyAlignment="1">
      <alignment horizontal="center" vertical="center" wrapText="1"/>
    </xf>
    <xf numFmtId="166" fontId="6" fillId="0" borderId="43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166" fontId="6" fillId="2" borderId="38" xfId="0" applyNumberFormat="1" applyFont="1" applyFill="1" applyBorder="1" applyAlignment="1">
      <alignment horizontal="center" vertical="center"/>
    </xf>
    <xf numFmtId="165" fontId="6" fillId="0" borderId="40" xfId="0" applyNumberFormat="1" applyFont="1" applyFill="1" applyBorder="1" applyAlignment="1">
      <alignment horizontal="center" vertical="center" wrapText="1"/>
    </xf>
    <xf numFmtId="165" fontId="6" fillId="0" borderId="41" xfId="0" applyNumberFormat="1" applyFont="1" applyFill="1" applyBorder="1" applyAlignment="1">
      <alignment horizontal="center" vertical="center" wrapText="1"/>
    </xf>
    <xf numFmtId="165" fontId="6" fillId="0" borderId="43" xfId="0" applyNumberFormat="1" applyFont="1" applyFill="1" applyBorder="1" applyAlignment="1">
      <alignment horizontal="center" vertical="center" wrapText="1"/>
    </xf>
    <xf numFmtId="165" fontId="6" fillId="0" borderId="40" xfId="0" applyNumberFormat="1" applyFont="1" applyBorder="1" applyAlignment="1">
      <alignment horizontal="center" vertical="center" wrapText="1"/>
    </xf>
    <xf numFmtId="3" fontId="6" fillId="0" borderId="35" xfId="0" applyNumberFormat="1" applyFont="1" applyBorder="1" applyAlignment="1">
      <alignment horizontal="center" vertical="center" wrapText="1"/>
    </xf>
    <xf numFmtId="3" fontId="6" fillId="0" borderId="44" xfId="0" applyNumberFormat="1" applyFont="1" applyFill="1" applyBorder="1" applyAlignment="1">
      <alignment horizontal="center" vertical="center" wrapText="1"/>
    </xf>
    <xf numFmtId="3" fontId="5" fillId="0" borderId="45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textRotation="90" wrapText="1" readingOrder="1"/>
    </xf>
    <xf numFmtId="165" fontId="6" fillId="0" borderId="19" xfId="0" applyNumberFormat="1" applyFont="1" applyFill="1" applyBorder="1" applyAlignment="1">
      <alignment horizontal="center" vertical="center" wrapText="1"/>
    </xf>
    <xf numFmtId="165" fontId="6" fillId="0" borderId="34" xfId="0" applyNumberFormat="1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textRotation="90" wrapText="1" readingOrder="1"/>
    </xf>
    <xf numFmtId="0" fontId="5" fillId="0" borderId="41" xfId="0" applyFont="1" applyFill="1" applyBorder="1" applyAlignment="1">
      <alignment horizontal="center" vertical="center" textRotation="90" wrapText="1" readingOrder="1"/>
    </xf>
    <xf numFmtId="0" fontId="5" fillId="0" borderId="26" xfId="0" applyFont="1" applyFill="1" applyBorder="1" applyAlignment="1">
      <alignment horizontal="center" vertical="center" textRotation="90" wrapText="1" readingOrder="1"/>
    </xf>
    <xf numFmtId="3" fontId="6" fillId="0" borderId="46" xfId="0" applyNumberFormat="1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3" fontId="6" fillId="0" borderId="36" xfId="0" applyNumberFormat="1" applyFont="1" applyFill="1" applyBorder="1" applyAlignment="1">
      <alignment horizontal="center" vertical="center" wrapText="1"/>
    </xf>
    <xf numFmtId="4" fontId="6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textRotation="90" wrapText="1"/>
    </xf>
    <xf numFmtId="0" fontId="5" fillId="0" borderId="36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30" xfId="0" applyFont="1" applyFill="1" applyBorder="1" applyAlignment="1">
      <alignment horizontal="center" wrapText="1"/>
    </xf>
    <xf numFmtId="0" fontId="0" fillId="0" borderId="0" xfId="0" applyFont="1" applyFill="1" applyBorder="1" applyAlignment="1"/>
    <xf numFmtId="0" fontId="5" fillId="0" borderId="12" xfId="0" applyFont="1" applyFill="1" applyBorder="1" applyAlignment="1">
      <alignment horizontal="center" wrapText="1"/>
    </xf>
    <xf numFmtId="0" fontId="6" fillId="0" borderId="0" xfId="0" applyFont="1" applyFill="1" applyAlignment="1"/>
    <xf numFmtId="3" fontId="6" fillId="0" borderId="18" xfId="0" applyNumberFormat="1" applyFont="1" applyFill="1" applyBorder="1" applyAlignment="1">
      <alignment horizontal="center" vertical="center" wrapText="1"/>
    </xf>
    <xf numFmtId="44" fontId="0" fillId="0" borderId="19" xfId="0" applyNumberFormat="1" applyFont="1" applyFill="1" applyBorder="1" applyAlignment="1"/>
    <xf numFmtId="3" fontId="6" fillId="0" borderId="50" xfId="0" applyNumberFormat="1" applyFont="1" applyFill="1" applyBorder="1" applyAlignment="1">
      <alignment horizontal="center" vertical="center" wrapText="1"/>
    </xf>
    <xf numFmtId="3" fontId="6" fillId="0" borderId="51" xfId="0" applyNumberFormat="1" applyFont="1" applyFill="1" applyBorder="1" applyAlignment="1">
      <alignment horizontal="center" vertical="center" wrapText="1"/>
    </xf>
    <xf numFmtId="165" fontId="6" fillId="0" borderId="50" xfId="0" applyNumberFormat="1" applyFont="1" applyBorder="1" applyAlignment="1">
      <alignment horizontal="center" vertical="center" wrapText="1"/>
    </xf>
    <xf numFmtId="3" fontId="6" fillId="0" borderId="42" xfId="0" applyNumberFormat="1" applyFont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center" vertical="center" wrapText="1"/>
    </xf>
    <xf numFmtId="3" fontId="6" fillId="0" borderId="51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2" fontId="6" fillId="0" borderId="35" xfId="0" applyNumberFormat="1" applyFont="1" applyBorder="1" applyAlignment="1">
      <alignment horizontal="center" vertical="center" wrapText="1"/>
    </xf>
    <xf numFmtId="166" fontId="6" fillId="0" borderId="43" xfId="0" applyNumberFormat="1" applyFont="1" applyBorder="1" applyAlignment="1">
      <alignment horizontal="center" vertical="center"/>
    </xf>
    <xf numFmtId="44" fontId="2" fillId="0" borderId="52" xfId="1" applyFont="1" applyBorder="1" applyAlignment="1">
      <alignment horizontal="center"/>
    </xf>
    <xf numFmtId="44" fontId="2" fillId="0" borderId="27" xfId="0" applyNumberFormat="1" applyFont="1" applyFill="1" applyBorder="1" applyAlignment="1"/>
    <xf numFmtId="44" fontId="2" fillId="0" borderId="53" xfId="1" applyFont="1" applyFill="1" applyBorder="1" applyAlignment="1">
      <alignment horizontal="center"/>
    </xf>
    <xf numFmtId="44" fontId="2" fillId="0" borderId="34" xfId="0" applyNumberFormat="1" applyFont="1" applyFill="1" applyBorder="1" applyAlignment="1"/>
    <xf numFmtId="165" fontId="5" fillId="0" borderId="32" xfId="0" applyNumberFormat="1" applyFont="1" applyFill="1" applyBorder="1" applyAlignment="1">
      <alignment horizontal="center" vertical="center" wrapText="1"/>
    </xf>
    <xf numFmtId="44" fontId="2" fillId="0" borderId="19" xfId="0" applyNumberFormat="1" applyFont="1" applyBorder="1"/>
    <xf numFmtId="0" fontId="7" fillId="0" borderId="22" xfId="0" applyFont="1" applyBorder="1" applyAlignment="1">
      <alignment wrapText="1"/>
    </xf>
    <xf numFmtId="0" fontId="2" fillId="0" borderId="47" xfId="0" applyFont="1" applyFill="1" applyBorder="1" applyAlignment="1">
      <alignment vertical="center" textRotation="90" wrapText="1"/>
    </xf>
    <xf numFmtId="0" fontId="2" fillId="0" borderId="20" xfId="0" applyFont="1" applyFill="1" applyBorder="1" applyAlignment="1">
      <alignment vertical="center" textRotation="90" wrapText="1"/>
    </xf>
    <xf numFmtId="0" fontId="2" fillId="0" borderId="48" xfId="0" applyFont="1" applyFill="1" applyBorder="1" applyAlignment="1">
      <alignment vertical="center" textRotation="90" wrapText="1"/>
    </xf>
    <xf numFmtId="0" fontId="2" fillId="0" borderId="28" xfId="0" applyFont="1" applyFill="1" applyBorder="1" applyAlignment="1">
      <alignment vertical="center" textRotation="90" wrapText="1"/>
    </xf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6" fillId="0" borderId="18" xfId="0" applyFont="1" applyFill="1" applyBorder="1" applyAlignment="1">
      <alignment horizontal="left" vertical="center" wrapText="1"/>
    </xf>
    <xf numFmtId="165" fontId="6" fillId="0" borderId="3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 readingOrder="1"/>
    </xf>
    <xf numFmtId="0" fontId="0" fillId="0" borderId="18" xfId="0" applyFont="1" applyFill="1" applyBorder="1" applyAlignment="1"/>
    <xf numFmtId="0" fontId="0" fillId="0" borderId="25" xfId="0" applyFont="1" applyFill="1" applyBorder="1" applyAlignment="1"/>
    <xf numFmtId="0" fontId="8" fillId="0" borderId="18" xfId="0" applyFont="1" applyFill="1" applyBorder="1" applyAlignment="1">
      <alignment horizontal="left" vertical="center" wrapText="1"/>
    </xf>
    <xf numFmtId="44" fontId="2" fillId="2" borderId="4" xfId="1" applyFont="1" applyFill="1" applyBorder="1" applyAlignment="1">
      <alignment vertical="center"/>
    </xf>
    <xf numFmtId="44" fontId="2" fillId="2" borderId="16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horizontal="center" vertical="center" wrapText="1"/>
    </xf>
    <xf numFmtId="44" fontId="2" fillId="2" borderId="15" xfId="1" applyFont="1" applyFill="1" applyBorder="1" applyAlignment="1">
      <alignment horizontal="center" vertical="center"/>
    </xf>
    <xf numFmtId="44" fontId="0" fillId="2" borderId="16" xfId="0" applyNumberFormat="1" applyFont="1" applyFill="1" applyBorder="1" applyAlignment="1">
      <alignment vertical="center"/>
    </xf>
    <xf numFmtId="4" fontId="6" fillId="0" borderId="5" xfId="0" applyNumberFormat="1" applyFont="1" applyFill="1" applyBorder="1" applyAlignment="1">
      <alignment horizontal="center" vertical="center" wrapText="1"/>
    </xf>
    <xf numFmtId="0" fontId="9" fillId="0" borderId="55" xfId="0" applyFont="1" applyFill="1" applyBorder="1" applyAlignment="1"/>
    <xf numFmtId="44" fontId="0" fillId="2" borderId="54" xfId="0" applyNumberFormat="1" applyFont="1" applyFill="1" applyBorder="1" applyAlignment="1"/>
    <xf numFmtId="0" fontId="6" fillId="0" borderId="18" xfId="0" applyFont="1" applyFill="1" applyBorder="1" applyAlignment="1">
      <alignment horizontal="center" vertical="center" wrapText="1"/>
    </xf>
    <xf numFmtId="165" fontId="6" fillId="0" borderId="54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Fill="1" applyBorder="1" applyAlignment="1">
      <alignment horizontal="center" vertical="center" wrapText="1"/>
    </xf>
    <xf numFmtId="166" fontId="6" fillId="0" borderId="54" xfId="0" applyNumberFormat="1" applyFont="1" applyFill="1" applyBorder="1" applyAlignment="1">
      <alignment horizontal="center" vertical="center"/>
    </xf>
    <xf numFmtId="44" fontId="2" fillId="0" borderId="56" xfId="1" applyFont="1" applyFill="1" applyBorder="1" applyAlignment="1">
      <alignment horizontal="center"/>
    </xf>
    <xf numFmtId="0" fontId="0" fillId="0" borderId="57" xfId="0" applyFont="1" applyFill="1" applyBorder="1" applyAlignment="1">
      <alignment vertical="center"/>
    </xf>
    <xf numFmtId="44" fontId="1" fillId="0" borderId="32" xfId="1" applyFont="1" applyFill="1" applyBorder="1" applyAlignment="1">
      <alignment vertical="center" wrapText="1"/>
    </xf>
    <xf numFmtId="44" fontId="0" fillId="2" borderId="38" xfId="0" applyNumberFormat="1" applyFont="1" applyFill="1" applyBorder="1" applyAlignment="1">
      <alignment vertical="center"/>
    </xf>
    <xf numFmtId="44" fontId="2" fillId="2" borderId="17" xfId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6" fillId="0" borderId="49" xfId="0" applyFont="1" applyFill="1" applyBorder="1" applyAlignment="1">
      <alignment horizontal="left" vertical="center" wrapText="1"/>
    </xf>
    <xf numFmtId="166" fontId="6" fillId="0" borderId="5" xfId="0" applyNumberFormat="1" applyFont="1" applyFill="1" applyBorder="1" applyAlignment="1">
      <alignment horizontal="center" vertical="center"/>
    </xf>
    <xf numFmtId="0" fontId="0" fillId="0" borderId="23" xfId="0" applyBorder="1"/>
    <xf numFmtId="0" fontId="6" fillId="0" borderId="23" xfId="0" applyFont="1" applyBorder="1"/>
    <xf numFmtId="3" fontId="0" fillId="0" borderId="23" xfId="0" applyNumberFormat="1" applyBorder="1"/>
    <xf numFmtId="164" fontId="0" fillId="0" borderId="0" xfId="0" applyNumberFormat="1"/>
    <xf numFmtId="167" fontId="0" fillId="0" borderId="0" xfId="0" applyNumberFormat="1"/>
    <xf numFmtId="4" fontId="0" fillId="0" borderId="23" xfId="0" applyNumberFormat="1" applyBorder="1"/>
    <xf numFmtId="0" fontId="6" fillId="0" borderId="0" xfId="0" applyFont="1"/>
    <xf numFmtId="44" fontId="0" fillId="0" borderId="0" xfId="0" applyNumberFormat="1"/>
    <xf numFmtId="0" fontId="0" fillId="0" borderId="0" xfId="0" applyAlignment="1">
      <alignment horizontal="center"/>
    </xf>
    <xf numFmtId="0" fontId="10" fillId="0" borderId="0" xfId="3" applyFill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2" applyNumberFormat="1" applyFont="1" applyFill="1" applyAlignment="1">
      <alignment horizontal="center"/>
    </xf>
    <xf numFmtId="3" fontId="10" fillId="0" borderId="0" xfId="3" applyNumberFormat="1" applyFill="1" applyAlignment="1"/>
    <xf numFmtId="169" fontId="0" fillId="0" borderId="0" xfId="0" applyNumberFormat="1" applyAlignment="1">
      <alignment horizontal="center"/>
    </xf>
    <xf numFmtId="169" fontId="10" fillId="0" borderId="0" xfId="3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167" fontId="10" fillId="0" borderId="0" xfId="3" applyNumberFormat="1" applyFill="1" applyAlignment="1"/>
    <xf numFmtId="3" fontId="0" fillId="0" borderId="0" xfId="0" applyNumberFormat="1" applyAlignment="1">
      <alignment horizontal="center"/>
    </xf>
    <xf numFmtId="165" fontId="0" fillId="0" borderId="0" xfId="0" applyNumberFormat="1"/>
    <xf numFmtId="0" fontId="12" fillId="0" borderId="0" xfId="0" applyFont="1"/>
    <xf numFmtId="4" fontId="0" fillId="0" borderId="0" xfId="0" applyNumberFormat="1"/>
    <xf numFmtId="0" fontId="11" fillId="0" borderId="0" xfId="0" applyFont="1" applyAlignment="1">
      <alignment horizontal="center" wrapText="1"/>
    </xf>
    <xf numFmtId="0" fontId="2" fillId="0" borderId="28" xfId="0" applyFont="1" applyFill="1" applyBorder="1" applyAlignment="1">
      <alignment horizontal="center" vertical="center" textRotation="90" wrapText="1"/>
    </xf>
    <xf numFmtId="0" fontId="2" fillId="0" borderId="20" xfId="0" applyFont="1" applyFill="1" applyBorder="1" applyAlignment="1">
      <alignment horizontal="center" vertical="center" textRotation="90" wrapText="1"/>
    </xf>
    <xf numFmtId="0" fontId="2" fillId="0" borderId="29" xfId="0" applyFont="1" applyFill="1" applyBorder="1" applyAlignment="1">
      <alignment horizontal="center" vertical="center" textRotation="90" wrapText="1"/>
    </xf>
    <xf numFmtId="0" fontId="5" fillId="0" borderId="11" xfId="0" applyFont="1" applyFill="1" applyBorder="1" applyAlignment="1">
      <alignment horizontal="center" wrapText="1"/>
    </xf>
    <xf numFmtId="0" fontId="5" fillId="0" borderId="30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</cellXfs>
  <cellStyles count="4">
    <cellStyle name="Bad" xfId="3" builtinId="27"/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senthal, Amy - FNS" id="{7DE91386-94FA-4B49-BB2B-29239A655B26}" userId="S::Amy.Rosenthal@usda.gov::1dd6fa61-577a-43ce-95ac-810c7975a6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7" dT="2020-11-18T14:29:44.43" personId="{7DE91386-94FA-4B49-BB2B-29239A655B26}" id="{5DBC3313-8170-41B9-91C5-6F2737CCF3BB}">
    <text>Decreased to 75% to reflect removing NPOs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38"/>
  <sheetViews>
    <sheetView tabSelected="1" zoomScaleNormal="100" workbookViewId="0">
      <pane xSplit="2" ySplit="3" topLeftCell="C4" activePane="bottomRight" state="frozen"/>
      <selection activeCell="B1" sqref="B1"/>
      <selection pane="topRight" activeCell="C1" sqref="C1"/>
      <selection pane="bottomLeft" activeCell="B3" sqref="B3"/>
      <selection pane="bottomRight" activeCell="A230" sqref="A230:XFD233"/>
    </sheetView>
  </sheetViews>
  <sheetFormatPr defaultColWidth="9.1796875" defaultRowHeight="14.5" x14ac:dyDescent="0.35"/>
  <cols>
    <col min="1" max="1" width="9" style="1" customWidth="1"/>
    <col min="2" max="2" width="24.54296875" style="125" customWidth="1"/>
    <col min="3" max="3" width="17.7265625" style="1" customWidth="1"/>
    <col min="4" max="4" width="12.7265625" style="13" customWidth="1"/>
    <col min="5" max="5" width="9.7265625" style="13" customWidth="1"/>
    <col min="6" max="6" width="8.54296875" style="1" customWidth="1"/>
    <col min="7" max="7" width="8.453125" style="16" customWidth="1"/>
    <col min="8" max="8" width="6.7265625" style="15" customWidth="1"/>
    <col min="9" max="9" width="8.26953125" style="16" customWidth="1"/>
    <col min="10" max="10" width="7.1796875" style="15" customWidth="1"/>
    <col min="11" max="11" width="4.7265625" style="15" customWidth="1"/>
    <col min="12" max="12" width="6.453125" style="16" customWidth="1"/>
    <col min="13" max="13" width="7.54296875" style="1" customWidth="1"/>
    <col min="14" max="14" width="7.453125" style="123" customWidth="1"/>
    <col min="15" max="16" width="6.7265625" style="19" customWidth="1"/>
    <col min="17" max="17" width="9.453125" style="16" customWidth="1"/>
    <col min="18" max="18" width="8" style="1" customWidth="1"/>
    <col min="19" max="19" width="16.54296875" style="16" customWidth="1"/>
    <col min="20" max="20" width="13.453125" style="1" hidden="1" customWidth="1"/>
    <col min="21" max="21" width="12.54296875" style="1" bestFit="1" customWidth="1"/>
    <col min="22" max="16384" width="9.1796875" style="1"/>
  </cols>
  <sheetData>
    <row r="1" spans="1:20" s="148" customFormat="1" ht="19" thickBot="1" x14ac:dyDescent="0.5">
      <c r="A1" s="148" t="s">
        <v>54</v>
      </c>
      <c r="D1" s="149"/>
      <c r="E1" s="149"/>
      <c r="N1" s="166"/>
    </row>
    <row r="2" spans="1:20" ht="12" customHeight="1" x14ac:dyDescent="0.35">
      <c r="A2" s="119"/>
      <c r="B2" s="120"/>
      <c r="C2" s="120"/>
      <c r="D2" s="21"/>
      <c r="E2" s="124" t="s">
        <v>0</v>
      </c>
      <c r="F2" s="121"/>
      <c r="G2" s="121"/>
      <c r="H2" s="121"/>
      <c r="I2" s="122"/>
      <c r="J2" s="207" t="s">
        <v>1</v>
      </c>
      <c r="K2" s="205"/>
      <c r="L2" s="205"/>
      <c r="M2" s="205"/>
      <c r="N2" s="206"/>
      <c r="O2" s="205" t="s">
        <v>33</v>
      </c>
      <c r="P2" s="205"/>
      <c r="Q2" s="206"/>
      <c r="R2" s="6"/>
      <c r="S2" s="2"/>
      <c r="T2" s="2"/>
    </row>
    <row r="3" spans="1:20" ht="78" customHeight="1" thickBot="1" x14ac:dyDescent="0.4">
      <c r="A3" s="3"/>
      <c r="B3" s="22" t="s">
        <v>44</v>
      </c>
      <c r="C3" s="46" t="s">
        <v>28</v>
      </c>
      <c r="D3" s="150" t="s">
        <v>2</v>
      </c>
      <c r="E3" s="151" t="s">
        <v>29</v>
      </c>
      <c r="F3" s="46" t="s">
        <v>32</v>
      </c>
      <c r="G3" s="111" t="s">
        <v>30</v>
      </c>
      <c r="H3" s="111" t="s">
        <v>4</v>
      </c>
      <c r="I3" s="112" t="s">
        <v>3</v>
      </c>
      <c r="J3" s="113" t="s">
        <v>31</v>
      </c>
      <c r="K3" s="111" t="s">
        <v>32</v>
      </c>
      <c r="L3" s="111" t="s">
        <v>30</v>
      </c>
      <c r="M3" s="156" t="s">
        <v>4</v>
      </c>
      <c r="N3" s="108" t="s">
        <v>5</v>
      </c>
      <c r="O3" s="90" t="s">
        <v>40</v>
      </c>
      <c r="P3" s="47" t="s">
        <v>4</v>
      </c>
      <c r="Q3" s="118" t="s">
        <v>34</v>
      </c>
      <c r="R3" s="5" t="s">
        <v>6</v>
      </c>
      <c r="S3" s="4" t="s">
        <v>41</v>
      </c>
      <c r="T3" s="4" t="s">
        <v>7</v>
      </c>
    </row>
    <row r="4" spans="1:20" ht="30.75" customHeight="1" x14ac:dyDescent="0.35">
      <c r="A4" s="202" t="s">
        <v>8</v>
      </c>
      <c r="B4" s="49" t="s">
        <v>9</v>
      </c>
      <c r="C4" s="76" t="s">
        <v>43</v>
      </c>
      <c r="D4" s="24">
        <v>90</v>
      </c>
      <c r="E4" s="25">
        <f t="shared" ref="E4:E67" si="0">D4</f>
        <v>90</v>
      </c>
      <c r="F4" s="115">
        <v>1</v>
      </c>
      <c r="G4" s="116">
        <f t="shared" ref="G4:G35" si="1">E4*F4</f>
        <v>90</v>
      </c>
      <c r="H4" s="115">
        <v>1</v>
      </c>
      <c r="I4" s="153">
        <f t="shared" ref="I4:I35" si="2">G4*H4</f>
        <v>90</v>
      </c>
      <c r="J4" s="25">
        <f t="shared" ref="J4:J35" si="3">D4-E4</f>
        <v>0</v>
      </c>
      <c r="K4" s="115">
        <v>1</v>
      </c>
      <c r="L4" s="116">
        <f t="shared" ref="L4:L35" si="4">J4*K4</f>
        <v>0</v>
      </c>
      <c r="M4" s="95">
        <v>1.67E-2</v>
      </c>
      <c r="N4" s="24">
        <f t="shared" ref="N4:N35" si="5">L4*M4</f>
        <v>0</v>
      </c>
      <c r="O4" s="114">
        <f t="shared" ref="O4:O35" si="6">L4+G4</f>
        <v>90</v>
      </c>
      <c r="P4" s="117">
        <f t="shared" ref="P4:P67" si="7">Q4/O4</f>
        <v>1</v>
      </c>
      <c r="Q4" s="154">
        <f t="shared" ref="Q4:Q35" si="8">I4+N4</f>
        <v>90</v>
      </c>
      <c r="R4" s="7">
        <v>41.55</v>
      </c>
      <c r="S4" s="8">
        <f t="shared" ref="S4:S35" si="9">+Q4*R4</f>
        <v>3739.4999999999995</v>
      </c>
      <c r="T4" s="8" t="e">
        <f>+#REF!*R4</f>
        <v>#REF!</v>
      </c>
    </row>
    <row r="5" spans="1:20" s="19" customFormat="1" ht="14.15" customHeight="1" x14ac:dyDescent="0.35">
      <c r="A5" s="203"/>
      <c r="B5" s="152"/>
      <c r="C5" s="23" t="s">
        <v>55</v>
      </c>
      <c r="D5" s="29">
        <f>0.6*D4</f>
        <v>54</v>
      </c>
      <c r="E5" s="25">
        <f t="shared" si="0"/>
        <v>54</v>
      </c>
      <c r="F5" s="26">
        <v>1</v>
      </c>
      <c r="G5" s="27">
        <f t="shared" si="1"/>
        <v>54</v>
      </c>
      <c r="H5" s="26">
        <v>1.67E-2</v>
      </c>
      <c r="I5" s="28">
        <f t="shared" si="2"/>
        <v>0.90179999999999993</v>
      </c>
      <c r="J5" s="25">
        <f t="shared" si="3"/>
        <v>0</v>
      </c>
      <c r="K5" s="26">
        <v>1</v>
      </c>
      <c r="L5" s="27">
        <f t="shared" si="4"/>
        <v>0</v>
      </c>
      <c r="M5" s="26">
        <v>1.67E-2</v>
      </c>
      <c r="N5" s="165">
        <f t="shared" si="5"/>
        <v>0</v>
      </c>
      <c r="O5" s="25">
        <f t="shared" si="6"/>
        <v>54</v>
      </c>
      <c r="P5" s="73">
        <f t="shared" si="7"/>
        <v>1.67E-2</v>
      </c>
      <c r="Q5" s="155">
        <f t="shared" si="8"/>
        <v>0.90179999999999993</v>
      </c>
      <c r="R5" s="7">
        <v>41.55</v>
      </c>
      <c r="S5" s="8">
        <f t="shared" si="9"/>
        <v>37.469789999999996</v>
      </c>
      <c r="T5" s="8"/>
    </row>
    <row r="6" spans="1:20" s="19" customFormat="1" ht="14.15" customHeight="1" x14ac:dyDescent="0.35">
      <c r="A6" s="203"/>
      <c r="B6" s="152"/>
      <c r="C6" s="23" t="s">
        <v>56</v>
      </c>
      <c r="D6" s="29">
        <f>0.4*D5</f>
        <v>21.6</v>
      </c>
      <c r="E6" s="25">
        <f t="shared" si="0"/>
        <v>21.6</v>
      </c>
      <c r="F6" s="26">
        <v>1</v>
      </c>
      <c r="G6" s="27">
        <f t="shared" si="1"/>
        <v>21.6</v>
      </c>
      <c r="H6" s="26">
        <v>1.67E-2</v>
      </c>
      <c r="I6" s="28">
        <f t="shared" si="2"/>
        <v>0.36072000000000004</v>
      </c>
      <c r="J6" s="25">
        <f t="shared" si="3"/>
        <v>0</v>
      </c>
      <c r="K6" s="26">
        <v>1</v>
      </c>
      <c r="L6" s="27">
        <f t="shared" si="4"/>
        <v>0</v>
      </c>
      <c r="M6" s="26">
        <v>1.67E-2</v>
      </c>
      <c r="N6" s="165">
        <f t="shared" si="5"/>
        <v>0</v>
      </c>
      <c r="O6" s="25">
        <f t="shared" si="6"/>
        <v>21.6</v>
      </c>
      <c r="P6" s="73">
        <f t="shared" si="7"/>
        <v>1.67E-2</v>
      </c>
      <c r="Q6" s="155">
        <f t="shared" si="8"/>
        <v>0.36072000000000004</v>
      </c>
      <c r="R6" s="7">
        <v>41.55</v>
      </c>
      <c r="S6" s="8">
        <f t="shared" si="9"/>
        <v>14.987916</v>
      </c>
      <c r="T6" s="8"/>
    </row>
    <row r="7" spans="1:20" s="19" customFormat="1" ht="14.15" customHeight="1" x14ac:dyDescent="0.35">
      <c r="A7" s="203"/>
      <c r="B7" s="152"/>
      <c r="C7" s="23" t="s">
        <v>59</v>
      </c>
      <c r="D7" s="29">
        <f>0.2*D6</f>
        <v>4.32</v>
      </c>
      <c r="E7" s="25">
        <f t="shared" si="0"/>
        <v>4.32</v>
      </c>
      <c r="F7" s="26">
        <v>1</v>
      </c>
      <c r="G7" s="27">
        <f t="shared" si="1"/>
        <v>4.32</v>
      </c>
      <c r="H7" s="26">
        <v>1.67E-2</v>
      </c>
      <c r="I7" s="28">
        <f t="shared" si="2"/>
        <v>7.2144E-2</v>
      </c>
      <c r="J7" s="25">
        <f t="shared" si="3"/>
        <v>0</v>
      </c>
      <c r="K7" s="26">
        <v>1</v>
      </c>
      <c r="L7" s="27">
        <f t="shared" si="4"/>
        <v>0</v>
      </c>
      <c r="M7" s="26">
        <v>1.67E-2</v>
      </c>
      <c r="N7" s="29">
        <f t="shared" si="5"/>
        <v>0</v>
      </c>
      <c r="O7" s="25">
        <f t="shared" si="6"/>
        <v>4.32</v>
      </c>
      <c r="P7" s="73">
        <f t="shared" si="7"/>
        <v>1.67E-2</v>
      </c>
      <c r="Q7" s="155">
        <f t="shared" si="8"/>
        <v>7.2144E-2</v>
      </c>
      <c r="R7" s="7">
        <v>41.55</v>
      </c>
      <c r="S7" s="8">
        <f t="shared" si="9"/>
        <v>2.9975831999999998</v>
      </c>
      <c r="T7" s="8"/>
    </row>
    <row r="8" spans="1:20" ht="19.5" customHeight="1" x14ac:dyDescent="0.35">
      <c r="A8" s="203"/>
      <c r="B8" s="152"/>
      <c r="C8" s="23" t="s">
        <v>42</v>
      </c>
      <c r="D8" s="29">
        <v>90</v>
      </c>
      <c r="E8" s="25">
        <f t="shared" si="0"/>
        <v>90</v>
      </c>
      <c r="F8" s="26">
        <v>1</v>
      </c>
      <c r="G8" s="27">
        <f t="shared" si="1"/>
        <v>90</v>
      </c>
      <c r="H8" s="30">
        <v>0.33400000000000002</v>
      </c>
      <c r="I8" s="28">
        <f t="shared" si="2"/>
        <v>30.060000000000002</v>
      </c>
      <c r="J8" s="25">
        <f t="shared" si="3"/>
        <v>0</v>
      </c>
      <c r="K8" s="26">
        <v>0</v>
      </c>
      <c r="L8" s="27">
        <f t="shared" si="4"/>
        <v>0</v>
      </c>
      <c r="M8" s="95">
        <v>1.67E-2</v>
      </c>
      <c r="N8" s="29">
        <f t="shared" si="5"/>
        <v>0</v>
      </c>
      <c r="O8" s="25">
        <f t="shared" si="6"/>
        <v>90</v>
      </c>
      <c r="P8" s="73">
        <f t="shared" si="7"/>
        <v>0.33400000000000002</v>
      </c>
      <c r="Q8" s="155">
        <f t="shared" si="8"/>
        <v>30.060000000000002</v>
      </c>
      <c r="R8" s="7">
        <v>41.55</v>
      </c>
      <c r="S8" s="8">
        <f t="shared" si="9"/>
        <v>1248.9929999999999</v>
      </c>
      <c r="T8" s="8" t="e">
        <f>+#REF!*R8</f>
        <v>#REF!</v>
      </c>
    </row>
    <row r="9" spans="1:20" s="19" customFormat="1" ht="19.5" customHeight="1" x14ac:dyDescent="0.35">
      <c r="A9" s="203"/>
      <c r="B9" s="152"/>
      <c r="C9" s="23" t="s">
        <v>60</v>
      </c>
      <c r="D9" s="29">
        <f>D8</f>
        <v>90</v>
      </c>
      <c r="E9" s="25">
        <f t="shared" si="0"/>
        <v>90</v>
      </c>
      <c r="F9" s="26">
        <v>1</v>
      </c>
      <c r="G9" s="27">
        <f t="shared" si="1"/>
        <v>90</v>
      </c>
      <c r="H9" s="26">
        <v>8.3500000000000005E-2</v>
      </c>
      <c r="I9" s="28">
        <f t="shared" si="2"/>
        <v>7.5150000000000006</v>
      </c>
      <c r="J9" s="25">
        <f t="shared" si="3"/>
        <v>0</v>
      </c>
      <c r="K9" s="26">
        <v>0</v>
      </c>
      <c r="L9" s="27">
        <f t="shared" si="4"/>
        <v>0</v>
      </c>
      <c r="M9" s="95">
        <v>1.67E-2</v>
      </c>
      <c r="N9" s="29">
        <f t="shared" si="5"/>
        <v>0</v>
      </c>
      <c r="O9" s="25">
        <f t="shared" si="6"/>
        <v>90</v>
      </c>
      <c r="P9" s="73">
        <f t="shared" si="7"/>
        <v>8.3500000000000005E-2</v>
      </c>
      <c r="Q9" s="155">
        <f t="shared" si="8"/>
        <v>7.5150000000000006</v>
      </c>
      <c r="R9" s="7">
        <v>41.55</v>
      </c>
      <c r="S9" s="8">
        <f t="shared" si="9"/>
        <v>312.24824999999998</v>
      </c>
      <c r="T9" s="8"/>
    </row>
    <row r="10" spans="1:20" s="19" customFormat="1" ht="14.15" customHeight="1" x14ac:dyDescent="0.35">
      <c r="A10" s="203"/>
      <c r="B10" s="152"/>
      <c r="C10" s="23" t="s">
        <v>55</v>
      </c>
      <c r="D10" s="29">
        <f>0.6*D8</f>
        <v>54</v>
      </c>
      <c r="E10" s="25">
        <f t="shared" si="0"/>
        <v>54</v>
      </c>
      <c r="F10" s="26">
        <v>1</v>
      </c>
      <c r="G10" s="27">
        <f t="shared" si="1"/>
        <v>54</v>
      </c>
      <c r="H10" s="26">
        <v>1.67E-2</v>
      </c>
      <c r="I10" s="28">
        <f t="shared" si="2"/>
        <v>0.90179999999999993</v>
      </c>
      <c r="J10" s="25">
        <f t="shared" si="3"/>
        <v>0</v>
      </c>
      <c r="K10" s="26">
        <v>1</v>
      </c>
      <c r="L10" s="27">
        <f t="shared" si="4"/>
        <v>0</v>
      </c>
      <c r="M10" s="26">
        <v>1.67E-2</v>
      </c>
      <c r="N10" s="165">
        <f t="shared" si="5"/>
        <v>0</v>
      </c>
      <c r="O10" s="25">
        <f t="shared" si="6"/>
        <v>54</v>
      </c>
      <c r="P10" s="73">
        <f t="shared" si="7"/>
        <v>1.67E-2</v>
      </c>
      <c r="Q10" s="155">
        <f t="shared" si="8"/>
        <v>0.90179999999999993</v>
      </c>
      <c r="R10" s="7">
        <v>41.55</v>
      </c>
      <c r="S10" s="8">
        <f t="shared" si="9"/>
        <v>37.469789999999996</v>
      </c>
      <c r="T10" s="8"/>
    </row>
    <row r="11" spans="1:20" s="19" customFormat="1" ht="14.15" customHeight="1" x14ac:dyDescent="0.35">
      <c r="A11" s="203"/>
      <c r="B11" s="152"/>
      <c r="C11" s="23" t="s">
        <v>56</v>
      </c>
      <c r="D11" s="29">
        <f>0.4*D10</f>
        <v>21.6</v>
      </c>
      <c r="E11" s="25">
        <f t="shared" si="0"/>
        <v>21.6</v>
      </c>
      <c r="F11" s="26">
        <v>1</v>
      </c>
      <c r="G11" s="27">
        <f t="shared" si="1"/>
        <v>21.6</v>
      </c>
      <c r="H11" s="26">
        <v>1.67E-2</v>
      </c>
      <c r="I11" s="28">
        <f t="shared" si="2"/>
        <v>0.36072000000000004</v>
      </c>
      <c r="J11" s="25">
        <f t="shared" si="3"/>
        <v>0</v>
      </c>
      <c r="K11" s="26">
        <v>1</v>
      </c>
      <c r="L11" s="27">
        <f t="shared" si="4"/>
        <v>0</v>
      </c>
      <c r="M11" s="26">
        <v>1.67E-2</v>
      </c>
      <c r="N11" s="165">
        <f t="shared" si="5"/>
        <v>0</v>
      </c>
      <c r="O11" s="25">
        <f t="shared" si="6"/>
        <v>21.6</v>
      </c>
      <c r="P11" s="73">
        <f t="shared" si="7"/>
        <v>1.67E-2</v>
      </c>
      <c r="Q11" s="155">
        <f t="shared" si="8"/>
        <v>0.36072000000000004</v>
      </c>
      <c r="R11" s="7">
        <v>41.55</v>
      </c>
      <c r="S11" s="8">
        <f t="shared" si="9"/>
        <v>14.987916</v>
      </c>
      <c r="T11" s="8"/>
    </row>
    <row r="12" spans="1:20" s="19" customFormat="1" ht="14.15" customHeight="1" x14ac:dyDescent="0.35">
      <c r="A12" s="203"/>
      <c r="B12" s="50"/>
      <c r="C12" s="23" t="s">
        <v>59</v>
      </c>
      <c r="D12" s="29">
        <f>0.2*D11</f>
        <v>4.32</v>
      </c>
      <c r="E12" s="25">
        <f t="shared" si="0"/>
        <v>4.32</v>
      </c>
      <c r="F12" s="26">
        <v>1</v>
      </c>
      <c r="G12" s="27">
        <f t="shared" si="1"/>
        <v>4.32</v>
      </c>
      <c r="H12" s="26">
        <v>1.67E-2</v>
      </c>
      <c r="I12" s="28">
        <f t="shared" si="2"/>
        <v>7.2144E-2</v>
      </c>
      <c r="J12" s="25">
        <f t="shared" si="3"/>
        <v>0</v>
      </c>
      <c r="K12" s="26">
        <v>1</v>
      </c>
      <c r="L12" s="27">
        <f t="shared" si="4"/>
        <v>0</v>
      </c>
      <c r="M12" s="26">
        <v>1.67E-2</v>
      </c>
      <c r="N12" s="29">
        <f t="shared" si="5"/>
        <v>0</v>
      </c>
      <c r="O12" s="25">
        <f t="shared" si="6"/>
        <v>4.32</v>
      </c>
      <c r="P12" s="73">
        <f t="shared" si="7"/>
        <v>1.67E-2</v>
      </c>
      <c r="Q12" s="155">
        <f t="shared" si="8"/>
        <v>7.2144E-2</v>
      </c>
      <c r="R12" s="7">
        <v>41.55</v>
      </c>
      <c r="S12" s="8">
        <f t="shared" si="9"/>
        <v>2.9975831999999998</v>
      </c>
      <c r="T12" s="8"/>
    </row>
    <row r="13" spans="1:20" ht="26.15" customHeight="1" x14ac:dyDescent="0.35">
      <c r="A13" s="203"/>
      <c r="B13" s="45" t="s">
        <v>27</v>
      </c>
      <c r="C13" s="23" t="s">
        <v>43</v>
      </c>
      <c r="D13" s="29">
        <v>56</v>
      </c>
      <c r="E13" s="25">
        <f t="shared" si="0"/>
        <v>56</v>
      </c>
      <c r="F13" s="26">
        <v>1</v>
      </c>
      <c r="G13" s="27">
        <f t="shared" si="1"/>
        <v>56</v>
      </c>
      <c r="H13" s="26">
        <v>1</v>
      </c>
      <c r="I13" s="101">
        <f t="shared" si="2"/>
        <v>56</v>
      </c>
      <c r="J13" s="25">
        <f t="shared" si="3"/>
        <v>0</v>
      </c>
      <c r="K13" s="26">
        <v>0</v>
      </c>
      <c r="L13" s="27">
        <f t="shared" si="4"/>
        <v>0</v>
      </c>
      <c r="M13" s="95">
        <v>1.67E-2</v>
      </c>
      <c r="N13" s="29">
        <f t="shared" si="5"/>
        <v>0</v>
      </c>
      <c r="O13" s="25">
        <f t="shared" si="6"/>
        <v>56</v>
      </c>
      <c r="P13" s="73">
        <f t="shared" si="7"/>
        <v>1</v>
      </c>
      <c r="Q13" s="86">
        <f t="shared" si="8"/>
        <v>56</v>
      </c>
      <c r="R13" s="7">
        <v>41.55</v>
      </c>
      <c r="S13" s="8">
        <f t="shared" si="9"/>
        <v>2326.7999999999997</v>
      </c>
      <c r="T13" s="8" t="e">
        <f>+#REF!*R13</f>
        <v>#REF!</v>
      </c>
    </row>
    <row r="14" spans="1:20" s="19" customFormat="1" ht="14.15" customHeight="1" x14ac:dyDescent="0.35">
      <c r="A14" s="203"/>
      <c r="B14" s="152"/>
      <c r="C14" s="23" t="s">
        <v>55</v>
      </c>
      <c r="D14" s="29">
        <f>0.6*D13</f>
        <v>33.6</v>
      </c>
      <c r="E14" s="25">
        <f t="shared" si="0"/>
        <v>33.6</v>
      </c>
      <c r="F14" s="26">
        <v>1</v>
      </c>
      <c r="G14" s="27">
        <f t="shared" si="1"/>
        <v>33.6</v>
      </c>
      <c r="H14" s="26">
        <v>1.67E-2</v>
      </c>
      <c r="I14" s="28">
        <f t="shared" si="2"/>
        <v>0.56112000000000006</v>
      </c>
      <c r="J14" s="25">
        <f t="shared" si="3"/>
        <v>0</v>
      </c>
      <c r="K14" s="26">
        <v>1</v>
      </c>
      <c r="L14" s="27">
        <f t="shared" si="4"/>
        <v>0</v>
      </c>
      <c r="M14" s="26">
        <v>1.67E-2</v>
      </c>
      <c r="N14" s="165">
        <f t="shared" si="5"/>
        <v>0</v>
      </c>
      <c r="O14" s="25">
        <f t="shared" si="6"/>
        <v>33.6</v>
      </c>
      <c r="P14" s="73">
        <f t="shared" si="7"/>
        <v>1.67E-2</v>
      </c>
      <c r="Q14" s="155">
        <f t="shared" si="8"/>
        <v>0.56112000000000006</v>
      </c>
      <c r="R14" s="7">
        <v>41.55</v>
      </c>
      <c r="S14" s="8">
        <f t="shared" si="9"/>
        <v>23.314536</v>
      </c>
      <c r="T14" s="8"/>
    </row>
    <row r="15" spans="1:20" s="19" customFormat="1" ht="14.15" customHeight="1" x14ac:dyDescent="0.35">
      <c r="A15" s="203"/>
      <c r="B15" s="152"/>
      <c r="C15" s="23" t="s">
        <v>56</v>
      </c>
      <c r="D15" s="29">
        <f>0.4*D14</f>
        <v>13.440000000000001</v>
      </c>
      <c r="E15" s="25">
        <f t="shared" si="0"/>
        <v>13.440000000000001</v>
      </c>
      <c r="F15" s="26">
        <v>1</v>
      </c>
      <c r="G15" s="27">
        <f t="shared" si="1"/>
        <v>13.440000000000001</v>
      </c>
      <c r="H15" s="26">
        <v>1.67E-2</v>
      </c>
      <c r="I15" s="28">
        <f t="shared" si="2"/>
        <v>0.22444800000000001</v>
      </c>
      <c r="J15" s="25">
        <f t="shared" si="3"/>
        <v>0</v>
      </c>
      <c r="K15" s="26">
        <v>1</v>
      </c>
      <c r="L15" s="27">
        <f t="shared" si="4"/>
        <v>0</v>
      </c>
      <c r="M15" s="26">
        <v>1.67E-2</v>
      </c>
      <c r="N15" s="165">
        <f t="shared" si="5"/>
        <v>0</v>
      </c>
      <c r="O15" s="25">
        <f t="shared" si="6"/>
        <v>13.440000000000001</v>
      </c>
      <c r="P15" s="73">
        <f t="shared" si="7"/>
        <v>1.67E-2</v>
      </c>
      <c r="Q15" s="155">
        <f t="shared" si="8"/>
        <v>0.22444800000000001</v>
      </c>
      <c r="R15" s="7">
        <v>41.55</v>
      </c>
      <c r="S15" s="8">
        <f t="shared" si="9"/>
        <v>9.3258144000000005</v>
      </c>
      <c r="T15" s="8"/>
    </row>
    <row r="16" spans="1:20" s="19" customFormat="1" ht="14.15" customHeight="1" x14ac:dyDescent="0.35">
      <c r="A16" s="203"/>
      <c r="B16" s="152"/>
      <c r="C16" s="23" t="s">
        <v>59</v>
      </c>
      <c r="D16" s="29">
        <f>0.2*D15</f>
        <v>2.6880000000000006</v>
      </c>
      <c r="E16" s="25">
        <f t="shared" si="0"/>
        <v>2.6880000000000006</v>
      </c>
      <c r="F16" s="26">
        <v>1</v>
      </c>
      <c r="G16" s="27">
        <f t="shared" si="1"/>
        <v>2.6880000000000006</v>
      </c>
      <c r="H16" s="26">
        <v>1.67E-2</v>
      </c>
      <c r="I16" s="28">
        <f t="shared" si="2"/>
        <v>4.4889600000000009E-2</v>
      </c>
      <c r="J16" s="25">
        <f t="shared" si="3"/>
        <v>0</v>
      </c>
      <c r="K16" s="26">
        <v>1</v>
      </c>
      <c r="L16" s="27">
        <f t="shared" si="4"/>
        <v>0</v>
      </c>
      <c r="M16" s="26">
        <v>1.67E-2</v>
      </c>
      <c r="N16" s="29">
        <f t="shared" si="5"/>
        <v>0</v>
      </c>
      <c r="O16" s="25">
        <f t="shared" si="6"/>
        <v>2.6880000000000006</v>
      </c>
      <c r="P16" s="73">
        <f t="shared" si="7"/>
        <v>1.67E-2</v>
      </c>
      <c r="Q16" s="155">
        <f t="shared" si="8"/>
        <v>4.4889600000000009E-2</v>
      </c>
      <c r="R16" s="7">
        <v>41.55</v>
      </c>
      <c r="S16" s="8">
        <f t="shared" si="9"/>
        <v>1.8651628800000002</v>
      </c>
      <c r="T16" s="8"/>
    </row>
    <row r="17" spans="1:20" ht="18" customHeight="1" x14ac:dyDescent="0.35">
      <c r="A17" s="203"/>
      <c r="B17" s="52"/>
      <c r="C17" s="23" t="s">
        <v>42</v>
      </c>
      <c r="D17" s="29">
        <v>56</v>
      </c>
      <c r="E17" s="25">
        <f t="shared" si="0"/>
        <v>56</v>
      </c>
      <c r="F17" s="26">
        <v>1</v>
      </c>
      <c r="G17" s="27">
        <f t="shared" si="1"/>
        <v>56</v>
      </c>
      <c r="H17" s="30">
        <v>0.33400000000000002</v>
      </c>
      <c r="I17" s="101">
        <f t="shared" si="2"/>
        <v>18.704000000000001</v>
      </c>
      <c r="J17" s="25">
        <f t="shared" si="3"/>
        <v>0</v>
      </c>
      <c r="K17" s="26">
        <v>0</v>
      </c>
      <c r="L17" s="27">
        <f t="shared" si="4"/>
        <v>0</v>
      </c>
      <c r="M17" s="95">
        <v>1.67E-2</v>
      </c>
      <c r="N17" s="29">
        <f t="shared" si="5"/>
        <v>0</v>
      </c>
      <c r="O17" s="25">
        <f t="shared" si="6"/>
        <v>56</v>
      </c>
      <c r="P17" s="73">
        <f t="shared" si="7"/>
        <v>0.33400000000000002</v>
      </c>
      <c r="Q17" s="86">
        <f t="shared" si="8"/>
        <v>18.704000000000001</v>
      </c>
      <c r="R17" s="7">
        <v>41.55</v>
      </c>
      <c r="S17" s="8">
        <f t="shared" si="9"/>
        <v>777.15120000000002</v>
      </c>
      <c r="T17" s="8" t="e">
        <f>+#REF!*R17</f>
        <v>#REF!</v>
      </c>
    </row>
    <row r="18" spans="1:20" s="19" customFormat="1" ht="19.5" customHeight="1" x14ac:dyDescent="0.35">
      <c r="A18" s="203"/>
      <c r="B18" s="152"/>
      <c r="C18" s="23" t="s">
        <v>60</v>
      </c>
      <c r="D18" s="29">
        <f>D17</f>
        <v>56</v>
      </c>
      <c r="E18" s="25">
        <f t="shared" si="0"/>
        <v>56</v>
      </c>
      <c r="F18" s="26">
        <v>1</v>
      </c>
      <c r="G18" s="27">
        <f t="shared" si="1"/>
        <v>56</v>
      </c>
      <c r="H18" s="26">
        <v>8.3500000000000005E-2</v>
      </c>
      <c r="I18" s="28">
        <f t="shared" si="2"/>
        <v>4.6760000000000002</v>
      </c>
      <c r="J18" s="25">
        <f t="shared" si="3"/>
        <v>0</v>
      </c>
      <c r="K18" s="26">
        <v>0</v>
      </c>
      <c r="L18" s="27">
        <f t="shared" si="4"/>
        <v>0</v>
      </c>
      <c r="M18" s="95">
        <v>1.67E-2</v>
      </c>
      <c r="N18" s="29">
        <f t="shared" si="5"/>
        <v>0</v>
      </c>
      <c r="O18" s="25">
        <f t="shared" si="6"/>
        <v>56</v>
      </c>
      <c r="P18" s="73">
        <f t="shared" si="7"/>
        <v>8.3500000000000005E-2</v>
      </c>
      <c r="Q18" s="155">
        <f t="shared" si="8"/>
        <v>4.6760000000000002</v>
      </c>
      <c r="R18" s="7">
        <v>41.55</v>
      </c>
      <c r="S18" s="8">
        <f t="shared" si="9"/>
        <v>194.2878</v>
      </c>
      <c r="T18" s="8"/>
    </row>
    <row r="19" spans="1:20" s="19" customFormat="1" ht="14.15" customHeight="1" x14ac:dyDescent="0.35">
      <c r="A19" s="203"/>
      <c r="B19" s="152"/>
      <c r="C19" s="23" t="s">
        <v>55</v>
      </c>
      <c r="D19" s="29">
        <f>0.6*D17</f>
        <v>33.6</v>
      </c>
      <c r="E19" s="25">
        <f t="shared" si="0"/>
        <v>33.6</v>
      </c>
      <c r="F19" s="26">
        <v>1</v>
      </c>
      <c r="G19" s="27">
        <f t="shared" si="1"/>
        <v>33.6</v>
      </c>
      <c r="H19" s="26">
        <v>1.67E-2</v>
      </c>
      <c r="I19" s="28">
        <f t="shared" si="2"/>
        <v>0.56112000000000006</v>
      </c>
      <c r="J19" s="25">
        <f t="shared" si="3"/>
        <v>0</v>
      </c>
      <c r="K19" s="26">
        <v>1</v>
      </c>
      <c r="L19" s="27">
        <f t="shared" si="4"/>
        <v>0</v>
      </c>
      <c r="M19" s="26">
        <v>1.67E-2</v>
      </c>
      <c r="N19" s="165">
        <f t="shared" si="5"/>
        <v>0</v>
      </c>
      <c r="O19" s="25">
        <f t="shared" si="6"/>
        <v>33.6</v>
      </c>
      <c r="P19" s="73">
        <f t="shared" si="7"/>
        <v>1.67E-2</v>
      </c>
      <c r="Q19" s="155">
        <f t="shared" si="8"/>
        <v>0.56112000000000006</v>
      </c>
      <c r="R19" s="7">
        <v>41.55</v>
      </c>
      <c r="S19" s="8">
        <f t="shared" si="9"/>
        <v>23.314536</v>
      </c>
      <c r="T19" s="8"/>
    </row>
    <row r="20" spans="1:20" s="19" customFormat="1" ht="14.15" customHeight="1" x14ac:dyDescent="0.35">
      <c r="A20" s="203"/>
      <c r="B20" s="152"/>
      <c r="C20" s="23" t="s">
        <v>56</v>
      </c>
      <c r="D20" s="29">
        <f>0.4*D19</f>
        <v>13.440000000000001</v>
      </c>
      <c r="E20" s="25">
        <f t="shared" si="0"/>
        <v>13.440000000000001</v>
      </c>
      <c r="F20" s="26">
        <v>1</v>
      </c>
      <c r="G20" s="27">
        <f t="shared" si="1"/>
        <v>13.440000000000001</v>
      </c>
      <c r="H20" s="26">
        <v>1.67E-2</v>
      </c>
      <c r="I20" s="28">
        <f t="shared" si="2"/>
        <v>0.22444800000000001</v>
      </c>
      <c r="J20" s="25">
        <f t="shared" si="3"/>
        <v>0</v>
      </c>
      <c r="K20" s="26">
        <v>1</v>
      </c>
      <c r="L20" s="27">
        <f t="shared" si="4"/>
        <v>0</v>
      </c>
      <c r="M20" s="26">
        <v>1.67E-2</v>
      </c>
      <c r="N20" s="165">
        <f t="shared" si="5"/>
        <v>0</v>
      </c>
      <c r="O20" s="25">
        <f t="shared" si="6"/>
        <v>13.440000000000001</v>
      </c>
      <c r="P20" s="73">
        <f t="shared" si="7"/>
        <v>1.67E-2</v>
      </c>
      <c r="Q20" s="155">
        <f t="shared" si="8"/>
        <v>0.22444800000000001</v>
      </c>
      <c r="R20" s="7">
        <v>41.55</v>
      </c>
      <c r="S20" s="8">
        <f t="shared" si="9"/>
        <v>9.3258144000000005</v>
      </c>
      <c r="T20" s="8"/>
    </row>
    <row r="21" spans="1:20" s="19" customFormat="1" ht="14.15" customHeight="1" x14ac:dyDescent="0.35">
      <c r="A21" s="203"/>
      <c r="B21" s="50"/>
      <c r="C21" s="23" t="s">
        <v>59</v>
      </c>
      <c r="D21" s="29">
        <f>0.2*D20</f>
        <v>2.6880000000000006</v>
      </c>
      <c r="E21" s="25">
        <f t="shared" si="0"/>
        <v>2.6880000000000006</v>
      </c>
      <c r="F21" s="26">
        <v>1</v>
      </c>
      <c r="G21" s="27">
        <f t="shared" si="1"/>
        <v>2.6880000000000006</v>
      </c>
      <c r="H21" s="26">
        <v>1.67E-2</v>
      </c>
      <c r="I21" s="28">
        <f t="shared" si="2"/>
        <v>4.4889600000000009E-2</v>
      </c>
      <c r="J21" s="25">
        <f t="shared" si="3"/>
        <v>0</v>
      </c>
      <c r="K21" s="26">
        <v>1</v>
      </c>
      <c r="L21" s="27">
        <f t="shared" si="4"/>
        <v>0</v>
      </c>
      <c r="M21" s="26">
        <v>1.67E-2</v>
      </c>
      <c r="N21" s="29">
        <f t="shared" si="5"/>
        <v>0</v>
      </c>
      <c r="O21" s="25">
        <f t="shared" si="6"/>
        <v>2.6880000000000006</v>
      </c>
      <c r="P21" s="73">
        <f t="shared" si="7"/>
        <v>1.67E-2</v>
      </c>
      <c r="Q21" s="155">
        <f t="shared" si="8"/>
        <v>4.4889600000000009E-2</v>
      </c>
      <c r="R21" s="7">
        <v>41.55</v>
      </c>
      <c r="S21" s="8">
        <f t="shared" si="9"/>
        <v>1.8651628800000002</v>
      </c>
      <c r="T21" s="8"/>
    </row>
    <row r="22" spans="1:20" ht="27.75" customHeight="1" x14ac:dyDescent="0.35">
      <c r="A22" s="203"/>
      <c r="B22" s="45" t="s">
        <v>10</v>
      </c>
      <c r="C22" s="23" t="s">
        <v>43</v>
      </c>
      <c r="D22" s="29">
        <v>54</v>
      </c>
      <c r="E22" s="25">
        <f t="shared" si="0"/>
        <v>54</v>
      </c>
      <c r="F22" s="26">
        <v>1</v>
      </c>
      <c r="G22" s="27">
        <f t="shared" si="1"/>
        <v>54</v>
      </c>
      <c r="H22" s="26">
        <v>1</v>
      </c>
      <c r="I22" s="101">
        <f t="shared" si="2"/>
        <v>54</v>
      </c>
      <c r="J22" s="25">
        <f t="shared" si="3"/>
        <v>0</v>
      </c>
      <c r="K22" s="26">
        <v>0</v>
      </c>
      <c r="L22" s="27">
        <f t="shared" si="4"/>
        <v>0</v>
      </c>
      <c r="M22" s="95">
        <v>1.67E-2</v>
      </c>
      <c r="N22" s="29">
        <f t="shared" si="5"/>
        <v>0</v>
      </c>
      <c r="O22" s="25">
        <f t="shared" si="6"/>
        <v>54</v>
      </c>
      <c r="P22" s="73">
        <f t="shared" si="7"/>
        <v>1</v>
      </c>
      <c r="Q22" s="86">
        <f t="shared" si="8"/>
        <v>54</v>
      </c>
      <c r="R22" s="7">
        <v>41.55</v>
      </c>
      <c r="S22" s="8">
        <f t="shared" si="9"/>
        <v>2243.6999999999998</v>
      </c>
      <c r="T22" s="8" t="e">
        <f>+#REF!*R22</f>
        <v>#REF!</v>
      </c>
    </row>
    <row r="23" spans="1:20" s="19" customFormat="1" ht="14.15" customHeight="1" x14ac:dyDescent="0.35">
      <c r="A23" s="203"/>
      <c r="B23" s="152"/>
      <c r="C23" s="23" t="s">
        <v>55</v>
      </c>
      <c r="D23" s="29">
        <f>0.6*D22</f>
        <v>32.4</v>
      </c>
      <c r="E23" s="25">
        <f t="shared" si="0"/>
        <v>32.4</v>
      </c>
      <c r="F23" s="26">
        <v>1</v>
      </c>
      <c r="G23" s="27">
        <f t="shared" si="1"/>
        <v>32.4</v>
      </c>
      <c r="H23" s="26">
        <v>1.67E-2</v>
      </c>
      <c r="I23" s="28">
        <f t="shared" si="2"/>
        <v>0.54108000000000001</v>
      </c>
      <c r="J23" s="25">
        <f t="shared" si="3"/>
        <v>0</v>
      </c>
      <c r="K23" s="26">
        <v>1</v>
      </c>
      <c r="L23" s="27">
        <f t="shared" si="4"/>
        <v>0</v>
      </c>
      <c r="M23" s="26">
        <v>1.67E-2</v>
      </c>
      <c r="N23" s="165">
        <f t="shared" si="5"/>
        <v>0</v>
      </c>
      <c r="O23" s="25">
        <f t="shared" si="6"/>
        <v>32.4</v>
      </c>
      <c r="P23" s="73">
        <f t="shared" si="7"/>
        <v>1.67E-2</v>
      </c>
      <c r="Q23" s="155">
        <f t="shared" si="8"/>
        <v>0.54108000000000001</v>
      </c>
      <c r="R23" s="7">
        <v>41.55</v>
      </c>
      <c r="S23" s="8">
        <f t="shared" si="9"/>
        <v>22.481873999999998</v>
      </c>
      <c r="T23" s="8"/>
    </row>
    <row r="24" spans="1:20" s="19" customFormat="1" ht="14.15" customHeight="1" x14ac:dyDescent="0.35">
      <c r="A24" s="203"/>
      <c r="B24" s="152"/>
      <c r="C24" s="23" t="s">
        <v>56</v>
      </c>
      <c r="D24" s="29">
        <f>0.4*D23</f>
        <v>12.96</v>
      </c>
      <c r="E24" s="25">
        <f t="shared" si="0"/>
        <v>12.96</v>
      </c>
      <c r="F24" s="26">
        <v>1</v>
      </c>
      <c r="G24" s="27">
        <f t="shared" si="1"/>
        <v>12.96</v>
      </c>
      <c r="H24" s="26">
        <v>1.67E-2</v>
      </c>
      <c r="I24" s="28">
        <f t="shared" si="2"/>
        <v>0.21643200000000001</v>
      </c>
      <c r="J24" s="25">
        <f t="shared" si="3"/>
        <v>0</v>
      </c>
      <c r="K24" s="26">
        <v>1</v>
      </c>
      <c r="L24" s="27">
        <f t="shared" si="4"/>
        <v>0</v>
      </c>
      <c r="M24" s="26">
        <v>1.67E-2</v>
      </c>
      <c r="N24" s="165">
        <f t="shared" si="5"/>
        <v>0</v>
      </c>
      <c r="O24" s="25">
        <f t="shared" si="6"/>
        <v>12.96</v>
      </c>
      <c r="P24" s="73">
        <f t="shared" si="7"/>
        <v>1.67E-2</v>
      </c>
      <c r="Q24" s="155">
        <f t="shared" si="8"/>
        <v>0.21643200000000001</v>
      </c>
      <c r="R24" s="7">
        <v>41.55</v>
      </c>
      <c r="S24" s="8">
        <f t="shared" si="9"/>
        <v>8.9927495999999998</v>
      </c>
      <c r="T24" s="8"/>
    </row>
    <row r="25" spans="1:20" s="19" customFormat="1" ht="14.15" customHeight="1" x14ac:dyDescent="0.35">
      <c r="A25" s="203"/>
      <c r="B25" s="152"/>
      <c r="C25" s="23" t="s">
        <v>59</v>
      </c>
      <c r="D25" s="29">
        <f>0.2*D24</f>
        <v>2.5920000000000005</v>
      </c>
      <c r="E25" s="25">
        <f t="shared" si="0"/>
        <v>2.5920000000000005</v>
      </c>
      <c r="F25" s="26">
        <v>1</v>
      </c>
      <c r="G25" s="27">
        <f t="shared" si="1"/>
        <v>2.5920000000000005</v>
      </c>
      <c r="H25" s="26">
        <v>1.67E-2</v>
      </c>
      <c r="I25" s="28">
        <f t="shared" si="2"/>
        <v>4.328640000000001E-2</v>
      </c>
      <c r="J25" s="25">
        <f t="shared" si="3"/>
        <v>0</v>
      </c>
      <c r="K25" s="26">
        <v>1</v>
      </c>
      <c r="L25" s="27">
        <f t="shared" si="4"/>
        <v>0</v>
      </c>
      <c r="M25" s="26">
        <v>1.67E-2</v>
      </c>
      <c r="N25" s="29">
        <f t="shared" si="5"/>
        <v>0</v>
      </c>
      <c r="O25" s="25">
        <f t="shared" si="6"/>
        <v>2.5920000000000005</v>
      </c>
      <c r="P25" s="73">
        <f t="shared" si="7"/>
        <v>1.67E-2</v>
      </c>
      <c r="Q25" s="155">
        <f t="shared" si="8"/>
        <v>4.328640000000001E-2</v>
      </c>
      <c r="R25" s="7">
        <v>41.55</v>
      </c>
      <c r="S25" s="8">
        <f t="shared" si="9"/>
        <v>1.7985499200000004</v>
      </c>
      <c r="T25" s="8"/>
    </row>
    <row r="26" spans="1:20" ht="17.25" customHeight="1" x14ac:dyDescent="0.35">
      <c r="A26" s="203"/>
      <c r="B26" s="52"/>
      <c r="C26" s="23" t="s">
        <v>42</v>
      </c>
      <c r="D26" s="31">
        <v>54</v>
      </c>
      <c r="E26" s="25">
        <f t="shared" si="0"/>
        <v>54</v>
      </c>
      <c r="F26" s="26">
        <v>1</v>
      </c>
      <c r="G26" s="27">
        <f t="shared" si="1"/>
        <v>54</v>
      </c>
      <c r="H26" s="30">
        <v>0.33400000000000002</v>
      </c>
      <c r="I26" s="101">
        <f t="shared" si="2"/>
        <v>18.036000000000001</v>
      </c>
      <c r="J26" s="25">
        <f t="shared" si="3"/>
        <v>0</v>
      </c>
      <c r="K26" s="26">
        <v>0</v>
      </c>
      <c r="L26" s="27">
        <f t="shared" si="4"/>
        <v>0</v>
      </c>
      <c r="M26" s="95">
        <v>1.67E-2</v>
      </c>
      <c r="N26" s="29">
        <f t="shared" si="5"/>
        <v>0</v>
      </c>
      <c r="O26" s="25">
        <f t="shared" si="6"/>
        <v>54</v>
      </c>
      <c r="P26" s="73">
        <f t="shared" si="7"/>
        <v>0.33400000000000002</v>
      </c>
      <c r="Q26" s="86">
        <f t="shared" si="8"/>
        <v>18.036000000000001</v>
      </c>
      <c r="R26" s="7">
        <v>41.55</v>
      </c>
      <c r="S26" s="8">
        <f t="shared" si="9"/>
        <v>749.39580000000001</v>
      </c>
      <c r="T26" s="8" t="e">
        <f>+#REF!*R26</f>
        <v>#REF!</v>
      </c>
    </row>
    <row r="27" spans="1:20" s="19" customFormat="1" ht="19.5" customHeight="1" x14ac:dyDescent="0.35">
      <c r="A27" s="203"/>
      <c r="B27" s="152"/>
      <c r="C27" s="23" t="s">
        <v>60</v>
      </c>
      <c r="D27" s="29">
        <f>D26</f>
        <v>54</v>
      </c>
      <c r="E27" s="25">
        <f t="shared" si="0"/>
        <v>54</v>
      </c>
      <c r="F27" s="26">
        <v>1</v>
      </c>
      <c r="G27" s="27">
        <f t="shared" si="1"/>
        <v>54</v>
      </c>
      <c r="H27" s="26">
        <v>8.3500000000000005E-2</v>
      </c>
      <c r="I27" s="28">
        <f t="shared" si="2"/>
        <v>4.5090000000000003</v>
      </c>
      <c r="J27" s="25">
        <f t="shared" si="3"/>
        <v>0</v>
      </c>
      <c r="K27" s="26">
        <v>0</v>
      </c>
      <c r="L27" s="27">
        <f t="shared" si="4"/>
        <v>0</v>
      </c>
      <c r="M27" s="95">
        <v>1.67E-2</v>
      </c>
      <c r="N27" s="29">
        <f t="shared" si="5"/>
        <v>0</v>
      </c>
      <c r="O27" s="25">
        <f t="shared" si="6"/>
        <v>54</v>
      </c>
      <c r="P27" s="73">
        <f t="shared" si="7"/>
        <v>8.3500000000000005E-2</v>
      </c>
      <c r="Q27" s="155">
        <f t="shared" si="8"/>
        <v>4.5090000000000003</v>
      </c>
      <c r="R27" s="7">
        <v>41.55</v>
      </c>
      <c r="S27" s="8">
        <f t="shared" si="9"/>
        <v>187.34895</v>
      </c>
      <c r="T27" s="8"/>
    </row>
    <row r="28" spans="1:20" s="19" customFormat="1" ht="14.15" customHeight="1" x14ac:dyDescent="0.35">
      <c r="A28" s="203"/>
      <c r="B28" s="152"/>
      <c r="C28" s="23" t="s">
        <v>55</v>
      </c>
      <c r="D28" s="29">
        <f>0.6*D26</f>
        <v>32.4</v>
      </c>
      <c r="E28" s="25">
        <f t="shared" si="0"/>
        <v>32.4</v>
      </c>
      <c r="F28" s="26">
        <v>1</v>
      </c>
      <c r="G28" s="27">
        <f t="shared" si="1"/>
        <v>32.4</v>
      </c>
      <c r="H28" s="26">
        <v>1.67E-2</v>
      </c>
      <c r="I28" s="28">
        <f t="shared" si="2"/>
        <v>0.54108000000000001</v>
      </c>
      <c r="J28" s="25">
        <f t="shared" si="3"/>
        <v>0</v>
      </c>
      <c r="K28" s="26">
        <v>1</v>
      </c>
      <c r="L28" s="27">
        <f t="shared" si="4"/>
        <v>0</v>
      </c>
      <c r="M28" s="26">
        <v>1.67E-2</v>
      </c>
      <c r="N28" s="165">
        <f t="shared" si="5"/>
        <v>0</v>
      </c>
      <c r="O28" s="25">
        <f t="shared" si="6"/>
        <v>32.4</v>
      </c>
      <c r="P28" s="73">
        <f t="shared" si="7"/>
        <v>1.67E-2</v>
      </c>
      <c r="Q28" s="155">
        <f t="shared" si="8"/>
        <v>0.54108000000000001</v>
      </c>
      <c r="R28" s="7">
        <v>41.55</v>
      </c>
      <c r="S28" s="8">
        <f t="shared" si="9"/>
        <v>22.481873999999998</v>
      </c>
      <c r="T28" s="8"/>
    </row>
    <row r="29" spans="1:20" s="19" customFormat="1" ht="14.15" customHeight="1" x14ac:dyDescent="0.35">
      <c r="A29" s="203"/>
      <c r="B29" s="152"/>
      <c r="C29" s="23" t="s">
        <v>56</v>
      </c>
      <c r="D29" s="29">
        <f>0.4*D28</f>
        <v>12.96</v>
      </c>
      <c r="E29" s="25">
        <f t="shared" si="0"/>
        <v>12.96</v>
      </c>
      <c r="F29" s="26">
        <v>1</v>
      </c>
      <c r="G29" s="27">
        <f t="shared" si="1"/>
        <v>12.96</v>
      </c>
      <c r="H29" s="26">
        <v>1.67E-2</v>
      </c>
      <c r="I29" s="28">
        <f t="shared" si="2"/>
        <v>0.21643200000000001</v>
      </c>
      <c r="J29" s="25">
        <f t="shared" si="3"/>
        <v>0</v>
      </c>
      <c r="K29" s="26">
        <v>1</v>
      </c>
      <c r="L29" s="27">
        <f t="shared" si="4"/>
        <v>0</v>
      </c>
      <c r="M29" s="26">
        <v>1.67E-2</v>
      </c>
      <c r="N29" s="165">
        <f t="shared" si="5"/>
        <v>0</v>
      </c>
      <c r="O29" s="25">
        <f t="shared" si="6"/>
        <v>12.96</v>
      </c>
      <c r="P29" s="73">
        <f t="shared" si="7"/>
        <v>1.67E-2</v>
      </c>
      <c r="Q29" s="155">
        <f t="shared" si="8"/>
        <v>0.21643200000000001</v>
      </c>
      <c r="R29" s="7">
        <v>41.55</v>
      </c>
      <c r="S29" s="8">
        <f t="shared" si="9"/>
        <v>8.9927495999999998</v>
      </c>
      <c r="T29" s="8"/>
    </row>
    <row r="30" spans="1:20" s="19" customFormat="1" ht="14.15" customHeight="1" x14ac:dyDescent="0.35">
      <c r="A30" s="203"/>
      <c r="B30" s="50"/>
      <c r="C30" s="23" t="s">
        <v>59</v>
      </c>
      <c r="D30" s="29">
        <f>0.2*D29</f>
        <v>2.5920000000000005</v>
      </c>
      <c r="E30" s="25">
        <f t="shared" si="0"/>
        <v>2.5920000000000005</v>
      </c>
      <c r="F30" s="26">
        <v>1</v>
      </c>
      <c r="G30" s="27">
        <f t="shared" si="1"/>
        <v>2.5920000000000005</v>
      </c>
      <c r="H30" s="26">
        <v>1.67E-2</v>
      </c>
      <c r="I30" s="28">
        <f t="shared" si="2"/>
        <v>4.328640000000001E-2</v>
      </c>
      <c r="J30" s="25">
        <f t="shared" si="3"/>
        <v>0</v>
      </c>
      <c r="K30" s="26">
        <v>1</v>
      </c>
      <c r="L30" s="27">
        <f t="shared" si="4"/>
        <v>0</v>
      </c>
      <c r="M30" s="26">
        <v>1.67E-2</v>
      </c>
      <c r="N30" s="29">
        <f t="shared" si="5"/>
        <v>0</v>
      </c>
      <c r="O30" s="25">
        <f t="shared" si="6"/>
        <v>2.5920000000000005</v>
      </c>
      <c r="P30" s="73">
        <f t="shared" si="7"/>
        <v>1.67E-2</v>
      </c>
      <c r="Q30" s="155">
        <f t="shared" si="8"/>
        <v>4.328640000000001E-2</v>
      </c>
      <c r="R30" s="7">
        <v>41.55</v>
      </c>
      <c r="S30" s="8">
        <f t="shared" si="9"/>
        <v>1.7985499200000004</v>
      </c>
      <c r="T30" s="8"/>
    </row>
    <row r="31" spans="1:20" ht="27.75" customHeight="1" x14ac:dyDescent="0.35">
      <c r="A31" s="203"/>
      <c r="B31" s="45" t="s">
        <v>11</v>
      </c>
      <c r="C31" s="23" t="s">
        <v>43</v>
      </c>
      <c r="D31" s="31">
        <v>54</v>
      </c>
      <c r="E31" s="25">
        <f t="shared" si="0"/>
        <v>54</v>
      </c>
      <c r="F31" s="26">
        <v>1</v>
      </c>
      <c r="G31" s="27">
        <f t="shared" si="1"/>
        <v>54</v>
      </c>
      <c r="H31" s="26">
        <v>1</v>
      </c>
      <c r="I31" s="101">
        <f t="shared" si="2"/>
        <v>54</v>
      </c>
      <c r="J31" s="25">
        <f t="shared" si="3"/>
        <v>0</v>
      </c>
      <c r="K31" s="26">
        <v>0</v>
      </c>
      <c r="L31" s="27">
        <f t="shared" si="4"/>
        <v>0</v>
      </c>
      <c r="M31" s="95">
        <v>1.67E-2</v>
      </c>
      <c r="N31" s="29">
        <f t="shared" si="5"/>
        <v>0</v>
      </c>
      <c r="O31" s="25">
        <f t="shared" si="6"/>
        <v>54</v>
      </c>
      <c r="P31" s="73">
        <f t="shared" si="7"/>
        <v>1</v>
      </c>
      <c r="Q31" s="86">
        <f t="shared" si="8"/>
        <v>54</v>
      </c>
      <c r="R31" s="7">
        <v>41.55</v>
      </c>
      <c r="S31" s="8">
        <f t="shared" si="9"/>
        <v>2243.6999999999998</v>
      </c>
      <c r="T31" s="8" t="e">
        <f>+#REF!*R31</f>
        <v>#REF!</v>
      </c>
    </row>
    <row r="32" spans="1:20" s="19" customFormat="1" ht="14.15" customHeight="1" x14ac:dyDescent="0.35">
      <c r="A32" s="203"/>
      <c r="B32" s="152"/>
      <c r="C32" s="23" t="s">
        <v>55</v>
      </c>
      <c r="D32" s="29">
        <f>0.6*D31</f>
        <v>32.4</v>
      </c>
      <c r="E32" s="25">
        <f t="shared" si="0"/>
        <v>32.4</v>
      </c>
      <c r="F32" s="26">
        <v>1</v>
      </c>
      <c r="G32" s="27">
        <f t="shared" si="1"/>
        <v>32.4</v>
      </c>
      <c r="H32" s="26">
        <v>1.67E-2</v>
      </c>
      <c r="I32" s="28">
        <f t="shared" si="2"/>
        <v>0.54108000000000001</v>
      </c>
      <c r="J32" s="25">
        <f t="shared" si="3"/>
        <v>0</v>
      </c>
      <c r="K32" s="26">
        <v>1</v>
      </c>
      <c r="L32" s="27">
        <f t="shared" si="4"/>
        <v>0</v>
      </c>
      <c r="M32" s="26">
        <v>1.67E-2</v>
      </c>
      <c r="N32" s="165">
        <f t="shared" si="5"/>
        <v>0</v>
      </c>
      <c r="O32" s="25">
        <f t="shared" si="6"/>
        <v>32.4</v>
      </c>
      <c r="P32" s="73">
        <f t="shared" si="7"/>
        <v>1.67E-2</v>
      </c>
      <c r="Q32" s="155">
        <f t="shared" si="8"/>
        <v>0.54108000000000001</v>
      </c>
      <c r="R32" s="7">
        <v>41.55</v>
      </c>
      <c r="S32" s="8">
        <f t="shared" si="9"/>
        <v>22.481873999999998</v>
      </c>
      <c r="T32" s="8"/>
    </row>
    <row r="33" spans="1:20" s="19" customFormat="1" ht="14.15" customHeight="1" x14ac:dyDescent="0.35">
      <c r="A33" s="203"/>
      <c r="B33" s="152"/>
      <c r="C33" s="23" t="s">
        <v>56</v>
      </c>
      <c r="D33" s="29">
        <f>0.4*D32</f>
        <v>12.96</v>
      </c>
      <c r="E33" s="25">
        <f t="shared" si="0"/>
        <v>12.96</v>
      </c>
      <c r="F33" s="26">
        <v>1</v>
      </c>
      <c r="G33" s="27">
        <f t="shared" si="1"/>
        <v>12.96</v>
      </c>
      <c r="H33" s="26">
        <v>1.67E-2</v>
      </c>
      <c r="I33" s="28">
        <f t="shared" si="2"/>
        <v>0.21643200000000001</v>
      </c>
      <c r="J33" s="25">
        <f t="shared" si="3"/>
        <v>0</v>
      </c>
      <c r="K33" s="26">
        <v>1</v>
      </c>
      <c r="L33" s="27">
        <f t="shared" si="4"/>
        <v>0</v>
      </c>
      <c r="M33" s="26">
        <v>1.67E-2</v>
      </c>
      <c r="N33" s="165">
        <f t="shared" si="5"/>
        <v>0</v>
      </c>
      <c r="O33" s="25">
        <f t="shared" si="6"/>
        <v>12.96</v>
      </c>
      <c r="P33" s="73">
        <f t="shared" si="7"/>
        <v>1.67E-2</v>
      </c>
      <c r="Q33" s="155">
        <f t="shared" si="8"/>
        <v>0.21643200000000001</v>
      </c>
      <c r="R33" s="7">
        <v>41.55</v>
      </c>
      <c r="S33" s="8">
        <f t="shared" si="9"/>
        <v>8.9927495999999998</v>
      </c>
      <c r="T33" s="8"/>
    </row>
    <row r="34" spans="1:20" s="19" customFormat="1" ht="14.15" customHeight="1" x14ac:dyDescent="0.35">
      <c r="A34" s="203"/>
      <c r="B34" s="152"/>
      <c r="C34" s="23" t="s">
        <v>59</v>
      </c>
      <c r="D34" s="29">
        <f>0.2*D33</f>
        <v>2.5920000000000005</v>
      </c>
      <c r="E34" s="25">
        <f t="shared" si="0"/>
        <v>2.5920000000000005</v>
      </c>
      <c r="F34" s="26">
        <v>1</v>
      </c>
      <c r="G34" s="27">
        <f t="shared" si="1"/>
        <v>2.5920000000000005</v>
      </c>
      <c r="H34" s="26">
        <v>1.67E-2</v>
      </c>
      <c r="I34" s="28">
        <f t="shared" si="2"/>
        <v>4.328640000000001E-2</v>
      </c>
      <c r="J34" s="25">
        <f t="shared" si="3"/>
        <v>0</v>
      </c>
      <c r="K34" s="26">
        <v>1</v>
      </c>
      <c r="L34" s="27">
        <f t="shared" si="4"/>
        <v>0</v>
      </c>
      <c r="M34" s="26">
        <v>1.67E-2</v>
      </c>
      <c r="N34" s="29">
        <f t="shared" si="5"/>
        <v>0</v>
      </c>
      <c r="O34" s="25">
        <f t="shared" si="6"/>
        <v>2.5920000000000005</v>
      </c>
      <c r="P34" s="73">
        <f t="shared" si="7"/>
        <v>1.67E-2</v>
      </c>
      <c r="Q34" s="155">
        <f t="shared" si="8"/>
        <v>4.328640000000001E-2</v>
      </c>
      <c r="R34" s="7">
        <v>41.55</v>
      </c>
      <c r="S34" s="8">
        <f t="shared" si="9"/>
        <v>1.7985499200000004</v>
      </c>
      <c r="T34" s="8"/>
    </row>
    <row r="35" spans="1:20" ht="17.25" customHeight="1" x14ac:dyDescent="0.35">
      <c r="A35" s="203"/>
      <c r="B35" s="52"/>
      <c r="C35" s="23" t="s">
        <v>42</v>
      </c>
      <c r="D35" s="31">
        <v>54</v>
      </c>
      <c r="E35" s="25">
        <f t="shared" si="0"/>
        <v>54</v>
      </c>
      <c r="F35" s="26">
        <v>1</v>
      </c>
      <c r="G35" s="27">
        <f t="shared" si="1"/>
        <v>54</v>
      </c>
      <c r="H35" s="30">
        <v>0.33400000000000002</v>
      </c>
      <c r="I35" s="101">
        <f t="shared" si="2"/>
        <v>18.036000000000001</v>
      </c>
      <c r="J35" s="25">
        <f t="shared" si="3"/>
        <v>0</v>
      </c>
      <c r="K35" s="26">
        <v>0</v>
      </c>
      <c r="L35" s="27">
        <f t="shared" si="4"/>
        <v>0</v>
      </c>
      <c r="M35" s="95">
        <v>1.67E-2</v>
      </c>
      <c r="N35" s="29">
        <f t="shared" si="5"/>
        <v>0</v>
      </c>
      <c r="O35" s="25">
        <f t="shared" si="6"/>
        <v>54</v>
      </c>
      <c r="P35" s="73">
        <f t="shared" si="7"/>
        <v>0.33400000000000002</v>
      </c>
      <c r="Q35" s="86">
        <f t="shared" si="8"/>
        <v>18.036000000000001</v>
      </c>
      <c r="R35" s="7">
        <v>41.55</v>
      </c>
      <c r="S35" s="8">
        <f t="shared" si="9"/>
        <v>749.39580000000001</v>
      </c>
      <c r="T35" s="8" t="e">
        <f>+#REF!*R35</f>
        <v>#REF!</v>
      </c>
    </row>
    <row r="36" spans="1:20" s="19" customFormat="1" ht="19.5" customHeight="1" x14ac:dyDescent="0.35">
      <c r="A36" s="203"/>
      <c r="B36" s="152"/>
      <c r="C36" s="23" t="s">
        <v>60</v>
      </c>
      <c r="D36" s="29">
        <f>D35</f>
        <v>54</v>
      </c>
      <c r="E36" s="25">
        <f t="shared" si="0"/>
        <v>54</v>
      </c>
      <c r="F36" s="26">
        <v>1</v>
      </c>
      <c r="G36" s="27">
        <f t="shared" ref="G36:G67" si="10">E36*F36</f>
        <v>54</v>
      </c>
      <c r="H36" s="26">
        <v>8.3500000000000005E-2</v>
      </c>
      <c r="I36" s="28">
        <f t="shared" ref="I36:I67" si="11">G36*H36</f>
        <v>4.5090000000000003</v>
      </c>
      <c r="J36" s="25">
        <f t="shared" ref="J36:J67" si="12">D36-E36</f>
        <v>0</v>
      </c>
      <c r="K36" s="26">
        <v>0</v>
      </c>
      <c r="L36" s="27">
        <f t="shared" ref="L36:L67" si="13">J36*K36</f>
        <v>0</v>
      </c>
      <c r="M36" s="95">
        <v>1.67E-2</v>
      </c>
      <c r="N36" s="29">
        <f t="shared" ref="N36:N67" si="14">L36*M36</f>
        <v>0</v>
      </c>
      <c r="O36" s="25">
        <f t="shared" ref="O36:O67" si="15">L36+G36</f>
        <v>54</v>
      </c>
      <c r="P36" s="73">
        <f t="shared" si="7"/>
        <v>8.3500000000000005E-2</v>
      </c>
      <c r="Q36" s="155">
        <f t="shared" ref="Q36:Q67" si="16">I36+N36</f>
        <v>4.5090000000000003</v>
      </c>
      <c r="R36" s="7">
        <v>41.55</v>
      </c>
      <c r="S36" s="8">
        <f t="shared" ref="S36:S67" si="17">+Q36*R36</f>
        <v>187.34895</v>
      </c>
      <c r="T36" s="8"/>
    </row>
    <row r="37" spans="1:20" s="19" customFormat="1" ht="14.15" customHeight="1" x14ac:dyDescent="0.35">
      <c r="A37" s="203"/>
      <c r="B37" s="152"/>
      <c r="C37" s="23" t="s">
        <v>55</v>
      </c>
      <c r="D37" s="29">
        <f>0.6*D35</f>
        <v>32.4</v>
      </c>
      <c r="E37" s="25">
        <f t="shared" si="0"/>
        <v>32.4</v>
      </c>
      <c r="F37" s="26">
        <v>1</v>
      </c>
      <c r="G37" s="27">
        <f t="shared" si="10"/>
        <v>32.4</v>
      </c>
      <c r="H37" s="26">
        <v>1.67E-2</v>
      </c>
      <c r="I37" s="28">
        <f t="shared" si="11"/>
        <v>0.54108000000000001</v>
      </c>
      <c r="J37" s="25">
        <f t="shared" si="12"/>
        <v>0</v>
      </c>
      <c r="K37" s="26">
        <v>1</v>
      </c>
      <c r="L37" s="27">
        <f t="shared" si="13"/>
        <v>0</v>
      </c>
      <c r="M37" s="26">
        <v>1.67E-2</v>
      </c>
      <c r="N37" s="165">
        <f t="shared" si="14"/>
        <v>0</v>
      </c>
      <c r="O37" s="25">
        <f t="shared" si="15"/>
        <v>32.4</v>
      </c>
      <c r="P37" s="73">
        <f t="shared" si="7"/>
        <v>1.67E-2</v>
      </c>
      <c r="Q37" s="155">
        <f t="shared" si="16"/>
        <v>0.54108000000000001</v>
      </c>
      <c r="R37" s="7">
        <v>41.55</v>
      </c>
      <c r="S37" s="8">
        <f t="shared" si="17"/>
        <v>22.481873999999998</v>
      </c>
      <c r="T37" s="8"/>
    </row>
    <row r="38" spans="1:20" s="19" customFormat="1" ht="14.15" customHeight="1" x14ac:dyDescent="0.35">
      <c r="A38" s="203"/>
      <c r="B38" s="152"/>
      <c r="C38" s="23" t="s">
        <v>56</v>
      </c>
      <c r="D38" s="29">
        <f>0.4*D37</f>
        <v>12.96</v>
      </c>
      <c r="E38" s="25">
        <f t="shared" si="0"/>
        <v>12.96</v>
      </c>
      <c r="F38" s="26">
        <v>1</v>
      </c>
      <c r="G38" s="27">
        <f t="shared" si="10"/>
        <v>12.96</v>
      </c>
      <c r="H38" s="26">
        <v>1.67E-2</v>
      </c>
      <c r="I38" s="28">
        <f t="shared" si="11"/>
        <v>0.21643200000000001</v>
      </c>
      <c r="J38" s="25">
        <f t="shared" si="12"/>
        <v>0</v>
      </c>
      <c r="K38" s="26">
        <v>1</v>
      </c>
      <c r="L38" s="27">
        <f t="shared" si="13"/>
        <v>0</v>
      </c>
      <c r="M38" s="26">
        <v>1.67E-2</v>
      </c>
      <c r="N38" s="165">
        <f t="shared" si="14"/>
        <v>0</v>
      </c>
      <c r="O38" s="25">
        <f t="shared" si="15"/>
        <v>12.96</v>
      </c>
      <c r="P38" s="73">
        <f t="shared" si="7"/>
        <v>1.67E-2</v>
      </c>
      <c r="Q38" s="155">
        <f t="shared" si="16"/>
        <v>0.21643200000000001</v>
      </c>
      <c r="R38" s="7">
        <v>41.55</v>
      </c>
      <c r="S38" s="8">
        <f t="shared" si="17"/>
        <v>8.9927495999999998</v>
      </c>
      <c r="T38" s="8"/>
    </row>
    <row r="39" spans="1:20" s="19" customFormat="1" ht="14.15" customHeight="1" x14ac:dyDescent="0.35">
      <c r="A39" s="203"/>
      <c r="B39" s="50"/>
      <c r="C39" s="23" t="s">
        <v>59</v>
      </c>
      <c r="D39" s="29">
        <f>0.2*D38</f>
        <v>2.5920000000000005</v>
      </c>
      <c r="E39" s="25">
        <f t="shared" si="0"/>
        <v>2.5920000000000005</v>
      </c>
      <c r="F39" s="26">
        <v>1</v>
      </c>
      <c r="G39" s="27">
        <f t="shared" si="10"/>
        <v>2.5920000000000005</v>
      </c>
      <c r="H39" s="26">
        <v>1.67E-2</v>
      </c>
      <c r="I39" s="28">
        <f t="shared" si="11"/>
        <v>4.328640000000001E-2</v>
      </c>
      <c r="J39" s="25">
        <f t="shared" si="12"/>
        <v>0</v>
      </c>
      <c r="K39" s="26">
        <v>1</v>
      </c>
      <c r="L39" s="27">
        <f t="shared" si="13"/>
        <v>0</v>
      </c>
      <c r="M39" s="26">
        <v>1.67E-2</v>
      </c>
      <c r="N39" s="29">
        <f t="shared" si="14"/>
        <v>0</v>
      </c>
      <c r="O39" s="25">
        <f t="shared" si="15"/>
        <v>2.5920000000000005</v>
      </c>
      <c r="P39" s="73">
        <f t="shared" si="7"/>
        <v>1.67E-2</v>
      </c>
      <c r="Q39" s="155">
        <f t="shared" si="16"/>
        <v>4.328640000000001E-2</v>
      </c>
      <c r="R39" s="7">
        <v>41.55</v>
      </c>
      <c r="S39" s="8">
        <f t="shared" si="17"/>
        <v>1.7985499200000004</v>
      </c>
      <c r="T39" s="8"/>
    </row>
    <row r="40" spans="1:20" ht="27.75" customHeight="1" x14ac:dyDescent="0.35">
      <c r="A40" s="203"/>
      <c r="B40" s="45" t="s">
        <v>12</v>
      </c>
      <c r="C40" s="23" t="s">
        <v>43</v>
      </c>
      <c r="D40" s="31">
        <v>54</v>
      </c>
      <c r="E40" s="25">
        <f t="shared" si="0"/>
        <v>54</v>
      </c>
      <c r="F40" s="26">
        <v>1</v>
      </c>
      <c r="G40" s="27">
        <f t="shared" si="10"/>
        <v>54</v>
      </c>
      <c r="H40" s="26">
        <v>1</v>
      </c>
      <c r="I40" s="101">
        <f t="shared" si="11"/>
        <v>54</v>
      </c>
      <c r="J40" s="25">
        <f t="shared" si="12"/>
        <v>0</v>
      </c>
      <c r="K40" s="26">
        <v>0</v>
      </c>
      <c r="L40" s="27">
        <f t="shared" si="13"/>
        <v>0</v>
      </c>
      <c r="M40" s="95">
        <v>1.67E-2</v>
      </c>
      <c r="N40" s="29">
        <f t="shared" si="14"/>
        <v>0</v>
      </c>
      <c r="O40" s="25">
        <f t="shared" si="15"/>
        <v>54</v>
      </c>
      <c r="P40" s="73">
        <f t="shared" si="7"/>
        <v>1</v>
      </c>
      <c r="Q40" s="86">
        <f t="shared" si="16"/>
        <v>54</v>
      </c>
      <c r="R40" s="7">
        <v>41.55</v>
      </c>
      <c r="S40" s="8">
        <f t="shared" si="17"/>
        <v>2243.6999999999998</v>
      </c>
      <c r="T40" s="8" t="e">
        <f>+#REF!*R40</f>
        <v>#REF!</v>
      </c>
    </row>
    <row r="41" spans="1:20" s="19" customFormat="1" ht="14.15" customHeight="1" x14ac:dyDescent="0.35">
      <c r="A41" s="203"/>
      <c r="B41" s="152"/>
      <c r="C41" s="23" t="s">
        <v>55</v>
      </c>
      <c r="D41" s="29">
        <f>0.6*D40</f>
        <v>32.4</v>
      </c>
      <c r="E41" s="25">
        <f t="shared" si="0"/>
        <v>32.4</v>
      </c>
      <c r="F41" s="26">
        <v>1</v>
      </c>
      <c r="G41" s="27">
        <f t="shared" si="10"/>
        <v>32.4</v>
      </c>
      <c r="H41" s="26">
        <v>1.67E-2</v>
      </c>
      <c r="I41" s="28">
        <f t="shared" si="11"/>
        <v>0.54108000000000001</v>
      </c>
      <c r="J41" s="25">
        <f t="shared" si="12"/>
        <v>0</v>
      </c>
      <c r="K41" s="26">
        <v>1</v>
      </c>
      <c r="L41" s="27">
        <f t="shared" si="13"/>
        <v>0</v>
      </c>
      <c r="M41" s="26">
        <v>1.67E-2</v>
      </c>
      <c r="N41" s="165">
        <f t="shared" si="14"/>
        <v>0</v>
      </c>
      <c r="O41" s="25">
        <f t="shared" si="15"/>
        <v>32.4</v>
      </c>
      <c r="P41" s="73">
        <f t="shared" si="7"/>
        <v>1.67E-2</v>
      </c>
      <c r="Q41" s="155">
        <f t="shared" si="16"/>
        <v>0.54108000000000001</v>
      </c>
      <c r="R41" s="7">
        <v>41.55</v>
      </c>
      <c r="S41" s="8">
        <f t="shared" si="17"/>
        <v>22.481873999999998</v>
      </c>
      <c r="T41" s="8"/>
    </row>
    <row r="42" spans="1:20" s="19" customFormat="1" ht="14.15" customHeight="1" x14ac:dyDescent="0.35">
      <c r="A42" s="203"/>
      <c r="B42" s="152"/>
      <c r="C42" s="23" t="s">
        <v>56</v>
      </c>
      <c r="D42" s="29">
        <f>0.4*D41</f>
        <v>12.96</v>
      </c>
      <c r="E42" s="25">
        <f t="shared" si="0"/>
        <v>12.96</v>
      </c>
      <c r="F42" s="26">
        <v>1</v>
      </c>
      <c r="G42" s="27">
        <f t="shared" si="10"/>
        <v>12.96</v>
      </c>
      <c r="H42" s="26">
        <v>1.67E-2</v>
      </c>
      <c r="I42" s="28">
        <f t="shared" si="11"/>
        <v>0.21643200000000001</v>
      </c>
      <c r="J42" s="25">
        <f t="shared" si="12"/>
        <v>0</v>
      </c>
      <c r="K42" s="26">
        <v>1</v>
      </c>
      <c r="L42" s="27">
        <f t="shared" si="13"/>
        <v>0</v>
      </c>
      <c r="M42" s="26">
        <v>1.67E-2</v>
      </c>
      <c r="N42" s="165">
        <f t="shared" si="14"/>
        <v>0</v>
      </c>
      <c r="O42" s="25">
        <f t="shared" si="15"/>
        <v>12.96</v>
      </c>
      <c r="P42" s="73">
        <f t="shared" si="7"/>
        <v>1.67E-2</v>
      </c>
      <c r="Q42" s="155">
        <f t="shared" si="16"/>
        <v>0.21643200000000001</v>
      </c>
      <c r="R42" s="7">
        <v>41.55</v>
      </c>
      <c r="S42" s="8">
        <f t="shared" si="17"/>
        <v>8.9927495999999998</v>
      </c>
      <c r="T42" s="8"/>
    </row>
    <row r="43" spans="1:20" s="19" customFormat="1" ht="14.15" customHeight="1" x14ac:dyDescent="0.35">
      <c r="A43" s="203"/>
      <c r="B43" s="152"/>
      <c r="C43" s="23" t="s">
        <v>59</v>
      </c>
      <c r="D43" s="29">
        <f>0.2*D42</f>
        <v>2.5920000000000005</v>
      </c>
      <c r="E43" s="25">
        <f t="shared" si="0"/>
        <v>2.5920000000000005</v>
      </c>
      <c r="F43" s="26">
        <v>1</v>
      </c>
      <c r="G43" s="27">
        <f t="shared" si="10"/>
        <v>2.5920000000000005</v>
      </c>
      <c r="H43" s="26">
        <v>1.67E-2</v>
      </c>
      <c r="I43" s="28">
        <f t="shared" si="11"/>
        <v>4.328640000000001E-2</v>
      </c>
      <c r="J43" s="25">
        <f t="shared" si="12"/>
        <v>0</v>
      </c>
      <c r="K43" s="26">
        <v>1</v>
      </c>
      <c r="L43" s="27">
        <f t="shared" si="13"/>
        <v>0</v>
      </c>
      <c r="M43" s="26">
        <v>1.67E-2</v>
      </c>
      <c r="N43" s="29">
        <f t="shared" si="14"/>
        <v>0</v>
      </c>
      <c r="O43" s="25">
        <f t="shared" si="15"/>
        <v>2.5920000000000005</v>
      </c>
      <c r="P43" s="73">
        <f t="shared" si="7"/>
        <v>1.67E-2</v>
      </c>
      <c r="Q43" s="155">
        <f t="shared" si="16"/>
        <v>4.328640000000001E-2</v>
      </c>
      <c r="R43" s="7">
        <v>41.55</v>
      </c>
      <c r="S43" s="8">
        <f t="shared" si="17"/>
        <v>1.7985499200000004</v>
      </c>
      <c r="T43" s="8"/>
    </row>
    <row r="44" spans="1:20" ht="15.75" customHeight="1" x14ac:dyDescent="0.35">
      <c r="A44" s="203"/>
      <c r="B44" s="52"/>
      <c r="C44" s="23" t="s">
        <v>42</v>
      </c>
      <c r="D44" s="31">
        <v>54</v>
      </c>
      <c r="E44" s="25">
        <f t="shared" si="0"/>
        <v>54</v>
      </c>
      <c r="F44" s="26">
        <v>1</v>
      </c>
      <c r="G44" s="27">
        <f t="shared" si="10"/>
        <v>54</v>
      </c>
      <c r="H44" s="30">
        <v>0.33400000000000002</v>
      </c>
      <c r="I44" s="101">
        <f t="shared" si="11"/>
        <v>18.036000000000001</v>
      </c>
      <c r="J44" s="25">
        <f t="shared" si="12"/>
        <v>0</v>
      </c>
      <c r="K44" s="26">
        <v>0</v>
      </c>
      <c r="L44" s="27">
        <f t="shared" si="13"/>
        <v>0</v>
      </c>
      <c r="M44" s="95">
        <v>1.67E-2</v>
      </c>
      <c r="N44" s="29">
        <f t="shared" si="14"/>
        <v>0</v>
      </c>
      <c r="O44" s="25">
        <f t="shared" si="15"/>
        <v>54</v>
      </c>
      <c r="P44" s="73">
        <f t="shared" si="7"/>
        <v>0.33400000000000002</v>
      </c>
      <c r="Q44" s="86">
        <f t="shared" si="16"/>
        <v>18.036000000000001</v>
      </c>
      <c r="R44" s="7">
        <v>41.55</v>
      </c>
      <c r="S44" s="8">
        <f t="shared" si="17"/>
        <v>749.39580000000001</v>
      </c>
      <c r="T44" s="8" t="e">
        <f>+#REF!*R44</f>
        <v>#REF!</v>
      </c>
    </row>
    <row r="45" spans="1:20" s="19" customFormat="1" ht="19.5" customHeight="1" x14ac:dyDescent="0.35">
      <c r="A45" s="203"/>
      <c r="B45" s="152"/>
      <c r="C45" s="23" t="s">
        <v>60</v>
      </c>
      <c r="D45" s="29">
        <f>D44</f>
        <v>54</v>
      </c>
      <c r="E45" s="25">
        <f t="shared" si="0"/>
        <v>54</v>
      </c>
      <c r="F45" s="26">
        <v>1</v>
      </c>
      <c r="G45" s="27">
        <f t="shared" si="10"/>
        <v>54</v>
      </c>
      <c r="H45" s="26">
        <v>8.3500000000000005E-2</v>
      </c>
      <c r="I45" s="28">
        <f t="shared" si="11"/>
        <v>4.5090000000000003</v>
      </c>
      <c r="J45" s="25">
        <f t="shared" si="12"/>
        <v>0</v>
      </c>
      <c r="K45" s="26">
        <v>0</v>
      </c>
      <c r="L45" s="27">
        <f t="shared" si="13"/>
        <v>0</v>
      </c>
      <c r="M45" s="95">
        <v>1.67E-2</v>
      </c>
      <c r="N45" s="29">
        <f t="shared" si="14"/>
        <v>0</v>
      </c>
      <c r="O45" s="25">
        <f t="shared" si="15"/>
        <v>54</v>
      </c>
      <c r="P45" s="73">
        <f t="shared" si="7"/>
        <v>8.3500000000000005E-2</v>
      </c>
      <c r="Q45" s="155">
        <f t="shared" si="16"/>
        <v>4.5090000000000003</v>
      </c>
      <c r="R45" s="7">
        <v>41.55</v>
      </c>
      <c r="S45" s="8">
        <f t="shared" si="17"/>
        <v>187.34895</v>
      </c>
      <c r="T45" s="8"/>
    </row>
    <row r="46" spans="1:20" s="19" customFormat="1" ht="14.15" customHeight="1" x14ac:dyDescent="0.35">
      <c r="A46" s="203"/>
      <c r="B46" s="152"/>
      <c r="C46" s="23" t="s">
        <v>55</v>
      </c>
      <c r="D46" s="29">
        <f>0.6*D44</f>
        <v>32.4</v>
      </c>
      <c r="E46" s="25">
        <f t="shared" si="0"/>
        <v>32.4</v>
      </c>
      <c r="F46" s="26">
        <v>1</v>
      </c>
      <c r="G46" s="27">
        <f t="shared" si="10"/>
        <v>32.4</v>
      </c>
      <c r="H46" s="26">
        <v>1.67E-2</v>
      </c>
      <c r="I46" s="28">
        <f t="shared" si="11"/>
        <v>0.54108000000000001</v>
      </c>
      <c r="J46" s="25">
        <f t="shared" si="12"/>
        <v>0</v>
      </c>
      <c r="K46" s="26">
        <v>1</v>
      </c>
      <c r="L46" s="27">
        <f t="shared" si="13"/>
        <v>0</v>
      </c>
      <c r="M46" s="26">
        <v>1.67E-2</v>
      </c>
      <c r="N46" s="165">
        <f t="shared" si="14"/>
        <v>0</v>
      </c>
      <c r="O46" s="25">
        <f t="shared" si="15"/>
        <v>32.4</v>
      </c>
      <c r="P46" s="73">
        <f t="shared" si="7"/>
        <v>1.67E-2</v>
      </c>
      <c r="Q46" s="155">
        <f t="shared" si="16"/>
        <v>0.54108000000000001</v>
      </c>
      <c r="R46" s="7">
        <v>41.55</v>
      </c>
      <c r="S46" s="8">
        <f t="shared" si="17"/>
        <v>22.481873999999998</v>
      </c>
      <c r="T46" s="8"/>
    </row>
    <row r="47" spans="1:20" s="19" customFormat="1" ht="14.15" customHeight="1" x14ac:dyDescent="0.35">
      <c r="A47" s="203"/>
      <c r="B47" s="152"/>
      <c r="C47" s="23" t="s">
        <v>56</v>
      </c>
      <c r="D47" s="29">
        <f>0.4*D46</f>
        <v>12.96</v>
      </c>
      <c r="E47" s="25">
        <f t="shared" si="0"/>
        <v>12.96</v>
      </c>
      <c r="F47" s="26">
        <v>1</v>
      </c>
      <c r="G47" s="27">
        <f t="shared" si="10"/>
        <v>12.96</v>
      </c>
      <c r="H47" s="26">
        <v>1.67E-2</v>
      </c>
      <c r="I47" s="28">
        <f t="shared" si="11"/>
        <v>0.21643200000000001</v>
      </c>
      <c r="J47" s="25">
        <f t="shared" si="12"/>
        <v>0</v>
      </c>
      <c r="K47" s="26">
        <v>1</v>
      </c>
      <c r="L47" s="27">
        <f t="shared" si="13"/>
        <v>0</v>
      </c>
      <c r="M47" s="26">
        <v>1.67E-2</v>
      </c>
      <c r="N47" s="165">
        <f t="shared" si="14"/>
        <v>0</v>
      </c>
      <c r="O47" s="25">
        <f t="shared" si="15"/>
        <v>12.96</v>
      </c>
      <c r="P47" s="73">
        <f t="shared" si="7"/>
        <v>1.67E-2</v>
      </c>
      <c r="Q47" s="155">
        <f t="shared" si="16"/>
        <v>0.21643200000000001</v>
      </c>
      <c r="R47" s="7">
        <v>41.55</v>
      </c>
      <c r="S47" s="8">
        <f t="shared" si="17"/>
        <v>8.9927495999999998</v>
      </c>
      <c r="T47" s="8"/>
    </row>
    <row r="48" spans="1:20" s="19" customFormat="1" ht="14.15" customHeight="1" x14ac:dyDescent="0.35">
      <c r="A48" s="203"/>
      <c r="B48" s="50"/>
      <c r="C48" s="23" t="s">
        <v>59</v>
      </c>
      <c r="D48" s="29">
        <f>0.2*D47</f>
        <v>2.5920000000000005</v>
      </c>
      <c r="E48" s="25">
        <f t="shared" si="0"/>
        <v>2.5920000000000005</v>
      </c>
      <c r="F48" s="26">
        <v>1</v>
      </c>
      <c r="G48" s="27">
        <f t="shared" si="10"/>
        <v>2.5920000000000005</v>
      </c>
      <c r="H48" s="26">
        <v>1.67E-2</v>
      </c>
      <c r="I48" s="28">
        <f t="shared" si="11"/>
        <v>4.328640000000001E-2</v>
      </c>
      <c r="J48" s="25">
        <f t="shared" si="12"/>
        <v>0</v>
      </c>
      <c r="K48" s="26">
        <v>1</v>
      </c>
      <c r="L48" s="27">
        <f t="shared" si="13"/>
        <v>0</v>
      </c>
      <c r="M48" s="26">
        <v>1.67E-2</v>
      </c>
      <c r="N48" s="29">
        <f t="shared" si="14"/>
        <v>0</v>
      </c>
      <c r="O48" s="25">
        <f t="shared" si="15"/>
        <v>2.5920000000000005</v>
      </c>
      <c r="P48" s="73">
        <f t="shared" si="7"/>
        <v>1.67E-2</v>
      </c>
      <c r="Q48" s="155">
        <f t="shared" si="16"/>
        <v>4.328640000000001E-2</v>
      </c>
      <c r="R48" s="7">
        <v>41.55</v>
      </c>
      <c r="S48" s="8">
        <f t="shared" si="17"/>
        <v>1.7985499200000004</v>
      </c>
      <c r="T48" s="8"/>
    </row>
    <row r="49" spans="1:20" ht="21.75" customHeight="1" x14ac:dyDescent="0.35">
      <c r="A49" s="203"/>
      <c r="B49" s="51" t="s">
        <v>13</v>
      </c>
      <c r="C49" s="23" t="s">
        <v>43</v>
      </c>
      <c r="D49" s="33">
        <v>112</v>
      </c>
      <c r="E49" s="25">
        <f t="shared" si="0"/>
        <v>112</v>
      </c>
      <c r="F49" s="34">
        <v>1</v>
      </c>
      <c r="G49" s="27">
        <f t="shared" si="10"/>
        <v>112</v>
      </c>
      <c r="H49" s="34">
        <v>1</v>
      </c>
      <c r="I49" s="101">
        <f t="shared" si="11"/>
        <v>112</v>
      </c>
      <c r="J49" s="25">
        <f t="shared" si="12"/>
        <v>0</v>
      </c>
      <c r="K49" s="34">
        <v>0</v>
      </c>
      <c r="L49" s="27">
        <f t="shared" si="13"/>
        <v>0</v>
      </c>
      <c r="M49" s="95">
        <v>1.67E-2</v>
      </c>
      <c r="N49" s="29">
        <f t="shared" si="14"/>
        <v>0</v>
      </c>
      <c r="O49" s="25">
        <f t="shared" si="15"/>
        <v>112</v>
      </c>
      <c r="P49" s="73">
        <f t="shared" si="7"/>
        <v>1</v>
      </c>
      <c r="Q49" s="87">
        <f t="shared" si="16"/>
        <v>112</v>
      </c>
      <c r="R49" s="7">
        <v>41.55</v>
      </c>
      <c r="S49" s="8">
        <f t="shared" si="17"/>
        <v>4653.5999999999995</v>
      </c>
      <c r="T49" s="14" t="e">
        <f>+#REF!*R49</f>
        <v>#REF!</v>
      </c>
    </row>
    <row r="50" spans="1:20" s="19" customFormat="1" ht="14.15" customHeight="1" x14ac:dyDescent="0.35">
      <c r="A50" s="203"/>
      <c r="B50" s="152"/>
      <c r="C50" s="23" t="s">
        <v>55</v>
      </c>
      <c r="D50" s="29">
        <f>0.6*D49</f>
        <v>67.2</v>
      </c>
      <c r="E50" s="25">
        <f t="shared" si="0"/>
        <v>67.2</v>
      </c>
      <c r="F50" s="26">
        <v>1</v>
      </c>
      <c r="G50" s="27">
        <f t="shared" si="10"/>
        <v>67.2</v>
      </c>
      <c r="H50" s="26">
        <v>1.67E-2</v>
      </c>
      <c r="I50" s="28">
        <f t="shared" si="11"/>
        <v>1.1222400000000001</v>
      </c>
      <c r="J50" s="25">
        <f t="shared" si="12"/>
        <v>0</v>
      </c>
      <c r="K50" s="26">
        <v>1</v>
      </c>
      <c r="L50" s="27">
        <f t="shared" si="13"/>
        <v>0</v>
      </c>
      <c r="M50" s="26">
        <v>1.67E-2</v>
      </c>
      <c r="N50" s="165">
        <f t="shared" si="14"/>
        <v>0</v>
      </c>
      <c r="O50" s="25">
        <f t="shared" si="15"/>
        <v>67.2</v>
      </c>
      <c r="P50" s="73">
        <f t="shared" si="7"/>
        <v>1.67E-2</v>
      </c>
      <c r="Q50" s="155">
        <f t="shared" si="16"/>
        <v>1.1222400000000001</v>
      </c>
      <c r="R50" s="7">
        <v>41.55</v>
      </c>
      <c r="S50" s="8">
        <f t="shared" si="17"/>
        <v>46.629072000000001</v>
      </c>
      <c r="T50" s="8"/>
    </row>
    <row r="51" spans="1:20" s="19" customFormat="1" ht="14.15" customHeight="1" x14ac:dyDescent="0.35">
      <c r="A51" s="203"/>
      <c r="B51" s="152"/>
      <c r="C51" s="23" t="s">
        <v>56</v>
      </c>
      <c r="D51" s="29">
        <f>0.4*D50</f>
        <v>26.880000000000003</v>
      </c>
      <c r="E51" s="25">
        <f t="shared" si="0"/>
        <v>26.880000000000003</v>
      </c>
      <c r="F51" s="26">
        <v>1</v>
      </c>
      <c r="G51" s="27">
        <f t="shared" si="10"/>
        <v>26.880000000000003</v>
      </c>
      <c r="H51" s="26">
        <v>1.67E-2</v>
      </c>
      <c r="I51" s="28">
        <f t="shared" si="11"/>
        <v>0.44889600000000002</v>
      </c>
      <c r="J51" s="25">
        <f t="shared" si="12"/>
        <v>0</v>
      </c>
      <c r="K51" s="26">
        <v>1</v>
      </c>
      <c r="L51" s="27">
        <f t="shared" si="13"/>
        <v>0</v>
      </c>
      <c r="M51" s="26">
        <v>1.67E-2</v>
      </c>
      <c r="N51" s="165">
        <f t="shared" si="14"/>
        <v>0</v>
      </c>
      <c r="O51" s="25">
        <f t="shared" si="15"/>
        <v>26.880000000000003</v>
      </c>
      <c r="P51" s="73">
        <f t="shared" si="7"/>
        <v>1.67E-2</v>
      </c>
      <c r="Q51" s="155">
        <f t="shared" si="16"/>
        <v>0.44889600000000002</v>
      </c>
      <c r="R51" s="7">
        <v>41.55</v>
      </c>
      <c r="S51" s="8">
        <f t="shared" si="17"/>
        <v>18.651628800000001</v>
      </c>
      <c r="T51" s="8"/>
    </row>
    <row r="52" spans="1:20" s="19" customFormat="1" ht="14.15" customHeight="1" x14ac:dyDescent="0.35">
      <c r="A52" s="203"/>
      <c r="B52" s="152"/>
      <c r="C52" s="23" t="s">
        <v>59</v>
      </c>
      <c r="D52" s="29">
        <f>0.2*D51</f>
        <v>5.3760000000000012</v>
      </c>
      <c r="E52" s="25">
        <f t="shared" si="0"/>
        <v>5.3760000000000012</v>
      </c>
      <c r="F52" s="26">
        <v>1</v>
      </c>
      <c r="G52" s="27">
        <f t="shared" si="10"/>
        <v>5.3760000000000012</v>
      </c>
      <c r="H52" s="26">
        <v>1.67E-2</v>
      </c>
      <c r="I52" s="28">
        <f t="shared" si="11"/>
        <v>8.9779200000000017E-2</v>
      </c>
      <c r="J52" s="25">
        <f t="shared" si="12"/>
        <v>0</v>
      </c>
      <c r="K52" s="26">
        <v>1</v>
      </c>
      <c r="L52" s="27">
        <f t="shared" si="13"/>
        <v>0</v>
      </c>
      <c r="M52" s="26">
        <v>1.67E-2</v>
      </c>
      <c r="N52" s="29">
        <f t="shared" si="14"/>
        <v>0</v>
      </c>
      <c r="O52" s="25">
        <f t="shared" si="15"/>
        <v>5.3760000000000012</v>
      </c>
      <c r="P52" s="73">
        <f t="shared" si="7"/>
        <v>1.67E-2</v>
      </c>
      <c r="Q52" s="155">
        <f t="shared" si="16"/>
        <v>8.9779200000000017E-2</v>
      </c>
      <c r="R52" s="7">
        <v>41.55</v>
      </c>
      <c r="S52" s="8">
        <f t="shared" si="17"/>
        <v>3.7303257600000004</v>
      </c>
      <c r="T52" s="8"/>
    </row>
    <row r="53" spans="1:20" ht="20.25" customHeight="1" x14ac:dyDescent="0.35">
      <c r="A53" s="203"/>
      <c r="B53" s="159"/>
      <c r="C53" s="23" t="s">
        <v>42</v>
      </c>
      <c r="D53" s="31">
        <v>112</v>
      </c>
      <c r="E53" s="25">
        <f t="shared" si="0"/>
        <v>112</v>
      </c>
      <c r="F53" s="26">
        <v>1</v>
      </c>
      <c r="G53" s="27">
        <f t="shared" si="10"/>
        <v>112</v>
      </c>
      <c r="H53" s="30">
        <v>0.33400000000000002</v>
      </c>
      <c r="I53" s="101">
        <f t="shared" si="11"/>
        <v>37.408000000000001</v>
      </c>
      <c r="J53" s="25">
        <f t="shared" si="12"/>
        <v>0</v>
      </c>
      <c r="K53" s="26">
        <v>0</v>
      </c>
      <c r="L53" s="27">
        <f t="shared" si="13"/>
        <v>0</v>
      </c>
      <c r="M53" s="95">
        <v>1.67E-2</v>
      </c>
      <c r="N53" s="29">
        <f t="shared" si="14"/>
        <v>0</v>
      </c>
      <c r="O53" s="25">
        <f t="shared" si="15"/>
        <v>112</v>
      </c>
      <c r="P53" s="73">
        <f t="shared" si="7"/>
        <v>0.33400000000000002</v>
      </c>
      <c r="Q53" s="86">
        <f t="shared" si="16"/>
        <v>37.408000000000001</v>
      </c>
      <c r="R53" s="7">
        <v>41.55</v>
      </c>
      <c r="S53" s="8">
        <f t="shared" si="17"/>
        <v>1554.3024</v>
      </c>
      <c r="T53" s="8" t="e">
        <f>+#REF!*R53</f>
        <v>#REF!</v>
      </c>
    </row>
    <row r="54" spans="1:20" s="19" customFormat="1" ht="19.5" customHeight="1" x14ac:dyDescent="0.35">
      <c r="A54" s="203"/>
      <c r="B54" s="152"/>
      <c r="C54" s="23" t="s">
        <v>60</v>
      </c>
      <c r="D54" s="29">
        <f>D53</f>
        <v>112</v>
      </c>
      <c r="E54" s="25">
        <f t="shared" si="0"/>
        <v>112</v>
      </c>
      <c r="F54" s="26">
        <v>1</v>
      </c>
      <c r="G54" s="27">
        <f t="shared" si="10"/>
        <v>112</v>
      </c>
      <c r="H54" s="26">
        <v>8.3500000000000005E-2</v>
      </c>
      <c r="I54" s="28">
        <f t="shared" si="11"/>
        <v>9.3520000000000003</v>
      </c>
      <c r="J54" s="25">
        <f t="shared" si="12"/>
        <v>0</v>
      </c>
      <c r="K54" s="26">
        <v>0</v>
      </c>
      <c r="L54" s="27">
        <f t="shared" si="13"/>
        <v>0</v>
      </c>
      <c r="M54" s="95">
        <v>1.67E-2</v>
      </c>
      <c r="N54" s="29">
        <f t="shared" si="14"/>
        <v>0</v>
      </c>
      <c r="O54" s="25">
        <f t="shared" si="15"/>
        <v>112</v>
      </c>
      <c r="P54" s="73">
        <f t="shared" si="7"/>
        <v>8.3500000000000005E-2</v>
      </c>
      <c r="Q54" s="155">
        <f t="shared" si="16"/>
        <v>9.3520000000000003</v>
      </c>
      <c r="R54" s="7">
        <v>41.55</v>
      </c>
      <c r="S54" s="8">
        <f t="shared" si="17"/>
        <v>388.57560000000001</v>
      </c>
      <c r="T54" s="8"/>
    </row>
    <row r="55" spans="1:20" s="19" customFormat="1" ht="14.15" customHeight="1" x14ac:dyDescent="0.35">
      <c r="A55" s="203"/>
      <c r="B55" s="152"/>
      <c r="C55" s="23" t="s">
        <v>55</v>
      </c>
      <c r="D55" s="29">
        <f>0.6*D53</f>
        <v>67.2</v>
      </c>
      <c r="E55" s="25">
        <f t="shared" si="0"/>
        <v>67.2</v>
      </c>
      <c r="F55" s="26">
        <v>1</v>
      </c>
      <c r="G55" s="27">
        <f t="shared" si="10"/>
        <v>67.2</v>
      </c>
      <c r="H55" s="26">
        <v>1.67E-2</v>
      </c>
      <c r="I55" s="28">
        <f t="shared" si="11"/>
        <v>1.1222400000000001</v>
      </c>
      <c r="J55" s="25">
        <f t="shared" si="12"/>
        <v>0</v>
      </c>
      <c r="K55" s="26">
        <v>1</v>
      </c>
      <c r="L55" s="27">
        <f t="shared" si="13"/>
        <v>0</v>
      </c>
      <c r="M55" s="26">
        <v>1.67E-2</v>
      </c>
      <c r="N55" s="165">
        <f t="shared" si="14"/>
        <v>0</v>
      </c>
      <c r="O55" s="25">
        <f t="shared" si="15"/>
        <v>67.2</v>
      </c>
      <c r="P55" s="73">
        <f t="shared" si="7"/>
        <v>1.67E-2</v>
      </c>
      <c r="Q55" s="155">
        <f t="shared" si="16"/>
        <v>1.1222400000000001</v>
      </c>
      <c r="R55" s="7">
        <v>41.55</v>
      </c>
      <c r="S55" s="8">
        <f t="shared" si="17"/>
        <v>46.629072000000001</v>
      </c>
      <c r="T55" s="8"/>
    </row>
    <row r="56" spans="1:20" s="19" customFormat="1" ht="14.15" customHeight="1" x14ac:dyDescent="0.35">
      <c r="A56" s="203"/>
      <c r="B56" s="152"/>
      <c r="C56" s="23" t="s">
        <v>56</v>
      </c>
      <c r="D56" s="29">
        <f>0.4*D55</f>
        <v>26.880000000000003</v>
      </c>
      <c r="E56" s="25">
        <f t="shared" si="0"/>
        <v>26.880000000000003</v>
      </c>
      <c r="F56" s="26">
        <v>1</v>
      </c>
      <c r="G56" s="27">
        <f t="shared" si="10"/>
        <v>26.880000000000003</v>
      </c>
      <c r="H56" s="26">
        <v>1.67E-2</v>
      </c>
      <c r="I56" s="28">
        <f t="shared" si="11"/>
        <v>0.44889600000000002</v>
      </c>
      <c r="J56" s="25">
        <f t="shared" si="12"/>
        <v>0</v>
      </c>
      <c r="K56" s="26">
        <v>1</v>
      </c>
      <c r="L56" s="27">
        <f t="shared" si="13"/>
        <v>0</v>
      </c>
      <c r="M56" s="26">
        <v>1.67E-2</v>
      </c>
      <c r="N56" s="165">
        <f t="shared" si="14"/>
        <v>0</v>
      </c>
      <c r="O56" s="25">
        <f t="shared" si="15"/>
        <v>26.880000000000003</v>
      </c>
      <c r="P56" s="73">
        <f t="shared" si="7"/>
        <v>1.67E-2</v>
      </c>
      <c r="Q56" s="155">
        <f t="shared" si="16"/>
        <v>0.44889600000000002</v>
      </c>
      <c r="R56" s="7">
        <v>41.55</v>
      </c>
      <c r="S56" s="8">
        <f t="shared" si="17"/>
        <v>18.651628800000001</v>
      </c>
      <c r="T56" s="8"/>
    </row>
    <row r="57" spans="1:20" s="19" customFormat="1" ht="14.15" customHeight="1" x14ac:dyDescent="0.35">
      <c r="A57" s="203"/>
      <c r="B57" s="50"/>
      <c r="C57" s="23" t="s">
        <v>59</v>
      </c>
      <c r="D57" s="29">
        <f>0.2*D56</f>
        <v>5.3760000000000012</v>
      </c>
      <c r="E57" s="25">
        <f t="shared" si="0"/>
        <v>5.3760000000000012</v>
      </c>
      <c r="F57" s="26">
        <v>1</v>
      </c>
      <c r="G57" s="27">
        <f t="shared" si="10"/>
        <v>5.3760000000000012</v>
      </c>
      <c r="H57" s="26">
        <v>1.67E-2</v>
      </c>
      <c r="I57" s="28">
        <f t="shared" si="11"/>
        <v>8.9779200000000017E-2</v>
      </c>
      <c r="J57" s="25">
        <f t="shared" si="12"/>
        <v>0</v>
      </c>
      <c r="K57" s="26">
        <v>1</v>
      </c>
      <c r="L57" s="27">
        <f t="shared" si="13"/>
        <v>0</v>
      </c>
      <c r="M57" s="26">
        <v>1.67E-2</v>
      </c>
      <c r="N57" s="29">
        <f t="shared" si="14"/>
        <v>0</v>
      </c>
      <c r="O57" s="25">
        <f t="shared" si="15"/>
        <v>5.3760000000000012</v>
      </c>
      <c r="P57" s="73">
        <f t="shared" si="7"/>
        <v>1.67E-2</v>
      </c>
      <c r="Q57" s="155">
        <f t="shared" si="16"/>
        <v>8.9779200000000017E-2</v>
      </c>
      <c r="R57" s="7">
        <v>41.55</v>
      </c>
      <c r="S57" s="8">
        <f t="shared" si="17"/>
        <v>3.7303257600000004</v>
      </c>
      <c r="T57" s="8"/>
    </row>
    <row r="58" spans="1:20" ht="27.75" customHeight="1" x14ac:dyDescent="0.35">
      <c r="A58" s="203"/>
      <c r="B58" s="45" t="s">
        <v>14</v>
      </c>
      <c r="C58" s="23" t="s">
        <v>43</v>
      </c>
      <c r="D58" s="31">
        <v>52</v>
      </c>
      <c r="E58" s="25">
        <f t="shared" si="0"/>
        <v>52</v>
      </c>
      <c r="F58" s="26">
        <v>1</v>
      </c>
      <c r="G58" s="27">
        <f t="shared" si="10"/>
        <v>52</v>
      </c>
      <c r="H58" s="26">
        <v>1</v>
      </c>
      <c r="I58" s="101">
        <f t="shared" si="11"/>
        <v>52</v>
      </c>
      <c r="J58" s="25">
        <f t="shared" si="12"/>
        <v>0</v>
      </c>
      <c r="K58" s="26">
        <v>0</v>
      </c>
      <c r="L58" s="27">
        <f t="shared" si="13"/>
        <v>0</v>
      </c>
      <c r="M58" s="95">
        <v>1.67E-2</v>
      </c>
      <c r="N58" s="29">
        <f t="shared" si="14"/>
        <v>0</v>
      </c>
      <c r="O58" s="25">
        <f t="shared" si="15"/>
        <v>52</v>
      </c>
      <c r="P58" s="73">
        <f t="shared" si="7"/>
        <v>1</v>
      </c>
      <c r="Q58" s="86">
        <f t="shared" si="16"/>
        <v>52</v>
      </c>
      <c r="R58" s="7">
        <v>41.55</v>
      </c>
      <c r="S58" s="8">
        <f t="shared" si="17"/>
        <v>2160.6</v>
      </c>
      <c r="T58" s="8" t="e">
        <f>+#REF!*R58</f>
        <v>#REF!</v>
      </c>
    </row>
    <row r="59" spans="1:20" s="19" customFormat="1" ht="14.15" customHeight="1" x14ac:dyDescent="0.35">
      <c r="A59" s="203"/>
      <c r="B59" s="152"/>
      <c r="C59" s="23" t="s">
        <v>55</v>
      </c>
      <c r="D59" s="29">
        <f>0.6*D58</f>
        <v>31.2</v>
      </c>
      <c r="E59" s="25">
        <f t="shared" si="0"/>
        <v>31.2</v>
      </c>
      <c r="F59" s="26">
        <v>1</v>
      </c>
      <c r="G59" s="27">
        <f t="shared" si="10"/>
        <v>31.2</v>
      </c>
      <c r="H59" s="26">
        <v>1.67E-2</v>
      </c>
      <c r="I59" s="28">
        <f t="shared" si="11"/>
        <v>0.52103999999999995</v>
      </c>
      <c r="J59" s="25">
        <f t="shared" si="12"/>
        <v>0</v>
      </c>
      <c r="K59" s="26">
        <v>1</v>
      </c>
      <c r="L59" s="27">
        <f t="shared" si="13"/>
        <v>0</v>
      </c>
      <c r="M59" s="26">
        <v>1.67E-2</v>
      </c>
      <c r="N59" s="165">
        <f t="shared" si="14"/>
        <v>0</v>
      </c>
      <c r="O59" s="25">
        <f t="shared" si="15"/>
        <v>31.2</v>
      </c>
      <c r="P59" s="73">
        <f t="shared" si="7"/>
        <v>1.67E-2</v>
      </c>
      <c r="Q59" s="155">
        <f t="shared" si="16"/>
        <v>0.52103999999999995</v>
      </c>
      <c r="R59" s="7">
        <v>41.55</v>
      </c>
      <c r="S59" s="8">
        <f t="shared" si="17"/>
        <v>21.649211999999995</v>
      </c>
      <c r="T59" s="8"/>
    </row>
    <row r="60" spans="1:20" s="19" customFormat="1" ht="14.15" customHeight="1" x14ac:dyDescent="0.35">
      <c r="A60" s="203"/>
      <c r="B60" s="152"/>
      <c r="C60" s="23" t="s">
        <v>56</v>
      </c>
      <c r="D60" s="29">
        <f>0.4*D59</f>
        <v>12.48</v>
      </c>
      <c r="E60" s="25">
        <f t="shared" si="0"/>
        <v>12.48</v>
      </c>
      <c r="F60" s="26">
        <v>1</v>
      </c>
      <c r="G60" s="27">
        <f t="shared" si="10"/>
        <v>12.48</v>
      </c>
      <c r="H60" s="26">
        <v>1.67E-2</v>
      </c>
      <c r="I60" s="28">
        <f t="shared" si="11"/>
        <v>0.20841599999999999</v>
      </c>
      <c r="J60" s="25">
        <f t="shared" si="12"/>
        <v>0</v>
      </c>
      <c r="K60" s="26">
        <v>1</v>
      </c>
      <c r="L60" s="27">
        <f t="shared" si="13"/>
        <v>0</v>
      </c>
      <c r="M60" s="26">
        <v>1.67E-2</v>
      </c>
      <c r="N60" s="165">
        <f t="shared" si="14"/>
        <v>0</v>
      </c>
      <c r="O60" s="25">
        <f t="shared" si="15"/>
        <v>12.48</v>
      </c>
      <c r="P60" s="73">
        <f t="shared" si="7"/>
        <v>1.67E-2</v>
      </c>
      <c r="Q60" s="155">
        <f t="shared" si="16"/>
        <v>0.20841599999999999</v>
      </c>
      <c r="R60" s="7">
        <v>41.55</v>
      </c>
      <c r="S60" s="8">
        <f t="shared" si="17"/>
        <v>8.6596847999999991</v>
      </c>
      <c r="T60" s="8"/>
    </row>
    <row r="61" spans="1:20" s="19" customFormat="1" ht="14.15" customHeight="1" x14ac:dyDescent="0.35">
      <c r="A61" s="203"/>
      <c r="B61" s="152"/>
      <c r="C61" s="23" t="s">
        <v>59</v>
      </c>
      <c r="D61" s="29">
        <f>0.2*D60</f>
        <v>2.4960000000000004</v>
      </c>
      <c r="E61" s="25">
        <f t="shared" si="0"/>
        <v>2.4960000000000004</v>
      </c>
      <c r="F61" s="26">
        <v>1</v>
      </c>
      <c r="G61" s="27">
        <f t="shared" si="10"/>
        <v>2.4960000000000004</v>
      </c>
      <c r="H61" s="26">
        <v>1.67E-2</v>
      </c>
      <c r="I61" s="28">
        <f t="shared" si="11"/>
        <v>4.1683200000000004E-2</v>
      </c>
      <c r="J61" s="25">
        <f t="shared" si="12"/>
        <v>0</v>
      </c>
      <c r="K61" s="26">
        <v>1</v>
      </c>
      <c r="L61" s="27">
        <f t="shared" si="13"/>
        <v>0</v>
      </c>
      <c r="M61" s="26">
        <v>1.67E-2</v>
      </c>
      <c r="N61" s="29">
        <f t="shared" si="14"/>
        <v>0</v>
      </c>
      <c r="O61" s="25">
        <f t="shared" si="15"/>
        <v>2.4960000000000004</v>
      </c>
      <c r="P61" s="73">
        <f t="shared" si="7"/>
        <v>1.67E-2</v>
      </c>
      <c r="Q61" s="155">
        <f t="shared" si="16"/>
        <v>4.1683200000000004E-2</v>
      </c>
      <c r="R61" s="7">
        <v>41.55</v>
      </c>
      <c r="S61" s="8">
        <f t="shared" si="17"/>
        <v>1.7319369600000001</v>
      </c>
      <c r="T61" s="8"/>
    </row>
    <row r="62" spans="1:20" ht="19.5" customHeight="1" x14ac:dyDescent="0.35">
      <c r="A62" s="203"/>
      <c r="B62" s="52"/>
      <c r="C62" s="23" t="s">
        <v>42</v>
      </c>
      <c r="D62" s="31">
        <v>52</v>
      </c>
      <c r="E62" s="25">
        <f t="shared" si="0"/>
        <v>52</v>
      </c>
      <c r="F62" s="26">
        <v>1</v>
      </c>
      <c r="G62" s="27">
        <f t="shared" si="10"/>
        <v>52</v>
      </c>
      <c r="H62" s="30">
        <v>0.33400000000000002</v>
      </c>
      <c r="I62" s="101">
        <f t="shared" si="11"/>
        <v>17.368000000000002</v>
      </c>
      <c r="J62" s="25">
        <f t="shared" si="12"/>
        <v>0</v>
      </c>
      <c r="K62" s="26">
        <v>0</v>
      </c>
      <c r="L62" s="27">
        <f t="shared" si="13"/>
        <v>0</v>
      </c>
      <c r="M62" s="95">
        <v>1.67E-2</v>
      </c>
      <c r="N62" s="29">
        <f t="shared" si="14"/>
        <v>0</v>
      </c>
      <c r="O62" s="25">
        <f t="shared" si="15"/>
        <v>52</v>
      </c>
      <c r="P62" s="73">
        <f t="shared" si="7"/>
        <v>0.33400000000000002</v>
      </c>
      <c r="Q62" s="86">
        <f t="shared" si="16"/>
        <v>17.368000000000002</v>
      </c>
      <c r="R62" s="7">
        <v>41.55</v>
      </c>
      <c r="S62" s="8">
        <f t="shared" si="17"/>
        <v>721.6404</v>
      </c>
      <c r="T62" s="8" t="e">
        <f>+#REF!*R62</f>
        <v>#REF!</v>
      </c>
    </row>
    <row r="63" spans="1:20" s="19" customFormat="1" ht="19.5" customHeight="1" x14ac:dyDescent="0.35">
      <c r="A63" s="203"/>
      <c r="B63" s="152"/>
      <c r="C63" s="23" t="s">
        <v>60</v>
      </c>
      <c r="D63" s="29">
        <f>D62</f>
        <v>52</v>
      </c>
      <c r="E63" s="25">
        <f t="shared" si="0"/>
        <v>52</v>
      </c>
      <c r="F63" s="26">
        <v>1</v>
      </c>
      <c r="G63" s="27">
        <f t="shared" si="10"/>
        <v>52</v>
      </c>
      <c r="H63" s="26">
        <v>8.3500000000000005E-2</v>
      </c>
      <c r="I63" s="28">
        <f t="shared" si="11"/>
        <v>4.3420000000000005</v>
      </c>
      <c r="J63" s="25">
        <f t="shared" si="12"/>
        <v>0</v>
      </c>
      <c r="K63" s="26">
        <v>0</v>
      </c>
      <c r="L63" s="27">
        <f t="shared" si="13"/>
        <v>0</v>
      </c>
      <c r="M63" s="95">
        <v>1.67E-2</v>
      </c>
      <c r="N63" s="29">
        <f t="shared" si="14"/>
        <v>0</v>
      </c>
      <c r="O63" s="25">
        <f t="shared" si="15"/>
        <v>52</v>
      </c>
      <c r="P63" s="73">
        <f t="shared" si="7"/>
        <v>8.3500000000000005E-2</v>
      </c>
      <c r="Q63" s="155">
        <f t="shared" si="16"/>
        <v>4.3420000000000005</v>
      </c>
      <c r="R63" s="7">
        <v>41.55</v>
      </c>
      <c r="S63" s="8">
        <f t="shared" si="17"/>
        <v>180.4101</v>
      </c>
      <c r="T63" s="8"/>
    </row>
    <row r="64" spans="1:20" s="19" customFormat="1" ht="14.15" customHeight="1" x14ac:dyDescent="0.35">
      <c r="A64" s="203"/>
      <c r="B64" s="152"/>
      <c r="C64" s="23" t="s">
        <v>55</v>
      </c>
      <c r="D64" s="29">
        <f>0.6*D62</f>
        <v>31.2</v>
      </c>
      <c r="E64" s="25">
        <f t="shared" si="0"/>
        <v>31.2</v>
      </c>
      <c r="F64" s="26">
        <v>1</v>
      </c>
      <c r="G64" s="27">
        <f t="shared" si="10"/>
        <v>31.2</v>
      </c>
      <c r="H64" s="26">
        <v>1.67E-2</v>
      </c>
      <c r="I64" s="28">
        <f t="shared" si="11"/>
        <v>0.52103999999999995</v>
      </c>
      <c r="J64" s="25">
        <f t="shared" si="12"/>
        <v>0</v>
      </c>
      <c r="K64" s="26">
        <v>1</v>
      </c>
      <c r="L64" s="27">
        <f t="shared" si="13"/>
        <v>0</v>
      </c>
      <c r="M64" s="26">
        <v>1.67E-2</v>
      </c>
      <c r="N64" s="165">
        <f t="shared" si="14"/>
        <v>0</v>
      </c>
      <c r="O64" s="25">
        <f t="shared" si="15"/>
        <v>31.2</v>
      </c>
      <c r="P64" s="73">
        <f t="shared" si="7"/>
        <v>1.67E-2</v>
      </c>
      <c r="Q64" s="155">
        <f t="shared" si="16"/>
        <v>0.52103999999999995</v>
      </c>
      <c r="R64" s="7">
        <v>41.55</v>
      </c>
      <c r="S64" s="8">
        <f t="shared" si="17"/>
        <v>21.649211999999995</v>
      </c>
      <c r="T64" s="8"/>
    </row>
    <row r="65" spans="1:21" s="19" customFormat="1" ht="14.15" customHeight="1" x14ac:dyDescent="0.35">
      <c r="A65" s="203"/>
      <c r="B65" s="152"/>
      <c r="C65" s="23" t="s">
        <v>56</v>
      </c>
      <c r="D65" s="29">
        <f>0.4*D64</f>
        <v>12.48</v>
      </c>
      <c r="E65" s="25">
        <f t="shared" si="0"/>
        <v>12.48</v>
      </c>
      <c r="F65" s="26">
        <v>1</v>
      </c>
      <c r="G65" s="27">
        <f t="shared" si="10"/>
        <v>12.48</v>
      </c>
      <c r="H65" s="26">
        <v>1.67E-2</v>
      </c>
      <c r="I65" s="28">
        <f t="shared" si="11"/>
        <v>0.20841599999999999</v>
      </c>
      <c r="J65" s="25">
        <f t="shared" si="12"/>
        <v>0</v>
      </c>
      <c r="K65" s="26">
        <v>1</v>
      </c>
      <c r="L65" s="27">
        <f t="shared" si="13"/>
        <v>0</v>
      </c>
      <c r="M65" s="26">
        <v>1.67E-2</v>
      </c>
      <c r="N65" s="165">
        <f t="shared" si="14"/>
        <v>0</v>
      </c>
      <c r="O65" s="25">
        <f t="shared" si="15"/>
        <v>12.48</v>
      </c>
      <c r="P65" s="73">
        <f t="shared" si="7"/>
        <v>1.67E-2</v>
      </c>
      <c r="Q65" s="155">
        <f t="shared" si="16"/>
        <v>0.20841599999999999</v>
      </c>
      <c r="R65" s="7">
        <v>41.55</v>
      </c>
      <c r="S65" s="8">
        <f t="shared" si="17"/>
        <v>8.6596847999999991</v>
      </c>
      <c r="T65" s="8"/>
    </row>
    <row r="66" spans="1:21" s="19" customFormat="1" ht="14.15" customHeight="1" x14ac:dyDescent="0.35">
      <c r="A66" s="203"/>
      <c r="B66" s="50"/>
      <c r="C66" s="23" t="s">
        <v>59</v>
      </c>
      <c r="D66" s="29">
        <f>0.2*D65</f>
        <v>2.4960000000000004</v>
      </c>
      <c r="E66" s="25">
        <f t="shared" si="0"/>
        <v>2.4960000000000004</v>
      </c>
      <c r="F66" s="26">
        <v>1</v>
      </c>
      <c r="G66" s="27">
        <f t="shared" si="10"/>
        <v>2.4960000000000004</v>
      </c>
      <c r="H66" s="26">
        <v>1.67E-2</v>
      </c>
      <c r="I66" s="28">
        <f t="shared" si="11"/>
        <v>4.1683200000000004E-2</v>
      </c>
      <c r="J66" s="25">
        <f t="shared" si="12"/>
        <v>0</v>
      </c>
      <c r="K66" s="26">
        <v>1</v>
      </c>
      <c r="L66" s="27">
        <f t="shared" si="13"/>
        <v>0</v>
      </c>
      <c r="M66" s="26">
        <v>1.67E-2</v>
      </c>
      <c r="N66" s="29">
        <f t="shared" si="14"/>
        <v>0</v>
      </c>
      <c r="O66" s="25">
        <f t="shared" si="15"/>
        <v>2.4960000000000004</v>
      </c>
      <c r="P66" s="73">
        <f t="shared" si="7"/>
        <v>1.67E-2</v>
      </c>
      <c r="Q66" s="155">
        <f t="shared" si="16"/>
        <v>4.1683200000000004E-2</v>
      </c>
      <c r="R66" s="7">
        <v>41.55</v>
      </c>
      <c r="S66" s="8">
        <f t="shared" si="17"/>
        <v>1.7319369600000001</v>
      </c>
      <c r="T66" s="8"/>
    </row>
    <row r="67" spans="1:21" ht="28.5" customHeight="1" x14ac:dyDescent="0.35">
      <c r="A67" s="203"/>
      <c r="B67" s="45" t="s">
        <v>15</v>
      </c>
      <c r="C67" s="23" t="s">
        <v>43</v>
      </c>
      <c r="D67" s="31">
        <v>57</v>
      </c>
      <c r="E67" s="25">
        <f t="shared" si="0"/>
        <v>57</v>
      </c>
      <c r="F67" s="26">
        <v>1</v>
      </c>
      <c r="G67" s="27">
        <f t="shared" si="10"/>
        <v>57</v>
      </c>
      <c r="H67" s="26">
        <v>1</v>
      </c>
      <c r="I67" s="101">
        <f t="shared" si="11"/>
        <v>57</v>
      </c>
      <c r="J67" s="25">
        <f t="shared" si="12"/>
        <v>0</v>
      </c>
      <c r="K67" s="26">
        <v>0</v>
      </c>
      <c r="L67" s="27">
        <f t="shared" si="13"/>
        <v>0</v>
      </c>
      <c r="M67" s="95">
        <v>1.67E-2</v>
      </c>
      <c r="N67" s="29">
        <f t="shared" si="14"/>
        <v>0</v>
      </c>
      <c r="O67" s="25">
        <f t="shared" si="15"/>
        <v>57</v>
      </c>
      <c r="P67" s="73">
        <f t="shared" si="7"/>
        <v>1</v>
      </c>
      <c r="Q67" s="86">
        <f t="shared" si="16"/>
        <v>57</v>
      </c>
      <c r="R67" s="7">
        <v>41.55</v>
      </c>
      <c r="S67" s="8">
        <f t="shared" si="17"/>
        <v>2368.35</v>
      </c>
      <c r="T67" s="8" t="e">
        <f>+#REF!*R67</f>
        <v>#REF!</v>
      </c>
    </row>
    <row r="68" spans="1:21" s="19" customFormat="1" ht="14.15" customHeight="1" x14ac:dyDescent="0.35">
      <c r="A68" s="203"/>
      <c r="B68" s="152"/>
      <c r="C68" s="23" t="s">
        <v>55</v>
      </c>
      <c r="D68" s="29">
        <f>0.6*D67</f>
        <v>34.199999999999996</v>
      </c>
      <c r="E68" s="25">
        <f t="shared" ref="E68:E74" si="18">D68</f>
        <v>34.199999999999996</v>
      </c>
      <c r="F68" s="26">
        <v>1</v>
      </c>
      <c r="G68" s="27">
        <f t="shared" ref="G68:G75" si="19">E68*F68</f>
        <v>34.199999999999996</v>
      </c>
      <c r="H68" s="26">
        <v>1.67E-2</v>
      </c>
      <c r="I68" s="28">
        <f t="shared" ref="I68:I75" si="20">G68*H68</f>
        <v>0.57113999999999987</v>
      </c>
      <c r="J68" s="25">
        <f t="shared" ref="J68:J75" si="21">D68-E68</f>
        <v>0</v>
      </c>
      <c r="K68" s="26">
        <v>1</v>
      </c>
      <c r="L68" s="27">
        <f t="shared" ref="L68:L75" si="22">J68*K68</f>
        <v>0</v>
      </c>
      <c r="M68" s="26">
        <v>1.67E-2</v>
      </c>
      <c r="N68" s="165">
        <f t="shared" ref="N68:N75" si="23">L68*M68</f>
        <v>0</v>
      </c>
      <c r="O68" s="25">
        <f t="shared" ref="O68:O99" si="24">L68+G68</f>
        <v>34.199999999999996</v>
      </c>
      <c r="P68" s="73">
        <f t="shared" ref="P68:P131" si="25">Q68/O68</f>
        <v>1.67E-2</v>
      </c>
      <c r="Q68" s="155">
        <f t="shared" ref="Q68:Q76" si="26">I68+N68</f>
        <v>0.57113999999999987</v>
      </c>
      <c r="R68" s="7">
        <v>41.55</v>
      </c>
      <c r="S68" s="8">
        <f t="shared" ref="S68:S75" si="27">+Q68*R68</f>
        <v>23.730866999999993</v>
      </c>
      <c r="T68" s="8"/>
    </row>
    <row r="69" spans="1:21" s="19" customFormat="1" ht="14.15" customHeight="1" x14ac:dyDescent="0.35">
      <c r="A69" s="203"/>
      <c r="B69" s="152"/>
      <c r="C69" s="23" t="s">
        <v>56</v>
      </c>
      <c r="D69" s="29">
        <f>0.4*D68</f>
        <v>13.68</v>
      </c>
      <c r="E69" s="25">
        <f t="shared" si="18"/>
        <v>13.68</v>
      </c>
      <c r="F69" s="26">
        <v>1</v>
      </c>
      <c r="G69" s="27">
        <f t="shared" si="19"/>
        <v>13.68</v>
      </c>
      <c r="H69" s="26">
        <v>1.67E-2</v>
      </c>
      <c r="I69" s="28">
        <f t="shared" si="20"/>
        <v>0.22845599999999999</v>
      </c>
      <c r="J69" s="25">
        <f t="shared" si="21"/>
        <v>0</v>
      </c>
      <c r="K69" s="26">
        <v>1</v>
      </c>
      <c r="L69" s="27">
        <f t="shared" si="22"/>
        <v>0</v>
      </c>
      <c r="M69" s="26">
        <v>1.67E-2</v>
      </c>
      <c r="N69" s="165">
        <f t="shared" si="23"/>
        <v>0</v>
      </c>
      <c r="O69" s="25">
        <f t="shared" si="24"/>
        <v>13.68</v>
      </c>
      <c r="P69" s="73">
        <f t="shared" si="25"/>
        <v>1.67E-2</v>
      </c>
      <c r="Q69" s="155">
        <f t="shared" si="26"/>
        <v>0.22845599999999999</v>
      </c>
      <c r="R69" s="7">
        <v>41.55</v>
      </c>
      <c r="S69" s="8">
        <f t="shared" si="27"/>
        <v>9.4923467999999982</v>
      </c>
      <c r="T69" s="8"/>
    </row>
    <row r="70" spans="1:21" s="19" customFormat="1" ht="14.15" customHeight="1" x14ac:dyDescent="0.35">
      <c r="A70" s="203"/>
      <c r="B70" s="152"/>
      <c r="C70" s="23" t="s">
        <v>59</v>
      </c>
      <c r="D70" s="29">
        <f>0.2*D69</f>
        <v>2.7360000000000002</v>
      </c>
      <c r="E70" s="25">
        <f t="shared" si="18"/>
        <v>2.7360000000000002</v>
      </c>
      <c r="F70" s="26">
        <v>1</v>
      </c>
      <c r="G70" s="27">
        <f t="shared" si="19"/>
        <v>2.7360000000000002</v>
      </c>
      <c r="H70" s="26">
        <v>1.67E-2</v>
      </c>
      <c r="I70" s="28">
        <f t="shared" si="20"/>
        <v>4.5691200000000001E-2</v>
      </c>
      <c r="J70" s="25">
        <f t="shared" si="21"/>
        <v>0</v>
      </c>
      <c r="K70" s="26">
        <v>1</v>
      </c>
      <c r="L70" s="27">
        <f t="shared" si="22"/>
        <v>0</v>
      </c>
      <c r="M70" s="26">
        <v>1.67E-2</v>
      </c>
      <c r="N70" s="29">
        <f t="shared" si="23"/>
        <v>0</v>
      </c>
      <c r="O70" s="25">
        <f t="shared" si="24"/>
        <v>2.7360000000000002</v>
      </c>
      <c r="P70" s="73">
        <f t="shared" si="25"/>
        <v>1.67E-2</v>
      </c>
      <c r="Q70" s="155">
        <f t="shared" si="26"/>
        <v>4.5691200000000001E-2</v>
      </c>
      <c r="R70" s="7">
        <v>41.55</v>
      </c>
      <c r="S70" s="8">
        <f t="shared" si="27"/>
        <v>1.89846936</v>
      </c>
      <c r="T70" s="8"/>
    </row>
    <row r="71" spans="1:21" ht="28.5" customHeight="1" x14ac:dyDescent="0.35">
      <c r="A71" s="203"/>
      <c r="B71" s="52"/>
      <c r="C71" s="53" t="s">
        <v>42</v>
      </c>
      <c r="D71" s="31">
        <v>57</v>
      </c>
      <c r="E71" s="25">
        <f t="shared" si="18"/>
        <v>57</v>
      </c>
      <c r="F71" s="54">
        <v>1</v>
      </c>
      <c r="G71" s="55">
        <f t="shared" si="19"/>
        <v>57</v>
      </c>
      <c r="H71" s="56">
        <v>0.33400000000000002</v>
      </c>
      <c r="I71" s="102">
        <f t="shared" si="20"/>
        <v>19.038</v>
      </c>
      <c r="J71" s="25">
        <f t="shared" si="21"/>
        <v>0</v>
      </c>
      <c r="K71" s="54">
        <v>0</v>
      </c>
      <c r="L71" s="55">
        <f t="shared" si="22"/>
        <v>0</v>
      </c>
      <c r="M71" s="95">
        <v>1.67E-2</v>
      </c>
      <c r="N71" s="31">
        <f t="shared" si="23"/>
        <v>0</v>
      </c>
      <c r="O71" s="32">
        <f t="shared" si="24"/>
        <v>57</v>
      </c>
      <c r="P71" s="78">
        <f t="shared" si="25"/>
        <v>0.33400000000000002</v>
      </c>
      <c r="Q71" s="92">
        <f t="shared" si="26"/>
        <v>19.038</v>
      </c>
      <c r="R71" s="7">
        <v>41.55</v>
      </c>
      <c r="S71" s="8">
        <f t="shared" si="27"/>
        <v>791.02889999999991</v>
      </c>
      <c r="T71" s="8" t="e">
        <f>+#REF!*R71</f>
        <v>#REF!</v>
      </c>
    </row>
    <row r="72" spans="1:21" s="19" customFormat="1" ht="19.5" customHeight="1" x14ac:dyDescent="0.35">
      <c r="A72" s="203"/>
      <c r="B72" s="152"/>
      <c r="C72" s="23" t="s">
        <v>60</v>
      </c>
      <c r="D72" s="29">
        <f>D71</f>
        <v>57</v>
      </c>
      <c r="E72" s="25">
        <f t="shared" si="18"/>
        <v>57</v>
      </c>
      <c r="F72" s="26">
        <v>1</v>
      </c>
      <c r="G72" s="27">
        <f t="shared" si="19"/>
        <v>57</v>
      </c>
      <c r="H72" s="26">
        <v>8.3500000000000005E-2</v>
      </c>
      <c r="I72" s="28">
        <f t="shared" si="20"/>
        <v>4.7595000000000001</v>
      </c>
      <c r="J72" s="25">
        <f t="shared" si="21"/>
        <v>0</v>
      </c>
      <c r="K72" s="26">
        <v>0</v>
      </c>
      <c r="L72" s="27">
        <f t="shared" si="22"/>
        <v>0</v>
      </c>
      <c r="M72" s="95">
        <v>1.67E-2</v>
      </c>
      <c r="N72" s="29">
        <f t="shared" si="23"/>
        <v>0</v>
      </c>
      <c r="O72" s="25">
        <f t="shared" si="24"/>
        <v>57</v>
      </c>
      <c r="P72" s="73">
        <f t="shared" si="25"/>
        <v>8.3500000000000005E-2</v>
      </c>
      <c r="Q72" s="155">
        <f t="shared" si="26"/>
        <v>4.7595000000000001</v>
      </c>
      <c r="R72" s="7">
        <v>41.55</v>
      </c>
      <c r="S72" s="8">
        <f t="shared" si="27"/>
        <v>197.75722499999998</v>
      </c>
      <c r="T72" s="8"/>
    </row>
    <row r="73" spans="1:21" s="19" customFormat="1" ht="14.15" customHeight="1" x14ac:dyDescent="0.35">
      <c r="A73" s="203"/>
      <c r="B73" s="152"/>
      <c r="C73" s="23" t="s">
        <v>55</v>
      </c>
      <c r="D73" s="29">
        <f>0.6*D71</f>
        <v>34.199999999999996</v>
      </c>
      <c r="E73" s="25">
        <f t="shared" si="18"/>
        <v>34.199999999999996</v>
      </c>
      <c r="F73" s="26">
        <v>1</v>
      </c>
      <c r="G73" s="27">
        <f t="shared" si="19"/>
        <v>34.199999999999996</v>
      </c>
      <c r="H73" s="26">
        <v>1.67E-2</v>
      </c>
      <c r="I73" s="28">
        <f t="shared" si="20"/>
        <v>0.57113999999999987</v>
      </c>
      <c r="J73" s="25">
        <f t="shared" si="21"/>
        <v>0</v>
      </c>
      <c r="K73" s="26">
        <v>1</v>
      </c>
      <c r="L73" s="27">
        <f t="shared" si="22"/>
        <v>0</v>
      </c>
      <c r="M73" s="26">
        <v>1.67E-2</v>
      </c>
      <c r="N73" s="165">
        <f t="shared" si="23"/>
        <v>0</v>
      </c>
      <c r="O73" s="25">
        <f t="shared" si="24"/>
        <v>34.199999999999996</v>
      </c>
      <c r="P73" s="73">
        <f t="shared" si="25"/>
        <v>1.67E-2</v>
      </c>
      <c r="Q73" s="155">
        <f t="shared" si="26"/>
        <v>0.57113999999999987</v>
      </c>
      <c r="R73" s="7">
        <v>41.55</v>
      </c>
      <c r="S73" s="8">
        <f t="shared" si="27"/>
        <v>23.730866999999993</v>
      </c>
      <c r="T73" s="8"/>
    </row>
    <row r="74" spans="1:21" s="19" customFormat="1" ht="14.15" customHeight="1" x14ac:dyDescent="0.35">
      <c r="A74" s="203"/>
      <c r="B74" s="152"/>
      <c r="C74" s="23" t="s">
        <v>56</v>
      </c>
      <c r="D74" s="29">
        <f>0.4*D73</f>
        <v>13.68</v>
      </c>
      <c r="E74" s="25">
        <f t="shared" si="18"/>
        <v>13.68</v>
      </c>
      <c r="F74" s="26">
        <v>1</v>
      </c>
      <c r="G74" s="27">
        <f t="shared" si="19"/>
        <v>13.68</v>
      </c>
      <c r="H74" s="26">
        <v>1.67E-2</v>
      </c>
      <c r="I74" s="28">
        <f t="shared" si="20"/>
        <v>0.22845599999999999</v>
      </c>
      <c r="J74" s="25">
        <f t="shared" si="21"/>
        <v>0</v>
      </c>
      <c r="K74" s="26">
        <v>1</v>
      </c>
      <c r="L74" s="27">
        <f t="shared" si="22"/>
        <v>0</v>
      </c>
      <c r="M74" s="26">
        <v>1.67E-2</v>
      </c>
      <c r="N74" s="165">
        <f t="shared" si="23"/>
        <v>0</v>
      </c>
      <c r="O74" s="25">
        <f t="shared" si="24"/>
        <v>13.68</v>
      </c>
      <c r="P74" s="73">
        <f t="shared" si="25"/>
        <v>1.67E-2</v>
      </c>
      <c r="Q74" s="155">
        <f t="shared" si="26"/>
        <v>0.22845599999999999</v>
      </c>
      <c r="R74" s="7">
        <v>41.55</v>
      </c>
      <c r="S74" s="8">
        <f t="shared" si="27"/>
        <v>9.4923467999999982</v>
      </c>
      <c r="T74" s="8"/>
    </row>
    <row r="75" spans="1:21" s="19" customFormat="1" ht="14.15" customHeight="1" thickBot="1" x14ac:dyDescent="0.4">
      <c r="A75" s="203"/>
      <c r="B75" s="50"/>
      <c r="C75" s="23" t="s">
        <v>59</v>
      </c>
      <c r="D75" s="29">
        <f>0.2*D74</f>
        <v>2.7360000000000002</v>
      </c>
      <c r="E75" s="25">
        <f>D75</f>
        <v>2.7360000000000002</v>
      </c>
      <c r="F75" s="26">
        <v>1</v>
      </c>
      <c r="G75" s="27">
        <f t="shared" si="19"/>
        <v>2.7360000000000002</v>
      </c>
      <c r="H75" s="26">
        <v>1.67E-2</v>
      </c>
      <c r="I75" s="28">
        <f t="shared" si="20"/>
        <v>4.5691200000000001E-2</v>
      </c>
      <c r="J75" s="25">
        <f t="shared" si="21"/>
        <v>0</v>
      </c>
      <c r="K75" s="26">
        <v>1</v>
      </c>
      <c r="L75" s="27">
        <f t="shared" si="22"/>
        <v>0</v>
      </c>
      <c r="M75" s="26">
        <v>1.67E-2</v>
      </c>
      <c r="N75" s="29">
        <f t="shared" si="23"/>
        <v>0</v>
      </c>
      <c r="O75" s="25">
        <f t="shared" si="24"/>
        <v>2.7360000000000002</v>
      </c>
      <c r="P75" s="73">
        <f t="shared" si="25"/>
        <v>1.67E-2</v>
      </c>
      <c r="Q75" s="155">
        <f t="shared" si="26"/>
        <v>4.5691200000000001E-2</v>
      </c>
      <c r="R75" s="7">
        <v>41.55</v>
      </c>
      <c r="S75" s="8">
        <f t="shared" si="27"/>
        <v>1.89846936</v>
      </c>
      <c r="T75" s="8"/>
    </row>
    <row r="76" spans="1:21" ht="27.75" customHeight="1" thickTop="1" thickBot="1" x14ac:dyDescent="0.4">
      <c r="A76" s="204"/>
      <c r="B76" s="79" t="s">
        <v>16</v>
      </c>
      <c r="C76" s="99"/>
      <c r="D76" s="57">
        <f>D4+D13+D22+D40+D49+D58+D67+D31</f>
        <v>529</v>
      </c>
      <c r="E76" s="57">
        <f>E4+E13+E22+E40+E49+E58+E67+E31</f>
        <v>529</v>
      </c>
      <c r="F76" s="59">
        <f>G76/E76</f>
        <v>4.7759999999999998</v>
      </c>
      <c r="G76" s="57">
        <f>SUM(G4:G75)</f>
        <v>2526.5039999999999</v>
      </c>
      <c r="H76" s="36">
        <f>+I76/G76</f>
        <v>0.30300653266331667</v>
      </c>
      <c r="I76" s="57">
        <f>SUM(I4:I75)</f>
        <v>765.54721680000023</v>
      </c>
      <c r="J76" s="57">
        <f>J4+J13+J22+J40+J49+J58+J67+J31</f>
        <v>0</v>
      </c>
      <c r="K76" s="35">
        <v>0</v>
      </c>
      <c r="L76" s="57">
        <f>SUM(L4:L75)</f>
        <v>0</v>
      </c>
      <c r="M76" s="36">
        <v>0</v>
      </c>
      <c r="N76" s="57">
        <f>SUM(N4:N75)</f>
        <v>0</v>
      </c>
      <c r="O76" s="58">
        <f t="shared" si="24"/>
        <v>2526.5039999999999</v>
      </c>
      <c r="P76" s="65">
        <f t="shared" si="25"/>
        <v>0.30300653266331667</v>
      </c>
      <c r="Q76" s="100">
        <f t="shared" si="26"/>
        <v>765.54721680000023</v>
      </c>
      <c r="R76" s="160">
        <v>41.55</v>
      </c>
      <c r="S76" s="161">
        <f>SUM(S4:S75)</f>
        <v>31808.486858039989</v>
      </c>
      <c r="T76" s="9" t="e">
        <f>SUM(T4:T71)</f>
        <v>#REF!</v>
      </c>
      <c r="U76" s="18"/>
    </row>
    <row r="77" spans="1:21" ht="24.75" customHeight="1" thickTop="1" x14ac:dyDescent="0.35">
      <c r="A77" s="144" t="s">
        <v>17</v>
      </c>
      <c r="B77" s="152" t="s">
        <v>18</v>
      </c>
      <c r="C77" s="50" t="s">
        <v>42</v>
      </c>
      <c r="D77" s="93">
        <f>1594*0.75</f>
        <v>1195.5</v>
      </c>
      <c r="E77" s="94">
        <f>0.8*D77</f>
        <v>956.40000000000009</v>
      </c>
      <c r="F77" s="95">
        <v>1</v>
      </c>
      <c r="G77" s="70">
        <f t="shared" ref="G77:G108" si="28">E77*F77</f>
        <v>956.40000000000009</v>
      </c>
      <c r="H77" s="96">
        <v>0.33400000000000002</v>
      </c>
      <c r="I77" s="103">
        <f t="shared" ref="I77:I108" si="29">G77*H77</f>
        <v>319.43760000000003</v>
      </c>
      <c r="J77" s="94">
        <f>+D77-E77+1</f>
        <v>240.09999999999991</v>
      </c>
      <c r="K77" s="95">
        <v>1</v>
      </c>
      <c r="L77" s="70">
        <f t="shared" ref="L77:L108" si="30">J77*K77</f>
        <v>240.09999999999991</v>
      </c>
      <c r="M77" s="96">
        <v>1.67E-2</v>
      </c>
      <c r="N77" s="97">
        <f t="shared" ref="N77:N108" si="31">L77*M77</f>
        <v>4.0096699999999981</v>
      </c>
      <c r="O77" s="94">
        <f t="shared" si="24"/>
        <v>1196.5</v>
      </c>
      <c r="P77" s="71">
        <f t="shared" si="25"/>
        <v>0.27032784788967823</v>
      </c>
      <c r="Q77" s="98">
        <f t="shared" ref="Q77:Q108" si="32">+N77+I77</f>
        <v>323.44727</v>
      </c>
      <c r="R77" s="137">
        <v>28.51</v>
      </c>
      <c r="S77" s="8">
        <f t="shared" ref="S77:S108" si="33">+Q77*R77</f>
        <v>9221.4816676999999</v>
      </c>
      <c r="T77" s="8" t="e">
        <f>R77*#REF!</f>
        <v>#REF!</v>
      </c>
      <c r="U77" s="12"/>
    </row>
    <row r="78" spans="1:21" s="19" customFormat="1" ht="24.75" customHeight="1" x14ac:dyDescent="0.35">
      <c r="A78" s="145"/>
      <c r="B78" s="157"/>
      <c r="C78" s="50" t="s">
        <v>57</v>
      </c>
      <c r="D78" s="93">
        <f>D77</f>
        <v>1195.5</v>
      </c>
      <c r="E78" s="94">
        <f>D78</f>
        <v>1195.5</v>
      </c>
      <c r="F78" s="95">
        <v>1</v>
      </c>
      <c r="G78" s="70">
        <f t="shared" si="28"/>
        <v>1195.5</v>
      </c>
      <c r="H78" s="26">
        <v>8.3500000000000005E-2</v>
      </c>
      <c r="I78" s="103">
        <f t="shared" si="29"/>
        <v>99.824250000000006</v>
      </c>
      <c r="J78" s="39">
        <f t="shared" ref="J78:J83" si="34">+D78-E78</f>
        <v>0</v>
      </c>
      <c r="K78" s="95">
        <v>1</v>
      </c>
      <c r="L78" s="70">
        <f t="shared" si="30"/>
        <v>0</v>
      </c>
      <c r="M78" s="96">
        <v>1.67E-2</v>
      </c>
      <c r="N78" s="97">
        <f t="shared" si="31"/>
        <v>0</v>
      </c>
      <c r="O78" s="94">
        <f t="shared" si="24"/>
        <v>1195.5</v>
      </c>
      <c r="P78" s="71">
        <f t="shared" si="25"/>
        <v>8.3500000000000005E-2</v>
      </c>
      <c r="Q78" s="98">
        <f t="shared" si="32"/>
        <v>99.824250000000006</v>
      </c>
      <c r="R78" s="137">
        <v>28.51</v>
      </c>
      <c r="S78" s="8">
        <f t="shared" si="33"/>
        <v>2845.9893675000003</v>
      </c>
      <c r="T78" s="8"/>
      <c r="U78" s="12"/>
    </row>
    <row r="79" spans="1:21" s="19" customFormat="1" ht="24.75" customHeight="1" x14ac:dyDescent="0.35">
      <c r="A79" s="145"/>
      <c r="B79" s="157"/>
      <c r="C79" s="50" t="s">
        <v>55</v>
      </c>
      <c r="D79" s="93">
        <f>0.6*D77</f>
        <v>717.3</v>
      </c>
      <c r="E79" s="94">
        <f>0.3*D79</f>
        <v>215.18999999999997</v>
      </c>
      <c r="F79" s="95">
        <v>1</v>
      </c>
      <c r="G79" s="70">
        <f t="shared" si="28"/>
        <v>215.18999999999997</v>
      </c>
      <c r="H79" s="26">
        <v>1.67E-2</v>
      </c>
      <c r="I79" s="103">
        <f t="shared" si="29"/>
        <v>3.5936729999999995</v>
      </c>
      <c r="J79" s="39">
        <f t="shared" si="34"/>
        <v>502.11</v>
      </c>
      <c r="K79" s="95">
        <v>1</v>
      </c>
      <c r="L79" s="70">
        <f t="shared" si="30"/>
        <v>502.11</v>
      </c>
      <c r="M79" s="96">
        <v>1.67E-2</v>
      </c>
      <c r="N79" s="97">
        <f t="shared" si="31"/>
        <v>8.3852370000000001</v>
      </c>
      <c r="O79" s="94">
        <f t="shared" si="24"/>
        <v>717.3</v>
      </c>
      <c r="P79" s="73">
        <f t="shared" si="25"/>
        <v>1.67E-2</v>
      </c>
      <c r="Q79" s="98">
        <f t="shared" si="32"/>
        <v>11.978909999999999</v>
      </c>
      <c r="R79" s="137">
        <v>28.51</v>
      </c>
      <c r="S79" s="8">
        <f t="shared" si="33"/>
        <v>341.51872409999999</v>
      </c>
      <c r="T79" s="8"/>
      <c r="U79" s="12"/>
    </row>
    <row r="80" spans="1:21" s="19" customFormat="1" ht="24.75" customHeight="1" x14ac:dyDescent="0.35">
      <c r="A80" s="145"/>
      <c r="B80" s="157"/>
      <c r="C80" s="50" t="s">
        <v>56</v>
      </c>
      <c r="D80" s="93">
        <f>D79-E79</f>
        <v>502.11</v>
      </c>
      <c r="E80" s="94">
        <f>0.3*D80</f>
        <v>150.63300000000001</v>
      </c>
      <c r="F80" s="95">
        <v>1</v>
      </c>
      <c r="G80" s="70">
        <f t="shared" si="28"/>
        <v>150.63300000000001</v>
      </c>
      <c r="H80" s="26">
        <v>1.67E-2</v>
      </c>
      <c r="I80" s="103">
        <f t="shared" si="29"/>
        <v>2.5155711000000003</v>
      </c>
      <c r="J80" s="39">
        <f t="shared" si="34"/>
        <v>351.47699999999998</v>
      </c>
      <c r="K80" s="95">
        <v>1</v>
      </c>
      <c r="L80" s="70">
        <f t="shared" si="30"/>
        <v>351.47699999999998</v>
      </c>
      <c r="M80" s="96">
        <v>1.67E-2</v>
      </c>
      <c r="N80" s="97">
        <f t="shared" si="31"/>
        <v>5.8696658999999993</v>
      </c>
      <c r="O80" s="94">
        <f t="shared" si="24"/>
        <v>502.11</v>
      </c>
      <c r="P80" s="73">
        <f t="shared" si="25"/>
        <v>1.67E-2</v>
      </c>
      <c r="Q80" s="98">
        <f t="shared" si="32"/>
        <v>8.3852370000000001</v>
      </c>
      <c r="R80" s="137">
        <v>28.51</v>
      </c>
      <c r="S80" s="8">
        <f t="shared" si="33"/>
        <v>239.06310687000001</v>
      </c>
      <c r="T80" s="8"/>
      <c r="U80" s="12"/>
    </row>
    <row r="81" spans="1:21" s="19" customFormat="1" ht="24.75" customHeight="1" x14ac:dyDescent="0.35">
      <c r="A81" s="145"/>
      <c r="B81" s="158"/>
      <c r="C81" s="50" t="s">
        <v>58</v>
      </c>
      <c r="D81" s="93">
        <f>D80-E80</f>
        <v>351.47699999999998</v>
      </c>
      <c r="E81" s="94">
        <f>E77-0.4*D77-E79-E80</f>
        <v>112.37700000000009</v>
      </c>
      <c r="F81" s="95">
        <v>1</v>
      </c>
      <c r="G81" s="70">
        <f t="shared" si="28"/>
        <v>112.37700000000009</v>
      </c>
      <c r="H81" s="26">
        <v>1.67E-2</v>
      </c>
      <c r="I81" s="103">
        <f t="shared" si="29"/>
        <v>1.8766959000000016</v>
      </c>
      <c r="J81" s="39">
        <f t="shared" si="34"/>
        <v>239.09999999999988</v>
      </c>
      <c r="K81" s="95">
        <v>1</v>
      </c>
      <c r="L81" s="70">
        <f t="shared" si="30"/>
        <v>239.09999999999988</v>
      </c>
      <c r="M81" s="96">
        <v>1.67E-2</v>
      </c>
      <c r="N81" s="97">
        <f t="shared" si="31"/>
        <v>3.9929699999999979</v>
      </c>
      <c r="O81" s="94">
        <f t="shared" si="24"/>
        <v>351.47699999999998</v>
      </c>
      <c r="P81" s="73">
        <f t="shared" si="25"/>
        <v>1.67E-2</v>
      </c>
      <c r="Q81" s="98">
        <f t="shared" si="32"/>
        <v>5.8696658999999993</v>
      </c>
      <c r="R81" s="137">
        <v>28.51</v>
      </c>
      <c r="S81" s="8">
        <f t="shared" si="33"/>
        <v>167.34417480899998</v>
      </c>
      <c r="T81" s="8"/>
      <c r="U81" s="12"/>
    </row>
    <row r="82" spans="1:21" customFormat="1" ht="18" customHeight="1" x14ac:dyDescent="0.35">
      <c r="A82" s="145"/>
      <c r="B82" s="44" t="s">
        <v>19</v>
      </c>
      <c r="C82" s="38" t="s">
        <v>42</v>
      </c>
      <c r="D82" s="29">
        <f>2750*0.75</f>
        <v>2062.5</v>
      </c>
      <c r="E82" s="25">
        <f>0.8*D82</f>
        <v>1650</v>
      </c>
      <c r="F82" s="40">
        <v>1</v>
      </c>
      <c r="G82" s="41">
        <f t="shared" si="28"/>
        <v>1650</v>
      </c>
      <c r="H82" s="42">
        <v>0.33400000000000002</v>
      </c>
      <c r="I82" s="104">
        <f t="shared" si="29"/>
        <v>551.1</v>
      </c>
      <c r="J82" s="39">
        <f t="shared" si="34"/>
        <v>412.5</v>
      </c>
      <c r="K82" s="40">
        <v>1</v>
      </c>
      <c r="L82" s="41">
        <f t="shared" si="30"/>
        <v>412.5</v>
      </c>
      <c r="M82" s="42">
        <v>1.67E-2</v>
      </c>
      <c r="N82" s="43">
        <f t="shared" si="31"/>
        <v>6.8887499999999999</v>
      </c>
      <c r="O82" s="25">
        <f t="shared" si="24"/>
        <v>2062.5</v>
      </c>
      <c r="P82" s="73">
        <f t="shared" si="25"/>
        <v>0.27054</v>
      </c>
      <c r="Q82" s="89">
        <f t="shared" si="32"/>
        <v>557.98874999999998</v>
      </c>
      <c r="R82" s="137">
        <v>28.51</v>
      </c>
      <c r="S82" s="20">
        <f t="shared" si="33"/>
        <v>15908.2592625</v>
      </c>
      <c r="T82" s="20" t="e">
        <f>R82*#REF!</f>
        <v>#REF!</v>
      </c>
    </row>
    <row r="83" spans="1:21" s="19" customFormat="1" ht="24.75" customHeight="1" x14ac:dyDescent="0.35">
      <c r="A83" s="145"/>
      <c r="B83" s="157"/>
      <c r="C83" s="50" t="s">
        <v>57</v>
      </c>
      <c r="D83" s="93">
        <f>D82</f>
        <v>2062.5</v>
      </c>
      <c r="E83" s="94">
        <f>D83</f>
        <v>2062.5</v>
      </c>
      <c r="F83" s="95">
        <v>1</v>
      </c>
      <c r="G83" s="70">
        <f t="shared" si="28"/>
        <v>2062.5</v>
      </c>
      <c r="H83" s="26">
        <v>8.3500000000000005E-2</v>
      </c>
      <c r="I83" s="103">
        <f t="shared" si="29"/>
        <v>172.21875</v>
      </c>
      <c r="J83" s="39">
        <f t="shared" si="34"/>
        <v>0</v>
      </c>
      <c r="K83" s="95">
        <v>1</v>
      </c>
      <c r="L83" s="70">
        <f t="shared" si="30"/>
        <v>0</v>
      </c>
      <c r="M83" s="96">
        <v>1.67E-2</v>
      </c>
      <c r="N83" s="97">
        <f t="shared" si="31"/>
        <v>0</v>
      </c>
      <c r="O83" s="94">
        <f t="shared" si="24"/>
        <v>2062.5</v>
      </c>
      <c r="P83" s="71">
        <f t="shared" si="25"/>
        <v>8.3500000000000005E-2</v>
      </c>
      <c r="Q83" s="98">
        <f t="shared" si="32"/>
        <v>172.21875</v>
      </c>
      <c r="R83" s="137">
        <v>28.51</v>
      </c>
      <c r="S83" s="8">
        <f t="shared" si="33"/>
        <v>4909.9565625000005</v>
      </c>
      <c r="T83" s="8"/>
      <c r="U83" s="12"/>
    </row>
    <row r="84" spans="1:21" s="19" customFormat="1" ht="24.75" customHeight="1" x14ac:dyDescent="0.35">
      <c r="A84" s="145"/>
      <c r="B84" s="157"/>
      <c r="C84" s="50" t="s">
        <v>55</v>
      </c>
      <c r="D84" s="93">
        <f>0.6*D82</f>
        <v>1237.5</v>
      </c>
      <c r="E84" s="94">
        <f>0.3*D84</f>
        <v>371.25</v>
      </c>
      <c r="F84" s="95">
        <v>1</v>
      </c>
      <c r="G84" s="70">
        <f t="shared" si="28"/>
        <v>371.25</v>
      </c>
      <c r="H84" s="26">
        <v>1.67E-2</v>
      </c>
      <c r="I84" s="103">
        <f t="shared" si="29"/>
        <v>6.1998749999999996</v>
      </c>
      <c r="J84" s="39">
        <f>+D84-E84+1</f>
        <v>867.25</v>
      </c>
      <c r="K84" s="95">
        <v>1</v>
      </c>
      <c r="L84" s="70">
        <f t="shared" si="30"/>
        <v>867.25</v>
      </c>
      <c r="M84" s="96">
        <v>1.67E-2</v>
      </c>
      <c r="N84" s="97">
        <f t="shared" si="31"/>
        <v>14.483074999999999</v>
      </c>
      <c r="O84" s="94">
        <f t="shared" si="24"/>
        <v>1238.5</v>
      </c>
      <c r="P84" s="73">
        <f t="shared" si="25"/>
        <v>1.67E-2</v>
      </c>
      <c r="Q84" s="98">
        <f t="shared" si="32"/>
        <v>20.682949999999998</v>
      </c>
      <c r="R84" s="137">
        <v>28.51</v>
      </c>
      <c r="S84" s="8">
        <f t="shared" si="33"/>
        <v>589.67090450000001</v>
      </c>
      <c r="T84" s="8"/>
      <c r="U84" s="12"/>
    </row>
    <row r="85" spans="1:21" s="19" customFormat="1" ht="24.75" customHeight="1" x14ac:dyDescent="0.35">
      <c r="A85" s="145"/>
      <c r="B85" s="157"/>
      <c r="C85" s="50" t="s">
        <v>56</v>
      </c>
      <c r="D85" s="93">
        <f>D84-E84+1</f>
        <v>867.25</v>
      </c>
      <c r="E85" s="94">
        <f>0.3*D85</f>
        <v>260.17500000000001</v>
      </c>
      <c r="F85" s="95">
        <v>1</v>
      </c>
      <c r="G85" s="70">
        <f t="shared" si="28"/>
        <v>260.17500000000001</v>
      </c>
      <c r="H85" s="26">
        <v>1.67E-2</v>
      </c>
      <c r="I85" s="103">
        <f t="shared" si="29"/>
        <v>4.3449225</v>
      </c>
      <c r="J85" s="39">
        <f>+D85-E85</f>
        <v>607.07500000000005</v>
      </c>
      <c r="K85" s="95">
        <v>1</v>
      </c>
      <c r="L85" s="70">
        <f t="shared" si="30"/>
        <v>607.07500000000005</v>
      </c>
      <c r="M85" s="96">
        <v>1.67E-2</v>
      </c>
      <c r="N85" s="97">
        <f t="shared" si="31"/>
        <v>10.1381525</v>
      </c>
      <c r="O85" s="94">
        <f t="shared" si="24"/>
        <v>867.25</v>
      </c>
      <c r="P85" s="73">
        <f t="shared" si="25"/>
        <v>1.67E-2</v>
      </c>
      <c r="Q85" s="98">
        <f t="shared" si="32"/>
        <v>14.483074999999999</v>
      </c>
      <c r="R85" s="137">
        <v>28.51</v>
      </c>
      <c r="S85" s="8">
        <f t="shared" si="33"/>
        <v>412.91246825000002</v>
      </c>
      <c r="T85" s="8"/>
      <c r="U85" s="12"/>
    </row>
    <row r="86" spans="1:21" s="19" customFormat="1" ht="24.75" customHeight="1" x14ac:dyDescent="0.35">
      <c r="A86" s="145"/>
      <c r="B86" s="158"/>
      <c r="C86" s="50" t="s">
        <v>58</v>
      </c>
      <c r="D86" s="93">
        <f>D85-E85</f>
        <v>607.07500000000005</v>
      </c>
      <c r="E86" s="94">
        <f>E82-0.4*D82-E84-E85</f>
        <v>193.57499999999999</v>
      </c>
      <c r="F86" s="95">
        <v>1</v>
      </c>
      <c r="G86" s="70">
        <f t="shared" si="28"/>
        <v>193.57499999999999</v>
      </c>
      <c r="H86" s="26">
        <v>1.67E-2</v>
      </c>
      <c r="I86" s="103">
        <f t="shared" si="29"/>
        <v>3.2327024999999998</v>
      </c>
      <c r="J86" s="39">
        <f>+D86-E86-1</f>
        <v>412.50000000000006</v>
      </c>
      <c r="K86" s="95">
        <v>1</v>
      </c>
      <c r="L86" s="70">
        <f t="shared" si="30"/>
        <v>412.50000000000006</v>
      </c>
      <c r="M86" s="96">
        <v>1.67E-2</v>
      </c>
      <c r="N86" s="97">
        <f t="shared" si="31"/>
        <v>6.8887500000000008</v>
      </c>
      <c r="O86" s="94">
        <f t="shared" si="24"/>
        <v>606.07500000000005</v>
      </c>
      <c r="P86" s="73">
        <f t="shared" si="25"/>
        <v>1.67E-2</v>
      </c>
      <c r="Q86" s="98">
        <f t="shared" si="32"/>
        <v>10.1214525</v>
      </c>
      <c r="R86" s="137">
        <v>28.51</v>
      </c>
      <c r="S86" s="8">
        <f t="shared" si="33"/>
        <v>288.562610775</v>
      </c>
      <c r="T86" s="8"/>
      <c r="U86" s="12"/>
    </row>
    <row r="87" spans="1:21" customFormat="1" ht="41.5" customHeight="1" x14ac:dyDescent="0.35">
      <c r="A87" s="145"/>
      <c r="B87" s="44" t="s">
        <v>35</v>
      </c>
      <c r="C87" s="38" t="s">
        <v>42</v>
      </c>
      <c r="D87" s="29">
        <v>2500</v>
      </c>
      <c r="E87" s="25">
        <f>0.8*D87</f>
        <v>2000</v>
      </c>
      <c r="F87" s="40">
        <v>1</v>
      </c>
      <c r="G87" s="41">
        <f t="shared" si="28"/>
        <v>2000</v>
      </c>
      <c r="H87" s="42">
        <v>0.33400000000000002</v>
      </c>
      <c r="I87" s="104">
        <f t="shared" si="29"/>
        <v>668</v>
      </c>
      <c r="J87" s="39">
        <f t="shared" ref="J87:J98" si="35">+D87-E87</f>
        <v>500</v>
      </c>
      <c r="K87" s="40">
        <v>1</v>
      </c>
      <c r="L87" s="41">
        <f t="shared" si="30"/>
        <v>500</v>
      </c>
      <c r="M87" s="42">
        <v>1.67E-2</v>
      </c>
      <c r="N87" s="43">
        <f t="shared" si="31"/>
        <v>8.35</v>
      </c>
      <c r="O87" s="25">
        <f t="shared" si="24"/>
        <v>2500</v>
      </c>
      <c r="P87" s="73">
        <f t="shared" si="25"/>
        <v>0.27054</v>
      </c>
      <c r="Q87" s="89">
        <f t="shared" si="32"/>
        <v>676.35</v>
      </c>
      <c r="R87" s="137">
        <v>28.51</v>
      </c>
      <c r="S87" s="20">
        <f t="shared" si="33"/>
        <v>19282.738500000003</v>
      </c>
      <c r="T87" s="20" t="e">
        <f>R87*#REF!</f>
        <v>#REF!</v>
      </c>
    </row>
    <row r="88" spans="1:21" s="19" customFormat="1" ht="24.75" customHeight="1" x14ac:dyDescent="0.35">
      <c r="A88" s="145"/>
      <c r="B88" s="157"/>
      <c r="C88" s="50" t="s">
        <v>57</v>
      </c>
      <c r="D88" s="93">
        <f>D87</f>
        <v>2500</v>
      </c>
      <c r="E88" s="94">
        <f>D88</f>
        <v>2500</v>
      </c>
      <c r="F88" s="95">
        <v>1</v>
      </c>
      <c r="G88" s="70">
        <f t="shared" si="28"/>
        <v>2500</v>
      </c>
      <c r="H88" s="26">
        <v>8.3500000000000005E-2</v>
      </c>
      <c r="I88" s="103">
        <f t="shared" si="29"/>
        <v>208.75</v>
      </c>
      <c r="J88" s="39">
        <f t="shared" si="35"/>
        <v>0</v>
      </c>
      <c r="K88" s="95">
        <v>1</v>
      </c>
      <c r="L88" s="70">
        <f t="shared" si="30"/>
        <v>0</v>
      </c>
      <c r="M88" s="96">
        <v>1.67E-2</v>
      </c>
      <c r="N88" s="97">
        <f t="shared" si="31"/>
        <v>0</v>
      </c>
      <c r="O88" s="94">
        <f t="shared" si="24"/>
        <v>2500</v>
      </c>
      <c r="P88" s="71">
        <f t="shared" si="25"/>
        <v>8.3500000000000005E-2</v>
      </c>
      <c r="Q88" s="98">
        <f t="shared" si="32"/>
        <v>208.75</v>
      </c>
      <c r="R88" s="137">
        <v>28.51</v>
      </c>
      <c r="S88" s="8">
        <f t="shared" si="33"/>
        <v>5951.4625000000005</v>
      </c>
      <c r="T88" s="8"/>
      <c r="U88" s="12"/>
    </row>
    <row r="89" spans="1:21" s="19" customFormat="1" ht="24.75" customHeight="1" x14ac:dyDescent="0.35">
      <c r="A89" s="145"/>
      <c r="B89" s="157"/>
      <c r="C89" s="50" t="s">
        <v>55</v>
      </c>
      <c r="D89" s="93">
        <f>0.6*D87</f>
        <v>1500</v>
      </c>
      <c r="E89" s="94">
        <f>0.3*D89</f>
        <v>450</v>
      </c>
      <c r="F89" s="95">
        <v>1</v>
      </c>
      <c r="G89" s="70">
        <f t="shared" si="28"/>
        <v>450</v>
      </c>
      <c r="H89" s="26">
        <v>1.67E-2</v>
      </c>
      <c r="I89" s="103">
        <f t="shared" si="29"/>
        <v>7.5149999999999997</v>
      </c>
      <c r="J89" s="39">
        <f t="shared" si="35"/>
        <v>1050</v>
      </c>
      <c r="K89" s="95">
        <v>1</v>
      </c>
      <c r="L89" s="70">
        <f t="shared" si="30"/>
        <v>1050</v>
      </c>
      <c r="M89" s="96">
        <v>1.67E-2</v>
      </c>
      <c r="N89" s="97">
        <f t="shared" si="31"/>
        <v>17.535</v>
      </c>
      <c r="O89" s="94">
        <f t="shared" si="24"/>
        <v>1500</v>
      </c>
      <c r="P89" s="73">
        <f t="shared" si="25"/>
        <v>1.67E-2</v>
      </c>
      <c r="Q89" s="98">
        <f t="shared" si="32"/>
        <v>25.05</v>
      </c>
      <c r="R89" s="137">
        <v>28.51</v>
      </c>
      <c r="S89" s="8">
        <f t="shared" si="33"/>
        <v>714.17550000000006</v>
      </c>
      <c r="T89" s="8"/>
      <c r="U89" s="12"/>
    </row>
    <row r="90" spans="1:21" s="19" customFormat="1" ht="24.75" customHeight="1" x14ac:dyDescent="0.35">
      <c r="A90" s="145"/>
      <c r="B90" s="157"/>
      <c r="C90" s="50" t="s">
        <v>56</v>
      </c>
      <c r="D90" s="93">
        <f>D89-E89</f>
        <v>1050</v>
      </c>
      <c r="E90" s="94">
        <f>0.3*D90</f>
        <v>315</v>
      </c>
      <c r="F90" s="95">
        <v>1</v>
      </c>
      <c r="G90" s="70">
        <f t="shared" si="28"/>
        <v>315</v>
      </c>
      <c r="H90" s="26">
        <v>1.67E-2</v>
      </c>
      <c r="I90" s="103">
        <f t="shared" si="29"/>
        <v>5.2604999999999995</v>
      </c>
      <c r="J90" s="39">
        <f t="shared" si="35"/>
        <v>735</v>
      </c>
      <c r="K90" s="95">
        <v>1</v>
      </c>
      <c r="L90" s="70">
        <f t="shared" si="30"/>
        <v>735</v>
      </c>
      <c r="M90" s="96">
        <v>1.67E-2</v>
      </c>
      <c r="N90" s="97">
        <f t="shared" si="31"/>
        <v>12.2745</v>
      </c>
      <c r="O90" s="94">
        <f t="shared" si="24"/>
        <v>1050</v>
      </c>
      <c r="P90" s="73">
        <f t="shared" si="25"/>
        <v>1.67E-2</v>
      </c>
      <c r="Q90" s="98">
        <f t="shared" si="32"/>
        <v>17.535</v>
      </c>
      <c r="R90" s="137">
        <v>28.51</v>
      </c>
      <c r="S90" s="8">
        <f t="shared" si="33"/>
        <v>499.92285000000004</v>
      </c>
      <c r="T90" s="8"/>
      <c r="U90" s="12"/>
    </row>
    <row r="91" spans="1:21" s="19" customFormat="1" ht="24.75" customHeight="1" x14ac:dyDescent="0.35">
      <c r="A91" s="145"/>
      <c r="B91" s="158"/>
      <c r="C91" s="50" t="s">
        <v>58</v>
      </c>
      <c r="D91" s="93">
        <f>D90-E90</f>
        <v>735</v>
      </c>
      <c r="E91" s="94">
        <f>E87-0.4*D87-E89-E90</f>
        <v>235</v>
      </c>
      <c r="F91" s="95">
        <v>1</v>
      </c>
      <c r="G91" s="70">
        <f t="shared" si="28"/>
        <v>235</v>
      </c>
      <c r="H91" s="26">
        <v>1.67E-2</v>
      </c>
      <c r="I91" s="103">
        <f t="shared" si="29"/>
        <v>3.9245000000000001</v>
      </c>
      <c r="J91" s="39">
        <f t="shared" si="35"/>
        <v>500</v>
      </c>
      <c r="K91" s="95">
        <v>1</v>
      </c>
      <c r="L91" s="70">
        <f t="shared" si="30"/>
        <v>500</v>
      </c>
      <c r="M91" s="96">
        <v>1.67E-2</v>
      </c>
      <c r="N91" s="97">
        <f t="shared" si="31"/>
        <v>8.35</v>
      </c>
      <c r="O91" s="94">
        <f t="shared" si="24"/>
        <v>735</v>
      </c>
      <c r="P91" s="73">
        <f t="shared" si="25"/>
        <v>1.67E-2</v>
      </c>
      <c r="Q91" s="98">
        <f t="shared" si="32"/>
        <v>12.2745</v>
      </c>
      <c r="R91" s="137">
        <v>28.51</v>
      </c>
      <c r="S91" s="8">
        <f t="shared" si="33"/>
        <v>349.94599500000004</v>
      </c>
      <c r="T91" s="8"/>
      <c r="U91" s="12"/>
    </row>
    <row r="92" spans="1:21" customFormat="1" ht="28.5" customHeight="1" x14ac:dyDescent="0.35">
      <c r="A92" s="145"/>
      <c r="B92" s="44" t="s">
        <v>36</v>
      </c>
      <c r="C92" s="38" t="s">
        <v>42</v>
      </c>
      <c r="D92" s="29">
        <v>2500</v>
      </c>
      <c r="E92" s="25">
        <f>0.8*D92</f>
        <v>2000</v>
      </c>
      <c r="F92" s="40">
        <v>1</v>
      </c>
      <c r="G92" s="41">
        <f t="shared" si="28"/>
        <v>2000</v>
      </c>
      <c r="H92" s="42">
        <v>0.33400000000000002</v>
      </c>
      <c r="I92" s="104">
        <f t="shared" si="29"/>
        <v>668</v>
      </c>
      <c r="J92" s="39">
        <f t="shared" si="35"/>
        <v>500</v>
      </c>
      <c r="K92" s="40">
        <v>1</v>
      </c>
      <c r="L92" s="41">
        <f t="shared" si="30"/>
        <v>500</v>
      </c>
      <c r="M92" s="42">
        <v>1.67E-2</v>
      </c>
      <c r="N92" s="43">
        <f t="shared" si="31"/>
        <v>8.35</v>
      </c>
      <c r="O92" s="25">
        <f t="shared" si="24"/>
        <v>2500</v>
      </c>
      <c r="P92" s="73">
        <f t="shared" si="25"/>
        <v>0.27054</v>
      </c>
      <c r="Q92" s="89">
        <f t="shared" si="32"/>
        <v>676.35</v>
      </c>
      <c r="R92" s="137">
        <v>28.51</v>
      </c>
      <c r="S92" s="20">
        <f t="shared" si="33"/>
        <v>19282.738500000003</v>
      </c>
      <c r="T92" s="20" t="e">
        <f>R92*#REF!</f>
        <v>#REF!</v>
      </c>
    </row>
    <row r="93" spans="1:21" s="19" customFormat="1" ht="24.75" customHeight="1" x14ac:dyDescent="0.35">
      <c r="A93" s="145"/>
      <c r="B93" s="157"/>
      <c r="C93" s="50" t="s">
        <v>57</v>
      </c>
      <c r="D93" s="93">
        <f>D92</f>
        <v>2500</v>
      </c>
      <c r="E93" s="94">
        <f>D93</f>
        <v>2500</v>
      </c>
      <c r="F93" s="95">
        <v>1</v>
      </c>
      <c r="G93" s="70">
        <f t="shared" si="28"/>
        <v>2500</v>
      </c>
      <c r="H93" s="26">
        <v>8.3500000000000005E-2</v>
      </c>
      <c r="I93" s="103">
        <f t="shared" si="29"/>
        <v>208.75</v>
      </c>
      <c r="J93" s="39">
        <f t="shared" si="35"/>
        <v>0</v>
      </c>
      <c r="K93" s="95">
        <v>1</v>
      </c>
      <c r="L93" s="70">
        <f t="shared" si="30"/>
        <v>0</v>
      </c>
      <c r="M93" s="96">
        <v>1.67E-2</v>
      </c>
      <c r="N93" s="97">
        <f t="shared" si="31"/>
        <v>0</v>
      </c>
      <c r="O93" s="94">
        <f t="shared" si="24"/>
        <v>2500</v>
      </c>
      <c r="P93" s="71">
        <f t="shared" si="25"/>
        <v>8.3500000000000005E-2</v>
      </c>
      <c r="Q93" s="98">
        <f t="shared" si="32"/>
        <v>208.75</v>
      </c>
      <c r="R93" s="137">
        <v>28.51</v>
      </c>
      <c r="S93" s="8">
        <f t="shared" si="33"/>
        <v>5951.4625000000005</v>
      </c>
      <c r="T93" s="8"/>
      <c r="U93" s="12"/>
    </row>
    <row r="94" spans="1:21" s="19" customFormat="1" ht="24.75" customHeight="1" x14ac:dyDescent="0.35">
      <c r="A94" s="145"/>
      <c r="B94" s="157"/>
      <c r="C94" s="50" t="s">
        <v>55</v>
      </c>
      <c r="D94" s="93">
        <f>0.6*D92</f>
        <v>1500</v>
      </c>
      <c r="E94" s="94">
        <f>0.3*D94</f>
        <v>450</v>
      </c>
      <c r="F94" s="95">
        <v>1</v>
      </c>
      <c r="G94" s="70">
        <f t="shared" si="28"/>
        <v>450</v>
      </c>
      <c r="H94" s="26">
        <v>1.67E-2</v>
      </c>
      <c r="I94" s="103">
        <f t="shared" si="29"/>
        <v>7.5149999999999997</v>
      </c>
      <c r="J94" s="39">
        <f t="shared" si="35"/>
        <v>1050</v>
      </c>
      <c r="K94" s="95">
        <v>1</v>
      </c>
      <c r="L94" s="70">
        <f t="shared" si="30"/>
        <v>1050</v>
      </c>
      <c r="M94" s="96">
        <v>1.67E-2</v>
      </c>
      <c r="N94" s="97">
        <f t="shared" si="31"/>
        <v>17.535</v>
      </c>
      <c r="O94" s="94">
        <f t="shared" si="24"/>
        <v>1500</v>
      </c>
      <c r="P94" s="73">
        <f t="shared" si="25"/>
        <v>1.67E-2</v>
      </c>
      <c r="Q94" s="98">
        <f t="shared" si="32"/>
        <v>25.05</v>
      </c>
      <c r="R94" s="137">
        <v>28.51</v>
      </c>
      <c r="S94" s="8">
        <f t="shared" si="33"/>
        <v>714.17550000000006</v>
      </c>
      <c r="T94" s="8"/>
      <c r="U94" s="12"/>
    </row>
    <row r="95" spans="1:21" s="19" customFormat="1" ht="24.75" customHeight="1" x14ac:dyDescent="0.35">
      <c r="A95" s="145"/>
      <c r="B95" s="157"/>
      <c r="C95" s="50" t="s">
        <v>56</v>
      </c>
      <c r="D95" s="93">
        <f>D94-E94</f>
        <v>1050</v>
      </c>
      <c r="E95" s="94">
        <f>0.3*D95</f>
        <v>315</v>
      </c>
      <c r="F95" s="95">
        <v>1</v>
      </c>
      <c r="G95" s="70">
        <f t="shared" si="28"/>
        <v>315</v>
      </c>
      <c r="H95" s="26">
        <v>1.67E-2</v>
      </c>
      <c r="I95" s="103">
        <f t="shared" si="29"/>
        <v>5.2604999999999995</v>
      </c>
      <c r="J95" s="39">
        <f t="shared" si="35"/>
        <v>735</v>
      </c>
      <c r="K95" s="95">
        <v>1</v>
      </c>
      <c r="L95" s="70">
        <f t="shared" si="30"/>
        <v>735</v>
      </c>
      <c r="M95" s="96">
        <v>1.67E-2</v>
      </c>
      <c r="N95" s="97">
        <f t="shared" si="31"/>
        <v>12.2745</v>
      </c>
      <c r="O95" s="94">
        <f t="shared" si="24"/>
        <v>1050</v>
      </c>
      <c r="P95" s="73">
        <f t="shared" si="25"/>
        <v>1.67E-2</v>
      </c>
      <c r="Q95" s="98">
        <f t="shared" si="32"/>
        <v>17.535</v>
      </c>
      <c r="R95" s="137">
        <v>28.51</v>
      </c>
      <c r="S95" s="8">
        <f t="shared" si="33"/>
        <v>499.92285000000004</v>
      </c>
      <c r="T95" s="8"/>
      <c r="U95" s="12"/>
    </row>
    <row r="96" spans="1:21" s="19" customFormat="1" ht="24.75" customHeight="1" x14ac:dyDescent="0.35">
      <c r="A96" s="145"/>
      <c r="B96" s="158"/>
      <c r="C96" s="50" t="s">
        <v>58</v>
      </c>
      <c r="D96" s="93">
        <f>D95-E95</f>
        <v>735</v>
      </c>
      <c r="E96" s="94">
        <f>E92-0.4*D92-E94-E95</f>
        <v>235</v>
      </c>
      <c r="F96" s="95">
        <v>1</v>
      </c>
      <c r="G96" s="70">
        <f t="shared" si="28"/>
        <v>235</v>
      </c>
      <c r="H96" s="26">
        <v>1.67E-2</v>
      </c>
      <c r="I96" s="103">
        <f t="shared" si="29"/>
        <v>3.9245000000000001</v>
      </c>
      <c r="J96" s="39">
        <f t="shared" si="35"/>
        <v>500</v>
      </c>
      <c r="K96" s="95">
        <v>1</v>
      </c>
      <c r="L96" s="70">
        <f t="shared" si="30"/>
        <v>500</v>
      </c>
      <c r="M96" s="96">
        <v>1.67E-2</v>
      </c>
      <c r="N96" s="97">
        <f t="shared" si="31"/>
        <v>8.35</v>
      </c>
      <c r="O96" s="94">
        <f t="shared" si="24"/>
        <v>735</v>
      </c>
      <c r="P96" s="73">
        <f t="shared" si="25"/>
        <v>1.67E-2</v>
      </c>
      <c r="Q96" s="98">
        <f t="shared" si="32"/>
        <v>12.2745</v>
      </c>
      <c r="R96" s="137">
        <v>28.51</v>
      </c>
      <c r="S96" s="8">
        <f t="shared" si="33"/>
        <v>349.94599500000004</v>
      </c>
      <c r="T96" s="8"/>
      <c r="U96" s="12"/>
    </row>
    <row r="97" spans="1:21" ht="28" customHeight="1" x14ac:dyDescent="0.35">
      <c r="A97" s="145"/>
      <c r="B97" s="45" t="s">
        <v>20</v>
      </c>
      <c r="C97" s="23" t="s">
        <v>42</v>
      </c>
      <c r="D97" s="31">
        <f>1875*0.7</f>
        <v>1312.5</v>
      </c>
      <c r="E97" s="25">
        <f>0.8*D97</f>
        <v>1050</v>
      </c>
      <c r="F97" s="26">
        <v>1</v>
      </c>
      <c r="G97" s="27">
        <f t="shared" si="28"/>
        <v>1050</v>
      </c>
      <c r="H97" s="30">
        <v>0.33400000000000002</v>
      </c>
      <c r="I97" s="101">
        <f t="shared" si="29"/>
        <v>350.70000000000005</v>
      </c>
      <c r="J97" s="25">
        <f t="shared" si="35"/>
        <v>262.5</v>
      </c>
      <c r="K97" s="26">
        <v>1</v>
      </c>
      <c r="L97" s="27">
        <f t="shared" si="30"/>
        <v>262.5</v>
      </c>
      <c r="M97" s="30">
        <v>1.67E-2</v>
      </c>
      <c r="N97" s="28">
        <f t="shared" si="31"/>
        <v>4.38375</v>
      </c>
      <c r="O97" s="25">
        <f t="shared" si="24"/>
        <v>1312.5</v>
      </c>
      <c r="P97" s="73">
        <f t="shared" si="25"/>
        <v>0.27054000000000006</v>
      </c>
      <c r="Q97" s="88">
        <f t="shared" si="32"/>
        <v>355.08375000000007</v>
      </c>
      <c r="R97" s="137">
        <v>28.51</v>
      </c>
      <c r="S97" s="8">
        <f t="shared" si="33"/>
        <v>10123.437712500003</v>
      </c>
      <c r="T97" s="8" t="e">
        <f>R97*#REF!</f>
        <v>#REF!</v>
      </c>
    </row>
    <row r="98" spans="1:21" s="19" customFormat="1" ht="24.75" customHeight="1" x14ac:dyDescent="0.35">
      <c r="A98" s="145"/>
      <c r="B98" s="157"/>
      <c r="C98" s="50" t="s">
        <v>57</v>
      </c>
      <c r="D98" s="29">
        <f>D97</f>
        <v>1312.5</v>
      </c>
      <c r="E98" s="94">
        <f>D98</f>
        <v>1312.5</v>
      </c>
      <c r="F98" s="95">
        <v>1</v>
      </c>
      <c r="G98" s="70">
        <f t="shared" si="28"/>
        <v>1312.5</v>
      </c>
      <c r="H98" s="26">
        <v>8.3500000000000005E-2</v>
      </c>
      <c r="I98" s="103">
        <f t="shared" si="29"/>
        <v>109.59375</v>
      </c>
      <c r="J98" s="39">
        <f t="shared" si="35"/>
        <v>0</v>
      </c>
      <c r="K98" s="95">
        <v>1</v>
      </c>
      <c r="L98" s="70">
        <f t="shared" si="30"/>
        <v>0</v>
      </c>
      <c r="M98" s="96">
        <v>1.67E-2</v>
      </c>
      <c r="N98" s="97">
        <f t="shared" si="31"/>
        <v>0</v>
      </c>
      <c r="O98" s="94">
        <f t="shared" si="24"/>
        <v>1312.5</v>
      </c>
      <c r="P98" s="71">
        <f t="shared" si="25"/>
        <v>8.3500000000000005E-2</v>
      </c>
      <c r="Q98" s="98">
        <f t="shared" si="32"/>
        <v>109.59375</v>
      </c>
      <c r="R98" s="137">
        <v>28.51</v>
      </c>
      <c r="S98" s="8">
        <f t="shared" si="33"/>
        <v>3124.5178125000002</v>
      </c>
      <c r="T98" s="8"/>
      <c r="U98" s="12"/>
    </row>
    <row r="99" spans="1:21" s="19" customFormat="1" ht="24.75" customHeight="1" x14ac:dyDescent="0.35">
      <c r="A99" s="145"/>
      <c r="B99" s="157"/>
      <c r="C99" s="50" t="s">
        <v>55</v>
      </c>
      <c r="D99" s="93">
        <f>0.6*D97</f>
        <v>787.5</v>
      </c>
      <c r="E99" s="94">
        <f>0.3*D99</f>
        <v>236.25</v>
      </c>
      <c r="F99" s="95">
        <v>1</v>
      </c>
      <c r="G99" s="70">
        <f t="shared" si="28"/>
        <v>236.25</v>
      </c>
      <c r="H99" s="26">
        <v>1.67E-2</v>
      </c>
      <c r="I99" s="103">
        <f t="shared" si="29"/>
        <v>3.9453749999999999</v>
      </c>
      <c r="J99" s="39">
        <f>+D99-E99+1</f>
        <v>552.25</v>
      </c>
      <c r="K99" s="95">
        <v>1</v>
      </c>
      <c r="L99" s="70">
        <f t="shared" si="30"/>
        <v>552.25</v>
      </c>
      <c r="M99" s="96">
        <v>1.67E-2</v>
      </c>
      <c r="N99" s="97">
        <f t="shared" si="31"/>
        <v>9.2225749999999991</v>
      </c>
      <c r="O99" s="94">
        <f t="shared" si="24"/>
        <v>788.5</v>
      </c>
      <c r="P99" s="73">
        <f t="shared" si="25"/>
        <v>1.67E-2</v>
      </c>
      <c r="Q99" s="98">
        <f t="shared" si="32"/>
        <v>13.167949999999999</v>
      </c>
      <c r="R99" s="137">
        <v>28.51</v>
      </c>
      <c r="S99" s="8">
        <f t="shared" si="33"/>
        <v>375.41825449999999</v>
      </c>
      <c r="T99" s="8"/>
      <c r="U99" s="12"/>
    </row>
    <row r="100" spans="1:21" s="19" customFormat="1" ht="24.75" customHeight="1" x14ac:dyDescent="0.35">
      <c r="A100" s="145"/>
      <c r="B100" s="157"/>
      <c r="C100" s="50" t="s">
        <v>56</v>
      </c>
      <c r="D100" s="93">
        <f>D99-E99+1</f>
        <v>552.25</v>
      </c>
      <c r="E100" s="94">
        <f>0.3*D100</f>
        <v>165.67499999999998</v>
      </c>
      <c r="F100" s="95">
        <v>1</v>
      </c>
      <c r="G100" s="70">
        <f t="shared" si="28"/>
        <v>165.67499999999998</v>
      </c>
      <c r="H100" s="26">
        <v>1.67E-2</v>
      </c>
      <c r="I100" s="103">
        <f t="shared" si="29"/>
        <v>2.7667724999999996</v>
      </c>
      <c r="J100" s="39">
        <f>+D100-E100-1</f>
        <v>385.57500000000005</v>
      </c>
      <c r="K100" s="95">
        <v>1</v>
      </c>
      <c r="L100" s="70">
        <f t="shared" si="30"/>
        <v>385.57500000000005</v>
      </c>
      <c r="M100" s="96">
        <v>1.67E-2</v>
      </c>
      <c r="N100" s="97">
        <f t="shared" si="31"/>
        <v>6.4391025000000006</v>
      </c>
      <c r="O100" s="94">
        <f t="shared" ref="O100:O131" si="36">L100+G100</f>
        <v>551.25</v>
      </c>
      <c r="P100" s="73">
        <f t="shared" si="25"/>
        <v>1.67E-2</v>
      </c>
      <c r="Q100" s="98">
        <f t="shared" si="32"/>
        <v>9.2058750000000007</v>
      </c>
      <c r="R100" s="137">
        <v>28.51</v>
      </c>
      <c r="S100" s="8">
        <f t="shared" si="33"/>
        <v>262.45949625000003</v>
      </c>
      <c r="T100" s="8"/>
      <c r="U100" s="12"/>
    </row>
    <row r="101" spans="1:21" s="19" customFormat="1" ht="24.75" customHeight="1" x14ac:dyDescent="0.35">
      <c r="A101" s="145"/>
      <c r="B101" s="158"/>
      <c r="C101" s="50" t="s">
        <v>58</v>
      </c>
      <c r="D101" s="93">
        <f>D100-E100-1</f>
        <v>385.57500000000005</v>
      </c>
      <c r="E101" s="94">
        <f>E97-0.4*D97-E99-E100</f>
        <v>123.07500000000002</v>
      </c>
      <c r="F101" s="95">
        <v>1</v>
      </c>
      <c r="G101" s="70">
        <f t="shared" si="28"/>
        <v>123.07500000000002</v>
      </c>
      <c r="H101" s="26">
        <v>1.67E-2</v>
      </c>
      <c r="I101" s="103">
        <f t="shared" si="29"/>
        <v>2.0553525000000001</v>
      </c>
      <c r="J101" s="39">
        <f>+D101-E101</f>
        <v>262.5</v>
      </c>
      <c r="K101" s="95">
        <v>1</v>
      </c>
      <c r="L101" s="70">
        <f t="shared" si="30"/>
        <v>262.5</v>
      </c>
      <c r="M101" s="96">
        <v>1.67E-2</v>
      </c>
      <c r="N101" s="97">
        <f t="shared" si="31"/>
        <v>4.38375</v>
      </c>
      <c r="O101" s="94">
        <f t="shared" si="36"/>
        <v>385.57500000000005</v>
      </c>
      <c r="P101" s="73">
        <f t="shared" si="25"/>
        <v>1.67E-2</v>
      </c>
      <c r="Q101" s="98">
        <f t="shared" si="32"/>
        <v>6.4391025000000006</v>
      </c>
      <c r="R101" s="137">
        <v>28.51</v>
      </c>
      <c r="S101" s="8">
        <f t="shared" si="33"/>
        <v>183.57881227500002</v>
      </c>
      <c r="T101" s="8"/>
      <c r="U101" s="12"/>
    </row>
    <row r="102" spans="1:21" customFormat="1" ht="30" customHeight="1" x14ac:dyDescent="0.35">
      <c r="A102" s="145"/>
      <c r="B102" s="44" t="s">
        <v>21</v>
      </c>
      <c r="C102" s="38" t="s">
        <v>42</v>
      </c>
      <c r="D102" s="31">
        <f>2625*0.7</f>
        <v>1837.4999999999998</v>
      </c>
      <c r="E102" s="25">
        <f>0.8*D102</f>
        <v>1470</v>
      </c>
      <c r="F102" s="40">
        <v>1</v>
      </c>
      <c r="G102" s="41">
        <f t="shared" si="28"/>
        <v>1470</v>
      </c>
      <c r="H102" s="42">
        <v>0.33400000000000002</v>
      </c>
      <c r="I102" s="104">
        <f t="shared" si="29"/>
        <v>490.98</v>
      </c>
      <c r="J102" s="39">
        <f>+D102-E102</f>
        <v>367.49999999999977</v>
      </c>
      <c r="K102" s="40">
        <v>1</v>
      </c>
      <c r="L102" s="41">
        <f t="shared" si="30"/>
        <v>367.49999999999977</v>
      </c>
      <c r="M102" s="42">
        <v>1.67E-2</v>
      </c>
      <c r="N102" s="43">
        <f t="shared" si="31"/>
        <v>6.1372499999999963</v>
      </c>
      <c r="O102" s="25">
        <f t="shared" si="36"/>
        <v>1837.4999999999998</v>
      </c>
      <c r="P102" s="73">
        <f t="shared" si="25"/>
        <v>0.27054000000000006</v>
      </c>
      <c r="Q102" s="89">
        <f t="shared" si="32"/>
        <v>497.11725000000001</v>
      </c>
      <c r="R102" s="137">
        <v>28.51</v>
      </c>
      <c r="S102" s="20">
        <f t="shared" si="33"/>
        <v>14172.812797500001</v>
      </c>
      <c r="T102" s="20" t="e">
        <f>R102*#REF!</f>
        <v>#REF!</v>
      </c>
    </row>
    <row r="103" spans="1:21" s="19" customFormat="1" ht="24.75" customHeight="1" x14ac:dyDescent="0.35">
      <c r="A103" s="145"/>
      <c r="B103" s="157"/>
      <c r="C103" s="50" t="s">
        <v>57</v>
      </c>
      <c r="D103" s="29">
        <f>D102</f>
        <v>1837.4999999999998</v>
      </c>
      <c r="E103" s="94">
        <f>D103</f>
        <v>1837.4999999999998</v>
      </c>
      <c r="F103" s="95">
        <v>1</v>
      </c>
      <c r="G103" s="70">
        <f t="shared" si="28"/>
        <v>1837.4999999999998</v>
      </c>
      <c r="H103" s="26">
        <v>8.3500000000000005E-2</v>
      </c>
      <c r="I103" s="103">
        <f t="shared" si="29"/>
        <v>153.43124999999998</v>
      </c>
      <c r="J103" s="39">
        <f>+D103-E103</f>
        <v>0</v>
      </c>
      <c r="K103" s="95">
        <v>1</v>
      </c>
      <c r="L103" s="70">
        <f t="shared" si="30"/>
        <v>0</v>
      </c>
      <c r="M103" s="96">
        <v>1.67E-2</v>
      </c>
      <c r="N103" s="97">
        <f t="shared" si="31"/>
        <v>0</v>
      </c>
      <c r="O103" s="94">
        <f t="shared" si="36"/>
        <v>1837.4999999999998</v>
      </c>
      <c r="P103" s="71">
        <f t="shared" si="25"/>
        <v>8.3500000000000005E-2</v>
      </c>
      <c r="Q103" s="98">
        <f t="shared" si="32"/>
        <v>153.43124999999998</v>
      </c>
      <c r="R103" s="137">
        <v>28.51</v>
      </c>
      <c r="S103" s="8">
        <f t="shared" si="33"/>
        <v>4374.3249374999996</v>
      </c>
      <c r="T103" s="8"/>
      <c r="U103" s="12"/>
    </row>
    <row r="104" spans="1:21" s="19" customFormat="1" ht="24.75" customHeight="1" x14ac:dyDescent="0.35">
      <c r="A104" s="145"/>
      <c r="B104" s="157"/>
      <c r="C104" s="50" t="s">
        <v>55</v>
      </c>
      <c r="D104" s="93">
        <f>0.6*D102</f>
        <v>1102.4999999999998</v>
      </c>
      <c r="E104" s="94">
        <f>0.3*D104</f>
        <v>330.74999999999994</v>
      </c>
      <c r="F104" s="95">
        <v>1</v>
      </c>
      <c r="G104" s="70">
        <f t="shared" si="28"/>
        <v>330.74999999999994</v>
      </c>
      <c r="H104" s="26">
        <v>1.67E-2</v>
      </c>
      <c r="I104" s="103">
        <f t="shared" si="29"/>
        <v>5.5235249999999985</v>
      </c>
      <c r="J104" s="39">
        <f>+D104-E104</f>
        <v>771.74999999999977</v>
      </c>
      <c r="K104" s="95">
        <v>1</v>
      </c>
      <c r="L104" s="70">
        <f t="shared" si="30"/>
        <v>771.74999999999977</v>
      </c>
      <c r="M104" s="96">
        <v>1.67E-2</v>
      </c>
      <c r="N104" s="97">
        <f t="shared" si="31"/>
        <v>12.888224999999997</v>
      </c>
      <c r="O104" s="94">
        <f t="shared" si="36"/>
        <v>1102.4999999999998</v>
      </c>
      <c r="P104" s="73">
        <f t="shared" si="25"/>
        <v>1.67E-2</v>
      </c>
      <c r="Q104" s="98">
        <f t="shared" si="32"/>
        <v>18.411749999999994</v>
      </c>
      <c r="R104" s="137">
        <v>28.51</v>
      </c>
      <c r="S104" s="8">
        <f t="shared" si="33"/>
        <v>524.91899249999983</v>
      </c>
      <c r="T104" s="8"/>
      <c r="U104" s="12"/>
    </row>
    <row r="105" spans="1:21" s="19" customFormat="1" ht="24.75" customHeight="1" x14ac:dyDescent="0.35">
      <c r="A105" s="145"/>
      <c r="B105" s="157"/>
      <c r="C105" s="50" t="s">
        <v>56</v>
      </c>
      <c r="D105" s="93">
        <f>D104-E104</f>
        <v>771.74999999999977</v>
      </c>
      <c r="E105" s="94">
        <f>0.3*D105</f>
        <v>231.52499999999992</v>
      </c>
      <c r="F105" s="95">
        <v>1</v>
      </c>
      <c r="G105" s="70">
        <f t="shared" si="28"/>
        <v>231.52499999999992</v>
      </c>
      <c r="H105" s="26">
        <v>1.67E-2</v>
      </c>
      <c r="I105" s="103">
        <f t="shared" si="29"/>
        <v>3.8664674999999984</v>
      </c>
      <c r="J105" s="39">
        <f>+D105-E105</f>
        <v>540.22499999999991</v>
      </c>
      <c r="K105" s="95">
        <v>1</v>
      </c>
      <c r="L105" s="70">
        <f t="shared" si="30"/>
        <v>540.22499999999991</v>
      </c>
      <c r="M105" s="96">
        <v>1.67E-2</v>
      </c>
      <c r="N105" s="97">
        <f t="shared" si="31"/>
        <v>9.0217574999999979</v>
      </c>
      <c r="O105" s="94">
        <f t="shared" si="36"/>
        <v>771.74999999999977</v>
      </c>
      <c r="P105" s="73">
        <f t="shared" si="25"/>
        <v>1.67E-2</v>
      </c>
      <c r="Q105" s="98">
        <f t="shared" si="32"/>
        <v>12.888224999999997</v>
      </c>
      <c r="R105" s="137">
        <v>28.51</v>
      </c>
      <c r="S105" s="8">
        <f t="shared" si="33"/>
        <v>367.44329474999995</v>
      </c>
      <c r="T105" s="8"/>
      <c r="U105" s="12"/>
    </row>
    <row r="106" spans="1:21" s="19" customFormat="1" ht="24.75" customHeight="1" x14ac:dyDescent="0.35">
      <c r="A106" s="145"/>
      <c r="B106" s="158"/>
      <c r="C106" s="50" t="s">
        <v>58</v>
      </c>
      <c r="D106" s="93">
        <f>D105-E105</f>
        <v>540.22499999999991</v>
      </c>
      <c r="E106" s="94">
        <f>E102-0.4*D102-E104-E105-1</f>
        <v>171.72500000000014</v>
      </c>
      <c r="F106" s="95">
        <v>1</v>
      </c>
      <c r="G106" s="70">
        <f t="shared" si="28"/>
        <v>171.72500000000014</v>
      </c>
      <c r="H106" s="26">
        <v>1.67E-2</v>
      </c>
      <c r="I106" s="103">
        <f t="shared" si="29"/>
        <v>2.8678075000000023</v>
      </c>
      <c r="J106" s="39">
        <f>+D106-E106-1</f>
        <v>367.49999999999977</v>
      </c>
      <c r="K106" s="95">
        <v>1</v>
      </c>
      <c r="L106" s="70">
        <f t="shared" si="30"/>
        <v>367.49999999999977</v>
      </c>
      <c r="M106" s="96">
        <v>1.67E-2</v>
      </c>
      <c r="N106" s="97">
        <f t="shared" si="31"/>
        <v>6.1372499999999963</v>
      </c>
      <c r="O106" s="94">
        <f t="shared" si="36"/>
        <v>539.22499999999991</v>
      </c>
      <c r="P106" s="73">
        <f t="shared" si="25"/>
        <v>1.6700000000000003E-2</v>
      </c>
      <c r="Q106" s="98">
        <f t="shared" si="32"/>
        <v>9.0050574999999995</v>
      </c>
      <c r="R106" s="137">
        <v>28.51</v>
      </c>
      <c r="S106" s="8">
        <f t="shared" si="33"/>
        <v>256.73418932499999</v>
      </c>
      <c r="T106" s="8"/>
      <c r="U106" s="12"/>
    </row>
    <row r="107" spans="1:21" ht="24.75" customHeight="1" x14ac:dyDescent="0.35">
      <c r="A107" s="145"/>
      <c r="B107" s="45" t="s">
        <v>37</v>
      </c>
      <c r="C107" s="23" t="s">
        <v>42</v>
      </c>
      <c r="D107" s="31">
        <v>2500</v>
      </c>
      <c r="E107" s="25">
        <f>0.8*D107</f>
        <v>2000</v>
      </c>
      <c r="F107" s="26">
        <v>1</v>
      </c>
      <c r="G107" s="27">
        <f t="shared" si="28"/>
        <v>2000</v>
      </c>
      <c r="H107" s="30">
        <v>0.33400000000000002</v>
      </c>
      <c r="I107" s="101">
        <f t="shared" si="29"/>
        <v>668</v>
      </c>
      <c r="J107" s="25">
        <f t="shared" ref="J107:J119" si="37">+D107-E107</f>
        <v>500</v>
      </c>
      <c r="K107" s="26">
        <v>1</v>
      </c>
      <c r="L107" s="27">
        <f t="shared" si="30"/>
        <v>500</v>
      </c>
      <c r="M107" s="30">
        <v>1.67E-2</v>
      </c>
      <c r="N107" s="28">
        <f t="shared" si="31"/>
        <v>8.35</v>
      </c>
      <c r="O107" s="25">
        <f t="shared" si="36"/>
        <v>2500</v>
      </c>
      <c r="P107" s="73">
        <f t="shared" si="25"/>
        <v>0.27054</v>
      </c>
      <c r="Q107" s="88">
        <f t="shared" si="32"/>
        <v>676.35</v>
      </c>
      <c r="R107" s="137">
        <v>28.51</v>
      </c>
      <c r="S107" s="8">
        <f t="shared" si="33"/>
        <v>19282.738500000003</v>
      </c>
      <c r="T107" s="8" t="e">
        <f>R107*#REF!</f>
        <v>#REF!</v>
      </c>
    </row>
    <row r="108" spans="1:21" s="19" customFormat="1" ht="24.75" customHeight="1" x14ac:dyDescent="0.35">
      <c r="A108" s="145"/>
      <c r="B108" s="157"/>
      <c r="C108" s="50" t="s">
        <v>57</v>
      </c>
      <c r="D108" s="29">
        <f>D107</f>
        <v>2500</v>
      </c>
      <c r="E108" s="94">
        <f>D108</f>
        <v>2500</v>
      </c>
      <c r="F108" s="95">
        <v>1</v>
      </c>
      <c r="G108" s="70">
        <f t="shared" si="28"/>
        <v>2500</v>
      </c>
      <c r="H108" s="26">
        <v>8.3500000000000005E-2</v>
      </c>
      <c r="I108" s="103">
        <f t="shared" si="29"/>
        <v>208.75</v>
      </c>
      <c r="J108" s="39">
        <f t="shared" si="37"/>
        <v>0</v>
      </c>
      <c r="K108" s="95">
        <v>1</v>
      </c>
      <c r="L108" s="70">
        <f t="shared" si="30"/>
        <v>0</v>
      </c>
      <c r="M108" s="96">
        <v>1.67E-2</v>
      </c>
      <c r="N108" s="97">
        <f t="shared" si="31"/>
        <v>0</v>
      </c>
      <c r="O108" s="94">
        <f t="shared" si="36"/>
        <v>2500</v>
      </c>
      <c r="P108" s="71">
        <f t="shared" si="25"/>
        <v>8.3500000000000005E-2</v>
      </c>
      <c r="Q108" s="98">
        <f t="shared" si="32"/>
        <v>208.75</v>
      </c>
      <c r="R108" s="137">
        <v>28.51</v>
      </c>
      <c r="S108" s="8">
        <f t="shared" si="33"/>
        <v>5951.4625000000005</v>
      </c>
      <c r="T108" s="8"/>
      <c r="U108" s="12"/>
    </row>
    <row r="109" spans="1:21" s="19" customFormat="1" ht="24.75" customHeight="1" x14ac:dyDescent="0.35">
      <c r="A109" s="145"/>
      <c r="B109" s="157"/>
      <c r="C109" s="50" t="s">
        <v>55</v>
      </c>
      <c r="D109" s="93">
        <f>0.6*D107</f>
        <v>1500</v>
      </c>
      <c r="E109" s="94">
        <f>0.3*D109</f>
        <v>450</v>
      </c>
      <c r="F109" s="95">
        <v>1</v>
      </c>
      <c r="G109" s="70">
        <f t="shared" ref="G109:G131" si="38">E109*F109</f>
        <v>450</v>
      </c>
      <c r="H109" s="26">
        <v>1.67E-2</v>
      </c>
      <c r="I109" s="103">
        <f t="shared" ref="I109:I131" si="39">G109*H109</f>
        <v>7.5149999999999997</v>
      </c>
      <c r="J109" s="39">
        <f t="shared" si="37"/>
        <v>1050</v>
      </c>
      <c r="K109" s="95">
        <v>1</v>
      </c>
      <c r="L109" s="70">
        <f t="shared" ref="L109:L131" si="40">J109*K109</f>
        <v>1050</v>
      </c>
      <c r="M109" s="96">
        <v>1.67E-2</v>
      </c>
      <c r="N109" s="97">
        <f t="shared" ref="N109:N131" si="41">L109*M109</f>
        <v>17.535</v>
      </c>
      <c r="O109" s="94">
        <f t="shared" si="36"/>
        <v>1500</v>
      </c>
      <c r="P109" s="73">
        <f t="shared" si="25"/>
        <v>1.67E-2</v>
      </c>
      <c r="Q109" s="98">
        <f t="shared" ref="Q109:Q131" si="42">+N109+I109</f>
        <v>25.05</v>
      </c>
      <c r="R109" s="137">
        <v>28.51</v>
      </c>
      <c r="S109" s="8">
        <f t="shared" ref="S109:S131" si="43">+Q109*R109</f>
        <v>714.17550000000006</v>
      </c>
      <c r="T109" s="8"/>
      <c r="U109" s="12"/>
    </row>
    <row r="110" spans="1:21" s="19" customFormat="1" ht="24.75" customHeight="1" x14ac:dyDescent="0.35">
      <c r="A110" s="145"/>
      <c r="B110" s="157"/>
      <c r="C110" s="50" t="s">
        <v>56</v>
      </c>
      <c r="D110" s="93">
        <f>D109-E109</f>
        <v>1050</v>
      </c>
      <c r="E110" s="94">
        <f>0.3*D110</f>
        <v>315</v>
      </c>
      <c r="F110" s="95">
        <v>1</v>
      </c>
      <c r="G110" s="70">
        <f t="shared" si="38"/>
        <v>315</v>
      </c>
      <c r="H110" s="26">
        <v>1.67E-2</v>
      </c>
      <c r="I110" s="103">
        <f t="shared" si="39"/>
        <v>5.2604999999999995</v>
      </c>
      <c r="J110" s="39">
        <f t="shared" si="37"/>
        <v>735</v>
      </c>
      <c r="K110" s="95">
        <v>1</v>
      </c>
      <c r="L110" s="70">
        <f t="shared" si="40"/>
        <v>735</v>
      </c>
      <c r="M110" s="96">
        <v>1.67E-2</v>
      </c>
      <c r="N110" s="97">
        <f t="shared" si="41"/>
        <v>12.2745</v>
      </c>
      <c r="O110" s="94">
        <f t="shared" si="36"/>
        <v>1050</v>
      </c>
      <c r="P110" s="73">
        <f t="shared" si="25"/>
        <v>1.67E-2</v>
      </c>
      <c r="Q110" s="98">
        <f t="shared" si="42"/>
        <v>17.535</v>
      </c>
      <c r="R110" s="137">
        <v>28.51</v>
      </c>
      <c r="S110" s="8">
        <f t="shared" si="43"/>
        <v>499.92285000000004</v>
      </c>
      <c r="T110" s="8"/>
      <c r="U110" s="12"/>
    </row>
    <row r="111" spans="1:21" s="19" customFormat="1" ht="24.75" customHeight="1" x14ac:dyDescent="0.35">
      <c r="A111" s="145"/>
      <c r="B111" s="158"/>
      <c r="C111" s="50" t="s">
        <v>58</v>
      </c>
      <c r="D111" s="93">
        <f>D110-E110</f>
        <v>735</v>
      </c>
      <c r="E111" s="94">
        <f>E107-0.4*D107-E109-E110</f>
        <v>235</v>
      </c>
      <c r="F111" s="95">
        <v>1</v>
      </c>
      <c r="G111" s="70">
        <f t="shared" si="38"/>
        <v>235</v>
      </c>
      <c r="H111" s="26">
        <v>1.67E-2</v>
      </c>
      <c r="I111" s="103">
        <f t="shared" si="39"/>
        <v>3.9245000000000001</v>
      </c>
      <c r="J111" s="39">
        <f t="shared" si="37"/>
        <v>500</v>
      </c>
      <c r="K111" s="95">
        <v>1</v>
      </c>
      <c r="L111" s="70">
        <f t="shared" si="40"/>
        <v>500</v>
      </c>
      <c r="M111" s="96">
        <v>1.67E-2</v>
      </c>
      <c r="N111" s="97">
        <f t="shared" si="41"/>
        <v>8.35</v>
      </c>
      <c r="O111" s="94">
        <f t="shared" si="36"/>
        <v>735</v>
      </c>
      <c r="P111" s="73">
        <f t="shared" si="25"/>
        <v>1.67E-2</v>
      </c>
      <c r="Q111" s="98">
        <f t="shared" si="42"/>
        <v>12.2745</v>
      </c>
      <c r="R111" s="137">
        <v>28.51</v>
      </c>
      <c r="S111" s="8">
        <f t="shared" si="43"/>
        <v>349.94599500000004</v>
      </c>
      <c r="T111" s="8"/>
      <c r="U111" s="12"/>
    </row>
    <row r="112" spans="1:21" ht="24.75" customHeight="1" x14ac:dyDescent="0.35">
      <c r="A112" s="145"/>
      <c r="B112" s="45" t="s">
        <v>22</v>
      </c>
      <c r="C112" s="23" t="s">
        <v>42</v>
      </c>
      <c r="D112" s="31">
        <v>2500</v>
      </c>
      <c r="E112" s="25">
        <f>0.8*D112</f>
        <v>2000</v>
      </c>
      <c r="F112" s="26">
        <v>1</v>
      </c>
      <c r="G112" s="27">
        <f t="shared" si="38"/>
        <v>2000</v>
      </c>
      <c r="H112" s="30">
        <v>0.33400000000000002</v>
      </c>
      <c r="I112" s="101">
        <f t="shared" si="39"/>
        <v>668</v>
      </c>
      <c r="J112" s="25">
        <f t="shared" si="37"/>
        <v>500</v>
      </c>
      <c r="K112" s="26">
        <v>1</v>
      </c>
      <c r="L112" s="27">
        <f t="shared" si="40"/>
        <v>500</v>
      </c>
      <c r="M112" s="30">
        <v>1.67E-2</v>
      </c>
      <c r="N112" s="28">
        <f t="shared" si="41"/>
        <v>8.35</v>
      </c>
      <c r="O112" s="94">
        <f t="shared" si="36"/>
        <v>2500</v>
      </c>
      <c r="P112" s="71">
        <f t="shared" si="25"/>
        <v>0.27054</v>
      </c>
      <c r="Q112" s="88">
        <f t="shared" si="42"/>
        <v>676.35</v>
      </c>
      <c r="R112" s="137">
        <v>28.51</v>
      </c>
      <c r="S112" s="8">
        <f t="shared" si="43"/>
        <v>19282.738500000003</v>
      </c>
      <c r="T112" s="8" t="e">
        <f>R112*#REF!</f>
        <v>#REF!</v>
      </c>
      <c r="U112" s="19"/>
    </row>
    <row r="113" spans="1:21" s="19" customFormat="1" ht="24.75" customHeight="1" x14ac:dyDescent="0.35">
      <c r="A113" s="145"/>
      <c r="B113" s="157"/>
      <c r="C113" s="50" t="s">
        <v>57</v>
      </c>
      <c r="D113" s="29">
        <f>D112</f>
        <v>2500</v>
      </c>
      <c r="E113" s="94">
        <f>D113</f>
        <v>2500</v>
      </c>
      <c r="F113" s="95">
        <v>1</v>
      </c>
      <c r="G113" s="70">
        <f t="shared" si="38"/>
        <v>2500</v>
      </c>
      <c r="H113" s="26">
        <v>8.3500000000000005E-2</v>
      </c>
      <c r="I113" s="103">
        <f t="shared" si="39"/>
        <v>208.75</v>
      </c>
      <c r="J113" s="39">
        <f t="shared" si="37"/>
        <v>0</v>
      </c>
      <c r="K113" s="95">
        <v>1</v>
      </c>
      <c r="L113" s="70">
        <f t="shared" si="40"/>
        <v>0</v>
      </c>
      <c r="M113" s="96">
        <v>1.67E-2</v>
      </c>
      <c r="N113" s="97">
        <f t="shared" si="41"/>
        <v>0</v>
      </c>
      <c r="O113" s="94">
        <f t="shared" si="36"/>
        <v>2500</v>
      </c>
      <c r="P113" s="71">
        <f t="shared" si="25"/>
        <v>8.3500000000000005E-2</v>
      </c>
      <c r="Q113" s="98">
        <f t="shared" si="42"/>
        <v>208.75</v>
      </c>
      <c r="R113" s="137">
        <v>28.51</v>
      </c>
      <c r="S113" s="8">
        <f t="shared" si="43"/>
        <v>5951.4625000000005</v>
      </c>
      <c r="T113" s="8"/>
      <c r="U113" s="12"/>
    </row>
    <row r="114" spans="1:21" s="19" customFormat="1" ht="24.75" customHeight="1" x14ac:dyDescent="0.35">
      <c r="A114" s="145"/>
      <c r="B114" s="157"/>
      <c r="C114" s="50" t="s">
        <v>55</v>
      </c>
      <c r="D114" s="93">
        <f>0.6*D112</f>
        <v>1500</v>
      </c>
      <c r="E114" s="94">
        <f>0.3*D114</f>
        <v>450</v>
      </c>
      <c r="F114" s="95">
        <v>1</v>
      </c>
      <c r="G114" s="70">
        <f t="shared" si="38"/>
        <v>450</v>
      </c>
      <c r="H114" s="26">
        <v>1.67E-2</v>
      </c>
      <c r="I114" s="103">
        <f t="shared" si="39"/>
        <v>7.5149999999999997</v>
      </c>
      <c r="J114" s="39">
        <f t="shared" si="37"/>
        <v>1050</v>
      </c>
      <c r="K114" s="95">
        <v>1</v>
      </c>
      <c r="L114" s="70">
        <f t="shared" si="40"/>
        <v>1050</v>
      </c>
      <c r="M114" s="96">
        <v>1.67E-2</v>
      </c>
      <c r="N114" s="97">
        <f t="shared" si="41"/>
        <v>17.535</v>
      </c>
      <c r="O114" s="94">
        <f t="shared" si="36"/>
        <v>1500</v>
      </c>
      <c r="P114" s="73">
        <f t="shared" si="25"/>
        <v>1.67E-2</v>
      </c>
      <c r="Q114" s="98">
        <f t="shared" si="42"/>
        <v>25.05</v>
      </c>
      <c r="R114" s="137">
        <v>28.51</v>
      </c>
      <c r="S114" s="8">
        <f t="shared" si="43"/>
        <v>714.17550000000006</v>
      </c>
      <c r="T114" s="8"/>
      <c r="U114" s="12"/>
    </row>
    <row r="115" spans="1:21" s="19" customFormat="1" ht="24.75" customHeight="1" x14ac:dyDescent="0.35">
      <c r="A115" s="145"/>
      <c r="B115" s="157"/>
      <c r="C115" s="50" t="s">
        <v>56</v>
      </c>
      <c r="D115" s="93">
        <f>D114-E114</f>
        <v>1050</v>
      </c>
      <c r="E115" s="94">
        <f>0.3*D115</f>
        <v>315</v>
      </c>
      <c r="F115" s="95">
        <v>1</v>
      </c>
      <c r="G115" s="70">
        <f t="shared" si="38"/>
        <v>315</v>
      </c>
      <c r="H115" s="26">
        <v>1.67E-2</v>
      </c>
      <c r="I115" s="103">
        <f t="shared" si="39"/>
        <v>5.2604999999999995</v>
      </c>
      <c r="J115" s="39">
        <f t="shared" si="37"/>
        <v>735</v>
      </c>
      <c r="K115" s="95">
        <v>1</v>
      </c>
      <c r="L115" s="70">
        <f t="shared" si="40"/>
        <v>735</v>
      </c>
      <c r="M115" s="96">
        <v>1.67E-2</v>
      </c>
      <c r="N115" s="97">
        <f t="shared" si="41"/>
        <v>12.2745</v>
      </c>
      <c r="O115" s="94">
        <f t="shared" si="36"/>
        <v>1050</v>
      </c>
      <c r="P115" s="73">
        <f t="shared" si="25"/>
        <v>1.67E-2</v>
      </c>
      <c r="Q115" s="98">
        <f t="shared" si="42"/>
        <v>17.535</v>
      </c>
      <c r="R115" s="137">
        <v>28.51</v>
      </c>
      <c r="S115" s="8">
        <f t="shared" si="43"/>
        <v>499.92285000000004</v>
      </c>
      <c r="T115" s="8"/>
      <c r="U115" s="12"/>
    </row>
    <row r="116" spans="1:21" s="19" customFormat="1" ht="24.75" customHeight="1" x14ac:dyDescent="0.35">
      <c r="A116" s="145"/>
      <c r="B116" s="158"/>
      <c r="C116" s="50" t="s">
        <v>58</v>
      </c>
      <c r="D116" s="93">
        <f>D115-E115</f>
        <v>735</v>
      </c>
      <c r="E116" s="94">
        <f>E112-0.4*D112-E114-E115</f>
        <v>235</v>
      </c>
      <c r="F116" s="95">
        <v>1</v>
      </c>
      <c r="G116" s="70">
        <f t="shared" si="38"/>
        <v>235</v>
      </c>
      <c r="H116" s="26">
        <v>1.67E-2</v>
      </c>
      <c r="I116" s="103">
        <f t="shared" si="39"/>
        <v>3.9245000000000001</v>
      </c>
      <c r="J116" s="39">
        <f t="shared" si="37"/>
        <v>500</v>
      </c>
      <c r="K116" s="95">
        <v>1</v>
      </c>
      <c r="L116" s="70">
        <f t="shared" si="40"/>
        <v>500</v>
      </c>
      <c r="M116" s="96">
        <v>1.67E-2</v>
      </c>
      <c r="N116" s="97">
        <f t="shared" si="41"/>
        <v>8.35</v>
      </c>
      <c r="O116" s="94">
        <f t="shared" si="36"/>
        <v>735</v>
      </c>
      <c r="P116" s="73">
        <f t="shared" si="25"/>
        <v>1.67E-2</v>
      </c>
      <c r="Q116" s="98">
        <f t="shared" si="42"/>
        <v>12.2745</v>
      </c>
      <c r="R116" s="137">
        <v>28.51</v>
      </c>
      <c r="S116" s="8">
        <f t="shared" si="43"/>
        <v>349.94599500000004</v>
      </c>
      <c r="T116" s="8"/>
      <c r="U116" s="12"/>
    </row>
    <row r="117" spans="1:21" x14ac:dyDescent="0.35">
      <c r="A117" s="145"/>
      <c r="B117" s="44" t="s">
        <v>50</v>
      </c>
      <c r="C117" s="23" t="s">
        <v>42</v>
      </c>
      <c r="D117" s="31">
        <f>300*0.3</f>
        <v>90</v>
      </c>
      <c r="E117" s="25">
        <f>0.8*D117</f>
        <v>72</v>
      </c>
      <c r="F117" s="26">
        <v>1</v>
      </c>
      <c r="G117" s="27">
        <f t="shared" si="38"/>
        <v>72</v>
      </c>
      <c r="H117" s="30">
        <v>0.33400000000000002</v>
      </c>
      <c r="I117" s="101">
        <f t="shared" si="39"/>
        <v>24.048000000000002</v>
      </c>
      <c r="J117" s="25">
        <f t="shared" si="37"/>
        <v>18</v>
      </c>
      <c r="K117" s="26">
        <v>1</v>
      </c>
      <c r="L117" s="27">
        <f t="shared" si="40"/>
        <v>18</v>
      </c>
      <c r="M117" s="30">
        <v>1.67E-2</v>
      </c>
      <c r="N117" s="28">
        <f t="shared" si="41"/>
        <v>0.30059999999999998</v>
      </c>
      <c r="O117" s="25">
        <f t="shared" si="36"/>
        <v>90</v>
      </c>
      <c r="P117" s="73">
        <f t="shared" si="25"/>
        <v>0.27054</v>
      </c>
      <c r="Q117" s="88">
        <f t="shared" si="42"/>
        <v>24.348600000000001</v>
      </c>
      <c r="R117" s="137">
        <v>28.51</v>
      </c>
      <c r="S117" s="8">
        <f t="shared" si="43"/>
        <v>694.17858600000011</v>
      </c>
      <c r="T117" s="8" t="e">
        <f>R117*#REF!</f>
        <v>#REF!</v>
      </c>
    </row>
    <row r="118" spans="1:21" s="19" customFormat="1" ht="24.75" customHeight="1" x14ac:dyDescent="0.35">
      <c r="A118" s="145"/>
      <c r="B118" s="157"/>
      <c r="C118" s="50" t="s">
        <v>57</v>
      </c>
      <c r="D118" s="29">
        <f>D117</f>
        <v>90</v>
      </c>
      <c r="E118" s="94">
        <f>D118</f>
        <v>90</v>
      </c>
      <c r="F118" s="95">
        <v>1</v>
      </c>
      <c r="G118" s="70">
        <f t="shared" si="38"/>
        <v>90</v>
      </c>
      <c r="H118" s="26">
        <v>8.3500000000000005E-2</v>
      </c>
      <c r="I118" s="103">
        <f t="shared" si="39"/>
        <v>7.5150000000000006</v>
      </c>
      <c r="J118" s="39">
        <f t="shared" si="37"/>
        <v>0</v>
      </c>
      <c r="K118" s="95">
        <v>1</v>
      </c>
      <c r="L118" s="70">
        <f t="shared" si="40"/>
        <v>0</v>
      </c>
      <c r="M118" s="96">
        <v>1.67E-2</v>
      </c>
      <c r="N118" s="97">
        <f t="shared" si="41"/>
        <v>0</v>
      </c>
      <c r="O118" s="94">
        <f t="shared" si="36"/>
        <v>90</v>
      </c>
      <c r="P118" s="71">
        <f t="shared" si="25"/>
        <v>8.3500000000000005E-2</v>
      </c>
      <c r="Q118" s="98">
        <f t="shared" si="42"/>
        <v>7.5150000000000006</v>
      </c>
      <c r="R118" s="137">
        <v>28.51</v>
      </c>
      <c r="S118" s="8">
        <f t="shared" si="43"/>
        <v>214.25265000000002</v>
      </c>
      <c r="T118" s="8"/>
      <c r="U118" s="12"/>
    </row>
    <row r="119" spans="1:21" s="19" customFormat="1" ht="24.75" customHeight="1" x14ac:dyDescent="0.35">
      <c r="A119" s="145"/>
      <c r="B119" s="157"/>
      <c r="C119" s="50" t="s">
        <v>55</v>
      </c>
      <c r="D119" s="93">
        <f>0.6*D117</f>
        <v>54</v>
      </c>
      <c r="E119" s="94">
        <f>0.3*D119</f>
        <v>16.2</v>
      </c>
      <c r="F119" s="95">
        <v>1</v>
      </c>
      <c r="G119" s="70">
        <f t="shared" si="38"/>
        <v>16.2</v>
      </c>
      <c r="H119" s="26">
        <v>1.67E-2</v>
      </c>
      <c r="I119" s="103">
        <f t="shared" si="39"/>
        <v>0.27054</v>
      </c>
      <c r="J119" s="39">
        <f t="shared" si="37"/>
        <v>37.799999999999997</v>
      </c>
      <c r="K119" s="95">
        <v>1</v>
      </c>
      <c r="L119" s="70">
        <f t="shared" si="40"/>
        <v>37.799999999999997</v>
      </c>
      <c r="M119" s="96">
        <v>1.67E-2</v>
      </c>
      <c r="N119" s="97">
        <f t="shared" si="41"/>
        <v>0.63125999999999993</v>
      </c>
      <c r="O119" s="94">
        <f t="shared" si="36"/>
        <v>54</v>
      </c>
      <c r="P119" s="73">
        <f t="shared" si="25"/>
        <v>1.67E-2</v>
      </c>
      <c r="Q119" s="98">
        <f t="shared" si="42"/>
        <v>0.90179999999999993</v>
      </c>
      <c r="R119" s="137">
        <v>28.51</v>
      </c>
      <c r="S119" s="8">
        <f t="shared" si="43"/>
        <v>25.710318000000001</v>
      </c>
      <c r="T119" s="8"/>
      <c r="U119" s="12"/>
    </row>
    <row r="120" spans="1:21" s="19" customFormat="1" ht="24.75" customHeight="1" x14ac:dyDescent="0.35">
      <c r="A120" s="145"/>
      <c r="B120" s="157"/>
      <c r="C120" s="50" t="s">
        <v>56</v>
      </c>
      <c r="D120" s="93">
        <f>D119-E119</f>
        <v>37.799999999999997</v>
      </c>
      <c r="E120" s="94">
        <f>0.3*D120</f>
        <v>11.339999999999998</v>
      </c>
      <c r="F120" s="95">
        <v>1</v>
      </c>
      <c r="G120" s="70">
        <f t="shared" si="38"/>
        <v>11.339999999999998</v>
      </c>
      <c r="H120" s="26">
        <v>1.67E-2</v>
      </c>
      <c r="I120" s="103">
        <f t="shared" si="39"/>
        <v>0.18937799999999996</v>
      </c>
      <c r="J120" s="39">
        <f>+D120-E120+1</f>
        <v>27.46</v>
      </c>
      <c r="K120" s="95">
        <v>1</v>
      </c>
      <c r="L120" s="70">
        <f t="shared" si="40"/>
        <v>27.46</v>
      </c>
      <c r="M120" s="96">
        <v>1.67E-2</v>
      </c>
      <c r="N120" s="97">
        <f t="shared" si="41"/>
        <v>0.45858199999999999</v>
      </c>
      <c r="O120" s="94">
        <f t="shared" si="36"/>
        <v>38.799999999999997</v>
      </c>
      <c r="P120" s="73">
        <f t="shared" si="25"/>
        <v>1.67E-2</v>
      </c>
      <c r="Q120" s="98">
        <f t="shared" si="42"/>
        <v>0.64795999999999998</v>
      </c>
      <c r="R120" s="137">
        <v>28.51</v>
      </c>
      <c r="S120" s="8">
        <f t="shared" si="43"/>
        <v>18.473339599999999</v>
      </c>
      <c r="T120" s="8"/>
      <c r="U120" s="12"/>
    </row>
    <row r="121" spans="1:21" s="19" customFormat="1" ht="24.75" customHeight="1" x14ac:dyDescent="0.35">
      <c r="A121" s="145"/>
      <c r="B121" s="158"/>
      <c r="C121" s="50" t="s">
        <v>58</v>
      </c>
      <c r="D121" s="93">
        <f>D120-E120+1</f>
        <v>27.46</v>
      </c>
      <c r="E121" s="94">
        <f>E117-0.4*D117-E119-E120</f>
        <v>8.4600000000000026</v>
      </c>
      <c r="F121" s="95">
        <v>1</v>
      </c>
      <c r="G121" s="70">
        <f t="shared" si="38"/>
        <v>8.4600000000000026</v>
      </c>
      <c r="H121" s="26">
        <v>1.67E-2</v>
      </c>
      <c r="I121" s="103">
        <f t="shared" si="39"/>
        <v>0.14128200000000005</v>
      </c>
      <c r="J121" s="39">
        <f>+D121-E121</f>
        <v>19</v>
      </c>
      <c r="K121" s="95">
        <v>1</v>
      </c>
      <c r="L121" s="70">
        <f t="shared" si="40"/>
        <v>19</v>
      </c>
      <c r="M121" s="96">
        <v>1.67E-2</v>
      </c>
      <c r="N121" s="97">
        <f t="shared" si="41"/>
        <v>0.31729999999999997</v>
      </c>
      <c r="O121" s="94">
        <f t="shared" si="36"/>
        <v>27.46</v>
      </c>
      <c r="P121" s="73">
        <f t="shared" si="25"/>
        <v>1.67E-2</v>
      </c>
      <c r="Q121" s="98">
        <f t="shared" si="42"/>
        <v>0.45858200000000005</v>
      </c>
      <c r="R121" s="137">
        <v>28.51</v>
      </c>
      <c r="S121" s="8">
        <f t="shared" si="43"/>
        <v>13.074172820000001</v>
      </c>
      <c r="T121" s="8"/>
      <c r="U121" s="12"/>
    </row>
    <row r="122" spans="1:21" ht="21" x14ac:dyDescent="0.35">
      <c r="A122" s="145"/>
      <c r="B122" s="44" t="s">
        <v>51</v>
      </c>
      <c r="C122" s="23" t="s">
        <v>42</v>
      </c>
      <c r="D122" s="31">
        <f>2625*0.2</f>
        <v>525</v>
      </c>
      <c r="E122" s="25">
        <f>0.8*D122</f>
        <v>420</v>
      </c>
      <c r="F122" s="26">
        <v>1</v>
      </c>
      <c r="G122" s="27">
        <f t="shared" si="38"/>
        <v>420</v>
      </c>
      <c r="H122" s="30">
        <v>0.33400000000000002</v>
      </c>
      <c r="I122" s="101">
        <f t="shared" si="39"/>
        <v>140.28</v>
      </c>
      <c r="J122" s="25">
        <f>+D122-E122</f>
        <v>105</v>
      </c>
      <c r="K122" s="26">
        <v>1</v>
      </c>
      <c r="L122" s="27">
        <f t="shared" si="40"/>
        <v>105</v>
      </c>
      <c r="M122" s="30">
        <v>1.67E-2</v>
      </c>
      <c r="N122" s="28">
        <f t="shared" si="41"/>
        <v>1.7535000000000001</v>
      </c>
      <c r="O122" s="25">
        <f t="shared" si="36"/>
        <v>525</v>
      </c>
      <c r="P122" s="73">
        <f t="shared" si="25"/>
        <v>0.27054</v>
      </c>
      <c r="Q122" s="88">
        <f t="shared" si="42"/>
        <v>142.0335</v>
      </c>
      <c r="R122" s="137">
        <v>28.51</v>
      </c>
      <c r="S122" s="8">
        <f t="shared" si="43"/>
        <v>4049.3750850000001</v>
      </c>
      <c r="T122" s="8" t="e">
        <f>R122*#REF!</f>
        <v>#REF!</v>
      </c>
    </row>
    <row r="123" spans="1:21" s="19" customFormat="1" ht="24.75" customHeight="1" x14ac:dyDescent="0.35">
      <c r="A123" s="145"/>
      <c r="B123" s="157"/>
      <c r="C123" s="50" t="s">
        <v>57</v>
      </c>
      <c r="D123" s="29">
        <f>D122</f>
        <v>525</v>
      </c>
      <c r="E123" s="94">
        <f>D123</f>
        <v>525</v>
      </c>
      <c r="F123" s="95">
        <v>1</v>
      </c>
      <c r="G123" s="70">
        <f t="shared" si="38"/>
        <v>525</v>
      </c>
      <c r="H123" s="26">
        <v>8.3500000000000005E-2</v>
      </c>
      <c r="I123" s="103">
        <f t="shared" si="39"/>
        <v>43.837500000000006</v>
      </c>
      <c r="J123" s="39">
        <f>+D123-E123</f>
        <v>0</v>
      </c>
      <c r="K123" s="95">
        <v>1</v>
      </c>
      <c r="L123" s="70">
        <f t="shared" si="40"/>
        <v>0</v>
      </c>
      <c r="M123" s="96">
        <v>1.67E-2</v>
      </c>
      <c r="N123" s="97">
        <f t="shared" si="41"/>
        <v>0</v>
      </c>
      <c r="O123" s="94">
        <f t="shared" si="36"/>
        <v>525</v>
      </c>
      <c r="P123" s="71">
        <f t="shared" si="25"/>
        <v>8.3500000000000005E-2</v>
      </c>
      <c r="Q123" s="98">
        <f t="shared" si="42"/>
        <v>43.837500000000006</v>
      </c>
      <c r="R123" s="137">
        <v>28.51</v>
      </c>
      <c r="S123" s="8">
        <f t="shared" si="43"/>
        <v>1249.8071250000003</v>
      </c>
      <c r="T123" s="8"/>
      <c r="U123" s="12"/>
    </row>
    <row r="124" spans="1:21" s="19" customFormat="1" ht="24.75" customHeight="1" x14ac:dyDescent="0.35">
      <c r="A124" s="145"/>
      <c r="B124" s="157"/>
      <c r="C124" s="50" t="s">
        <v>55</v>
      </c>
      <c r="D124" s="93">
        <f>0.6*D122</f>
        <v>315</v>
      </c>
      <c r="E124" s="94">
        <f>0.3*D124-1</f>
        <v>93.5</v>
      </c>
      <c r="F124" s="95">
        <v>1</v>
      </c>
      <c r="G124" s="70">
        <f t="shared" si="38"/>
        <v>93.5</v>
      </c>
      <c r="H124" s="26">
        <v>1.67E-2</v>
      </c>
      <c r="I124" s="103">
        <f t="shared" si="39"/>
        <v>1.56145</v>
      </c>
      <c r="J124" s="39">
        <f>+D124-E124-1</f>
        <v>220.5</v>
      </c>
      <c r="K124" s="95">
        <v>1</v>
      </c>
      <c r="L124" s="70">
        <f t="shared" si="40"/>
        <v>220.5</v>
      </c>
      <c r="M124" s="96">
        <v>1.67E-2</v>
      </c>
      <c r="N124" s="97">
        <f t="shared" si="41"/>
        <v>3.68235</v>
      </c>
      <c r="O124" s="94">
        <f t="shared" si="36"/>
        <v>314</v>
      </c>
      <c r="P124" s="73">
        <f t="shared" si="25"/>
        <v>1.67E-2</v>
      </c>
      <c r="Q124" s="98">
        <f t="shared" si="42"/>
        <v>5.2438000000000002</v>
      </c>
      <c r="R124" s="137">
        <v>28.51</v>
      </c>
      <c r="S124" s="8">
        <f t="shared" si="43"/>
        <v>149.50073800000001</v>
      </c>
      <c r="T124" s="8"/>
      <c r="U124" s="12"/>
    </row>
    <row r="125" spans="1:21" s="19" customFormat="1" ht="24.75" customHeight="1" x14ac:dyDescent="0.35">
      <c r="A125" s="145"/>
      <c r="B125" s="157"/>
      <c r="C125" s="50" t="s">
        <v>56</v>
      </c>
      <c r="D125" s="93">
        <f>D124-E124-1</f>
        <v>220.5</v>
      </c>
      <c r="E125" s="94">
        <f>0.3*D125</f>
        <v>66.149999999999991</v>
      </c>
      <c r="F125" s="95">
        <v>1</v>
      </c>
      <c r="G125" s="70">
        <f t="shared" si="38"/>
        <v>66.149999999999991</v>
      </c>
      <c r="H125" s="26">
        <v>1.67E-2</v>
      </c>
      <c r="I125" s="103">
        <f t="shared" si="39"/>
        <v>1.1047049999999998</v>
      </c>
      <c r="J125" s="39">
        <f>+D125-E125+1</f>
        <v>155.35000000000002</v>
      </c>
      <c r="K125" s="95">
        <v>1</v>
      </c>
      <c r="L125" s="70">
        <f t="shared" si="40"/>
        <v>155.35000000000002</v>
      </c>
      <c r="M125" s="96">
        <v>1.67E-2</v>
      </c>
      <c r="N125" s="97">
        <f t="shared" si="41"/>
        <v>2.5943450000000001</v>
      </c>
      <c r="O125" s="94">
        <f t="shared" si="36"/>
        <v>221.5</v>
      </c>
      <c r="P125" s="73">
        <f t="shared" si="25"/>
        <v>1.67E-2</v>
      </c>
      <c r="Q125" s="98">
        <f t="shared" si="42"/>
        <v>3.6990499999999997</v>
      </c>
      <c r="R125" s="137">
        <v>28.51</v>
      </c>
      <c r="S125" s="8">
        <f t="shared" si="43"/>
        <v>105.45991549999999</v>
      </c>
      <c r="T125" s="8"/>
      <c r="U125" s="12"/>
    </row>
    <row r="126" spans="1:21" s="19" customFormat="1" ht="24.75" customHeight="1" x14ac:dyDescent="0.35">
      <c r="A126" s="145"/>
      <c r="B126" s="158"/>
      <c r="C126" s="50" t="s">
        <v>58</v>
      </c>
      <c r="D126" s="93">
        <f>D125-E125+1</f>
        <v>155.35000000000002</v>
      </c>
      <c r="E126" s="94">
        <f>E122-0.4*D122-E124-E125</f>
        <v>50.350000000000009</v>
      </c>
      <c r="F126" s="95">
        <v>1</v>
      </c>
      <c r="G126" s="70">
        <f t="shared" si="38"/>
        <v>50.350000000000009</v>
      </c>
      <c r="H126" s="26">
        <v>1.67E-2</v>
      </c>
      <c r="I126" s="103">
        <f t="shared" si="39"/>
        <v>0.84084500000000018</v>
      </c>
      <c r="J126" s="39">
        <f>+D126-E126</f>
        <v>105.00000000000001</v>
      </c>
      <c r="K126" s="95">
        <v>1</v>
      </c>
      <c r="L126" s="70">
        <f t="shared" si="40"/>
        <v>105.00000000000001</v>
      </c>
      <c r="M126" s="96">
        <v>1.67E-2</v>
      </c>
      <c r="N126" s="97">
        <f t="shared" si="41"/>
        <v>1.7535000000000003</v>
      </c>
      <c r="O126" s="94">
        <f t="shared" si="36"/>
        <v>155.35000000000002</v>
      </c>
      <c r="P126" s="73">
        <f t="shared" si="25"/>
        <v>1.67E-2</v>
      </c>
      <c r="Q126" s="98">
        <f t="shared" si="42"/>
        <v>2.5943450000000006</v>
      </c>
      <c r="R126" s="137">
        <v>28.51</v>
      </c>
      <c r="S126" s="8">
        <f t="shared" si="43"/>
        <v>73.964775950000018</v>
      </c>
      <c r="T126" s="8"/>
      <c r="U126" s="12"/>
    </row>
    <row r="127" spans="1:21" ht="28.5" customHeight="1" x14ac:dyDescent="0.35">
      <c r="A127" s="145"/>
      <c r="B127" s="45" t="s">
        <v>23</v>
      </c>
      <c r="C127" s="23" t="s">
        <v>42</v>
      </c>
      <c r="D127" s="31">
        <f>1838*0.2</f>
        <v>367.6</v>
      </c>
      <c r="E127" s="162">
        <f>0.8*D127</f>
        <v>294.08000000000004</v>
      </c>
      <c r="F127" s="26">
        <v>1</v>
      </c>
      <c r="G127" s="27">
        <f t="shared" si="38"/>
        <v>294.08000000000004</v>
      </c>
      <c r="H127" s="30">
        <v>0.33400000000000002</v>
      </c>
      <c r="I127" s="101">
        <f t="shared" si="39"/>
        <v>98.222720000000024</v>
      </c>
      <c r="J127" s="25">
        <f>+D127-E127</f>
        <v>73.519999999999982</v>
      </c>
      <c r="K127" s="26">
        <v>1</v>
      </c>
      <c r="L127" s="27">
        <f t="shared" si="40"/>
        <v>73.519999999999982</v>
      </c>
      <c r="M127" s="30">
        <v>1.67E-2</v>
      </c>
      <c r="N127" s="28">
        <f t="shared" si="41"/>
        <v>1.2277839999999998</v>
      </c>
      <c r="O127" s="25">
        <f t="shared" si="36"/>
        <v>367.6</v>
      </c>
      <c r="P127" s="73">
        <f t="shared" si="25"/>
        <v>0.27054000000000006</v>
      </c>
      <c r="Q127" s="179">
        <f t="shared" si="42"/>
        <v>99.450504000000024</v>
      </c>
      <c r="R127" s="137">
        <v>28.51</v>
      </c>
      <c r="S127" s="138">
        <f t="shared" si="43"/>
        <v>2835.333869040001</v>
      </c>
      <c r="T127" s="8" t="e">
        <f>R127*#REF!</f>
        <v>#REF!</v>
      </c>
      <c r="U127" s="19"/>
    </row>
    <row r="128" spans="1:21" s="19" customFormat="1" ht="24.75" customHeight="1" x14ac:dyDescent="0.35">
      <c r="A128" s="145"/>
      <c r="B128" s="157"/>
      <c r="C128" s="50" t="s">
        <v>57</v>
      </c>
      <c r="D128" s="29">
        <f>D127</f>
        <v>367.6</v>
      </c>
      <c r="E128" s="162">
        <f>D128</f>
        <v>367.6</v>
      </c>
      <c r="F128" s="26">
        <v>1</v>
      </c>
      <c r="G128" s="70">
        <f t="shared" si="38"/>
        <v>367.6</v>
      </c>
      <c r="H128" s="95">
        <v>8.3500000000000005E-2</v>
      </c>
      <c r="I128" s="103">
        <f t="shared" si="39"/>
        <v>30.694600000000005</v>
      </c>
      <c r="J128" s="131">
        <f>+D128-E128</f>
        <v>0</v>
      </c>
      <c r="K128" s="95">
        <v>1</v>
      </c>
      <c r="L128" s="70">
        <f t="shared" si="40"/>
        <v>0</v>
      </c>
      <c r="M128" s="96">
        <v>1.67E-2</v>
      </c>
      <c r="N128" s="97">
        <f t="shared" si="41"/>
        <v>0</v>
      </c>
      <c r="O128" s="94">
        <f t="shared" si="36"/>
        <v>367.6</v>
      </c>
      <c r="P128" s="71">
        <f t="shared" si="25"/>
        <v>8.3500000000000005E-2</v>
      </c>
      <c r="Q128" s="98">
        <f t="shared" si="42"/>
        <v>30.694600000000005</v>
      </c>
      <c r="R128" s="137">
        <v>28.51</v>
      </c>
      <c r="S128" s="8">
        <f t="shared" si="43"/>
        <v>875.10304600000018</v>
      </c>
      <c r="T128" s="8"/>
      <c r="U128" s="12"/>
    </row>
    <row r="129" spans="1:21" s="19" customFormat="1" ht="24.75" customHeight="1" x14ac:dyDescent="0.35">
      <c r="A129" s="145"/>
      <c r="B129" s="157"/>
      <c r="C129" s="50" t="s">
        <v>55</v>
      </c>
      <c r="D129" s="93">
        <f>0.6*D127</f>
        <v>220.56</v>
      </c>
      <c r="E129" s="94">
        <f>0.3*D129-1</f>
        <v>65.167999999999992</v>
      </c>
      <c r="F129" s="95">
        <v>1</v>
      </c>
      <c r="G129" s="70">
        <f t="shared" si="38"/>
        <v>65.167999999999992</v>
      </c>
      <c r="H129" s="26">
        <v>1.67E-2</v>
      </c>
      <c r="I129" s="103">
        <f t="shared" si="39"/>
        <v>1.0883055999999998</v>
      </c>
      <c r="J129" s="39">
        <f>+D129-E129+1</f>
        <v>156.392</v>
      </c>
      <c r="K129" s="95">
        <v>1</v>
      </c>
      <c r="L129" s="70">
        <f t="shared" si="40"/>
        <v>156.392</v>
      </c>
      <c r="M129" s="96">
        <v>1.67E-2</v>
      </c>
      <c r="N129" s="97">
        <f t="shared" si="41"/>
        <v>2.6117463999999999</v>
      </c>
      <c r="O129" s="94">
        <f t="shared" si="36"/>
        <v>221.56</v>
      </c>
      <c r="P129" s="73">
        <f t="shared" si="25"/>
        <v>1.6699999999999996E-2</v>
      </c>
      <c r="Q129" s="98">
        <f t="shared" si="42"/>
        <v>3.7000519999999995</v>
      </c>
      <c r="R129" s="137">
        <v>28.51</v>
      </c>
      <c r="S129" s="8">
        <f t="shared" si="43"/>
        <v>105.48848251999999</v>
      </c>
      <c r="T129" s="8"/>
      <c r="U129" s="12"/>
    </row>
    <row r="130" spans="1:21" s="19" customFormat="1" ht="24.75" customHeight="1" x14ac:dyDescent="0.35">
      <c r="A130" s="145"/>
      <c r="B130" s="157"/>
      <c r="C130" s="50" t="s">
        <v>56</v>
      </c>
      <c r="D130" s="93">
        <f>D129-E129+1</f>
        <v>156.392</v>
      </c>
      <c r="E130" s="94">
        <f>0.3*D130</f>
        <v>46.9176</v>
      </c>
      <c r="F130" s="95">
        <v>1</v>
      </c>
      <c r="G130" s="70">
        <f t="shared" si="38"/>
        <v>46.9176</v>
      </c>
      <c r="H130" s="26">
        <v>1.67E-2</v>
      </c>
      <c r="I130" s="103">
        <f t="shared" si="39"/>
        <v>0.78352391999999993</v>
      </c>
      <c r="J130" s="39">
        <f>+D130-E130</f>
        <v>109.4744</v>
      </c>
      <c r="K130" s="95">
        <v>1</v>
      </c>
      <c r="L130" s="70">
        <f t="shared" si="40"/>
        <v>109.4744</v>
      </c>
      <c r="M130" s="96">
        <v>1.67E-2</v>
      </c>
      <c r="N130" s="97">
        <f t="shared" si="41"/>
        <v>1.82822248</v>
      </c>
      <c r="O130" s="94">
        <f t="shared" si="36"/>
        <v>156.392</v>
      </c>
      <c r="P130" s="73">
        <f t="shared" si="25"/>
        <v>1.67E-2</v>
      </c>
      <c r="Q130" s="98">
        <f t="shared" si="42"/>
        <v>2.6117463999999999</v>
      </c>
      <c r="R130" s="137">
        <v>28.51</v>
      </c>
      <c r="S130" s="8">
        <f t="shared" si="43"/>
        <v>74.460889863999995</v>
      </c>
      <c r="T130" s="8"/>
      <c r="U130" s="12"/>
    </row>
    <row r="131" spans="1:21" s="19" customFormat="1" ht="24.75" customHeight="1" thickBot="1" x14ac:dyDescent="0.4">
      <c r="A131" s="145"/>
      <c r="B131" s="158"/>
      <c r="C131" s="50" t="s">
        <v>58</v>
      </c>
      <c r="D131" s="93">
        <f>D130-E130</f>
        <v>109.4744</v>
      </c>
      <c r="E131" s="94">
        <f>E127-0.4*D127-E129-E130</f>
        <v>34.954400000000028</v>
      </c>
      <c r="F131" s="95">
        <v>1</v>
      </c>
      <c r="G131" s="70">
        <f t="shared" si="38"/>
        <v>34.954400000000028</v>
      </c>
      <c r="H131" s="26">
        <v>1.67E-2</v>
      </c>
      <c r="I131" s="103">
        <f t="shared" si="39"/>
        <v>0.5837384800000005</v>
      </c>
      <c r="J131" s="39">
        <f>+D131-E131-1</f>
        <v>73.519999999999982</v>
      </c>
      <c r="K131" s="95">
        <v>1</v>
      </c>
      <c r="L131" s="70">
        <f t="shared" si="40"/>
        <v>73.519999999999982</v>
      </c>
      <c r="M131" s="96">
        <v>1.67E-2</v>
      </c>
      <c r="N131" s="97">
        <f t="shared" si="41"/>
        <v>1.2277839999999998</v>
      </c>
      <c r="O131" s="94">
        <f t="shared" si="36"/>
        <v>108.4744</v>
      </c>
      <c r="P131" s="73">
        <f t="shared" si="25"/>
        <v>1.6700000000000003E-2</v>
      </c>
      <c r="Q131" s="98">
        <f t="shared" si="42"/>
        <v>1.8115224800000003</v>
      </c>
      <c r="R131" s="137">
        <v>28.51</v>
      </c>
      <c r="S131" s="8">
        <f t="shared" si="43"/>
        <v>51.646505904800009</v>
      </c>
      <c r="T131" s="8"/>
      <c r="U131" s="12"/>
    </row>
    <row r="132" spans="1:21" ht="24.75" customHeight="1" thickTop="1" thickBot="1" x14ac:dyDescent="0.4">
      <c r="A132" s="146"/>
      <c r="B132" s="79" t="s">
        <v>24</v>
      </c>
      <c r="C132" s="80"/>
      <c r="D132" s="57">
        <f>SUM(D127,D122,D117,D112,D107,D102,D97,D92,D87,D82,D77)</f>
        <v>17390.599999999999</v>
      </c>
      <c r="E132" s="57">
        <f>SUM(E127,E122,E117,E112,E107,E102,E97,E92,E87,E82,E77)</f>
        <v>13912.48</v>
      </c>
      <c r="F132" s="59">
        <f>G132/E132</f>
        <v>2.749928122088944</v>
      </c>
      <c r="G132" s="35">
        <f>SUM(G77:G131)</f>
        <v>38258.319999999992</v>
      </c>
      <c r="H132" s="36">
        <f>I132/G132</f>
        <v>0.16244926405550481</v>
      </c>
      <c r="I132" s="85">
        <f>SUM(I77:I131)</f>
        <v>6215.0359279999993</v>
      </c>
      <c r="J132" s="57">
        <f>SUM(J127,J122,J117,J112,J107,J102,J97,J92,J87,J82,J77)</f>
        <v>3479.1199999999994</v>
      </c>
      <c r="K132" s="35">
        <f>L132/J132</f>
        <v>5.5712158246913024</v>
      </c>
      <c r="L132" s="35">
        <f>SUM(L77:L131)</f>
        <v>19382.928400000001</v>
      </c>
      <c r="M132" s="36">
        <f>N132/L132</f>
        <v>1.6699999999999989E-2</v>
      </c>
      <c r="N132" s="37">
        <f>SUM(N77:N131)</f>
        <v>323.69490427999983</v>
      </c>
      <c r="O132" s="58">
        <f>SUM(O77:O131)</f>
        <v>57641.248399999989</v>
      </c>
      <c r="P132" s="65">
        <f t="shared" ref="P132:P195" si="44">Q132/O132</f>
        <v>0.11343839722041836</v>
      </c>
      <c r="Q132" s="37">
        <f>SUM(Q77:Q131)</f>
        <v>6538.7308322800027</v>
      </c>
      <c r="R132" s="163">
        <v>28.51</v>
      </c>
      <c r="S132" s="164">
        <f>SUM(S77:S131)</f>
        <v>186419.21602830279</v>
      </c>
      <c r="T132" s="10" t="e">
        <f>SUM(T77:T127)</f>
        <v>#REF!</v>
      </c>
      <c r="U132" s="18"/>
    </row>
    <row r="133" spans="1:21" s="19" customFormat="1" ht="24.75" customHeight="1" thickTop="1" x14ac:dyDescent="0.35">
      <c r="A133" s="147" t="s">
        <v>38</v>
      </c>
      <c r="B133" s="178" t="s">
        <v>18</v>
      </c>
      <c r="C133" s="83" t="s">
        <v>42</v>
      </c>
      <c r="D133" s="128">
        <f>0.25*1594</f>
        <v>398.5</v>
      </c>
      <c r="E133" s="129">
        <f>0.8*D133</f>
        <v>318.8</v>
      </c>
      <c r="F133" s="68">
        <v>1</v>
      </c>
      <c r="G133" s="67">
        <f t="shared" ref="G133:G164" si="45">E133*F133</f>
        <v>318.8</v>
      </c>
      <c r="H133" s="69">
        <v>0.33400000000000002</v>
      </c>
      <c r="I133" s="130">
        <f t="shared" ref="I133:I164" si="46">G133*H133</f>
        <v>106.47920000000001</v>
      </c>
      <c r="J133" s="133">
        <f t="shared" ref="J133:J141" si="47">+D133-E133</f>
        <v>79.699999999999989</v>
      </c>
      <c r="K133" s="134">
        <v>1</v>
      </c>
      <c r="L133" s="105">
        <f t="shared" ref="L133:L164" si="48">J133*K133</f>
        <v>79.699999999999989</v>
      </c>
      <c r="M133" s="135">
        <v>1.67E-2</v>
      </c>
      <c r="N133" s="130">
        <f t="shared" ref="N133:N164" si="49">L133*M133</f>
        <v>1.3309899999999997</v>
      </c>
      <c r="O133" s="106">
        <f t="shared" ref="O133:O164" si="50">L133+G133</f>
        <v>398.5</v>
      </c>
      <c r="P133" s="91">
        <f t="shared" si="44"/>
        <v>0.27054</v>
      </c>
      <c r="Q133" s="136">
        <f t="shared" ref="Q133:Q164" si="51">+N133+I133</f>
        <v>107.81019000000001</v>
      </c>
      <c r="R133" s="139">
        <v>31.4</v>
      </c>
      <c r="S133" s="140">
        <f t="shared" ref="S133:S164" si="52">+Q133*R133</f>
        <v>3385.2399660000001</v>
      </c>
      <c r="T133" s="127"/>
      <c r="U133" s="18"/>
    </row>
    <row r="134" spans="1:21" s="19" customFormat="1" ht="24.75" customHeight="1" x14ac:dyDescent="0.35">
      <c r="A134" s="145"/>
      <c r="B134" s="157"/>
      <c r="C134" s="50" t="s">
        <v>57</v>
      </c>
      <c r="D134" s="93">
        <f>D133</f>
        <v>398.5</v>
      </c>
      <c r="E134" s="94">
        <f>D134</f>
        <v>398.5</v>
      </c>
      <c r="F134" s="95">
        <v>1</v>
      </c>
      <c r="G134" s="70">
        <f t="shared" si="45"/>
        <v>398.5</v>
      </c>
      <c r="H134" s="26">
        <v>8.3500000000000005E-2</v>
      </c>
      <c r="I134" s="103">
        <f t="shared" si="46"/>
        <v>33.274750000000004</v>
      </c>
      <c r="J134" s="39">
        <f t="shared" si="47"/>
        <v>0</v>
      </c>
      <c r="K134" s="95">
        <v>1</v>
      </c>
      <c r="L134" s="70">
        <f t="shared" si="48"/>
        <v>0</v>
      </c>
      <c r="M134" s="96">
        <v>1.67E-2</v>
      </c>
      <c r="N134" s="97">
        <f t="shared" si="49"/>
        <v>0</v>
      </c>
      <c r="O134" s="94">
        <f t="shared" si="50"/>
        <v>398.5</v>
      </c>
      <c r="P134" s="71">
        <f t="shared" si="44"/>
        <v>8.3500000000000005E-2</v>
      </c>
      <c r="Q134" s="98">
        <f t="shared" si="51"/>
        <v>33.274750000000004</v>
      </c>
      <c r="R134" s="139">
        <v>31.4</v>
      </c>
      <c r="S134" s="8">
        <f t="shared" si="52"/>
        <v>1044.8271500000001</v>
      </c>
      <c r="T134" s="8"/>
      <c r="U134" s="12"/>
    </row>
    <row r="135" spans="1:21" s="19" customFormat="1" ht="24.75" customHeight="1" x14ac:dyDescent="0.35">
      <c r="A135" s="145"/>
      <c r="B135" s="157"/>
      <c r="C135" s="50" t="s">
        <v>55</v>
      </c>
      <c r="D135" s="93">
        <f>0.6*D133</f>
        <v>239.1</v>
      </c>
      <c r="E135" s="94">
        <f>0.3*D135</f>
        <v>71.72999999999999</v>
      </c>
      <c r="F135" s="95">
        <v>1</v>
      </c>
      <c r="G135" s="70">
        <f t="shared" si="45"/>
        <v>71.72999999999999</v>
      </c>
      <c r="H135" s="26">
        <v>1.67E-2</v>
      </c>
      <c r="I135" s="103">
        <f t="shared" si="46"/>
        <v>1.1978909999999998</v>
      </c>
      <c r="J135" s="39">
        <f t="shared" si="47"/>
        <v>167.37</v>
      </c>
      <c r="K135" s="95">
        <v>1</v>
      </c>
      <c r="L135" s="70">
        <f t="shared" si="48"/>
        <v>167.37</v>
      </c>
      <c r="M135" s="96">
        <v>1.67E-2</v>
      </c>
      <c r="N135" s="97">
        <f t="shared" si="49"/>
        <v>2.7950789999999999</v>
      </c>
      <c r="O135" s="94">
        <f t="shared" si="50"/>
        <v>239.1</v>
      </c>
      <c r="P135" s="73">
        <f t="shared" si="44"/>
        <v>1.67E-2</v>
      </c>
      <c r="Q135" s="98">
        <f t="shared" si="51"/>
        <v>3.9929699999999997</v>
      </c>
      <c r="R135" s="139">
        <v>31.4</v>
      </c>
      <c r="S135" s="8">
        <f t="shared" si="52"/>
        <v>125.37925799999998</v>
      </c>
      <c r="T135" s="8"/>
      <c r="U135" s="12"/>
    </row>
    <row r="136" spans="1:21" s="19" customFormat="1" ht="24.75" customHeight="1" x14ac:dyDescent="0.35">
      <c r="A136" s="145"/>
      <c r="B136" s="157"/>
      <c r="C136" s="50" t="s">
        <v>56</v>
      </c>
      <c r="D136" s="93">
        <f>D135-E135</f>
        <v>167.37</v>
      </c>
      <c r="E136" s="94">
        <f>0.3*D136</f>
        <v>50.210999999999999</v>
      </c>
      <c r="F136" s="95">
        <v>1</v>
      </c>
      <c r="G136" s="70">
        <f t="shared" si="45"/>
        <v>50.210999999999999</v>
      </c>
      <c r="H136" s="26">
        <v>1.67E-2</v>
      </c>
      <c r="I136" s="103">
        <f t="shared" si="46"/>
        <v>0.83852369999999998</v>
      </c>
      <c r="J136" s="39">
        <f t="shared" si="47"/>
        <v>117.15900000000001</v>
      </c>
      <c r="K136" s="95">
        <v>1</v>
      </c>
      <c r="L136" s="70">
        <f t="shared" si="48"/>
        <v>117.15900000000001</v>
      </c>
      <c r="M136" s="96">
        <v>1.67E-2</v>
      </c>
      <c r="N136" s="97">
        <f t="shared" si="49"/>
        <v>1.9565553</v>
      </c>
      <c r="O136" s="94">
        <f t="shared" si="50"/>
        <v>167.37</v>
      </c>
      <c r="P136" s="73">
        <f t="shared" si="44"/>
        <v>1.67E-2</v>
      </c>
      <c r="Q136" s="98">
        <f t="shared" si="51"/>
        <v>2.7950789999999999</v>
      </c>
      <c r="R136" s="139">
        <v>31.4</v>
      </c>
      <c r="S136" s="8">
        <f t="shared" si="52"/>
        <v>87.765480599999989</v>
      </c>
      <c r="T136" s="8"/>
      <c r="U136" s="12"/>
    </row>
    <row r="137" spans="1:21" s="19" customFormat="1" ht="24.75" customHeight="1" x14ac:dyDescent="0.35">
      <c r="A137" s="145"/>
      <c r="B137" s="158"/>
      <c r="C137" s="50" t="s">
        <v>58</v>
      </c>
      <c r="D137" s="93">
        <f>D136-E136</f>
        <v>117.15900000000001</v>
      </c>
      <c r="E137" s="94">
        <f>E133-0.4*D133-E135-E136</f>
        <v>37.459000000000017</v>
      </c>
      <c r="F137" s="95">
        <v>1</v>
      </c>
      <c r="G137" s="70">
        <f t="shared" si="45"/>
        <v>37.459000000000017</v>
      </c>
      <c r="H137" s="26">
        <v>1.67E-2</v>
      </c>
      <c r="I137" s="103">
        <f t="shared" si="46"/>
        <v>0.62556530000000032</v>
      </c>
      <c r="J137" s="39">
        <f t="shared" si="47"/>
        <v>79.699999999999989</v>
      </c>
      <c r="K137" s="95">
        <v>1</v>
      </c>
      <c r="L137" s="70">
        <f t="shared" si="48"/>
        <v>79.699999999999989</v>
      </c>
      <c r="M137" s="96">
        <v>1.67E-2</v>
      </c>
      <c r="N137" s="97">
        <f t="shared" si="49"/>
        <v>1.3309899999999997</v>
      </c>
      <c r="O137" s="94">
        <f t="shared" si="50"/>
        <v>117.15900000000001</v>
      </c>
      <c r="P137" s="73">
        <f t="shared" si="44"/>
        <v>1.67E-2</v>
      </c>
      <c r="Q137" s="98">
        <f t="shared" si="51"/>
        <v>1.9565553</v>
      </c>
      <c r="R137" s="139">
        <v>31.4</v>
      </c>
      <c r="S137" s="8">
        <f t="shared" si="52"/>
        <v>61.435836419999994</v>
      </c>
      <c r="T137" s="8"/>
      <c r="U137" s="12"/>
    </row>
    <row r="138" spans="1:21" s="19" customFormat="1" ht="24" customHeight="1" x14ac:dyDescent="0.35">
      <c r="A138" s="145"/>
      <c r="B138" s="177" t="s">
        <v>19</v>
      </c>
      <c r="C138" s="83" t="s">
        <v>42</v>
      </c>
      <c r="D138" s="93">
        <f>2750*0.25</f>
        <v>687.5</v>
      </c>
      <c r="E138" s="84">
        <f>0.8*D138</f>
        <v>550</v>
      </c>
      <c r="F138" s="68">
        <v>1</v>
      </c>
      <c r="G138" s="67">
        <f t="shared" si="45"/>
        <v>550</v>
      </c>
      <c r="H138" s="69">
        <v>0.33400000000000002</v>
      </c>
      <c r="I138" s="43">
        <f t="shared" si="46"/>
        <v>183.70000000000002</v>
      </c>
      <c r="J138" s="64">
        <f t="shared" si="47"/>
        <v>137.5</v>
      </c>
      <c r="K138" s="68">
        <v>1</v>
      </c>
      <c r="L138" s="67">
        <f t="shared" si="48"/>
        <v>137.5</v>
      </c>
      <c r="M138" s="69">
        <v>1.67E-2</v>
      </c>
      <c r="N138" s="110">
        <f t="shared" si="49"/>
        <v>2.2962500000000001</v>
      </c>
      <c r="O138" s="94">
        <f t="shared" si="50"/>
        <v>687.5</v>
      </c>
      <c r="P138" s="71">
        <f t="shared" si="44"/>
        <v>0.27054</v>
      </c>
      <c r="Q138" s="136">
        <f t="shared" si="51"/>
        <v>185.99625</v>
      </c>
      <c r="R138" s="139">
        <v>31.4</v>
      </c>
      <c r="S138" s="8">
        <f t="shared" si="52"/>
        <v>5840.2822500000002</v>
      </c>
      <c r="T138" s="10"/>
      <c r="U138" s="18"/>
    </row>
    <row r="139" spans="1:21" s="19" customFormat="1" ht="24.75" customHeight="1" x14ac:dyDescent="0.35">
      <c r="A139" s="145"/>
      <c r="B139" s="157"/>
      <c r="C139" s="50" t="s">
        <v>57</v>
      </c>
      <c r="D139" s="93">
        <f>D138</f>
        <v>687.5</v>
      </c>
      <c r="E139" s="94">
        <f>D139</f>
        <v>687.5</v>
      </c>
      <c r="F139" s="95">
        <v>1</v>
      </c>
      <c r="G139" s="70">
        <f t="shared" si="45"/>
        <v>687.5</v>
      </c>
      <c r="H139" s="26">
        <v>8.3500000000000005E-2</v>
      </c>
      <c r="I139" s="103">
        <f t="shared" si="46"/>
        <v>57.40625</v>
      </c>
      <c r="J139" s="39">
        <f t="shared" si="47"/>
        <v>0</v>
      </c>
      <c r="K139" s="95">
        <v>1</v>
      </c>
      <c r="L139" s="70">
        <f t="shared" si="48"/>
        <v>0</v>
      </c>
      <c r="M139" s="96">
        <v>1.67E-2</v>
      </c>
      <c r="N139" s="97">
        <f t="shared" si="49"/>
        <v>0</v>
      </c>
      <c r="O139" s="94">
        <f t="shared" si="50"/>
        <v>687.5</v>
      </c>
      <c r="P139" s="71">
        <f t="shared" si="44"/>
        <v>8.3500000000000005E-2</v>
      </c>
      <c r="Q139" s="98">
        <f t="shared" si="51"/>
        <v>57.40625</v>
      </c>
      <c r="R139" s="139">
        <v>31.4</v>
      </c>
      <c r="S139" s="8">
        <f t="shared" si="52"/>
        <v>1802.5562499999999</v>
      </c>
      <c r="T139" s="8"/>
      <c r="U139" s="12"/>
    </row>
    <row r="140" spans="1:21" s="19" customFormat="1" ht="24.75" customHeight="1" x14ac:dyDescent="0.35">
      <c r="A140" s="145"/>
      <c r="B140" s="157"/>
      <c r="C140" s="50" t="s">
        <v>55</v>
      </c>
      <c r="D140" s="93">
        <f>0.6*D138</f>
        <v>412.5</v>
      </c>
      <c r="E140" s="94">
        <f>0.3*D140</f>
        <v>123.75</v>
      </c>
      <c r="F140" s="95">
        <v>1</v>
      </c>
      <c r="G140" s="70">
        <f t="shared" si="45"/>
        <v>123.75</v>
      </c>
      <c r="H140" s="26">
        <v>1.67E-2</v>
      </c>
      <c r="I140" s="103">
        <f t="shared" si="46"/>
        <v>2.0666250000000002</v>
      </c>
      <c r="J140" s="39">
        <f t="shared" si="47"/>
        <v>288.75</v>
      </c>
      <c r="K140" s="95">
        <v>1</v>
      </c>
      <c r="L140" s="70">
        <f t="shared" si="48"/>
        <v>288.75</v>
      </c>
      <c r="M140" s="96">
        <v>1.67E-2</v>
      </c>
      <c r="N140" s="97">
        <f t="shared" si="49"/>
        <v>4.8221249999999998</v>
      </c>
      <c r="O140" s="94">
        <f t="shared" si="50"/>
        <v>412.5</v>
      </c>
      <c r="P140" s="73">
        <f t="shared" si="44"/>
        <v>1.67E-2</v>
      </c>
      <c r="Q140" s="98">
        <f t="shared" si="51"/>
        <v>6.8887499999999999</v>
      </c>
      <c r="R140" s="139">
        <v>31.4</v>
      </c>
      <c r="S140" s="8">
        <f t="shared" si="52"/>
        <v>216.30674999999999</v>
      </c>
      <c r="T140" s="8"/>
      <c r="U140" s="12"/>
    </row>
    <row r="141" spans="1:21" s="19" customFormat="1" ht="24.75" customHeight="1" x14ac:dyDescent="0.35">
      <c r="A141" s="145"/>
      <c r="B141" s="157"/>
      <c r="C141" s="50" t="s">
        <v>56</v>
      </c>
      <c r="D141" s="93">
        <f>D140-E140</f>
        <v>288.75</v>
      </c>
      <c r="E141" s="94">
        <f>0.3*D141</f>
        <v>86.625</v>
      </c>
      <c r="F141" s="95">
        <v>1</v>
      </c>
      <c r="G141" s="70">
        <f t="shared" si="45"/>
        <v>86.625</v>
      </c>
      <c r="H141" s="26">
        <v>1.67E-2</v>
      </c>
      <c r="I141" s="103">
        <f t="shared" si="46"/>
        <v>1.4466375</v>
      </c>
      <c r="J141" s="39">
        <f t="shared" si="47"/>
        <v>202.125</v>
      </c>
      <c r="K141" s="95">
        <v>1</v>
      </c>
      <c r="L141" s="70">
        <f t="shared" si="48"/>
        <v>202.125</v>
      </c>
      <c r="M141" s="96">
        <v>1.67E-2</v>
      </c>
      <c r="N141" s="97">
        <f t="shared" si="49"/>
        <v>3.3754874999999998</v>
      </c>
      <c r="O141" s="94">
        <f t="shared" si="50"/>
        <v>288.75</v>
      </c>
      <c r="P141" s="73">
        <f t="shared" si="44"/>
        <v>1.67E-2</v>
      </c>
      <c r="Q141" s="98">
        <f t="shared" si="51"/>
        <v>4.8221249999999998</v>
      </c>
      <c r="R141" s="139">
        <v>31.4</v>
      </c>
      <c r="S141" s="8">
        <f t="shared" si="52"/>
        <v>151.41472499999998</v>
      </c>
      <c r="T141" s="8"/>
      <c r="U141" s="12"/>
    </row>
    <row r="142" spans="1:21" s="19" customFormat="1" ht="24.75" customHeight="1" x14ac:dyDescent="0.35">
      <c r="A142" s="145"/>
      <c r="B142" s="158"/>
      <c r="C142" s="50" t="s">
        <v>58</v>
      </c>
      <c r="D142" s="93">
        <f>D141-E141</f>
        <v>202.125</v>
      </c>
      <c r="E142" s="94">
        <f>E138-0.4*D138-E140-E141-1</f>
        <v>63.625</v>
      </c>
      <c r="F142" s="95">
        <v>1</v>
      </c>
      <c r="G142" s="70">
        <f t="shared" si="45"/>
        <v>63.625</v>
      </c>
      <c r="H142" s="26">
        <v>1.67E-2</v>
      </c>
      <c r="I142" s="103">
        <f t="shared" si="46"/>
        <v>1.0625374999999999</v>
      </c>
      <c r="J142" s="39">
        <f>+D142-E142-1</f>
        <v>137.5</v>
      </c>
      <c r="K142" s="95">
        <v>1</v>
      </c>
      <c r="L142" s="70">
        <f t="shared" si="48"/>
        <v>137.5</v>
      </c>
      <c r="M142" s="96">
        <v>1.67E-2</v>
      </c>
      <c r="N142" s="97">
        <f t="shared" si="49"/>
        <v>2.2962500000000001</v>
      </c>
      <c r="O142" s="94">
        <f t="shared" si="50"/>
        <v>201.125</v>
      </c>
      <c r="P142" s="73">
        <f t="shared" si="44"/>
        <v>1.67E-2</v>
      </c>
      <c r="Q142" s="98">
        <f t="shared" si="51"/>
        <v>3.3587875</v>
      </c>
      <c r="R142" s="139">
        <v>31.4</v>
      </c>
      <c r="S142" s="8">
        <f t="shared" si="52"/>
        <v>105.46592749999999</v>
      </c>
      <c r="T142" s="8"/>
      <c r="U142" s="12"/>
    </row>
    <row r="143" spans="1:21" s="19" customFormat="1" ht="24.75" customHeight="1" x14ac:dyDescent="0.35">
      <c r="A143" s="145"/>
      <c r="B143" s="44" t="s">
        <v>20</v>
      </c>
      <c r="C143" s="38" t="s">
        <v>42</v>
      </c>
      <c r="D143" s="29">
        <f>0.3*1875</f>
        <v>562.5</v>
      </c>
      <c r="E143" s="25">
        <f>0.8*D143</f>
        <v>450</v>
      </c>
      <c r="F143" s="40">
        <v>1</v>
      </c>
      <c r="G143" s="41">
        <f t="shared" si="45"/>
        <v>450</v>
      </c>
      <c r="H143" s="42">
        <v>0.33400000000000002</v>
      </c>
      <c r="I143" s="43">
        <f t="shared" si="46"/>
        <v>150.30000000000001</v>
      </c>
      <c r="J143" s="131">
        <f>+D143-E143</f>
        <v>112.5</v>
      </c>
      <c r="K143" s="68">
        <v>1</v>
      </c>
      <c r="L143" s="67">
        <f t="shared" si="48"/>
        <v>112.5</v>
      </c>
      <c r="M143" s="69">
        <v>1.67E-2</v>
      </c>
      <c r="N143" s="110">
        <f t="shared" si="49"/>
        <v>1.8787499999999999</v>
      </c>
      <c r="O143" s="94">
        <f t="shared" si="50"/>
        <v>562.5</v>
      </c>
      <c r="P143" s="71">
        <f t="shared" si="44"/>
        <v>0.27054</v>
      </c>
      <c r="Q143" s="72">
        <f t="shared" si="51"/>
        <v>152.17875000000001</v>
      </c>
      <c r="R143" s="139">
        <v>31.4</v>
      </c>
      <c r="S143" s="8">
        <f t="shared" si="52"/>
        <v>4778.4127500000004</v>
      </c>
      <c r="T143" s="10"/>
      <c r="U143" s="18"/>
    </row>
    <row r="144" spans="1:21" s="19" customFormat="1" ht="24.75" customHeight="1" x14ac:dyDescent="0.35">
      <c r="A144" s="145"/>
      <c r="B144" s="157"/>
      <c r="C144" s="50" t="s">
        <v>57</v>
      </c>
      <c r="D144" s="93">
        <f>D143</f>
        <v>562.5</v>
      </c>
      <c r="E144" s="94">
        <f>D144</f>
        <v>562.5</v>
      </c>
      <c r="F144" s="95">
        <v>1</v>
      </c>
      <c r="G144" s="70">
        <f t="shared" si="45"/>
        <v>562.5</v>
      </c>
      <c r="H144" s="26">
        <v>8.3500000000000005E-2</v>
      </c>
      <c r="I144" s="103">
        <f t="shared" si="46"/>
        <v>46.96875</v>
      </c>
      <c r="J144" s="39">
        <f>+D144-E144</f>
        <v>0</v>
      </c>
      <c r="K144" s="95">
        <v>1</v>
      </c>
      <c r="L144" s="70">
        <f t="shared" si="48"/>
        <v>0</v>
      </c>
      <c r="M144" s="96">
        <v>1.67E-2</v>
      </c>
      <c r="N144" s="97">
        <f t="shared" si="49"/>
        <v>0</v>
      </c>
      <c r="O144" s="94">
        <f t="shared" si="50"/>
        <v>562.5</v>
      </c>
      <c r="P144" s="71">
        <f t="shared" si="44"/>
        <v>8.3500000000000005E-2</v>
      </c>
      <c r="Q144" s="98">
        <f t="shared" si="51"/>
        <v>46.96875</v>
      </c>
      <c r="R144" s="139">
        <v>31.4</v>
      </c>
      <c r="S144" s="8">
        <f t="shared" si="52"/>
        <v>1474.8187499999999</v>
      </c>
      <c r="T144" s="8"/>
      <c r="U144" s="12"/>
    </row>
    <row r="145" spans="1:21" s="19" customFormat="1" ht="24.75" customHeight="1" x14ac:dyDescent="0.35">
      <c r="A145" s="145"/>
      <c r="B145" s="157"/>
      <c r="C145" s="50" t="s">
        <v>55</v>
      </c>
      <c r="D145" s="93">
        <f>0.6*D143</f>
        <v>337.5</v>
      </c>
      <c r="E145" s="94">
        <f>0.3*D145</f>
        <v>101.25</v>
      </c>
      <c r="F145" s="95">
        <v>1</v>
      </c>
      <c r="G145" s="70">
        <f t="shared" si="45"/>
        <v>101.25</v>
      </c>
      <c r="H145" s="26">
        <v>1.67E-2</v>
      </c>
      <c r="I145" s="103">
        <f t="shared" si="46"/>
        <v>1.6908749999999999</v>
      </c>
      <c r="J145" s="39">
        <f>+D145-E145+1</f>
        <v>237.25</v>
      </c>
      <c r="K145" s="95">
        <v>1</v>
      </c>
      <c r="L145" s="70">
        <f t="shared" si="48"/>
        <v>237.25</v>
      </c>
      <c r="M145" s="96">
        <v>1.67E-2</v>
      </c>
      <c r="N145" s="97">
        <f t="shared" si="49"/>
        <v>3.962075</v>
      </c>
      <c r="O145" s="94">
        <f t="shared" si="50"/>
        <v>338.5</v>
      </c>
      <c r="P145" s="73">
        <f t="shared" si="44"/>
        <v>1.67E-2</v>
      </c>
      <c r="Q145" s="98">
        <f t="shared" si="51"/>
        <v>5.6529499999999997</v>
      </c>
      <c r="R145" s="139">
        <v>31.4</v>
      </c>
      <c r="S145" s="8">
        <f t="shared" si="52"/>
        <v>177.50262999999998</v>
      </c>
      <c r="T145" s="8"/>
      <c r="U145" s="12"/>
    </row>
    <row r="146" spans="1:21" s="19" customFormat="1" ht="24.75" customHeight="1" x14ac:dyDescent="0.35">
      <c r="A146" s="145"/>
      <c r="B146" s="157"/>
      <c r="C146" s="50" t="s">
        <v>56</v>
      </c>
      <c r="D146" s="93">
        <f>D145-E145+1</f>
        <v>237.25</v>
      </c>
      <c r="E146" s="94">
        <f>0.3*D146</f>
        <v>71.174999999999997</v>
      </c>
      <c r="F146" s="95">
        <v>1</v>
      </c>
      <c r="G146" s="70">
        <f t="shared" si="45"/>
        <v>71.174999999999997</v>
      </c>
      <c r="H146" s="26">
        <v>1.67E-2</v>
      </c>
      <c r="I146" s="103">
        <f t="shared" si="46"/>
        <v>1.1886224999999999</v>
      </c>
      <c r="J146" s="39">
        <f>+D146-E146</f>
        <v>166.07499999999999</v>
      </c>
      <c r="K146" s="95">
        <v>1</v>
      </c>
      <c r="L146" s="70">
        <f t="shared" si="48"/>
        <v>166.07499999999999</v>
      </c>
      <c r="M146" s="96">
        <v>1.67E-2</v>
      </c>
      <c r="N146" s="97">
        <f t="shared" si="49"/>
        <v>2.7734524999999999</v>
      </c>
      <c r="O146" s="94">
        <f t="shared" si="50"/>
        <v>237.25</v>
      </c>
      <c r="P146" s="73">
        <f t="shared" si="44"/>
        <v>1.67E-2</v>
      </c>
      <c r="Q146" s="98">
        <f t="shared" si="51"/>
        <v>3.9620749999999996</v>
      </c>
      <c r="R146" s="139">
        <v>31.4</v>
      </c>
      <c r="S146" s="8">
        <f t="shared" si="52"/>
        <v>124.40915499999998</v>
      </c>
      <c r="T146" s="8"/>
      <c r="U146" s="12"/>
    </row>
    <row r="147" spans="1:21" s="19" customFormat="1" ht="24.75" customHeight="1" x14ac:dyDescent="0.35">
      <c r="A147" s="145"/>
      <c r="B147" s="158"/>
      <c r="C147" s="50" t="s">
        <v>58</v>
      </c>
      <c r="D147" s="93">
        <f>D146-E146</f>
        <v>166.07499999999999</v>
      </c>
      <c r="E147" s="94">
        <f>E143-0.4*D143-E145-E146</f>
        <v>52.575000000000003</v>
      </c>
      <c r="F147" s="95">
        <v>1</v>
      </c>
      <c r="G147" s="70">
        <f t="shared" si="45"/>
        <v>52.575000000000003</v>
      </c>
      <c r="H147" s="26">
        <v>1.67E-2</v>
      </c>
      <c r="I147" s="103">
        <f t="shared" si="46"/>
        <v>0.87800250000000002</v>
      </c>
      <c r="J147" s="39">
        <f>+D147-E147-1</f>
        <v>112.49999999999999</v>
      </c>
      <c r="K147" s="95">
        <v>1</v>
      </c>
      <c r="L147" s="70">
        <f t="shared" si="48"/>
        <v>112.49999999999999</v>
      </c>
      <c r="M147" s="96">
        <v>1.67E-2</v>
      </c>
      <c r="N147" s="97">
        <f t="shared" si="49"/>
        <v>1.8787499999999997</v>
      </c>
      <c r="O147" s="94">
        <f t="shared" si="50"/>
        <v>165.07499999999999</v>
      </c>
      <c r="P147" s="73">
        <f t="shared" si="44"/>
        <v>1.67E-2</v>
      </c>
      <c r="Q147" s="98">
        <f t="shared" si="51"/>
        <v>2.7567524999999997</v>
      </c>
      <c r="R147" s="139">
        <v>31.4</v>
      </c>
      <c r="S147" s="8">
        <f t="shared" si="52"/>
        <v>86.562028499999983</v>
      </c>
      <c r="T147" s="8"/>
      <c r="U147" s="12"/>
    </row>
    <row r="148" spans="1:21" s="19" customFormat="1" ht="24.75" customHeight="1" x14ac:dyDescent="0.35">
      <c r="A148" s="145"/>
      <c r="B148" s="44" t="s">
        <v>21</v>
      </c>
      <c r="C148" s="38" t="s">
        <v>42</v>
      </c>
      <c r="D148" s="29">
        <f>2625*0.3</f>
        <v>787.5</v>
      </c>
      <c r="E148" s="25">
        <f>0.8*D148</f>
        <v>630</v>
      </c>
      <c r="F148" s="40">
        <v>1</v>
      </c>
      <c r="G148" s="41">
        <f t="shared" si="45"/>
        <v>630</v>
      </c>
      <c r="H148" s="42">
        <v>0.33400000000000002</v>
      </c>
      <c r="I148" s="43">
        <f t="shared" si="46"/>
        <v>210.42000000000002</v>
      </c>
      <c r="J148" s="39">
        <f t="shared" ref="J148:J169" si="53">+D148-E148</f>
        <v>157.5</v>
      </c>
      <c r="K148" s="40">
        <v>1</v>
      </c>
      <c r="L148" s="41">
        <f t="shared" si="48"/>
        <v>157.5</v>
      </c>
      <c r="M148" s="42">
        <v>1.67E-2</v>
      </c>
      <c r="N148" s="43">
        <f t="shared" si="49"/>
        <v>2.6302499999999998</v>
      </c>
      <c r="O148" s="25">
        <f t="shared" si="50"/>
        <v>787.5</v>
      </c>
      <c r="P148" s="73">
        <f t="shared" si="44"/>
        <v>0.27054</v>
      </c>
      <c r="Q148" s="74">
        <f t="shared" si="51"/>
        <v>213.05025000000001</v>
      </c>
      <c r="R148" s="139">
        <v>31.4</v>
      </c>
      <c r="S148" s="8">
        <f t="shared" si="52"/>
        <v>6689.7778499999995</v>
      </c>
      <c r="T148" s="10"/>
      <c r="U148" s="18"/>
    </row>
    <row r="149" spans="1:21" s="19" customFormat="1" ht="24.75" customHeight="1" x14ac:dyDescent="0.35">
      <c r="A149" s="145"/>
      <c r="B149" s="157"/>
      <c r="C149" s="50" t="s">
        <v>57</v>
      </c>
      <c r="D149" s="93">
        <f>D148</f>
        <v>787.5</v>
      </c>
      <c r="E149" s="94">
        <f>D149</f>
        <v>787.5</v>
      </c>
      <c r="F149" s="95">
        <v>1</v>
      </c>
      <c r="G149" s="70">
        <f t="shared" si="45"/>
        <v>787.5</v>
      </c>
      <c r="H149" s="26">
        <v>8.3500000000000005E-2</v>
      </c>
      <c r="I149" s="103">
        <f t="shared" si="46"/>
        <v>65.756250000000009</v>
      </c>
      <c r="J149" s="39">
        <f t="shared" si="53"/>
        <v>0</v>
      </c>
      <c r="K149" s="95">
        <v>1</v>
      </c>
      <c r="L149" s="70">
        <f t="shared" si="48"/>
        <v>0</v>
      </c>
      <c r="M149" s="96">
        <v>1.67E-2</v>
      </c>
      <c r="N149" s="97">
        <f t="shared" si="49"/>
        <v>0</v>
      </c>
      <c r="O149" s="94">
        <f t="shared" si="50"/>
        <v>787.5</v>
      </c>
      <c r="P149" s="71">
        <f t="shared" si="44"/>
        <v>8.3500000000000005E-2</v>
      </c>
      <c r="Q149" s="98">
        <f t="shared" si="51"/>
        <v>65.756250000000009</v>
      </c>
      <c r="R149" s="139">
        <v>31.4</v>
      </c>
      <c r="S149" s="8">
        <f t="shared" si="52"/>
        <v>2064.7462500000001</v>
      </c>
      <c r="T149" s="8"/>
      <c r="U149" s="12"/>
    </row>
    <row r="150" spans="1:21" s="19" customFormat="1" ht="24.75" customHeight="1" x14ac:dyDescent="0.35">
      <c r="A150" s="145"/>
      <c r="B150" s="157"/>
      <c r="C150" s="50" t="s">
        <v>55</v>
      </c>
      <c r="D150" s="93">
        <f>0.6*D148</f>
        <v>472.5</v>
      </c>
      <c r="E150" s="94">
        <f>0.3*D150</f>
        <v>141.75</v>
      </c>
      <c r="F150" s="95">
        <v>1</v>
      </c>
      <c r="G150" s="70">
        <f t="shared" si="45"/>
        <v>141.75</v>
      </c>
      <c r="H150" s="26">
        <v>1.67E-2</v>
      </c>
      <c r="I150" s="103">
        <f t="shared" si="46"/>
        <v>2.3672249999999999</v>
      </c>
      <c r="J150" s="39">
        <f t="shared" si="53"/>
        <v>330.75</v>
      </c>
      <c r="K150" s="95">
        <v>1</v>
      </c>
      <c r="L150" s="70">
        <f t="shared" si="48"/>
        <v>330.75</v>
      </c>
      <c r="M150" s="96">
        <v>1.67E-2</v>
      </c>
      <c r="N150" s="97">
        <f t="shared" si="49"/>
        <v>5.5235250000000002</v>
      </c>
      <c r="O150" s="94">
        <f t="shared" si="50"/>
        <v>472.5</v>
      </c>
      <c r="P150" s="73">
        <f t="shared" si="44"/>
        <v>1.67E-2</v>
      </c>
      <c r="Q150" s="98">
        <f t="shared" si="51"/>
        <v>7.8907500000000006</v>
      </c>
      <c r="R150" s="139">
        <v>31.4</v>
      </c>
      <c r="S150" s="8">
        <f t="shared" si="52"/>
        <v>247.76955000000001</v>
      </c>
      <c r="T150" s="8"/>
      <c r="U150" s="12"/>
    </row>
    <row r="151" spans="1:21" s="19" customFormat="1" ht="24.75" customHeight="1" x14ac:dyDescent="0.35">
      <c r="A151" s="145"/>
      <c r="B151" s="157"/>
      <c r="C151" s="50" t="s">
        <v>56</v>
      </c>
      <c r="D151" s="93">
        <f>D150-E150</f>
        <v>330.75</v>
      </c>
      <c r="E151" s="94">
        <f>0.3*D151</f>
        <v>99.224999999999994</v>
      </c>
      <c r="F151" s="95">
        <v>1</v>
      </c>
      <c r="G151" s="70">
        <f t="shared" si="45"/>
        <v>99.224999999999994</v>
      </c>
      <c r="H151" s="26">
        <v>1.67E-2</v>
      </c>
      <c r="I151" s="103">
        <f t="shared" si="46"/>
        <v>1.6570574999999999</v>
      </c>
      <c r="J151" s="39">
        <f t="shared" si="53"/>
        <v>231.52500000000001</v>
      </c>
      <c r="K151" s="95">
        <v>1</v>
      </c>
      <c r="L151" s="70">
        <f t="shared" si="48"/>
        <v>231.52500000000001</v>
      </c>
      <c r="M151" s="96">
        <v>1.67E-2</v>
      </c>
      <c r="N151" s="97">
        <f t="shared" si="49"/>
        <v>3.8664675000000002</v>
      </c>
      <c r="O151" s="94">
        <f t="shared" si="50"/>
        <v>330.75</v>
      </c>
      <c r="P151" s="73">
        <f t="shared" si="44"/>
        <v>1.67E-2</v>
      </c>
      <c r="Q151" s="98">
        <f t="shared" si="51"/>
        <v>5.5235250000000002</v>
      </c>
      <c r="R151" s="139">
        <v>31.4</v>
      </c>
      <c r="S151" s="8">
        <f t="shared" si="52"/>
        <v>173.43868499999999</v>
      </c>
      <c r="T151" s="8"/>
      <c r="U151" s="12"/>
    </row>
    <row r="152" spans="1:21" s="19" customFormat="1" ht="24.75" customHeight="1" x14ac:dyDescent="0.35">
      <c r="A152" s="145"/>
      <c r="B152" s="158"/>
      <c r="C152" s="50" t="s">
        <v>58</v>
      </c>
      <c r="D152" s="93">
        <f>D151-E151</f>
        <v>231.52500000000001</v>
      </c>
      <c r="E152" s="94">
        <f>E148-0.4*D148-E150-E151</f>
        <v>74.025000000000006</v>
      </c>
      <c r="F152" s="95">
        <v>1</v>
      </c>
      <c r="G152" s="70">
        <f t="shared" si="45"/>
        <v>74.025000000000006</v>
      </c>
      <c r="H152" s="26">
        <v>1.67E-2</v>
      </c>
      <c r="I152" s="103">
        <f t="shared" si="46"/>
        <v>1.2362175</v>
      </c>
      <c r="J152" s="39">
        <f t="shared" si="53"/>
        <v>157.5</v>
      </c>
      <c r="K152" s="95">
        <v>1</v>
      </c>
      <c r="L152" s="70">
        <f t="shared" si="48"/>
        <v>157.5</v>
      </c>
      <c r="M152" s="96">
        <v>1.67E-2</v>
      </c>
      <c r="N152" s="97">
        <f t="shared" si="49"/>
        <v>2.6302499999999998</v>
      </c>
      <c r="O152" s="94">
        <f t="shared" si="50"/>
        <v>231.52500000000001</v>
      </c>
      <c r="P152" s="73">
        <f t="shared" si="44"/>
        <v>1.67E-2</v>
      </c>
      <c r="Q152" s="98">
        <f t="shared" si="51"/>
        <v>3.8664674999999997</v>
      </c>
      <c r="R152" s="139">
        <v>31.4</v>
      </c>
      <c r="S152" s="8">
        <f t="shared" si="52"/>
        <v>121.40707949999998</v>
      </c>
      <c r="T152" s="8"/>
      <c r="U152" s="12"/>
    </row>
    <row r="153" spans="1:21" customFormat="1" ht="24.75" customHeight="1" x14ac:dyDescent="0.35">
      <c r="A153" s="145"/>
      <c r="B153" s="143" t="s">
        <v>52</v>
      </c>
      <c r="C153" s="38" t="s">
        <v>42</v>
      </c>
      <c r="D153" s="29">
        <v>2188</v>
      </c>
      <c r="E153" s="25">
        <v>1751</v>
      </c>
      <c r="F153" s="40">
        <v>1</v>
      </c>
      <c r="G153" s="41">
        <f t="shared" si="45"/>
        <v>1751</v>
      </c>
      <c r="H153" s="42">
        <v>0.33400000000000002</v>
      </c>
      <c r="I153" s="43">
        <f t="shared" si="46"/>
        <v>584.83400000000006</v>
      </c>
      <c r="J153" s="39">
        <f t="shared" si="53"/>
        <v>437</v>
      </c>
      <c r="K153" s="40">
        <v>1</v>
      </c>
      <c r="L153" s="41">
        <f t="shared" si="48"/>
        <v>437</v>
      </c>
      <c r="M153" s="42">
        <v>1.67E-2</v>
      </c>
      <c r="N153" s="43">
        <f t="shared" si="49"/>
        <v>7.2978999999999994</v>
      </c>
      <c r="O153" s="25">
        <f t="shared" si="50"/>
        <v>2188</v>
      </c>
      <c r="P153" s="73">
        <f t="shared" si="44"/>
        <v>0.27062701096892144</v>
      </c>
      <c r="Q153" s="74">
        <f t="shared" si="51"/>
        <v>592.13190000000009</v>
      </c>
      <c r="R153" s="139">
        <v>31.4</v>
      </c>
      <c r="S153" s="8">
        <f t="shared" si="52"/>
        <v>18592.94166</v>
      </c>
      <c r="T153" s="20"/>
    </row>
    <row r="154" spans="1:21" s="19" customFormat="1" ht="24.75" customHeight="1" x14ac:dyDescent="0.35">
      <c r="A154" s="145"/>
      <c r="B154" s="157"/>
      <c r="C154" s="50" t="s">
        <v>57</v>
      </c>
      <c r="D154" s="93">
        <f>D153</f>
        <v>2188</v>
      </c>
      <c r="E154" s="94">
        <f>D154</f>
        <v>2188</v>
      </c>
      <c r="F154" s="95">
        <v>1</v>
      </c>
      <c r="G154" s="70">
        <f t="shared" si="45"/>
        <v>2188</v>
      </c>
      <c r="H154" s="26">
        <v>8.3500000000000005E-2</v>
      </c>
      <c r="I154" s="103">
        <f t="shared" si="46"/>
        <v>182.69800000000001</v>
      </c>
      <c r="J154" s="39">
        <f t="shared" si="53"/>
        <v>0</v>
      </c>
      <c r="K154" s="95">
        <v>1</v>
      </c>
      <c r="L154" s="70">
        <f t="shared" si="48"/>
        <v>0</v>
      </c>
      <c r="M154" s="96">
        <v>1.67E-2</v>
      </c>
      <c r="N154" s="97">
        <f t="shared" si="49"/>
        <v>0</v>
      </c>
      <c r="O154" s="94">
        <f t="shared" si="50"/>
        <v>2188</v>
      </c>
      <c r="P154" s="71">
        <f t="shared" si="44"/>
        <v>8.3500000000000005E-2</v>
      </c>
      <c r="Q154" s="98">
        <f t="shared" si="51"/>
        <v>182.69800000000001</v>
      </c>
      <c r="R154" s="139">
        <v>31.4</v>
      </c>
      <c r="S154" s="8">
        <f t="shared" si="52"/>
        <v>5736.7172</v>
      </c>
      <c r="T154" s="8"/>
      <c r="U154" s="12"/>
    </row>
    <row r="155" spans="1:21" s="19" customFormat="1" ht="24.75" customHeight="1" x14ac:dyDescent="0.35">
      <c r="A155" s="145"/>
      <c r="B155" s="157"/>
      <c r="C155" s="50" t="s">
        <v>55</v>
      </c>
      <c r="D155" s="93">
        <f>0.6*D153</f>
        <v>1312.8</v>
      </c>
      <c r="E155" s="94">
        <f>0.3*D155</f>
        <v>393.84</v>
      </c>
      <c r="F155" s="95">
        <v>1</v>
      </c>
      <c r="G155" s="70">
        <f t="shared" si="45"/>
        <v>393.84</v>
      </c>
      <c r="H155" s="26">
        <v>1.67E-2</v>
      </c>
      <c r="I155" s="103">
        <f t="shared" si="46"/>
        <v>6.5771279999999992</v>
      </c>
      <c r="J155" s="39">
        <f t="shared" si="53"/>
        <v>918.96</v>
      </c>
      <c r="K155" s="95">
        <v>1</v>
      </c>
      <c r="L155" s="70">
        <f t="shared" si="48"/>
        <v>918.96</v>
      </c>
      <c r="M155" s="96">
        <v>1.67E-2</v>
      </c>
      <c r="N155" s="97">
        <f t="shared" si="49"/>
        <v>15.346632</v>
      </c>
      <c r="O155" s="94">
        <f t="shared" si="50"/>
        <v>1312.8</v>
      </c>
      <c r="P155" s="73">
        <f t="shared" si="44"/>
        <v>1.67E-2</v>
      </c>
      <c r="Q155" s="98">
        <f t="shared" si="51"/>
        <v>21.923759999999998</v>
      </c>
      <c r="R155" s="139">
        <v>31.4</v>
      </c>
      <c r="S155" s="8">
        <f t="shared" si="52"/>
        <v>688.4060639999999</v>
      </c>
      <c r="T155" s="8"/>
      <c r="U155" s="12"/>
    </row>
    <row r="156" spans="1:21" s="19" customFormat="1" ht="24.75" customHeight="1" x14ac:dyDescent="0.35">
      <c r="A156" s="145"/>
      <c r="B156" s="157"/>
      <c r="C156" s="50" t="s">
        <v>56</v>
      </c>
      <c r="D156" s="93">
        <f>D155-E155</f>
        <v>918.96</v>
      </c>
      <c r="E156" s="94">
        <f>0.3*D156</f>
        <v>275.68799999999999</v>
      </c>
      <c r="F156" s="95">
        <v>1</v>
      </c>
      <c r="G156" s="70">
        <f t="shared" si="45"/>
        <v>275.68799999999999</v>
      </c>
      <c r="H156" s="26">
        <v>1.67E-2</v>
      </c>
      <c r="I156" s="103">
        <f t="shared" si="46"/>
        <v>4.6039895999999993</v>
      </c>
      <c r="J156" s="39">
        <f t="shared" si="53"/>
        <v>643.27200000000005</v>
      </c>
      <c r="K156" s="95">
        <v>1</v>
      </c>
      <c r="L156" s="70">
        <f t="shared" si="48"/>
        <v>643.27200000000005</v>
      </c>
      <c r="M156" s="96">
        <v>1.67E-2</v>
      </c>
      <c r="N156" s="97">
        <f t="shared" si="49"/>
        <v>10.742642400000001</v>
      </c>
      <c r="O156" s="94">
        <f t="shared" si="50"/>
        <v>918.96</v>
      </c>
      <c r="P156" s="73">
        <f t="shared" si="44"/>
        <v>1.67E-2</v>
      </c>
      <c r="Q156" s="98">
        <f t="shared" si="51"/>
        <v>15.346632</v>
      </c>
      <c r="R156" s="139">
        <v>31.4</v>
      </c>
      <c r="S156" s="8">
        <f t="shared" si="52"/>
        <v>481.88424479999998</v>
      </c>
      <c r="T156" s="8"/>
      <c r="U156" s="12"/>
    </row>
    <row r="157" spans="1:21" s="19" customFormat="1" ht="24.75" customHeight="1" x14ac:dyDescent="0.35">
      <c r="A157" s="145"/>
      <c r="B157" s="158"/>
      <c r="C157" s="50" t="s">
        <v>58</v>
      </c>
      <c r="D157" s="93">
        <f>D156-E156</f>
        <v>643.27200000000005</v>
      </c>
      <c r="E157" s="94">
        <f>E153-0.4*D153-E155-E156</f>
        <v>206.27199999999999</v>
      </c>
      <c r="F157" s="95">
        <v>1</v>
      </c>
      <c r="G157" s="70">
        <f t="shared" si="45"/>
        <v>206.27199999999999</v>
      </c>
      <c r="H157" s="26">
        <v>1.67E-2</v>
      </c>
      <c r="I157" s="103">
        <f t="shared" si="46"/>
        <v>3.4447424</v>
      </c>
      <c r="J157" s="39">
        <f t="shared" si="53"/>
        <v>437.00000000000006</v>
      </c>
      <c r="K157" s="95">
        <v>1</v>
      </c>
      <c r="L157" s="70">
        <f t="shared" si="48"/>
        <v>437.00000000000006</v>
      </c>
      <c r="M157" s="96">
        <v>1.67E-2</v>
      </c>
      <c r="N157" s="97">
        <f t="shared" si="49"/>
        <v>7.2979000000000012</v>
      </c>
      <c r="O157" s="94">
        <f t="shared" si="50"/>
        <v>643.27200000000005</v>
      </c>
      <c r="P157" s="73">
        <f t="shared" si="44"/>
        <v>1.67E-2</v>
      </c>
      <c r="Q157" s="98">
        <f t="shared" si="51"/>
        <v>10.742642400000001</v>
      </c>
      <c r="R157" s="139">
        <v>31.4</v>
      </c>
      <c r="S157" s="8">
        <f t="shared" si="52"/>
        <v>337.31897136000003</v>
      </c>
      <c r="T157" s="8"/>
      <c r="U157" s="12"/>
    </row>
    <row r="158" spans="1:21" customFormat="1" ht="24.75" customHeight="1" x14ac:dyDescent="0.35">
      <c r="A158" s="145"/>
      <c r="B158" s="143" t="s">
        <v>45</v>
      </c>
      <c r="C158" s="38" t="s">
        <v>42</v>
      </c>
      <c r="D158" s="29">
        <v>1219</v>
      </c>
      <c r="E158" s="25">
        <v>975</v>
      </c>
      <c r="F158" s="40">
        <v>1</v>
      </c>
      <c r="G158" s="41">
        <f t="shared" si="45"/>
        <v>975</v>
      </c>
      <c r="H158" s="42">
        <v>0.33400000000000002</v>
      </c>
      <c r="I158" s="43">
        <f t="shared" si="46"/>
        <v>325.65000000000003</v>
      </c>
      <c r="J158" s="39">
        <f t="shared" si="53"/>
        <v>244</v>
      </c>
      <c r="K158" s="40">
        <v>1</v>
      </c>
      <c r="L158" s="41">
        <f t="shared" si="48"/>
        <v>244</v>
      </c>
      <c r="M158" s="42">
        <v>1.67E-2</v>
      </c>
      <c r="N158" s="43">
        <f t="shared" si="49"/>
        <v>4.0747999999999998</v>
      </c>
      <c r="O158" s="25">
        <f t="shared" si="50"/>
        <v>1219</v>
      </c>
      <c r="P158" s="73">
        <f t="shared" si="44"/>
        <v>0.27048794093519279</v>
      </c>
      <c r="Q158" s="74">
        <f t="shared" si="51"/>
        <v>329.72480000000002</v>
      </c>
      <c r="R158" s="139">
        <v>31.4</v>
      </c>
      <c r="S158" s="8">
        <f t="shared" si="52"/>
        <v>10353.35872</v>
      </c>
      <c r="T158" s="20"/>
    </row>
    <row r="159" spans="1:21" s="19" customFormat="1" ht="24.75" customHeight="1" x14ac:dyDescent="0.35">
      <c r="A159" s="145"/>
      <c r="B159" s="157"/>
      <c r="C159" s="50" t="s">
        <v>57</v>
      </c>
      <c r="D159" s="93">
        <f>D158</f>
        <v>1219</v>
      </c>
      <c r="E159" s="94">
        <f>D159</f>
        <v>1219</v>
      </c>
      <c r="F159" s="95">
        <v>1</v>
      </c>
      <c r="G159" s="70">
        <f t="shared" si="45"/>
        <v>1219</v>
      </c>
      <c r="H159" s="26">
        <v>8.3500000000000005E-2</v>
      </c>
      <c r="I159" s="103">
        <f t="shared" si="46"/>
        <v>101.7865</v>
      </c>
      <c r="J159" s="39">
        <f t="shared" si="53"/>
        <v>0</v>
      </c>
      <c r="K159" s="95">
        <v>1</v>
      </c>
      <c r="L159" s="70">
        <f t="shared" si="48"/>
        <v>0</v>
      </c>
      <c r="M159" s="96">
        <v>1.67E-2</v>
      </c>
      <c r="N159" s="97">
        <f t="shared" si="49"/>
        <v>0</v>
      </c>
      <c r="O159" s="94">
        <f t="shared" si="50"/>
        <v>1219</v>
      </c>
      <c r="P159" s="71">
        <f t="shared" si="44"/>
        <v>8.3500000000000005E-2</v>
      </c>
      <c r="Q159" s="98">
        <f t="shared" si="51"/>
        <v>101.7865</v>
      </c>
      <c r="R159" s="139">
        <v>31.4</v>
      </c>
      <c r="S159" s="8">
        <f t="shared" si="52"/>
        <v>3196.0960999999998</v>
      </c>
      <c r="T159" s="8"/>
      <c r="U159" s="12"/>
    </row>
    <row r="160" spans="1:21" s="19" customFormat="1" ht="24.75" customHeight="1" x14ac:dyDescent="0.35">
      <c r="A160" s="145"/>
      <c r="B160" s="157"/>
      <c r="C160" s="50" t="s">
        <v>55</v>
      </c>
      <c r="D160" s="93">
        <f>0.6*D158</f>
        <v>731.4</v>
      </c>
      <c r="E160" s="94">
        <f>0.3*D160</f>
        <v>219.42</v>
      </c>
      <c r="F160" s="95">
        <v>1</v>
      </c>
      <c r="G160" s="70">
        <f t="shared" si="45"/>
        <v>219.42</v>
      </c>
      <c r="H160" s="26">
        <v>1.67E-2</v>
      </c>
      <c r="I160" s="103">
        <f t="shared" si="46"/>
        <v>3.6643139999999996</v>
      </c>
      <c r="J160" s="39">
        <f t="shared" si="53"/>
        <v>511.98</v>
      </c>
      <c r="K160" s="95">
        <v>1</v>
      </c>
      <c r="L160" s="70">
        <f t="shared" si="48"/>
        <v>511.98</v>
      </c>
      <c r="M160" s="96">
        <v>1.67E-2</v>
      </c>
      <c r="N160" s="97">
        <f t="shared" si="49"/>
        <v>8.5500659999999993</v>
      </c>
      <c r="O160" s="94">
        <f t="shared" si="50"/>
        <v>731.4</v>
      </c>
      <c r="P160" s="73">
        <f t="shared" si="44"/>
        <v>1.67E-2</v>
      </c>
      <c r="Q160" s="98">
        <f t="shared" si="51"/>
        <v>12.214379999999998</v>
      </c>
      <c r="R160" s="139">
        <v>31.4</v>
      </c>
      <c r="S160" s="8">
        <f t="shared" si="52"/>
        <v>383.53153199999991</v>
      </c>
      <c r="T160" s="8"/>
      <c r="U160" s="12"/>
    </row>
    <row r="161" spans="1:21" s="19" customFormat="1" ht="24.75" customHeight="1" x14ac:dyDescent="0.35">
      <c r="A161" s="145"/>
      <c r="B161" s="157"/>
      <c r="C161" s="50" t="s">
        <v>56</v>
      </c>
      <c r="D161" s="93">
        <f>D160-E160</f>
        <v>511.98</v>
      </c>
      <c r="E161" s="94">
        <f>0.3*D161</f>
        <v>153.59399999999999</v>
      </c>
      <c r="F161" s="95">
        <v>1</v>
      </c>
      <c r="G161" s="70">
        <f t="shared" si="45"/>
        <v>153.59399999999999</v>
      </c>
      <c r="H161" s="26">
        <v>1.67E-2</v>
      </c>
      <c r="I161" s="103">
        <f t="shared" si="46"/>
        <v>2.5650198</v>
      </c>
      <c r="J161" s="39">
        <f t="shared" si="53"/>
        <v>358.38600000000002</v>
      </c>
      <c r="K161" s="95">
        <v>1</v>
      </c>
      <c r="L161" s="70">
        <f t="shared" si="48"/>
        <v>358.38600000000002</v>
      </c>
      <c r="M161" s="96">
        <v>1.67E-2</v>
      </c>
      <c r="N161" s="97">
        <f t="shared" si="49"/>
        <v>5.9850462000000002</v>
      </c>
      <c r="O161" s="94">
        <f t="shared" si="50"/>
        <v>511.98</v>
      </c>
      <c r="P161" s="73">
        <f t="shared" si="44"/>
        <v>1.6700000000000003E-2</v>
      </c>
      <c r="Q161" s="98">
        <f t="shared" si="51"/>
        <v>8.5500660000000011</v>
      </c>
      <c r="R161" s="139">
        <v>31.4</v>
      </c>
      <c r="S161" s="8">
        <f t="shared" si="52"/>
        <v>268.4720724</v>
      </c>
      <c r="T161" s="8"/>
      <c r="U161" s="12"/>
    </row>
    <row r="162" spans="1:21" s="19" customFormat="1" ht="24.75" customHeight="1" x14ac:dyDescent="0.35">
      <c r="A162" s="145"/>
      <c r="B162" s="158"/>
      <c r="C162" s="50" t="s">
        <v>58</v>
      </c>
      <c r="D162" s="93">
        <f>D161-E161</f>
        <v>358.38600000000002</v>
      </c>
      <c r="E162" s="94">
        <f>E158-0.4*D158-E160-E161</f>
        <v>114.38600000000002</v>
      </c>
      <c r="F162" s="95">
        <v>1</v>
      </c>
      <c r="G162" s="70">
        <f t="shared" si="45"/>
        <v>114.38600000000002</v>
      </c>
      <c r="H162" s="26">
        <v>1.67E-2</v>
      </c>
      <c r="I162" s="103">
        <f t="shared" si="46"/>
        <v>1.9102462000000004</v>
      </c>
      <c r="J162" s="39">
        <f t="shared" si="53"/>
        <v>244</v>
      </c>
      <c r="K162" s="95">
        <v>1</v>
      </c>
      <c r="L162" s="70">
        <f t="shared" si="48"/>
        <v>244</v>
      </c>
      <c r="M162" s="96">
        <v>1.67E-2</v>
      </c>
      <c r="N162" s="97">
        <f t="shared" si="49"/>
        <v>4.0747999999999998</v>
      </c>
      <c r="O162" s="94">
        <f t="shared" si="50"/>
        <v>358.38600000000002</v>
      </c>
      <c r="P162" s="73">
        <f t="shared" si="44"/>
        <v>1.67E-2</v>
      </c>
      <c r="Q162" s="98">
        <f t="shared" si="51"/>
        <v>5.9850462000000002</v>
      </c>
      <c r="R162" s="139">
        <v>31.4</v>
      </c>
      <c r="S162" s="8">
        <f t="shared" si="52"/>
        <v>187.93045068000001</v>
      </c>
      <c r="T162" s="8"/>
      <c r="U162" s="12"/>
    </row>
    <row r="163" spans="1:21" customFormat="1" ht="24.75" customHeight="1" x14ac:dyDescent="0.35">
      <c r="A163" s="145"/>
      <c r="B163" s="143" t="s">
        <v>46</v>
      </c>
      <c r="C163" s="38" t="s">
        <v>42</v>
      </c>
      <c r="D163" s="29">
        <v>855</v>
      </c>
      <c r="E163" s="25">
        <f>0.8*D163</f>
        <v>684</v>
      </c>
      <c r="F163" s="40">
        <v>1</v>
      </c>
      <c r="G163" s="41">
        <f t="shared" si="45"/>
        <v>684</v>
      </c>
      <c r="H163" s="42">
        <v>0.33400000000000002</v>
      </c>
      <c r="I163" s="43">
        <f t="shared" si="46"/>
        <v>228.45600000000002</v>
      </c>
      <c r="J163" s="39">
        <f t="shared" si="53"/>
        <v>171</v>
      </c>
      <c r="K163" s="40">
        <v>1</v>
      </c>
      <c r="L163" s="41">
        <f t="shared" si="48"/>
        <v>171</v>
      </c>
      <c r="M163" s="42">
        <v>1.67E-2</v>
      </c>
      <c r="N163" s="43">
        <f t="shared" si="49"/>
        <v>2.8557000000000001</v>
      </c>
      <c r="O163" s="25">
        <f t="shared" si="50"/>
        <v>855</v>
      </c>
      <c r="P163" s="73">
        <f t="shared" si="44"/>
        <v>0.27054000000000006</v>
      </c>
      <c r="Q163" s="74">
        <f t="shared" si="51"/>
        <v>231.31170000000003</v>
      </c>
      <c r="R163" s="139">
        <v>31.4</v>
      </c>
      <c r="S163" s="8">
        <f t="shared" si="52"/>
        <v>7263.1873800000003</v>
      </c>
      <c r="T163" s="20"/>
    </row>
    <row r="164" spans="1:21" s="19" customFormat="1" ht="24.75" customHeight="1" x14ac:dyDescent="0.35">
      <c r="A164" s="145"/>
      <c r="B164" s="157"/>
      <c r="C164" s="50" t="s">
        <v>57</v>
      </c>
      <c r="D164" s="93">
        <f>D163</f>
        <v>855</v>
      </c>
      <c r="E164" s="94">
        <f>D164</f>
        <v>855</v>
      </c>
      <c r="F164" s="95">
        <v>1</v>
      </c>
      <c r="G164" s="70">
        <f t="shared" si="45"/>
        <v>855</v>
      </c>
      <c r="H164" s="26">
        <v>8.3500000000000005E-2</v>
      </c>
      <c r="I164" s="103">
        <f t="shared" si="46"/>
        <v>71.392499999999998</v>
      </c>
      <c r="J164" s="39">
        <f t="shared" si="53"/>
        <v>0</v>
      </c>
      <c r="K164" s="95">
        <v>1</v>
      </c>
      <c r="L164" s="70">
        <f t="shared" si="48"/>
        <v>0</v>
      </c>
      <c r="M164" s="96">
        <v>1.67E-2</v>
      </c>
      <c r="N164" s="97">
        <f t="shared" si="49"/>
        <v>0</v>
      </c>
      <c r="O164" s="94">
        <f t="shared" si="50"/>
        <v>855</v>
      </c>
      <c r="P164" s="71">
        <f t="shared" si="44"/>
        <v>8.3500000000000005E-2</v>
      </c>
      <c r="Q164" s="98">
        <f t="shared" si="51"/>
        <v>71.392499999999998</v>
      </c>
      <c r="R164" s="139">
        <v>31.4</v>
      </c>
      <c r="S164" s="8">
        <f t="shared" si="52"/>
        <v>2241.7244999999998</v>
      </c>
      <c r="T164" s="8"/>
      <c r="U164" s="12"/>
    </row>
    <row r="165" spans="1:21" s="19" customFormat="1" ht="24.75" customHeight="1" x14ac:dyDescent="0.35">
      <c r="A165" s="145"/>
      <c r="B165" s="157"/>
      <c r="C165" s="50" t="s">
        <v>55</v>
      </c>
      <c r="D165" s="93">
        <f>0.6*D163</f>
        <v>513</v>
      </c>
      <c r="E165" s="94">
        <f>0.3*D165</f>
        <v>153.9</v>
      </c>
      <c r="F165" s="95">
        <v>1</v>
      </c>
      <c r="G165" s="70">
        <f t="shared" ref="G165:G196" si="54">E165*F165</f>
        <v>153.9</v>
      </c>
      <c r="H165" s="26">
        <v>1.67E-2</v>
      </c>
      <c r="I165" s="103">
        <f t="shared" ref="I165:I196" si="55">G165*H165</f>
        <v>2.5701300000000002</v>
      </c>
      <c r="J165" s="25">
        <f t="shared" si="53"/>
        <v>359.1</v>
      </c>
      <c r="K165" s="95">
        <v>1</v>
      </c>
      <c r="L165" s="70">
        <f t="shared" ref="L165:L196" si="56">J165*K165</f>
        <v>359.1</v>
      </c>
      <c r="M165" s="96">
        <v>1.67E-2</v>
      </c>
      <c r="N165" s="97">
        <f t="shared" ref="N165:N196" si="57">L165*M165</f>
        <v>5.9969700000000001</v>
      </c>
      <c r="O165" s="94">
        <f t="shared" ref="O165:O196" si="58">L165+G165</f>
        <v>513</v>
      </c>
      <c r="P165" s="73">
        <f t="shared" si="44"/>
        <v>1.67E-2</v>
      </c>
      <c r="Q165" s="98">
        <f t="shared" ref="Q165:Q196" si="59">+N165+I165</f>
        <v>8.5670999999999999</v>
      </c>
      <c r="R165" s="139">
        <v>31.4</v>
      </c>
      <c r="S165" s="8">
        <f t="shared" ref="S165:S196" si="60">+Q165*R165</f>
        <v>269.00693999999999</v>
      </c>
      <c r="T165" s="8"/>
      <c r="U165" s="12"/>
    </row>
    <row r="166" spans="1:21" s="19" customFormat="1" ht="24.75" customHeight="1" x14ac:dyDescent="0.35">
      <c r="A166" s="145"/>
      <c r="B166" s="157"/>
      <c r="C166" s="50" t="s">
        <v>56</v>
      </c>
      <c r="D166" s="93">
        <f>D165-E165</f>
        <v>359.1</v>
      </c>
      <c r="E166" s="94">
        <f>0.3*D166</f>
        <v>107.73</v>
      </c>
      <c r="F166" s="95">
        <v>1</v>
      </c>
      <c r="G166" s="70">
        <f t="shared" si="54"/>
        <v>107.73</v>
      </c>
      <c r="H166" s="26">
        <v>1.67E-2</v>
      </c>
      <c r="I166" s="103">
        <f t="shared" si="55"/>
        <v>1.799091</v>
      </c>
      <c r="J166" s="39">
        <f t="shared" si="53"/>
        <v>251.37</v>
      </c>
      <c r="K166" s="95">
        <v>1</v>
      </c>
      <c r="L166" s="70">
        <f t="shared" si="56"/>
        <v>251.37</v>
      </c>
      <c r="M166" s="96">
        <v>1.67E-2</v>
      </c>
      <c r="N166" s="97">
        <f t="shared" si="57"/>
        <v>4.1978790000000004</v>
      </c>
      <c r="O166" s="94">
        <f t="shared" si="58"/>
        <v>359.1</v>
      </c>
      <c r="P166" s="73">
        <f t="shared" si="44"/>
        <v>1.67E-2</v>
      </c>
      <c r="Q166" s="98">
        <f t="shared" si="59"/>
        <v>5.9969700000000001</v>
      </c>
      <c r="R166" s="139">
        <v>31.4</v>
      </c>
      <c r="S166" s="8">
        <f t="shared" si="60"/>
        <v>188.304858</v>
      </c>
      <c r="T166" s="8"/>
      <c r="U166" s="12"/>
    </row>
    <row r="167" spans="1:21" s="19" customFormat="1" ht="24.75" customHeight="1" x14ac:dyDescent="0.35">
      <c r="A167" s="145"/>
      <c r="B167" s="158"/>
      <c r="C167" s="50" t="s">
        <v>58</v>
      </c>
      <c r="D167" s="93">
        <f>D166-E166</f>
        <v>251.37</v>
      </c>
      <c r="E167" s="94">
        <f>E163-0.4*D163-E165-E166</f>
        <v>80.36999999999999</v>
      </c>
      <c r="F167" s="95">
        <v>1</v>
      </c>
      <c r="G167" s="70">
        <f t="shared" si="54"/>
        <v>80.36999999999999</v>
      </c>
      <c r="H167" s="26">
        <v>1.67E-2</v>
      </c>
      <c r="I167" s="103">
        <f t="shared" si="55"/>
        <v>1.3421789999999998</v>
      </c>
      <c r="J167" s="39">
        <f t="shared" si="53"/>
        <v>171</v>
      </c>
      <c r="K167" s="95">
        <v>1</v>
      </c>
      <c r="L167" s="70">
        <f t="shared" si="56"/>
        <v>171</v>
      </c>
      <c r="M167" s="96">
        <v>1.67E-2</v>
      </c>
      <c r="N167" s="97">
        <f t="shared" si="57"/>
        <v>2.8557000000000001</v>
      </c>
      <c r="O167" s="94">
        <f t="shared" si="58"/>
        <v>251.37</v>
      </c>
      <c r="P167" s="73">
        <f t="shared" si="44"/>
        <v>1.67E-2</v>
      </c>
      <c r="Q167" s="98">
        <f t="shared" si="59"/>
        <v>4.1978790000000004</v>
      </c>
      <c r="R167" s="139">
        <v>31.4</v>
      </c>
      <c r="S167" s="8">
        <f t="shared" si="60"/>
        <v>131.81340059999999</v>
      </c>
      <c r="T167" s="8"/>
      <c r="U167" s="12"/>
    </row>
    <row r="168" spans="1:21" customFormat="1" ht="31.5" customHeight="1" x14ac:dyDescent="0.35">
      <c r="A168" s="145"/>
      <c r="B168" s="143" t="s">
        <v>53</v>
      </c>
      <c r="C168" s="38" t="s">
        <v>42</v>
      </c>
      <c r="D168" s="29">
        <v>2375</v>
      </c>
      <c r="E168" s="25">
        <f>0.8*D168</f>
        <v>1900</v>
      </c>
      <c r="F168" s="40">
        <v>1</v>
      </c>
      <c r="G168" s="41">
        <f t="shared" si="54"/>
        <v>1900</v>
      </c>
      <c r="H168" s="42">
        <v>0.33400000000000002</v>
      </c>
      <c r="I168" s="43">
        <f t="shared" si="55"/>
        <v>634.6</v>
      </c>
      <c r="J168" s="39">
        <f t="shared" si="53"/>
        <v>475</v>
      </c>
      <c r="K168" s="40">
        <v>1</v>
      </c>
      <c r="L168" s="41">
        <f t="shared" si="56"/>
        <v>475</v>
      </c>
      <c r="M168" s="42">
        <v>1.67E-2</v>
      </c>
      <c r="N168" s="43">
        <f t="shared" si="57"/>
        <v>7.9325000000000001</v>
      </c>
      <c r="O168" s="25">
        <f t="shared" si="58"/>
        <v>2375</v>
      </c>
      <c r="P168" s="73">
        <f t="shared" si="44"/>
        <v>0.27054</v>
      </c>
      <c r="Q168" s="74">
        <f t="shared" si="59"/>
        <v>642.53250000000003</v>
      </c>
      <c r="R168" s="139">
        <v>31.4</v>
      </c>
      <c r="S168" s="8">
        <f t="shared" si="60"/>
        <v>20175.520499999999</v>
      </c>
      <c r="T168" s="142"/>
      <c r="U168" s="48"/>
    </row>
    <row r="169" spans="1:21" s="19" customFormat="1" ht="24.75" customHeight="1" x14ac:dyDescent="0.35">
      <c r="A169" s="145"/>
      <c r="B169" s="157"/>
      <c r="C169" s="50" t="s">
        <v>57</v>
      </c>
      <c r="D169" s="93">
        <f>D168</f>
        <v>2375</v>
      </c>
      <c r="E169" s="94">
        <f>D169</f>
        <v>2375</v>
      </c>
      <c r="F169" s="95">
        <v>1</v>
      </c>
      <c r="G169" s="70">
        <f t="shared" si="54"/>
        <v>2375</v>
      </c>
      <c r="H169" s="26">
        <v>8.3500000000000005E-2</v>
      </c>
      <c r="I169" s="103">
        <f t="shared" si="55"/>
        <v>198.3125</v>
      </c>
      <c r="J169" s="39">
        <f t="shared" si="53"/>
        <v>0</v>
      </c>
      <c r="K169" s="95">
        <v>1</v>
      </c>
      <c r="L169" s="70">
        <f t="shared" si="56"/>
        <v>0</v>
      </c>
      <c r="M169" s="96">
        <v>1.67E-2</v>
      </c>
      <c r="N169" s="97">
        <f t="shared" si="57"/>
        <v>0</v>
      </c>
      <c r="O169" s="94">
        <f t="shared" si="58"/>
        <v>2375</v>
      </c>
      <c r="P169" s="71">
        <f t="shared" si="44"/>
        <v>8.3500000000000005E-2</v>
      </c>
      <c r="Q169" s="98">
        <f t="shared" si="59"/>
        <v>198.3125</v>
      </c>
      <c r="R169" s="139">
        <v>31.4</v>
      </c>
      <c r="S169" s="8">
        <f t="shared" si="60"/>
        <v>6227.0124999999998</v>
      </c>
      <c r="T169" s="8"/>
      <c r="U169" s="12"/>
    </row>
    <row r="170" spans="1:21" s="19" customFormat="1" ht="24.75" customHeight="1" x14ac:dyDescent="0.35">
      <c r="A170" s="145"/>
      <c r="B170" s="157"/>
      <c r="C170" s="50" t="s">
        <v>55</v>
      </c>
      <c r="D170" s="93">
        <f>0.6*D168</f>
        <v>1425</v>
      </c>
      <c r="E170" s="94">
        <f>0.3*D170-1</f>
        <v>426.5</v>
      </c>
      <c r="F170" s="95">
        <v>1</v>
      </c>
      <c r="G170" s="70">
        <f t="shared" si="54"/>
        <v>426.5</v>
      </c>
      <c r="H170" s="26">
        <v>1.67E-2</v>
      </c>
      <c r="I170" s="103">
        <f t="shared" si="55"/>
        <v>7.1225499999999995</v>
      </c>
      <c r="J170" s="39">
        <f>+D170-E170-1</f>
        <v>997.5</v>
      </c>
      <c r="K170" s="95">
        <v>1</v>
      </c>
      <c r="L170" s="70">
        <f t="shared" si="56"/>
        <v>997.5</v>
      </c>
      <c r="M170" s="96">
        <v>1.67E-2</v>
      </c>
      <c r="N170" s="97">
        <f t="shared" si="57"/>
        <v>16.658249999999999</v>
      </c>
      <c r="O170" s="94">
        <f t="shared" si="58"/>
        <v>1424</v>
      </c>
      <c r="P170" s="73">
        <f t="shared" si="44"/>
        <v>1.67E-2</v>
      </c>
      <c r="Q170" s="98">
        <f t="shared" si="59"/>
        <v>23.780799999999999</v>
      </c>
      <c r="R170" s="139">
        <v>31.4</v>
      </c>
      <c r="S170" s="8">
        <f t="shared" si="60"/>
        <v>746.71711999999991</v>
      </c>
      <c r="T170" s="8"/>
      <c r="U170" s="12"/>
    </row>
    <row r="171" spans="1:21" s="19" customFormat="1" ht="24.75" customHeight="1" x14ac:dyDescent="0.35">
      <c r="A171" s="145"/>
      <c r="B171" s="157"/>
      <c r="C171" s="50" t="s">
        <v>56</v>
      </c>
      <c r="D171" s="93">
        <f>D170-E170-1</f>
        <v>997.5</v>
      </c>
      <c r="E171" s="94">
        <f>0.3*D171-1</f>
        <v>298.25</v>
      </c>
      <c r="F171" s="95">
        <v>1</v>
      </c>
      <c r="G171" s="70">
        <f t="shared" si="54"/>
        <v>298.25</v>
      </c>
      <c r="H171" s="26">
        <v>1.67E-2</v>
      </c>
      <c r="I171" s="103">
        <f t="shared" si="55"/>
        <v>4.9807749999999995</v>
      </c>
      <c r="J171" s="39">
        <f>+D171-E171+1</f>
        <v>700.25</v>
      </c>
      <c r="K171" s="95">
        <v>1</v>
      </c>
      <c r="L171" s="70">
        <f t="shared" si="56"/>
        <v>700.25</v>
      </c>
      <c r="M171" s="96">
        <v>1.67E-2</v>
      </c>
      <c r="N171" s="97">
        <f t="shared" si="57"/>
        <v>11.694175</v>
      </c>
      <c r="O171" s="94">
        <f t="shared" si="58"/>
        <v>998.5</v>
      </c>
      <c r="P171" s="73">
        <f t="shared" si="44"/>
        <v>1.67E-2</v>
      </c>
      <c r="Q171" s="98">
        <f t="shared" si="59"/>
        <v>16.674949999999999</v>
      </c>
      <c r="R171" s="139">
        <v>31.4</v>
      </c>
      <c r="S171" s="8">
        <f t="shared" si="60"/>
        <v>523.5934299999999</v>
      </c>
      <c r="T171" s="8"/>
      <c r="U171" s="12"/>
    </row>
    <row r="172" spans="1:21" s="19" customFormat="1" ht="24.75" customHeight="1" x14ac:dyDescent="0.35">
      <c r="A172" s="145"/>
      <c r="B172" s="158"/>
      <c r="C172" s="50" t="s">
        <v>58</v>
      </c>
      <c r="D172" s="93">
        <f>D171-E171+1</f>
        <v>700.25</v>
      </c>
      <c r="E172" s="94">
        <f>E168-0.4*D168-E170-E171</f>
        <v>225.25</v>
      </c>
      <c r="F172" s="95">
        <v>1</v>
      </c>
      <c r="G172" s="70">
        <f t="shared" si="54"/>
        <v>225.25</v>
      </c>
      <c r="H172" s="26">
        <v>1.67E-2</v>
      </c>
      <c r="I172" s="103">
        <f t="shared" si="55"/>
        <v>3.7616749999999999</v>
      </c>
      <c r="J172" s="39">
        <f t="shared" ref="J172:J200" si="61">+D172-E172</f>
        <v>475</v>
      </c>
      <c r="K172" s="95">
        <v>1</v>
      </c>
      <c r="L172" s="70">
        <f t="shared" si="56"/>
        <v>475</v>
      </c>
      <c r="M172" s="96">
        <v>1.67E-2</v>
      </c>
      <c r="N172" s="97">
        <f t="shared" si="57"/>
        <v>7.9325000000000001</v>
      </c>
      <c r="O172" s="94">
        <f t="shared" si="58"/>
        <v>700.25</v>
      </c>
      <c r="P172" s="73">
        <f t="shared" si="44"/>
        <v>1.67E-2</v>
      </c>
      <c r="Q172" s="98">
        <f t="shared" si="59"/>
        <v>11.694175</v>
      </c>
      <c r="R172" s="139">
        <v>31.4</v>
      </c>
      <c r="S172" s="8">
        <f t="shared" si="60"/>
        <v>367.19709499999999</v>
      </c>
      <c r="T172" s="8"/>
      <c r="U172" s="12"/>
    </row>
    <row r="173" spans="1:21" customFormat="1" ht="31.5" customHeight="1" x14ac:dyDescent="0.35">
      <c r="A173" s="145"/>
      <c r="B173" s="143" t="s">
        <v>47</v>
      </c>
      <c r="C173" s="38" t="s">
        <v>42</v>
      </c>
      <c r="D173" s="29">
        <v>2188</v>
      </c>
      <c r="E173" s="25">
        <v>1751</v>
      </c>
      <c r="F173" s="40">
        <v>1</v>
      </c>
      <c r="G173" s="41">
        <f t="shared" si="54"/>
        <v>1751</v>
      </c>
      <c r="H173" s="42">
        <v>0.33400000000000002</v>
      </c>
      <c r="I173" s="43">
        <f t="shared" si="55"/>
        <v>584.83400000000006</v>
      </c>
      <c r="J173" s="39">
        <f t="shared" si="61"/>
        <v>437</v>
      </c>
      <c r="K173" s="40">
        <v>1</v>
      </c>
      <c r="L173" s="41">
        <f t="shared" si="56"/>
        <v>437</v>
      </c>
      <c r="M173" s="42">
        <v>1.67E-2</v>
      </c>
      <c r="N173" s="43">
        <f t="shared" si="57"/>
        <v>7.2978999999999994</v>
      </c>
      <c r="O173" s="25">
        <f t="shared" si="58"/>
        <v>2188</v>
      </c>
      <c r="P173" s="73">
        <f t="shared" si="44"/>
        <v>0.27062701096892144</v>
      </c>
      <c r="Q173" s="74">
        <f t="shared" si="59"/>
        <v>592.13190000000009</v>
      </c>
      <c r="R173" s="139">
        <v>31.4</v>
      </c>
      <c r="S173" s="8">
        <f t="shared" si="60"/>
        <v>18592.94166</v>
      </c>
      <c r="T173" s="142"/>
      <c r="U173" s="48"/>
    </row>
    <row r="174" spans="1:21" s="19" customFormat="1" ht="24.75" customHeight="1" x14ac:dyDescent="0.35">
      <c r="A174" s="145"/>
      <c r="B174" s="157"/>
      <c r="C174" s="50" t="s">
        <v>57</v>
      </c>
      <c r="D174" s="93">
        <f>D173</f>
        <v>2188</v>
      </c>
      <c r="E174" s="94">
        <f>D174</f>
        <v>2188</v>
      </c>
      <c r="F174" s="95">
        <v>1</v>
      </c>
      <c r="G174" s="70">
        <f t="shared" si="54"/>
        <v>2188</v>
      </c>
      <c r="H174" s="26">
        <v>8.3500000000000005E-2</v>
      </c>
      <c r="I174" s="103">
        <f t="shared" si="55"/>
        <v>182.69800000000001</v>
      </c>
      <c r="J174" s="39">
        <f t="shared" si="61"/>
        <v>0</v>
      </c>
      <c r="K174" s="95">
        <v>1</v>
      </c>
      <c r="L174" s="70">
        <f t="shared" si="56"/>
        <v>0</v>
      </c>
      <c r="M174" s="96">
        <v>1.67E-2</v>
      </c>
      <c r="N174" s="97">
        <f t="shared" si="57"/>
        <v>0</v>
      </c>
      <c r="O174" s="94">
        <f t="shared" si="58"/>
        <v>2188</v>
      </c>
      <c r="P174" s="71">
        <f t="shared" si="44"/>
        <v>8.3500000000000005E-2</v>
      </c>
      <c r="Q174" s="98">
        <f t="shared" si="59"/>
        <v>182.69800000000001</v>
      </c>
      <c r="R174" s="139">
        <v>31.4</v>
      </c>
      <c r="S174" s="8">
        <f t="shared" si="60"/>
        <v>5736.7172</v>
      </c>
      <c r="T174" s="8"/>
      <c r="U174" s="12"/>
    </row>
    <row r="175" spans="1:21" s="19" customFormat="1" ht="24.75" customHeight="1" x14ac:dyDescent="0.35">
      <c r="A175" s="145"/>
      <c r="B175" s="157"/>
      <c r="C175" s="50" t="s">
        <v>55</v>
      </c>
      <c r="D175" s="93">
        <f>0.6*D173</f>
        <v>1312.8</v>
      </c>
      <c r="E175" s="94">
        <f>0.3*D175</f>
        <v>393.84</v>
      </c>
      <c r="F175" s="95">
        <v>1</v>
      </c>
      <c r="G175" s="70">
        <f t="shared" si="54"/>
        <v>393.84</v>
      </c>
      <c r="H175" s="26">
        <v>1.67E-2</v>
      </c>
      <c r="I175" s="103">
        <f t="shared" si="55"/>
        <v>6.5771279999999992</v>
      </c>
      <c r="J175" s="39">
        <f t="shared" si="61"/>
        <v>918.96</v>
      </c>
      <c r="K175" s="95">
        <v>1</v>
      </c>
      <c r="L175" s="70">
        <f t="shared" si="56"/>
        <v>918.96</v>
      </c>
      <c r="M175" s="96">
        <v>1.67E-2</v>
      </c>
      <c r="N175" s="97">
        <f t="shared" si="57"/>
        <v>15.346632</v>
      </c>
      <c r="O175" s="94">
        <f t="shared" si="58"/>
        <v>1312.8</v>
      </c>
      <c r="P175" s="73">
        <f t="shared" si="44"/>
        <v>1.67E-2</v>
      </c>
      <c r="Q175" s="98">
        <f t="shared" si="59"/>
        <v>21.923759999999998</v>
      </c>
      <c r="R175" s="139">
        <v>31.4</v>
      </c>
      <c r="S175" s="8">
        <f t="shared" si="60"/>
        <v>688.4060639999999</v>
      </c>
      <c r="T175" s="8"/>
      <c r="U175" s="12"/>
    </row>
    <row r="176" spans="1:21" s="19" customFormat="1" ht="24.75" customHeight="1" x14ac:dyDescent="0.35">
      <c r="A176" s="145"/>
      <c r="B176" s="157"/>
      <c r="C176" s="50" t="s">
        <v>56</v>
      </c>
      <c r="D176" s="93">
        <f>D175-E175</f>
        <v>918.96</v>
      </c>
      <c r="E176" s="94">
        <f>0.3*D176</f>
        <v>275.68799999999999</v>
      </c>
      <c r="F176" s="95">
        <v>1</v>
      </c>
      <c r="G176" s="70">
        <f t="shared" si="54"/>
        <v>275.68799999999999</v>
      </c>
      <c r="H176" s="26">
        <v>1.67E-2</v>
      </c>
      <c r="I176" s="103">
        <f t="shared" si="55"/>
        <v>4.6039895999999993</v>
      </c>
      <c r="J176" s="39">
        <f t="shared" si="61"/>
        <v>643.27200000000005</v>
      </c>
      <c r="K176" s="95">
        <v>1</v>
      </c>
      <c r="L176" s="70">
        <f t="shared" si="56"/>
        <v>643.27200000000005</v>
      </c>
      <c r="M176" s="96">
        <v>1.67E-2</v>
      </c>
      <c r="N176" s="97">
        <f t="shared" si="57"/>
        <v>10.742642400000001</v>
      </c>
      <c r="O176" s="94">
        <f t="shared" si="58"/>
        <v>918.96</v>
      </c>
      <c r="P176" s="73">
        <f t="shared" si="44"/>
        <v>1.67E-2</v>
      </c>
      <c r="Q176" s="98">
        <f t="shared" si="59"/>
        <v>15.346632</v>
      </c>
      <c r="R176" s="139">
        <v>31.4</v>
      </c>
      <c r="S176" s="8">
        <f t="shared" si="60"/>
        <v>481.88424479999998</v>
      </c>
      <c r="T176" s="8"/>
      <c r="U176" s="12"/>
    </row>
    <row r="177" spans="1:21" s="19" customFormat="1" ht="24.75" customHeight="1" x14ac:dyDescent="0.35">
      <c r="A177" s="145"/>
      <c r="B177" s="158"/>
      <c r="C177" s="50" t="s">
        <v>58</v>
      </c>
      <c r="D177" s="93">
        <f>D176-E176</f>
        <v>643.27200000000005</v>
      </c>
      <c r="E177" s="94">
        <f>E173-0.4*D173-E175-E176</f>
        <v>206.27199999999999</v>
      </c>
      <c r="F177" s="95">
        <v>1</v>
      </c>
      <c r="G177" s="70">
        <f t="shared" si="54"/>
        <v>206.27199999999999</v>
      </c>
      <c r="H177" s="26">
        <v>1.67E-2</v>
      </c>
      <c r="I177" s="103">
        <f t="shared" si="55"/>
        <v>3.4447424</v>
      </c>
      <c r="J177" s="39">
        <f t="shared" si="61"/>
        <v>437.00000000000006</v>
      </c>
      <c r="K177" s="95">
        <v>1</v>
      </c>
      <c r="L177" s="70">
        <f t="shared" si="56"/>
        <v>437.00000000000006</v>
      </c>
      <c r="M177" s="96">
        <v>1.67E-2</v>
      </c>
      <c r="N177" s="97">
        <f t="shared" si="57"/>
        <v>7.2979000000000012</v>
      </c>
      <c r="O177" s="94">
        <f t="shared" si="58"/>
        <v>643.27200000000005</v>
      </c>
      <c r="P177" s="73">
        <f t="shared" si="44"/>
        <v>1.67E-2</v>
      </c>
      <c r="Q177" s="98">
        <f t="shared" si="59"/>
        <v>10.742642400000001</v>
      </c>
      <c r="R177" s="139">
        <v>31.4</v>
      </c>
      <c r="S177" s="8">
        <f t="shared" si="60"/>
        <v>337.31897136000003</v>
      </c>
      <c r="T177" s="8"/>
      <c r="U177" s="12"/>
    </row>
    <row r="178" spans="1:21" customFormat="1" ht="25.5" customHeight="1" x14ac:dyDescent="0.35">
      <c r="A178" s="145"/>
      <c r="B178" s="143" t="s">
        <v>48</v>
      </c>
      <c r="C178" s="38" t="s">
        <v>42</v>
      </c>
      <c r="D178" s="29">
        <v>2438</v>
      </c>
      <c r="E178" s="25">
        <v>1951</v>
      </c>
      <c r="F178" s="40">
        <v>1</v>
      </c>
      <c r="G178" s="41">
        <f t="shared" si="54"/>
        <v>1951</v>
      </c>
      <c r="H178" s="42">
        <v>0.33400000000000002</v>
      </c>
      <c r="I178" s="43">
        <f t="shared" si="55"/>
        <v>651.63400000000001</v>
      </c>
      <c r="J178" s="39">
        <f t="shared" si="61"/>
        <v>487</v>
      </c>
      <c r="K178" s="40">
        <v>1</v>
      </c>
      <c r="L178" s="41">
        <f t="shared" si="56"/>
        <v>487</v>
      </c>
      <c r="M178" s="42">
        <v>1.67E-2</v>
      </c>
      <c r="N178" s="43">
        <f t="shared" si="57"/>
        <v>8.1328999999999994</v>
      </c>
      <c r="O178" s="25">
        <f t="shared" si="58"/>
        <v>2438</v>
      </c>
      <c r="P178" s="73">
        <f t="shared" si="44"/>
        <v>0.27061808859721082</v>
      </c>
      <c r="Q178" s="74">
        <f t="shared" si="59"/>
        <v>659.76689999999996</v>
      </c>
      <c r="R178" s="139">
        <v>31.4</v>
      </c>
      <c r="S178" s="8">
        <f t="shared" si="60"/>
        <v>20716.680659999998</v>
      </c>
      <c r="T178" s="142"/>
      <c r="U178" s="48"/>
    </row>
    <row r="179" spans="1:21" s="19" customFormat="1" ht="24.75" customHeight="1" x14ac:dyDescent="0.35">
      <c r="A179" s="145"/>
      <c r="B179" s="157"/>
      <c r="C179" s="50" t="s">
        <v>57</v>
      </c>
      <c r="D179" s="93">
        <f>D178</f>
        <v>2438</v>
      </c>
      <c r="E179" s="94">
        <f>D179</f>
        <v>2438</v>
      </c>
      <c r="F179" s="95">
        <v>1</v>
      </c>
      <c r="G179" s="70">
        <f t="shared" si="54"/>
        <v>2438</v>
      </c>
      <c r="H179" s="26">
        <v>8.3500000000000005E-2</v>
      </c>
      <c r="I179" s="103">
        <f t="shared" si="55"/>
        <v>203.57300000000001</v>
      </c>
      <c r="J179" s="39">
        <f t="shared" si="61"/>
        <v>0</v>
      </c>
      <c r="K179" s="95">
        <v>1</v>
      </c>
      <c r="L179" s="70">
        <f t="shared" si="56"/>
        <v>0</v>
      </c>
      <c r="M179" s="96">
        <v>1.67E-2</v>
      </c>
      <c r="N179" s="97">
        <f t="shared" si="57"/>
        <v>0</v>
      </c>
      <c r="O179" s="94">
        <f t="shared" si="58"/>
        <v>2438</v>
      </c>
      <c r="P179" s="71">
        <f t="shared" si="44"/>
        <v>8.3500000000000005E-2</v>
      </c>
      <c r="Q179" s="98">
        <f t="shared" si="59"/>
        <v>203.57300000000001</v>
      </c>
      <c r="R179" s="139">
        <v>31.4</v>
      </c>
      <c r="S179" s="8">
        <f t="shared" si="60"/>
        <v>6392.1921999999995</v>
      </c>
      <c r="T179" s="8"/>
      <c r="U179" s="12"/>
    </row>
    <row r="180" spans="1:21" s="19" customFormat="1" ht="24.75" customHeight="1" x14ac:dyDescent="0.35">
      <c r="A180" s="145"/>
      <c r="B180" s="157"/>
      <c r="C180" s="50" t="s">
        <v>55</v>
      </c>
      <c r="D180" s="93">
        <f>0.6*D178</f>
        <v>1462.8</v>
      </c>
      <c r="E180" s="94">
        <f>0.3*D180</f>
        <v>438.84</v>
      </c>
      <c r="F180" s="95">
        <v>1</v>
      </c>
      <c r="G180" s="70">
        <f t="shared" si="54"/>
        <v>438.84</v>
      </c>
      <c r="H180" s="26">
        <v>1.67E-2</v>
      </c>
      <c r="I180" s="103">
        <f t="shared" si="55"/>
        <v>7.3286279999999993</v>
      </c>
      <c r="J180" s="39">
        <f t="shared" si="61"/>
        <v>1023.96</v>
      </c>
      <c r="K180" s="95">
        <v>1</v>
      </c>
      <c r="L180" s="70">
        <f t="shared" si="56"/>
        <v>1023.96</v>
      </c>
      <c r="M180" s="96">
        <v>1.67E-2</v>
      </c>
      <c r="N180" s="97">
        <f t="shared" si="57"/>
        <v>17.100131999999999</v>
      </c>
      <c r="O180" s="94">
        <f t="shared" si="58"/>
        <v>1462.8</v>
      </c>
      <c r="P180" s="73">
        <f t="shared" si="44"/>
        <v>1.67E-2</v>
      </c>
      <c r="Q180" s="98">
        <f t="shared" si="59"/>
        <v>24.428759999999997</v>
      </c>
      <c r="R180" s="139">
        <v>31.4</v>
      </c>
      <c r="S180" s="8">
        <f t="shared" si="60"/>
        <v>767.06306399999983</v>
      </c>
      <c r="T180" s="8"/>
      <c r="U180" s="12"/>
    </row>
    <row r="181" spans="1:21" s="19" customFormat="1" ht="24.75" customHeight="1" x14ac:dyDescent="0.35">
      <c r="A181" s="145"/>
      <c r="B181" s="157"/>
      <c r="C181" s="50" t="s">
        <v>56</v>
      </c>
      <c r="D181" s="93">
        <f>D180-E180</f>
        <v>1023.96</v>
      </c>
      <c r="E181" s="94">
        <f>0.3*D181</f>
        <v>307.18799999999999</v>
      </c>
      <c r="F181" s="95">
        <v>1</v>
      </c>
      <c r="G181" s="70">
        <f t="shared" si="54"/>
        <v>307.18799999999999</v>
      </c>
      <c r="H181" s="26">
        <v>1.67E-2</v>
      </c>
      <c r="I181" s="103">
        <f t="shared" si="55"/>
        <v>5.1300395999999999</v>
      </c>
      <c r="J181" s="39">
        <f t="shared" si="61"/>
        <v>716.77200000000005</v>
      </c>
      <c r="K181" s="95">
        <v>1</v>
      </c>
      <c r="L181" s="70">
        <f t="shared" si="56"/>
        <v>716.77200000000005</v>
      </c>
      <c r="M181" s="96">
        <v>1.67E-2</v>
      </c>
      <c r="N181" s="97">
        <f t="shared" si="57"/>
        <v>11.9700924</v>
      </c>
      <c r="O181" s="94">
        <f t="shared" si="58"/>
        <v>1023.96</v>
      </c>
      <c r="P181" s="73">
        <f t="shared" si="44"/>
        <v>1.6700000000000003E-2</v>
      </c>
      <c r="Q181" s="98">
        <f t="shared" si="59"/>
        <v>17.100132000000002</v>
      </c>
      <c r="R181" s="139">
        <v>31.4</v>
      </c>
      <c r="S181" s="8">
        <f t="shared" si="60"/>
        <v>536.9441448</v>
      </c>
      <c r="T181" s="8"/>
      <c r="U181" s="12"/>
    </row>
    <row r="182" spans="1:21" s="19" customFormat="1" ht="24.75" customHeight="1" x14ac:dyDescent="0.35">
      <c r="A182" s="145"/>
      <c r="B182" s="158"/>
      <c r="C182" s="50" t="s">
        <v>58</v>
      </c>
      <c r="D182" s="93">
        <f>D181-E181</f>
        <v>716.77200000000005</v>
      </c>
      <c r="E182" s="94">
        <f>E178-0.4*D178-E180-E181</f>
        <v>229.77200000000005</v>
      </c>
      <c r="F182" s="95">
        <v>1</v>
      </c>
      <c r="G182" s="70">
        <f t="shared" si="54"/>
        <v>229.77200000000005</v>
      </c>
      <c r="H182" s="26">
        <v>1.67E-2</v>
      </c>
      <c r="I182" s="103">
        <f t="shared" si="55"/>
        <v>3.8371924000000006</v>
      </c>
      <c r="J182" s="39">
        <f t="shared" si="61"/>
        <v>487</v>
      </c>
      <c r="K182" s="95">
        <v>1</v>
      </c>
      <c r="L182" s="70">
        <f t="shared" si="56"/>
        <v>487</v>
      </c>
      <c r="M182" s="96">
        <v>1.67E-2</v>
      </c>
      <c r="N182" s="97">
        <f t="shared" si="57"/>
        <v>8.1328999999999994</v>
      </c>
      <c r="O182" s="94">
        <f t="shared" si="58"/>
        <v>716.77200000000005</v>
      </c>
      <c r="P182" s="73">
        <f t="shared" si="44"/>
        <v>1.67E-2</v>
      </c>
      <c r="Q182" s="98">
        <f t="shared" si="59"/>
        <v>11.9700924</v>
      </c>
      <c r="R182" s="139">
        <v>31.4</v>
      </c>
      <c r="S182" s="8">
        <f t="shared" si="60"/>
        <v>375.86090136000001</v>
      </c>
      <c r="T182" s="8"/>
      <c r="U182" s="12"/>
    </row>
    <row r="183" spans="1:21" customFormat="1" ht="31.5" customHeight="1" x14ac:dyDescent="0.35">
      <c r="A183" s="145"/>
      <c r="B183" s="143" t="s">
        <v>49</v>
      </c>
      <c r="C183" s="38" t="s">
        <v>42</v>
      </c>
      <c r="D183" s="29">
        <v>800</v>
      </c>
      <c r="E183" s="25">
        <f>0.8*D183</f>
        <v>640</v>
      </c>
      <c r="F183" s="40">
        <v>1</v>
      </c>
      <c r="G183" s="41">
        <f t="shared" si="54"/>
        <v>640</v>
      </c>
      <c r="H183" s="42">
        <v>0.33400000000000002</v>
      </c>
      <c r="I183" s="43">
        <f t="shared" si="55"/>
        <v>213.76000000000002</v>
      </c>
      <c r="J183" s="39">
        <f t="shared" si="61"/>
        <v>160</v>
      </c>
      <c r="K183" s="40">
        <v>1</v>
      </c>
      <c r="L183" s="41">
        <f t="shared" si="56"/>
        <v>160</v>
      </c>
      <c r="M183" s="42">
        <v>1.67E-2</v>
      </c>
      <c r="N183" s="43">
        <f t="shared" si="57"/>
        <v>2.6719999999999997</v>
      </c>
      <c r="O183" s="25">
        <f t="shared" si="58"/>
        <v>800</v>
      </c>
      <c r="P183" s="73">
        <f t="shared" si="44"/>
        <v>0.27054</v>
      </c>
      <c r="Q183" s="74">
        <f t="shared" si="59"/>
        <v>216.43200000000002</v>
      </c>
      <c r="R183" s="139">
        <v>31.4</v>
      </c>
      <c r="S183" s="8">
        <f t="shared" si="60"/>
        <v>6795.9648000000007</v>
      </c>
      <c r="T183" s="142"/>
      <c r="U183" s="48"/>
    </row>
    <row r="184" spans="1:21" s="19" customFormat="1" ht="24.75" customHeight="1" x14ac:dyDescent="0.35">
      <c r="A184" s="145"/>
      <c r="B184" s="157"/>
      <c r="C184" s="50" t="s">
        <v>57</v>
      </c>
      <c r="D184" s="93">
        <f>D183</f>
        <v>800</v>
      </c>
      <c r="E184" s="94">
        <f>D184</f>
        <v>800</v>
      </c>
      <c r="F184" s="95">
        <v>1</v>
      </c>
      <c r="G184" s="70">
        <f t="shared" si="54"/>
        <v>800</v>
      </c>
      <c r="H184" s="26">
        <v>8.3500000000000005E-2</v>
      </c>
      <c r="I184" s="103">
        <f t="shared" si="55"/>
        <v>66.8</v>
      </c>
      <c r="J184" s="39">
        <f t="shared" si="61"/>
        <v>0</v>
      </c>
      <c r="K184" s="95">
        <v>1</v>
      </c>
      <c r="L184" s="70">
        <f t="shared" si="56"/>
        <v>0</v>
      </c>
      <c r="M184" s="96">
        <v>1.67E-2</v>
      </c>
      <c r="N184" s="97">
        <f t="shared" si="57"/>
        <v>0</v>
      </c>
      <c r="O184" s="94">
        <f t="shared" si="58"/>
        <v>800</v>
      </c>
      <c r="P184" s="71">
        <f t="shared" si="44"/>
        <v>8.3499999999999991E-2</v>
      </c>
      <c r="Q184" s="98">
        <f t="shared" si="59"/>
        <v>66.8</v>
      </c>
      <c r="R184" s="139">
        <v>31.4</v>
      </c>
      <c r="S184" s="8">
        <f t="shared" si="60"/>
        <v>2097.52</v>
      </c>
      <c r="T184" s="8"/>
      <c r="U184" s="12"/>
    </row>
    <row r="185" spans="1:21" s="19" customFormat="1" ht="24.75" customHeight="1" x14ac:dyDescent="0.35">
      <c r="A185" s="145"/>
      <c r="B185" s="157"/>
      <c r="C185" s="50" t="s">
        <v>55</v>
      </c>
      <c r="D185" s="93">
        <f>0.6*D183</f>
        <v>480</v>
      </c>
      <c r="E185" s="94">
        <f>0.3*D185</f>
        <v>144</v>
      </c>
      <c r="F185" s="95">
        <v>1</v>
      </c>
      <c r="G185" s="70">
        <f t="shared" si="54"/>
        <v>144</v>
      </c>
      <c r="H185" s="26">
        <v>1.67E-2</v>
      </c>
      <c r="I185" s="103">
        <f t="shared" si="55"/>
        <v>2.4047999999999998</v>
      </c>
      <c r="J185" s="39">
        <f t="shared" si="61"/>
        <v>336</v>
      </c>
      <c r="K185" s="95">
        <v>1</v>
      </c>
      <c r="L185" s="70">
        <f t="shared" si="56"/>
        <v>336</v>
      </c>
      <c r="M185" s="96">
        <v>1.67E-2</v>
      </c>
      <c r="N185" s="97">
        <f t="shared" si="57"/>
        <v>5.6112000000000002</v>
      </c>
      <c r="O185" s="94">
        <f t="shared" si="58"/>
        <v>480</v>
      </c>
      <c r="P185" s="73">
        <f t="shared" si="44"/>
        <v>1.67E-2</v>
      </c>
      <c r="Q185" s="98">
        <f t="shared" si="59"/>
        <v>8.016</v>
      </c>
      <c r="R185" s="139">
        <v>31.4</v>
      </c>
      <c r="S185" s="8">
        <f t="shared" si="60"/>
        <v>251.70239999999998</v>
      </c>
      <c r="T185" s="8"/>
      <c r="U185" s="12"/>
    </row>
    <row r="186" spans="1:21" s="19" customFormat="1" ht="24.75" customHeight="1" x14ac:dyDescent="0.35">
      <c r="A186" s="145"/>
      <c r="B186" s="157"/>
      <c r="C186" s="50" t="s">
        <v>56</v>
      </c>
      <c r="D186" s="93">
        <f>D185-E185</f>
        <v>336</v>
      </c>
      <c r="E186" s="94">
        <f>0.3*D186</f>
        <v>100.8</v>
      </c>
      <c r="F186" s="95">
        <v>1</v>
      </c>
      <c r="G186" s="70">
        <f t="shared" si="54"/>
        <v>100.8</v>
      </c>
      <c r="H186" s="26">
        <v>1.67E-2</v>
      </c>
      <c r="I186" s="103">
        <f t="shared" si="55"/>
        <v>1.68336</v>
      </c>
      <c r="J186" s="39">
        <f t="shared" si="61"/>
        <v>235.2</v>
      </c>
      <c r="K186" s="95">
        <v>1</v>
      </c>
      <c r="L186" s="70">
        <f t="shared" si="56"/>
        <v>235.2</v>
      </c>
      <c r="M186" s="96">
        <v>1.67E-2</v>
      </c>
      <c r="N186" s="97">
        <f t="shared" si="57"/>
        <v>3.9278399999999998</v>
      </c>
      <c r="O186" s="94">
        <f t="shared" si="58"/>
        <v>336</v>
      </c>
      <c r="P186" s="73">
        <f t="shared" si="44"/>
        <v>1.67E-2</v>
      </c>
      <c r="Q186" s="98">
        <f t="shared" si="59"/>
        <v>5.6112000000000002</v>
      </c>
      <c r="R186" s="139">
        <v>31.4</v>
      </c>
      <c r="S186" s="8">
        <f t="shared" si="60"/>
        <v>176.19167999999999</v>
      </c>
      <c r="T186" s="8"/>
      <c r="U186" s="12"/>
    </row>
    <row r="187" spans="1:21" s="19" customFormat="1" ht="24.75" customHeight="1" x14ac:dyDescent="0.35">
      <c r="A187" s="145"/>
      <c r="B187" s="158"/>
      <c r="C187" s="50" t="s">
        <v>58</v>
      </c>
      <c r="D187" s="93">
        <f>D186-E186</f>
        <v>235.2</v>
      </c>
      <c r="E187" s="94">
        <f>E183-0.4*D183-E185-E186</f>
        <v>75.2</v>
      </c>
      <c r="F187" s="95">
        <v>1</v>
      </c>
      <c r="G187" s="70">
        <f t="shared" si="54"/>
        <v>75.2</v>
      </c>
      <c r="H187" s="26">
        <v>1.67E-2</v>
      </c>
      <c r="I187" s="103">
        <f t="shared" si="55"/>
        <v>1.2558400000000001</v>
      </c>
      <c r="J187" s="39">
        <f t="shared" si="61"/>
        <v>160</v>
      </c>
      <c r="K187" s="95">
        <v>1</v>
      </c>
      <c r="L187" s="70">
        <f t="shared" si="56"/>
        <v>160</v>
      </c>
      <c r="M187" s="96">
        <v>1.67E-2</v>
      </c>
      <c r="N187" s="97">
        <f t="shared" si="57"/>
        <v>2.6719999999999997</v>
      </c>
      <c r="O187" s="94">
        <f t="shared" si="58"/>
        <v>235.2</v>
      </c>
      <c r="P187" s="73">
        <f t="shared" si="44"/>
        <v>1.67E-2</v>
      </c>
      <c r="Q187" s="98">
        <f t="shared" si="59"/>
        <v>3.9278399999999998</v>
      </c>
      <c r="R187" s="139">
        <v>31.4</v>
      </c>
      <c r="S187" s="8">
        <f t="shared" si="60"/>
        <v>123.33417599999999</v>
      </c>
      <c r="T187" s="8"/>
      <c r="U187" s="12"/>
    </row>
    <row r="188" spans="1:21" s="19" customFormat="1" ht="24.75" customHeight="1" x14ac:dyDescent="0.35">
      <c r="A188" s="145"/>
      <c r="B188" s="44" t="s">
        <v>50</v>
      </c>
      <c r="C188" s="38" t="s">
        <v>42</v>
      </c>
      <c r="D188" s="29">
        <f>300*0.7</f>
        <v>210</v>
      </c>
      <c r="E188" s="25">
        <f>0.8*D188</f>
        <v>168</v>
      </c>
      <c r="F188" s="40">
        <v>1</v>
      </c>
      <c r="G188" s="41">
        <f t="shared" si="54"/>
        <v>168</v>
      </c>
      <c r="H188" s="42">
        <v>0.33400000000000002</v>
      </c>
      <c r="I188" s="43">
        <f t="shared" si="55"/>
        <v>56.112000000000002</v>
      </c>
      <c r="J188" s="39">
        <f t="shared" si="61"/>
        <v>42</v>
      </c>
      <c r="K188" s="40">
        <v>1</v>
      </c>
      <c r="L188" s="41">
        <f t="shared" si="56"/>
        <v>42</v>
      </c>
      <c r="M188" s="42">
        <v>1.67E-2</v>
      </c>
      <c r="N188" s="43">
        <f t="shared" si="57"/>
        <v>0.70140000000000002</v>
      </c>
      <c r="O188" s="25">
        <f t="shared" si="58"/>
        <v>210</v>
      </c>
      <c r="P188" s="73">
        <f t="shared" si="44"/>
        <v>0.27054</v>
      </c>
      <c r="Q188" s="74">
        <f t="shared" si="59"/>
        <v>56.813400000000001</v>
      </c>
      <c r="R188" s="139">
        <v>31.4</v>
      </c>
      <c r="S188" s="8">
        <f t="shared" si="60"/>
        <v>1783.94076</v>
      </c>
      <c r="T188" s="10"/>
      <c r="U188" s="18"/>
    </row>
    <row r="189" spans="1:21" s="19" customFormat="1" ht="24.75" customHeight="1" x14ac:dyDescent="0.35">
      <c r="A189" s="145"/>
      <c r="B189" s="157"/>
      <c r="C189" s="50" t="s">
        <v>57</v>
      </c>
      <c r="D189" s="93">
        <f>D188</f>
        <v>210</v>
      </c>
      <c r="E189" s="94">
        <f>D189</f>
        <v>210</v>
      </c>
      <c r="F189" s="95">
        <v>1</v>
      </c>
      <c r="G189" s="70">
        <f t="shared" si="54"/>
        <v>210</v>
      </c>
      <c r="H189" s="26">
        <v>8.3500000000000005E-2</v>
      </c>
      <c r="I189" s="103">
        <f t="shared" si="55"/>
        <v>17.535</v>
      </c>
      <c r="J189" s="39">
        <f t="shared" si="61"/>
        <v>0</v>
      </c>
      <c r="K189" s="95">
        <v>1</v>
      </c>
      <c r="L189" s="70">
        <f t="shared" si="56"/>
        <v>0</v>
      </c>
      <c r="M189" s="96">
        <v>1.67E-2</v>
      </c>
      <c r="N189" s="97">
        <f t="shared" si="57"/>
        <v>0</v>
      </c>
      <c r="O189" s="94">
        <f t="shared" si="58"/>
        <v>210</v>
      </c>
      <c r="P189" s="71">
        <f t="shared" si="44"/>
        <v>8.3500000000000005E-2</v>
      </c>
      <c r="Q189" s="98">
        <f t="shared" si="59"/>
        <v>17.535</v>
      </c>
      <c r="R189" s="139">
        <v>31.4</v>
      </c>
      <c r="S189" s="8">
        <f t="shared" si="60"/>
        <v>550.59899999999993</v>
      </c>
      <c r="T189" s="8"/>
      <c r="U189" s="12"/>
    </row>
    <row r="190" spans="1:21" s="19" customFormat="1" ht="24.75" customHeight="1" x14ac:dyDescent="0.35">
      <c r="A190" s="145"/>
      <c r="B190" s="157"/>
      <c r="C190" s="50" t="s">
        <v>55</v>
      </c>
      <c r="D190" s="93">
        <f>0.6*D188</f>
        <v>126</v>
      </c>
      <c r="E190" s="94">
        <f>0.3*D190</f>
        <v>37.799999999999997</v>
      </c>
      <c r="F190" s="95">
        <v>1</v>
      </c>
      <c r="G190" s="70">
        <f t="shared" si="54"/>
        <v>37.799999999999997</v>
      </c>
      <c r="H190" s="26">
        <v>1.67E-2</v>
      </c>
      <c r="I190" s="103">
        <f t="shared" si="55"/>
        <v>0.63125999999999993</v>
      </c>
      <c r="J190" s="39">
        <f t="shared" si="61"/>
        <v>88.2</v>
      </c>
      <c r="K190" s="95">
        <v>1</v>
      </c>
      <c r="L190" s="70">
        <f t="shared" si="56"/>
        <v>88.2</v>
      </c>
      <c r="M190" s="96">
        <v>1.67E-2</v>
      </c>
      <c r="N190" s="97">
        <f t="shared" si="57"/>
        <v>1.4729399999999999</v>
      </c>
      <c r="O190" s="94">
        <f t="shared" si="58"/>
        <v>126</v>
      </c>
      <c r="P190" s="73">
        <f t="shared" si="44"/>
        <v>1.6699999999999996E-2</v>
      </c>
      <c r="Q190" s="98">
        <f t="shared" si="59"/>
        <v>2.1041999999999996</v>
      </c>
      <c r="R190" s="139">
        <v>31.4</v>
      </c>
      <c r="S190" s="8">
        <f t="shared" si="60"/>
        <v>66.071879999999979</v>
      </c>
      <c r="T190" s="8"/>
      <c r="U190" s="12"/>
    </row>
    <row r="191" spans="1:21" s="19" customFormat="1" ht="24.75" customHeight="1" x14ac:dyDescent="0.35">
      <c r="A191" s="145"/>
      <c r="B191" s="157"/>
      <c r="C191" s="50" t="s">
        <v>56</v>
      </c>
      <c r="D191" s="93">
        <f>D190-E190</f>
        <v>88.2</v>
      </c>
      <c r="E191" s="94">
        <f>0.3*D191</f>
        <v>26.46</v>
      </c>
      <c r="F191" s="95">
        <v>1</v>
      </c>
      <c r="G191" s="70">
        <f t="shared" si="54"/>
        <v>26.46</v>
      </c>
      <c r="H191" s="26">
        <v>1.67E-2</v>
      </c>
      <c r="I191" s="103">
        <f t="shared" si="55"/>
        <v>0.441882</v>
      </c>
      <c r="J191" s="39">
        <f t="shared" si="61"/>
        <v>61.74</v>
      </c>
      <c r="K191" s="95">
        <v>1</v>
      </c>
      <c r="L191" s="70">
        <f t="shared" si="56"/>
        <v>61.74</v>
      </c>
      <c r="M191" s="96">
        <v>1.67E-2</v>
      </c>
      <c r="N191" s="97">
        <f t="shared" si="57"/>
        <v>1.031058</v>
      </c>
      <c r="O191" s="94">
        <f t="shared" si="58"/>
        <v>88.2</v>
      </c>
      <c r="P191" s="73">
        <f t="shared" si="44"/>
        <v>1.67E-2</v>
      </c>
      <c r="Q191" s="98">
        <f t="shared" si="59"/>
        <v>1.4729399999999999</v>
      </c>
      <c r="R191" s="139">
        <v>31.4</v>
      </c>
      <c r="S191" s="8">
        <f t="shared" si="60"/>
        <v>46.250315999999998</v>
      </c>
      <c r="T191" s="8"/>
      <c r="U191" s="12"/>
    </row>
    <row r="192" spans="1:21" s="19" customFormat="1" ht="24.75" customHeight="1" x14ac:dyDescent="0.35">
      <c r="A192" s="145"/>
      <c r="B192" s="158"/>
      <c r="C192" s="50" t="s">
        <v>58</v>
      </c>
      <c r="D192" s="93">
        <f>D191-E191</f>
        <v>61.74</v>
      </c>
      <c r="E192" s="94">
        <f>E188-0.4*D188-E190-E191</f>
        <v>19.740000000000002</v>
      </c>
      <c r="F192" s="95">
        <v>1</v>
      </c>
      <c r="G192" s="70">
        <f t="shared" si="54"/>
        <v>19.740000000000002</v>
      </c>
      <c r="H192" s="26">
        <v>1.67E-2</v>
      </c>
      <c r="I192" s="103">
        <f t="shared" si="55"/>
        <v>0.32965800000000001</v>
      </c>
      <c r="J192" s="39">
        <f t="shared" si="61"/>
        <v>42</v>
      </c>
      <c r="K192" s="95">
        <v>1</v>
      </c>
      <c r="L192" s="70">
        <f t="shared" si="56"/>
        <v>42</v>
      </c>
      <c r="M192" s="96">
        <v>1.67E-2</v>
      </c>
      <c r="N192" s="97">
        <f t="shared" si="57"/>
        <v>0.70140000000000002</v>
      </c>
      <c r="O192" s="94">
        <f t="shared" si="58"/>
        <v>61.74</v>
      </c>
      <c r="P192" s="73">
        <f t="shared" si="44"/>
        <v>1.67E-2</v>
      </c>
      <c r="Q192" s="98">
        <f t="shared" si="59"/>
        <v>1.031058</v>
      </c>
      <c r="R192" s="139">
        <v>31.4</v>
      </c>
      <c r="S192" s="8">
        <f t="shared" si="60"/>
        <v>32.375221199999999</v>
      </c>
      <c r="T192" s="8"/>
      <c r="U192" s="12"/>
    </row>
    <row r="193" spans="1:21" s="19" customFormat="1" ht="24.75" customHeight="1" x14ac:dyDescent="0.35">
      <c r="A193" s="145"/>
      <c r="B193" s="44" t="s">
        <v>51</v>
      </c>
      <c r="C193" s="38" t="s">
        <v>42</v>
      </c>
      <c r="D193" s="29">
        <f>2625*0.8</f>
        <v>2100</v>
      </c>
      <c r="E193" s="25">
        <f>0.8*D193</f>
        <v>1680</v>
      </c>
      <c r="F193" s="40">
        <v>1</v>
      </c>
      <c r="G193" s="41">
        <f t="shared" si="54"/>
        <v>1680</v>
      </c>
      <c r="H193" s="42">
        <v>0.33400000000000002</v>
      </c>
      <c r="I193" s="43">
        <f t="shared" si="55"/>
        <v>561.12</v>
      </c>
      <c r="J193" s="39">
        <f t="shared" si="61"/>
        <v>420</v>
      </c>
      <c r="K193" s="40">
        <v>1</v>
      </c>
      <c r="L193" s="41">
        <f t="shared" si="56"/>
        <v>420</v>
      </c>
      <c r="M193" s="42">
        <v>1.67E-2</v>
      </c>
      <c r="N193" s="43">
        <f t="shared" si="57"/>
        <v>7.0140000000000002</v>
      </c>
      <c r="O193" s="25">
        <f t="shared" si="58"/>
        <v>2100</v>
      </c>
      <c r="P193" s="73">
        <f t="shared" si="44"/>
        <v>0.27054</v>
      </c>
      <c r="Q193" s="74">
        <f t="shared" si="59"/>
        <v>568.13400000000001</v>
      </c>
      <c r="R193" s="139">
        <v>31.4</v>
      </c>
      <c r="S193" s="8">
        <f t="shared" si="60"/>
        <v>17839.407599999999</v>
      </c>
      <c r="T193" s="10"/>
      <c r="U193" s="18"/>
    </row>
    <row r="194" spans="1:21" s="19" customFormat="1" ht="24.75" customHeight="1" x14ac:dyDescent="0.35">
      <c r="A194" s="145"/>
      <c r="B194" s="157"/>
      <c r="C194" s="50" t="s">
        <v>57</v>
      </c>
      <c r="D194" s="93">
        <f>D193</f>
        <v>2100</v>
      </c>
      <c r="E194" s="94">
        <f>D194</f>
        <v>2100</v>
      </c>
      <c r="F194" s="95">
        <v>1</v>
      </c>
      <c r="G194" s="70">
        <f t="shared" si="54"/>
        <v>2100</v>
      </c>
      <c r="H194" s="26">
        <v>8.3500000000000005E-2</v>
      </c>
      <c r="I194" s="103">
        <f t="shared" si="55"/>
        <v>175.35000000000002</v>
      </c>
      <c r="J194" s="39">
        <f t="shared" si="61"/>
        <v>0</v>
      </c>
      <c r="K194" s="95">
        <v>1</v>
      </c>
      <c r="L194" s="70">
        <f t="shared" si="56"/>
        <v>0</v>
      </c>
      <c r="M194" s="96">
        <v>1.67E-2</v>
      </c>
      <c r="N194" s="97">
        <f t="shared" si="57"/>
        <v>0</v>
      </c>
      <c r="O194" s="94">
        <f t="shared" si="58"/>
        <v>2100</v>
      </c>
      <c r="P194" s="71">
        <f t="shared" si="44"/>
        <v>8.3500000000000005E-2</v>
      </c>
      <c r="Q194" s="98">
        <f t="shared" si="59"/>
        <v>175.35000000000002</v>
      </c>
      <c r="R194" s="139">
        <v>31.4</v>
      </c>
      <c r="S194" s="8">
        <f t="shared" si="60"/>
        <v>5505.9900000000007</v>
      </c>
      <c r="T194" s="8"/>
      <c r="U194" s="12"/>
    </row>
    <row r="195" spans="1:21" s="19" customFormat="1" ht="24.75" customHeight="1" x14ac:dyDescent="0.35">
      <c r="A195" s="145"/>
      <c r="B195" s="157"/>
      <c r="C195" s="50" t="s">
        <v>55</v>
      </c>
      <c r="D195" s="93">
        <f>0.6*D193</f>
        <v>1260</v>
      </c>
      <c r="E195" s="94">
        <f>0.3*D195</f>
        <v>378</v>
      </c>
      <c r="F195" s="95">
        <v>1</v>
      </c>
      <c r="G195" s="70">
        <f t="shared" si="54"/>
        <v>378</v>
      </c>
      <c r="H195" s="26">
        <v>1.67E-2</v>
      </c>
      <c r="I195" s="103">
        <f t="shared" si="55"/>
        <v>6.3125999999999998</v>
      </c>
      <c r="J195" s="39">
        <f t="shared" si="61"/>
        <v>882</v>
      </c>
      <c r="K195" s="95">
        <v>1</v>
      </c>
      <c r="L195" s="70">
        <f t="shared" si="56"/>
        <v>882</v>
      </c>
      <c r="M195" s="96">
        <v>1.67E-2</v>
      </c>
      <c r="N195" s="97">
        <f t="shared" si="57"/>
        <v>14.7294</v>
      </c>
      <c r="O195" s="94">
        <f t="shared" si="58"/>
        <v>1260</v>
      </c>
      <c r="P195" s="73">
        <f t="shared" si="44"/>
        <v>1.67E-2</v>
      </c>
      <c r="Q195" s="98">
        <f t="shared" si="59"/>
        <v>21.042000000000002</v>
      </c>
      <c r="R195" s="139">
        <v>31.4</v>
      </c>
      <c r="S195" s="8">
        <f t="shared" si="60"/>
        <v>660.71879999999999</v>
      </c>
      <c r="T195" s="8"/>
      <c r="U195" s="12"/>
    </row>
    <row r="196" spans="1:21" s="19" customFormat="1" ht="24.75" customHeight="1" x14ac:dyDescent="0.35">
      <c r="A196" s="145"/>
      <c r="B196" s="157"/>
      <c r="C196" s="50" t="s">
        <v>56</v>
      </c>
      <c r="D196" s="93">
        <f>D195-E195</f>
        <v>882</v>
      </c>
      <c r="E196" s="94">
        <f>0.3*D196</f>
        <v>264.59999999999997</v>
      </c>
      <c r="F196" s="95">
        <v>1</v>
      </c>
      <c r="G196" s="70">
        <f t="shared" si="54"/>
        <v>264.59999999999997</v>
      </c>
      <c r="H196" s="26">
        <v>1.67E-2</v>
      </c>
      <c r="I196" s="103">
        <f t="shared" si="55"/>
        <v>4.4188199999999993</v>
      </c>
      <c r="J196" s="39">
        <f t="shared" si="61"/>
        <v>617.40000000000009</v>
      </c>
      <c r="K196" s="95">
        <v>1</v>
      </c>
      <c r="L196" s="70">
        <f t="shared" si="56"/>
        <v>617.40000000000009</v>
      </c>
      <c r="M196" s="96">
        <v>1.67E-2</v>
      </c>
      <c r="N196" s="97">
        <f t="shared" si="57"/>
        <v>10.310580000000002</v>
      </c>
      <c r="O196" s="94">
        <f t="shared" si="58"/>
        <v>882</v>
      </c>
      <c r="P196" s="73">
        <f t="shared" ref="P196:P204" si="62">Q196/O196</f>
        <v>1.6700000000000003E-2</v>
      </c>
      <c r="Q196" s="98">
        <f t="shared" si="59"/>
        <v>14.729400000000002</v>
      </c>
      <c r="R196" s="139">
        <v>31.4</v>
      </c>
      <c r="S196" s="8">
        <f t="shared" si="60"/>
        <v>462.50316000000004</v>
      </c>
      <c r="T196" s="8"/>
      <c r="U196" s="12"/>
    </row>
    <row r="197" spans="1:21" s="19" customFormat="1" ht="24.75" customHeight="1" x14ac:dyDescent="0.35">
      <c r="A197" s="145"/>
      <c r="B197" s="158"/>
      <c r="C197" s="50" t="s">
        <v>58</v>
      </c>
      <c r="D197" s="93">
        <f>D196-E196</f>
        <v>617.40000000000009</v>
      </c>
      <c r="E197" s="94">
        <f>E193-0.4*D193-E195-E196</f>
        <v>197.40000000000003</v>
      </c>
      <c r="F197" s="95">
        <v>1</v>
      </c>
      <c r="G197" s="70">
        <f t="shared" ref="G197:G202" si="63">E197*F197</f>
        <v>197.40000000000003</v>
      </c>
      <c r="H197" s="26">
        <v>1.67E-2</v>
      </c>
      <c r="I197" s="103">
        <f t="shared" ref="I197:I202" si="64">G197*H197</f>
        <v>3.2965800000000005</v>
      </c>
      <c r="J197" s="39">
        <f t="shared" si="61"/>
        <v>420.00000000000006</v>
      </c>
      <c r="K197" s="95">
        <v>1</v>
      </c>
      <c r="L197" s="70">
        <f t="shared" ref="L197:L202" si="65">J197*K197</f>
        <v>420.00000000000006</v>
      </c>
      <c r="M197" s="96">
        <v>1.67E-2</v>
      </c>
      <c r="N197" s="97">
        <f t="shared" ref="N197:N202" si="66">L197*M197</f>
        <v>7.0140000000000011</v>
      </c>
      <c r="O197" s="94">
        <f t="shared" ref="O197:O202" si="67">L197+G197</f>
        <v>617.40000000000009</v>
      </c>
      <c r="P197" s="73">
        <f t="shared" si="62"/>
        <v>1.67E-2</v>
      </c>
      <c r="Q197" s="98">
        <f t="shared" ref="Q197:Q202" si="68">+N197+I197</f>
        <v>10.310580000000002</v>
      </c>
      <c r="R197" s="139">
        <v>31.4</v>
      </c>
      <c r="S197" s="8">
        <f t="shared" ref="S197:S202" si="69">+Q197*R197</f>
        <v>323.75221200000004</v>
      </c>
      <c r="T197" s="8"/>
      <c r="U197" s="12"/>
    </row>
    <row r="198" spans="1:21" s="19" customFormat="1" ht="24.75" customHeight="1" x14ac:dyDescent="0.35">
      <c r="A198" s="145"/>
      <c r="B198" s="44" t="s">
        <v>23</v>
      </c>
      <c r="C198" s="77" t="s">
        <v>42</v>
      </c>
      <c r="D198" s="29">
        <v>1471</v>
      </c>
      <c r="E198" s="162">
        <v>1177</v>
      </c>
      <c r="F198" s="40">
        <v>1</v>
      </c>
      <c r="G198" s="41">
        <f t="shared" si="63"/>
        <v>1177</v>
      </c>
      <c r="H198" s="42">
        <v>0.33400000000000002</v>
      </c>
      <c r="I198" s="43">
        <f t="shared" si="64"/>
        <v>393.11799999999999</v>
      </c>
      <c r="J198" s="132">
        <f t="shared" si="61"/>
        <v>294</v>
      </c>
      <c r="K198" s="40">
        <v>1</v>
      </c>
      <c r="L198" s="41">
        <f t="shared" si="65"/>
        <v>294</v>
      </c>
      <c r="M198" s="42">
        <v>1.67E-2</v>
      </c>
      <c r="N198" s="43">
        <f t="shared" si="66"/>
        <v>4.9097999999999997</v>
      </c>
      <c r="O198" s="32">
        <f t="shared" si="67"/>
        <v>1471</v>
      </c>
      <c r="P198" s="78">
        <f t="shared" si="62"/>
        <v>0.27058314072059825</v>
      </c>
      <c r="Q198" s="75">
        <f t="shared" si="68"/>
        <v>398.02780000000001</v>
      </c>
      <c r="R198" s="139">
        <v>31.4</v>
      </c>
      <c r="S198" s="8">
        <f t="shared" si="69"/>
        <v>12498.072920000001</v>
      </c>
      <c r="T198" s="10"/>
      <c r="U198" s="18"/>
    </row>
    <row r="199" spans="1:21" s="19" customFormat="1" ht="24.75" customHeight="1" x14ac:dyDescent="0.35">
      <c r="A199" s="145"/>
      <c r="B199" s="157"/>
      <c r="C199" s="50" t="s">
        <v>57</v>
      </c>
      <c r="D199" s="29">
        <f>D198</f>
        <v>1471</v>
      </c>
      <c r="E199" s="162">
        <f>D199</f>
        <v>1471</v>
      </c>
      <c r="F199" s="26">
        <v>1</v>
      </c>
      <c r="G199" s="27">
        <f t="shared" si="63"/>
        <v>1471</v>
      </c>
      <c r="H199" s="26">
        <v>8.3500000000000005E-2</v>
      </c>
      <c r="I199" s="28">
        <f t="shared" si="64"/>
        <v>122.82850000000001</v>
      </c>
      <c r="J199" s="39">
        <f t="shared" si="61"/>
        <v>0</v>
      </c>
      <c r="K199" s="26">
        <v>1</v>
      </c>
      <c r="L199" s="27">
        <f t="shared" si="65"/>
        <v>0</v>
      </c>
      <c r="M199" s="30">
        <v>1.67E-2</v>
      </c>
      <c r="N199" s="28">
        <f t="shared" si="66"/>
        <v>0</v>
      </c>
      <c r="O199" s="25">
        <f t="shared" si="67"/>
        <v>1471</v>
      </c>
      <c r="P199" s="73">
        <f t="shared" si="62"/>
        <v>8.3500000000000005E-2</v>
      </c>
      <c r="Q199" s="88">
        <f t="shared" si="68"/>
        <v>122.82850000000001</v>
      </c>
      <c r="R199" s="139">
        <v>31.4</v>
      </c>
      <c r="S199" s="8">
        <f t="shared" si="69"/>
        <v>3856.8148999999999</v>
      </c>
      <c r="T199" s="8"/>
      <c r="U199" s="12"/>
    </row>
    <row r="200" spans="1:21" s="19" customFormat="1" ht="24.75" customHeight="1" x14ac:dyDescent="0.35">
      <c r="A200" s="145"/>
      <c r="B200" s="157"/>
      <c r="C200" s="50" t="s">
        <v>55</v>
      </c>
      <c r="D200" s="29">
        <f>0.6*D198</f>
        <v>882.6</v>
      </c>
      <c r="E200" s="94">
        <f>0.3*D200</f>
        <v>264.77999999999997</v>
      </c>
      <c r="F200" s="95">
        <v>1</v>
      </c>
      <c r="G200" s="70">
        <f t="shared" si="63"/>
        <v>264.77999999999997</v>
      </c>
      <c r="H200" s="26">
        <v>1.67E-2</v>
      </c>
      <c r="I200" s="103">
        <f t="shared" si="64"/>
        <v>4.4218259999999994</v>
      </c>
      <c r="J200" s="39">
        <f t="shared" si="61"/>
        <v>617.82000000000005</v>
      </c>
      <c r="K200" s="95">
        <v>1</v>
      </c>
      <c r="L200" s="70">
        <f t="shared" si="65"/>
        <v>617.82000000000005</v>
      </c>
      <c r="M200" s="96">
        <v>1.67E-2</v>
      </c>
      <c r="N200" s="97">
        <f t="shared" si="66"/>
        <v>10.317594</v>
      </c>
      <c r="O200" s="94">
        <f t="shared" si="67"/>
        <v>882.6</v>
      </c>
      <c r="P200" s="73">
        <f t="shared" si="62"/>
        <v>1.67E-2</v>
      </c>
      <c r="Q200" s="98">
        <f t="shared" si="68"/>
        <v>14.739419999999999</v>
      </c>
      <c r="R200" s="139">
        <v>31.4</v>
      </c>
      <c r="S200" s="8">
        <f t="shared" si="69"/>
        <v>462.81778799999995</v>
      </c>
      <c r="T200" s="8"/>
      <c r="U200" s="12"/>
    </row>
    <row r="201" spans="1:21" s="19" customFormat="1" ht="24.75" customHeight="1" x14ac:dyDescent="0.35">
      <c r="A201" s="145"/>
      <c r="B201" s="157"/>
      <c r="C201" s="50" t="s">
        <v>56</v>
      </c>
      <c r="D201" s="29">
        <f>D200-E200</f>
        <v>617.82000000000005</v>
      </c>
      <c r="E201" s="94">
        <f>0.3*D201</f>
        <v>185.346</v>
      </c>
      <c r="F201" s="95">
        <v>1</v>
      </c>
      <c r="G201" s="70">
        <f t="shared" si="63"/>
        <v>185.346</v>
      </c>
      <c r="H201" s="26">
        <v>1.67E-2</v>
      </c>
      <c r="I201" s="103">
        <f t="shared" si="64"/>
        <v>3.0952782000000001</v>
      </c>
      <c r="J201" s="39">
        <f>+D201-E201+1</f>
        <v>433.47400000000005</v>
      </c>
      <c r="K201" s="95">
        <v>1</v>
      </c>
      <c r="L201" s="70">
        <f t="shared" si="65"/>
        <v>433.47400000000005</v>
      </c>
      <c r="M201" s="96">
        <v>1.67E-2</v>
      </c>
      <c r="N201" s="97">
        <f t="shared" si="66"/>
        <v>7.2390158000000007</v>
      </c>
      <c r="O201" s="94">
        <f t="shared" si="67"/>
        <v>618.82000000000005</v>
      </c>
      <c r="P201" s="73">
        <f t="shared" si="62"/>
        <v>1.67E-2</v>
      </c>
      <c r="Q201" s="98">
        <f t="shared" si="68"/>
        <v>10.334294</v>
      </c>
      <c r="R201" s="139">
        <v>31.4</v>
      </c>
      <c r="S201" s="8">
        <f t="shared" si="69"/>
        <v>324.49683160000001</v>
      </c>
      <c r="T201" s="8"/>
      <c r="U201" s="12"/>
    </row>
    <row r="202" spans="1:21" s="19" customFormat="1" ht="24.75" customHeight="1" thickBot="1" x14ac:dyDescent="0.4">
      <c r="A202" s="145"/>
      <c r="B202" s="157"/>
      <c r="C202" s="152" t="s">
        <v>58</v>
      </c>
      <c r="D202" s="31">
        <f>D201-E201+1</f>
        <v>433.47400000000005</v>
      </c>
      <c r="E202" s="84">
        <f>E198-0.4*D198-E200-E201</f>
        <v>138.47400000000005</v>
      </c>
      <c r="F202" s="168">
        <v>1</v>
      </c>
      <c r="G202" s="126">
        <f t="shared" si="63"/>
        <v>138.47400000000005</v>
      </c>
      <c r="H202" s="54">
        <v>1.67E-2</v>
      </c>
      <c r="I202" s="169">
        <f t="shared" si="64"/>
        <v>2.3125158000000008</v>
      </c>
      <c r="J202" s="132">
        <f>+D202-E202</f>
        <v>295</v>
      </c>
      <c r="K202" s="168">
        <v>1</v>
      </c>
      <c r="L202" s="126">
        <f t="shared" si="65"/>
        <v>295</v>
      </c>
      <c r="M202" s="170">
        <v>1.67E-2</v>
      </c>
      <c r="N202" s="109">
        <f t="shared" si="66"/>
        <v>4.9264999999999999</v>
      </c>
      <c r="O202" s="84">
        <f t="shared" si="67"/>
        <v>433.47400000000005</v>
      </c>
      <c r="P202" s="78">
        <f t="shared" si="62"/>
        <v>1.67E-2</v>
      </c>
      <c r="Q202" s="171">
        <f t="shared" si="68"/>
        <v>7.2390158000000007</v>
      </c>
      <c r="R202" s="172">
        <v>31.4</v>
      </c>
      <c r="S202" s="138">
        <f t="shared" si="69"/>
        <v>227.30509612</v>
      </c>
      <c r="T202" s="8"/>
      <c r="U202" s="12"/>
    </row>
    <row r="203" spans="1:21" s="19" customFormat="1" ht="30" customHeight="1" thickTop="1" thickBot="1" x14ac:dyDescent="0.4">
      <c r="A203" s="146"/>
      <c r="B203" s="79" t="s">
        <v>39</v>
      </c>
      <c r="C203" s="80"/>
      <c r="D203" s="81">
        <f>SUM(D198,D193,D188,D183,D178,D173,D168,D163,D158,D153,D148,D143,D138,D133)</f>
        <v>18280</v>
      </c>
      <c r="E203" s="81">
        <f>SUM(E198,E193,E188,E183,E178,E173,E168,E163,E158,E153,E148,E143,E138,E133)</f>
        <v>14625.8</v>
      </c>
      <c r="F203" s="65">
        <f>G203/E203</f>
        <v>2.7498393250283746</v>
      </c>
      <c r="G203" s="81">
        <f>SUM(G133:G202)</f>
        <v>40218.6</v>
      </c>
      <c r="H203" s="65">
        <f>I203/G203</f>
        <v>0.16245023347406429</v>
      </c>
      <c r="I203" s="81">
        <f>SUM(I133:I202)</f>
        <v>6533.5209600000017</v>
      </c>
      <c r="J203" s="81">
        <f>SUM(J198,J193,J188,J183,J178,J173,J168,J163,J158,J153,J148,J143,J138,J133)</f>
        <v>3654.2</v>
      </c>
      <c r="K203" s="35">
        <f t="shared" ref="K203" si="70">K138</f>
        <v>1</v>
      </c>
      <c r="L203" s="81">
        <f>SUM(L133:L202)</f>
        <v>20366.02</v>
      </c>
      <c r="M203" s="65">
        <f>N203/L203</f>
        <v>1.67E-2</v>
      </c>
      <c r="N203" s="57">
        <f>SUM(N133:N202)</f>
        <v>340.11253399999998</v>
      </c>
      <c r="O203" s="82">
        <f>SUM(O133:O202)</f>
        <v>60584.619999999988</v>
      </c>
      <c r="P203" s="65">
        <f t="shared" si="62"/>
        <v>0.11345508965806833</v>
      </c>
      <c r="Q203" s="37">
        <f>SUM(Q133:Q202)</f>
        <v>6873.6334939999988</v>
      </c>
      <c r="R203" s="176">
        <v>31.4</v>
      </c>
      <c r="S203" s="175">
        <f>SUM(S133:S202)</f>
        <v>215832.0917115999</v>
      </c>
      <c r="T203" s="167"/>
      <c r="U203" s="18"/>
    </row>
    <row r="204" spans="1:21" ht="33" customHeight="1" thickBot="1" x14ac:dyDescent="0.4">
      <c r="A204" s="11"/>
      <c r="B204" s="60" t="s">
        <v>26</v>
      </c>
      <c r="C204" s="60"/>
      <c r="D204" s="61">
        <f>D132+D76+D203</f>
        <v>36199.599999999999</v>
      </c>
      <c r="E204" s="107">
        <f>E132+E76+E203</f>
        <v>29067.279999999999</v>
      </c>
      <c r="F204" s="62">
        <f>G204/E204</f>
        <v>2.7867562427581802</v>
      </c>
      <c r="G204" s="61">
        <f>G132+G76+G203</f>
        <v>81003.423999999999</v>
      </c>
      <c r="H204" s="62">
        <f>I204/G204</f>
        <v>0.16683373908737489</v>
      </c>
      <c r="I204" s="61">
        <f>I132+I76+I203</f>
        <v>13514.104104800001</v>
      </c>
      <c r="J204" s="61">
        <f>J132+J76+J203</f>
        <v>7133.32</v>
      </c>
      <c r="K204" s="63">
        <f>L204/J204</f>
        <v>5.5722929014820588</v>
      </c>
      <c r="L204" s="61">
        <f>L132+L76+L203</f>
        <v>39748.948400000001</v>
      </c>
      <c r="M204" s="63">
        <f>N204/L204</f>
        <v>1.6699999999999996E-2</v>
      </c>
      <c r="N204" s="61">
        <f>N132+N76+N203</f>
        <v>663.80743827999981</v>
      </c>
      <c r="O204" s="107">
        <f>L204+G204</f>
        <v>120752.37239999999</v>
      </c>
      <c r="P204" s="66">
        <f t="shared" si="62"/>
        <v>0.11741310966640686</v>
      </c>
      <c r="Q204" s="141">
        <f>Q132+Q76+Q203</f>
        <v>14177.911543080001</v>
      </c>
      <c r="R204" s="173"/>
      <c r="S204" s="174">
        <f>S132+S76+S203</f>
        <v>434059.79459794267</v>
      </c>
      <c r="T204" s="17" t="e">
        <f>T132+T76</f>
        <v>#REF!</v>
      </c>
      <c r="U204" s="19"/>
    </row>
    <row r="205" spans="1:21" customFormat="1" x14ac:dyDescent="0.35">
      <c r="A205" s="180" t="s">
        <v>25</v>
      </c>
      <c r="B205" s="181"/>
      <c r="C205" s="180"/>
      <c r="D205" s="48"/>
      <c r="E205" s="182"/>
      <c r="F205" s="183"/>
      <c r="G205" s="182"/>
      <c r="I205" s="182"/>
      <c r="J205" s="182"/>
      <c r="L205" s="182"/>
      <c r="M205" s="184"/>
      <c r="N205" s="182"/>
      <c r="O205" s="182"/>
      <c r="P205" s="185"/>
      <c r="Q205" s="182"/>
      <c r="S205" s="182"/>
    </row>
    <row r="206" spans="1:21" customFormat="1" x14ac:dyDescent="0.35">
      <c r="B206" s="186"/>
      <c r="D206" s="48"/>
      <c r="E206" s="48"/>
      <c r="Q206" s="48"/>
      <c r="S206" s="187"/>
    </row>
    <row r="207" spans="1:21" customFormat="1" x14ac:dyDescent="0.35">
      <c r="B207" s="186"/>
      <c r="D207" s="188" t="s">
        <v>61</v>
      </c>
      <c r="E207" s="188" t="s">
        <v>62</v>
      </c>
      <c r="F207" s="189"/>
      <c r="J207" s="48"/>
      <c r="K207" s="190"/>
      <c r="S207" s="187">
        <f>S204*0.33</f>
        <v>143239.73221732109</v>
      </c>
    </row>
    <row r="208" spans="1:21" customFormat="1" x14ac:dyDescent="0.35">
      <c r="B208" s="186" t="s">
        <v>63</v>
      </c>
      <c r="D208" s="48">
        <f>D204</f>
        <v>36199.599999999999</v>
      </c>
      <c r="E208" s="191">
        <f>D208*3</f>
        <v>108598.79999999999</v>
      </c>
      <c r="F208" s="192">
        <f>SUM(E209:E210)</f>
        <v>108601.79999999999</v>
      </c>
      <c r="G208" s="188"/>
      <c r="J208" s="48"/>
      <c r="K208" s="48"/>
      <c r="S208" s="187">
        <f>S204+S207</f>
        <v>577299.52681526379</v>
      </c>
    </row>
    <row r="209" spans="2:19" customFormat="1" x14ac:dyDescent="0.35">
      <c r="B209" s="186" t="s">
        <v>0</v>
      </c>
      <c r="D209" s="48"/>
      <c r="E209" s="191">
        <f>E204*3</f>
        <v>87201.84</v>
      </c>
      <c r="F209" s="192"/>
      <c r="G209" s="188"/>
      <c r="J209" s="48"/>
      <c r="K209" s="48"/>
    </row>
    <row r="210" spans="2:19" customFormat="1" x14ac:dyDescent="0.35">
      <c r="B210" s="186" t="s">
        <v>64</v>
      </c>
      <c r="D210" s="48"/>
      <c r="E210" s="191">
        <f>J204*3</f>
        <v>21399.96</v>
      </c>
      <c r="F210" s="192"/>
      <c r="G210" s="188"/>
      <c r="J210" s="48"/>
      <c r="K210" s="48"/>
      <c r="S210" s="187">
        <f>S204*3</f>
        <v>1302179.3837938281</v>
      </c>
    </row>
    <row r="211" spans="2:19" customFormat="1" ht="16.5" customHeight="1" x14ac:dyDescent="0.35">
      <c r="B211" s="186" t="s">
        <v>65</v>
      </c>
      <c r="D211" s="193">
        <f>D212/D208</f>
        <v>3.3357377540083317</v>
      </c>
      <c r="E211" s="193">
        <f>E212/F208</f>
        <v>3.3356456080838441</v>
      </c>
      <c r="F211" s="194"/>
      <c r="G211" s="188"/>
      <c r="K211" s="195"/>
      <c r="S211" s="187">
        <f>S210*0.33</f>
        <v>429719.19665196328</v>
      </c>
    </row>
    <row r="212" spans="2:19" customFormat="1" x14ac:dyDescent="0.35">
      <c r="B212" s="186" t="s">
        <v>66</v>
      </c>
      <c r="D212" s="48">
        <f>G204+L204</f>
        <v>120752.37239999999</v>
      </c>
      <c r="E212" s="191">
        <f>D212*3</f>
        <v>362257.11719999998</v>
      </c>
      <c r="F212" s="192"/>
      <c r="G212" s="188"/>
      <c r="K212" s="48"/>
      <c r="S212" s="187">
        <f>S210+S211</f>
        <v>1731898.5804457914</v>
      </c>
    </row>
    <row r="213" spans="2:19" customFormat="1" x14ac:dyDescent="0.35">
      <c r="B213" s="186" t="s">
        <v>67</v>
      </c>
      <c r="E213" s="48">
        <f>G204*3</f>
        <v>243010.272</v>
      </c>
      <c r="F213" s="192"/>
      <c r="G213" s="188"/>
      <c r="K213" s="48"/>
    </row>
    <row r="214" spans="2:19" customFormat="1" x14ac:dyDescent="0.35">
      <c r="B214" s="186" t="s">
        <v>68</v>
      </c>
      <c r="E214" s="48">
        <f>L204*3</f>
        <v>119246.84520000001</v>
      </c>
      <c r="F214" s="192"/>
      <c r="G214" s="188"/>
      <c r="K214" s="48"/>
    </row>
    <row r="215" spans="2:19" customFormat="1" x14ac:dyDescent="0.35">
      <c r="B215" s="186" t="s">
        <v>69</v>
      </c>
      <c r="D215">
        <f>Q204/D212</f>
        <v>0.11741310966640686</v>
      </c>
      <c r="E215" s="188"/>
      <c r="F215" s="196"/>
      <c r="G215" s="188"/>
    </row>
    <row r="216" spans="2:19" customFormat="1" x14ac:dyDescent="0.35">
      <c r="B216" s="186" t="s">
        <v>70</v>
      </c>
      <c r="D216" s="197">
        <f>Q204</f>
        <v>14177.911543080001</v>
      </c>
      <c r="E216" s="191">
        <f>D216*3</f>
        <v>42533.734629240003</v>
      </c>
      <c r="G216" s="48"/>
      <c r="H216" s="183"/>
    </row>
    <row r="217" spans="2:19" customFormat="1" x14ac:dyDescent="0.35">
      <c r="B217" s="186"/>
      <c r="D217" s="188"/>
      <c r="E217" s="188"/>
    </row>
    <row r="218" spans="2:19" customFormat="1" ht="87" x14ac:dyDescent="0.35">
      <c r="B218" s="186" t="s">
        <v>71</v>
      </c>
      <c r="C218" s="48">
        <f>SUM(C219:C219)</f>
        <v>34305.07</v>
      </c>
      <c r="D218" s="201" t="s">
        <v>87</v>
      </c>
      <c r="E218" s="188"/>
    </row>
    <row r="219" spans="2:19" customFormat="1" x14ac:dyDescent="0.35">
      <c r="B219" s="186" t="s">
        <v>72</v>
      </c>
      <c r="C219">
        <f>0.95*(SUM(O188,O193,O198,O183,O178,O173,O168,O163,O158,O153,O148,O143,O138,O133,O127,O122,O117,O112,O107,O102,O97,O92,O87,O82,O77,O71,O62,O53,O44,O35,O26,O17))</f>
        <v>34305.07</v>
      </c>
      <c r="D219" s="188"/>
      <c r="E219" s="188"/>
    </row>
    <row r="220" spans="2:19" customFormat="1" x14ac:dyDescent="0.35">
      <c r="B220" s="186" t="s">
        <v>73</v>
      </c>
      <c r="C220">
        <f>C219/O204</f>
        <v>0.28409437693167844</v>
      </c>
      <c r="D220" s="188"/>
      <c r="E220" s="188"/>
    </row>
    <row r="221" spans="2:19" customFormat="1" x14ac:dyDescent="0.35">
      <c r="B221" s="186"/>
      <c r="D221" s="188"/>
      <c r="E221" s="188"/>
    </row>
    <row r="222" spans="2:19" customFormat="1" x14ac:dyDescent="0.35">
      <c r="B222" s="186" t="s">
        <v>74</v>
      </c>
      <c r="C222">
        <f>0.65*E204</f>
        <v>18893.732</v>
      </c>
      <c r="D222" s="188"/>
      <c r="E222" s="188"/>
    </row>
    <row r="223" spans="2:19" customFormat="1" x14ac:dyDescent="0.35">
      <c r="B223" s="186"/>
      <c r="D223" s="188"/>
      <c r="E223" s="188"/>
    </row>
    <row r="224" spans="2:19" customFormat="1" x14ac:dyDescent="0.35">
      <c r="B224" s="186" t="s">
        <v>75</v>
      </c>
      <c r="D224" s="188"/>
      <c r="E224" s="188"/>
    </row>
    <row r="225" spans="2:5" customFormat="1" x14ac:dyDescent="0.35">
      <c r="B225" s="186" t="s">
        <v>76</v>
      </c>
      <c r="C225" s="198">
        <f>34523-E216</f>
        <v>-8010.7346292400034</v>
      </c>
      <c r="D225" s="197">
        <f>34523-E216</f>
        <v>-8010.7346292400034</v>
      </c>
      <c r="E225" s="188"/>
    </row>
    <row r="226" spans="2:5" customFormat="1" x14ac:dyDescent="0.35">
      <c r="B226" s="186" t="s">
        <v>77</v>
      </c>
      <c r="C226" s="48">
        <f>250745-E212</f>
        <v>-111512.11719999998</v>
      </c>
      <c r="D226" s="197"/>
      <c r="E226" s="188"/>
    </row>
    <row r="227" spans="2:5" customFormat="1" x14ac:dyDescent="0.35">
      <c r="B227" s="186" t="s">
        <v>78</v>
      </c>
      <c r="C227" s="48">
        <f>11508-Q204</f>
        <v>-2669.9115430800011</v>
      </c>
      <c r="D227" s="197"/>
      <c r="E227" s="188"/>
    </row>
    <row r="228" spans="2:5" customFormat="1" x14ac:dyDescent="0.35">
      <c r="B228" s="186" t="s">
        <v>79</v>
      </c>
      <c r="C228" s="48">
        <f>83582-O204</f>
        <v>-37170.372399999993</v>
      </c>
      <c r="D228" s="197"/>
      <c r="E228" s="188"/>
    </row>
    <row r="229" spans="2:5" customFormat="1" x14ac:dyDescent="0.35">
      <c r="B229" s="186"/>
      <c r="D229" s="188"/>
      <c r="E229" s="188"/>
    </row>
    <row r="230" spans="2:5" customFormat="1" x14ac:dyDescent="0.35">
      <c r="B230" s="186" t="s">
        <v>80</v>
      </c>
      <c r="C230">
        <f>1*D76</f>
        <v>529</v>
      </c>
      <c r="D230" s="188"/>
      <c r="E230" s="188"/>
    </row>
    <row r="231" spans="2:5" customFormat="1" x14ac:dyDescent="0.35">
      <c r="B231" s="186" t="s">
        <v>81</v>
      </c>
      <c r="C231">
        <f>0.8*(D203+D132)</f>
        <v>28536.48</v>
      </c>
      <c r="D231" s="197">
        <f>D132+D203</f>
        <v>35670.6</v>
      </c>
      <c r="E231" s="188"/>
    </row>
    <row r="232" spans="2:5" customFormat="1" x14ac:dyDescent="0.35">
      <c r="B232" s="186" t="s">
        <v>82</v>
      </c>
      <c r="C232">
        <f>SUM(C230:C231)</f>
        <v>29065.48</v>
      </c>
      <c r="D232" s="188"/>
      <c r="E232" s="188"/>
    </row>
    <row r="233" spans="2:5" customFormat="1" x14ac:dyDescent="0.35">
      <c r="B233" s="186" t="s">
        <v>83</v>
      </c>
      <c r="C233">
        <f>C232/D204</f>
        <v>0.80292268422855506</v>
      </c>
      <c r="D233" s="188"/>
      <c r="E233" s="188"/>
    </row>
    <row r="234" spans="2:5" customFormat="1" x14ac:dyDescent="0.35">
      <c r="B234" s="186"/>
      <c r="D234" s="188"/>
      <c r="E234" s="188"/>
    </row>
    <row r="235" spans="2:5" customFormat="1" x14ac:dyDescent="0.35">
      <c r="B235" s="199" t="s">
        <v>84</v>
      </c>
      <c r="C235" s="198">
        <f>SUM(C236:C237)</f>
        <v>3041.2532992000001</v>
      </c>
      <c r="D235" s="188">
        <f>C235*3</f>
        <v>9123.7598976000008</v>
      </c>
      <c r="E235" s="188"/>
    </row>
    <row r="236" spans="2:5" customFormat="1" x14ac:dyDescent="0.35">
      <c r="B236" s="186" t="s">
        <v>85</v>
      </c>
      <c r="C236" s="198">
        <f>SUM(Q9,Q18,Q27,Q36,Q45,Q54,Q63,Q72,Q78,Q83,Q88,Q93,Q98,Q103,Q108,Q113,Q118,Q123,Q128,Q134,Q139,Q144,Q149,Q154,Q159,Q164,Q169,Q174,Q179,Q184,Q199,Q189,Q194)</f>
        <v>3022.6666</v>
      </c>
      <c r="D236" s="188"/>
      <c r="E236" s="188"/>
    </row>
    <row r="237" spans="2:5" customFormat="1" x14ac:dyDescent="0.35">
      <c r="B237" s="186" t="s">
        <v>59</v>
      </c>
      <c r="C237" s="200">
        <f>SUM(Q7,Q12,Q16,Q21,Q25,Q30,Q34,Q39,Q44,Q48,P52,P57,P61,P66,P70,P75)</f>
        <v>18.586699200000002</v>
      </c>
      <c r="D237" s="188"/>
      <c r="E237" s="188"/>
    </row>
    <row r="238" spans="2:5" customFormat="1" x14ac:dyDescent="0.35">
      <c r="B238" s="199" t="s">
        <v>86</v>
      </c>
      <c r="C238" s="198">
        <v>371</v>
      </c>
      <c r="D238" s="188">
        <f>C238*3</f>
        <v>1113</v>
      </c>
      <c r="E238" s="188"/>
    </row>
  </sheetData>
  <mergeCells count="3">
    <mergeCell ref="A4:A76"/>
    <mergeCell ref="O2:Q2"/>
    <mergeCell ref="J2:N2"/>
  </mergeCells>
  <pageMargins left="0.7" right="0.7" top="0.75" bottom="0.75" header="0.3" footer="0.3"/>
  <pageSetup scale="66" fitToHeight="0" orientation="landscape" r:id="rId1"/>
  <headerFooter>
    <oddHeader>&amp;A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Rank xmlns="9dbcbb5a-2d39-43bd-b6c7-d27f844c7fb7">6</Rank>
    <Description0 xmlns="9dbcbb5a-2d39-43bd-b6c7-d27f844c7fb7">Complex Burden Table Template - for Studies</Description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53BEC61D80344AC147B80D934BDFD" ma:contentTypeVersion="2" ma:contentTypeDescription="Create a new document." ma:contentTypeScope="" ma:versionID="14a5e6ad631fcf04b74043bfb0c12f9f">
  <xsd:schema xmlns:xsd="http://www.w3.org/2001/XMLSchema" xmlns:p="http://schemas.microsoft.com/office/2006/metadata/properties" xmlns:ns2="9dbcbb5a-2d39-43bd-b6c7-d27f844c7fb7" targetNamespace="http://schemas.microsoft.com/office/2006/metadata/properties" ma:root="true" ma:fieldsID="41d8cef941c44b07acba7b2f1d173e7b" ns2:_="">
    <xsd:import namespace="9dbcbb5a-2d39-43bd-b6c7-d27f844c7fb7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dbcbb5a-2d39-43bd-b6c7-d27f844c7fb7" elementFormDefault="qualified">
    <xsd:import namespace="http://schemas.microsoft.com/office/2006/documentManagement/type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EC02A8-0ED5-4103-B250-F4592D9E333E}">
  <ds:schemaRefs>
    <ds:schemaRef ds:uri="http://purl.org/dc/elements/1.1/"/>
    <ds:schemaRef ds:uri="http://schemas.microsoft.com/office/2006/metadata/properties"/>
    <ds:schemaRef ds:uri="http://purl.org/dc/terms/"/>
    <ds:schemaRef ds:uri="9dbcbb5a-2d39-43bd-b6c7-d27f844c7fb7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4E27527-1B61-4C6E-9B61-FAD668AE4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9DC8363-D6E4-4B61-85E9-7C246BF9B1F2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AB616761-173A-4729-ABE6-18C636788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lywilliams</dc:creator>
  <cp:keywords/>
  <dc:description/>
  <cp:lastModifiedBy>Sandberg, Christina - FNS</cp:lastModifiedBy>
  <cp:revision/>
  <dcterms:created xsi:type="dcterms:W3CDTF">2013-01-08T21:49:18Z</dcterms:created>
  <dcterms:modified xsi:type="dcterms:W3CDTF">2021-02-25T18:00:58Z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0x010100E9153BEC61D80344AC147B80D934BDFD</vt:lpwstr>
  </property>
  <property fmtid="{D5CDD505-2E9C-101B-9397-08002B2CF9AE}" pid="3" name="Order">
    <vt:r8>300</vt:r8>
  </property>
</Properties>
</file>