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defaultThemeVersion="124226"/>
  <xr:revisionPtr revIDLastSave="12" documentId="8_{D7B4F6A1-B8E4-4C11-988C-020493F6A71C}" xr6:coauthVersionLast="44" xr6:coauthVersionMax="44" xr10:uidLastSave="{B588CC81-3473-4369-9B5F-7C51F9D3A7D8}"/>
  <workbookProtection workbookAlgorithmName="SHA-512" workbookHashValue="aJlYCWeNNFcEc/hQfNlOpatNKsnjHJPoYaQVoK6h7xktVSlO39O4H+VPT84wlCf/N6a3pkqfvlbh68rEpjVFKw==" workbookSaltValue="Gk8iGuDLOyKd0yUg+W36pA==" workbookSpinCount="100000" lockStructure="1"/>
  <bookViews>
    <workbookView xWindow="-110" yWindow="-110" windowWidth="19420" windowHeight="10420" tabRatio="729" firstSheet="4" activeTab="9" xr2:uid="{00000000-000D-0000-FFFF-FFFF00000000}"/>
  </bookViews>
  <sheets>
    <sheet name="FFD pgm &amp; sites" sheetId="15" state="veryHidden" r:id="rId1"/>
    <sheet name="Reactor Info" sheetId="16" state="veryHidden" r:id="rId2"/>
    <sheet name="Test Results" sheetId="13" state="veryHidden" r:id="rId3"/>
    <sheet name="Data " sheetId="8" state="veryHidden" r:id="rId4"/>
    <sheet name="T1_1X_Rcdkping" sheetId="1" r:id="rId5"/>
    <sheet name="T2_Ann_Rcdkping" sheetId="2" r:id="rId6"/>
    <sheet name="T3_AnnRpting" sheetId="3" r:id="rId7"/>
    <sheet name="T4_Ann_3rdParty" sheetId="4" r:id="rId8"/>
    <sheet name="T5_Ann_NRC" sheetId="14" r:id="rId9"/>
    <sheet name="TOTALS" sheetId="7" r:id="rId10"/>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'Reactor Info'!$C$5:$O$101</definedName>
    <definedName name="_xlnm._FilterDatabase" localSheetId="4" hidden="1">T1_1X_Rcdkping!$A$2:$H$38</definedName>
    <definedName name="_xlnm._FilterDatabase" localSheetId="5" hidden="1">T2_Ann_Rcdkping!$A$2:$E$223</definedName>
    <definedName name="_xlnm._FilterDatabase" localSheetId="6" hidden="1">T3_AnnRpting!$A$2:$K$19</definedName>
    <definedName name="_xlnm._FilterDatabase" localSheetId="7" hidden="1">T4_Ann_3rdParty!$A$2:$H$110</definedName>
    <definedName name="_xlnm._FilterDatabase" localSheetId="8" hidden="1">T5_Ann_NRC!$A$2:$H$16</definedName>
    <definedName name="NRC_Labor_Rate">'Data '!$C$48</definedName>
    <definedName name="Num_24hrRpts">'Data '!$C$41</definedName>
    <definedName name="Num_30dayRpts">'Data '!$C$42</definedName>
    <definedName name="Num_Fatigue_Programs">'Data '!$C$49</definedName>
    <definedName name="Num_FFD_Prgms_Full">'Data '!$C$4</definedName>
    <definedName name="Num_FFD_Prgms_SubK">'Data '!$C$8</definedName>
    <definedName name="Num_FFD_Prgms_Total">'Data '!$C$3</definedName>
    <definedName name="Num_HHS_Labs">'Data '!$C$17</definedName>
    <definedName name="Num_LTFs">'Data '!$C$16</definedName>
    <definedName name="Num_PreAccess_Tests">'Data '!$C$24</definedName>
    <definedName name="Num_Random_Tests">'Data '!$C$25</definedName>
    <definedName name="Num_Sites_CVs">'Data '!$C$14</definedName>
    <definedName name="Num_Sites_FuelCycle">'Data '!$C$13</definedName>
    <definedName name="Num_Sites_Reactors_Construction">'Data '!$C$11</definedName>
    <definedName name="Num_Sites_Reactors_Operating">'Data '!$C$10</definedName>
    <definedName name="Num_Tests_ForCause">'Data '!$C$26</definedName>
    <definedName name="Num_Tests_Preaccess">'Data '!$C$24</definedName>
    <definedName name="Num_Tests_Total">'Data '!$C$23</definedName>
    <definedName name="Pal_Workbook_GUID" hidden="1">"AM8CWH414R4WCTRAJUSCV2QU"</definedName>
    <definedName name="_xlnm.Print_Area" localSheetId="3">'Data '!$A$1:$I$49</definedName>
    <definedName name="_xlnm.Print_Area" localSheetId="0">'FFD pgm &amp; sites'!$A$1:$F$72</definedName>
    <definedName name="_xlnm.Print_Area" localSheetId="1">'Reactor Info'!$A$1:$P$128</definedName>
    <definedName name="_xlnm.Print_Area" localSheetId="4">T1_1X_Rcdkping!$A$1:$H$38</definedName>
    <definedName name="_xlnm.Print_Area" localSheetId="5">T2_Ann_Rcdkping!$A$1:$H$222</definedName>
    <definedName name="_xlnm.Print_Area" localSheetId="6">T3_AnnRpting!$A$1:$L$18</definedName>
    <definedName name="_xlnm.Print_Area" localSheetId="7">T4_Ann_3rdParty!$A$1:$H$109</definedName>
    <definedName name="_xlnm.Print_Area" localSheetId="8">T5_Ann_NRC!$A$1:$H$15</definedName>
    <definedName name="_xlnm.Print_Area" localSheetId="2">'Test Results'!$A$1:$U$127</definedName>
    <definedName name="_xlnm.Print_Titles" localSheetId="4">T1_1X_Rcdkping!$1:$2</definedName>
    <definedName name="_xlnm.Print_Titles" localSheetId="5">T2_Ann_Rcdkping!$1:$2</definedName>
    <definedName name="_xlnm.Print_Titles" localSheetId="6">T3_AnnRpting!$1:$2</definedName>
    <definedName name="_xlnm.Print_Titles" localSheetId="7">T4_Ann_3rdParty!$1:$2</definedName>
    <definedName name="_xlnm.Print_Titles" localSheetId="8">T5_Ann_NRC!$1:$2</definedName>
    <definedName name="_xlnm.Print_Titles" localSheetId="2">'Test Results'!$1:$1</definedName>
    <definedName name="RandomTestPop_Construction">'Data '!$D$39</definedName>
    <definedName name="RandomTestPop_FullPrgm">'Data '!$C$39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564882</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6" i="4" l="1"/>
  <c r="G12" i="3"/>
  <c r="H26" i="7" l="1"/>
  <c r="E101" i="4"/>
  <c r="E103" i="4"/>
  <c r="E3" i="4"/>
  <c r="E3" i="2"/>
  <c r="E12" i="14"/>
  <c r="E210" i="2"/>
  <c r="E11" i="14"/>
  <c r="E212" i="2"/>
  <c r="G115" i="2"/>
  <c r="E213" i="2"/>
  <c r="G114" i="2"/>
  <c r="G11" i="3"/>
  <c r="G8" i="3"/>
  <c r="G7" i="3"/>
  <c r="E214" i="2"/>
  <c r="E211" i="2"/>
  <c r="E169" i="2"/>
  <c r="E168" i="2" l="1"/>
  <c r="E166" i="2"/>
  <c r="E167" i="2"/>
  <c r="E165" i="2"/>
  <c r="E164" i="2"/>
  <c r="E163" i="2"/>
  <c r="E162" i="2"/>
  <c r="E161" i="2"/>
  <c r="C18" i="13" l="1"/>
  <c r="C61" i="13" l="1"/>
  <c r="D61" i="13"/>
  <c r="E61" i="13"/>
  <c r="F61" i="13"/>
  <c r="G61" i="13"/>
  <c r="H61" i="13"/>
  <c r="I61" i="13"/>
  <c r="J61" i="13"/>
  <c r="K61" i="13"/>
  <c r="L61" i="13"/>
  <c r="K39" i="13"/>
  <c r="L39" i="13"/>
  <c r="E39" i="13"/>
  <c r="F39" i="13"/>
  <c r="G39" i="13"/>
  <c r="H39" i="13"/>
  <c r="I39" i="13"/>
  <c r="J39" i="13"/>
  <c r="D39" i="13"/>
  <c r="C39" i="13"/>
  <c r="M39" i="13" s="1"/>
  <c r="G18" i="13"/>
  <c r="H18" i="13"/>
  <c r="I18" i="13"/>
  <c r="J18" i="13"/>
  <c r="K18" i="13"/>
  <c r="L18" i="13"/>
  <c r="F18" i="13"/>
  <c r="E18" i="13"/>
  <c r="D18" i="13"/>
  <c r="C5" i="13"/>
  <c r="C35" i="13"/>
  <c r="C37" i="13"/>
  <c r="C13" i="13"/>
  <c r="C6" i="13" l="1"/>
  <c r="C9" i="8"/>
  <c r="C18" i="8"/>
  <c r="G58" i="2" l="1"/>
  <c r="E97" i="13" l="1"/>
  <c r="C111" i="13"/>
  <c r="D15" i="13"/>
  <c r="I15" i="13"/>
  <c r="O14" i="13"/>
  <c r="H14" i="13"/>
  <c r="L14" i="13"/>
  <c r="T15" i="13"/>
  <c r="T14" i="13"/>
  <c r="G14" i="13" s="1"/>
  <c r="G15" i="13" l="1"/>
  <c r="T16" i="13"/>
  <c r="L15" i="13"/>
  <c r="F15" i="13"/>
  <c r="D14" i="13"/>
  <c r="J15" i="13"/>
  <c r="E15" i="13"/>
  <c r="I14" i="13"/>
  <c r="T13" i="13"/>
  <c r="C14" i="13"/>
  <c r="K14" i="13"/>
  <c r="C15" i="13"/>
  <c r="H15" i="13"/>
  <c r="O15" i="13"/>
  <c r="E99" i="13"/>
  <c r="E14" i="13"/>
  <c r="J14" i="13"/>
  <c r="F14" i="13"/>
  <c r="K15" i="13"/>
  <c r="C11" i="13" l="1"/>
  <c r="C31" i="13" s="1"/>
  <c r="P37" i="16"/>
  <c r="P38" i="16"/>
  <c r="P39" i="16"/>
  <c r="P40" i="16"/>
  <c r="P41" i="16"/>
  <c r="P42" i="16"/>
  <c r="P43" i="16"/>
  <c r="P44" i="16"/>
  <c r="P45" i="16"/>
  <c r="P46" i="16"/>
  <c r="P47" i="16"/>
  <c r="P48" i="16"/>
  <c r="P49" i="16"/>
  <c r="P50" i="16"/>
  <c r="P51" i="16"/>
  <c r="P52" i="16"/>
  <c r="P53" i="16"/>
  <c r="P54" i="16"/>
  <c r="P55" i="16"/>
  <c r="P56" i="16"/>
  <c r="P57" i="16"/>
  <c r="P58" i="16"/>
  <c r="P59" i="16"/>
  <c r="P60" i="16"/>
  <c r="P61" i="16"/>
  <c r="P63" i="16"/>
  <c r="P64" i="16"/>
  <c r="P65" i="16"/>
  <c r="P66" i="16"/>
  <c r="P67" i="16"/>
  <c r="P68" i="16"/>
  <c r="P69" i="16"/>
  <c r="P70" i="16"/>
  <c r="P71" i="16"/>
  <c r="P72" i="16"/>
  <c r="P73" i="16"/>
  <c r="P74" i="16"/>
  <c r="P75" i="16"/>
  <c r="P76" i="16"/>
  <c r="P77" i="16"/>
  <c r="P78" i="16"/>
  <c r="P79" i="16"/>
  <c r="P80" i="16"/>
  <c r="P81" i="16"/>
  <c r="P82" i="16"/>
  <c r="P83" i="16"/>
  <c r="P84" i="16"/>
  <c r="P85" i="16"/>
  <c r="P86" i="16"/>
  <c r="P87" i="16"/>
  <c r="P88" i="16"/>
  <c r="P89" i="16"/>
  <c r="P90" i="16"/>
  <c r="P91" i="16"/>
  <c r="P92" i="16"/>
  <c r="P93" i="16"/>
  <c r="P94" i="16"/>
  <c r="P95" i="16"/>
  <c r="P96" i="16"/>
  <c r="P97" i="16"/>
  <c r="P98" i="16"/>
  <c r="P99" i="16"/>
  <c r="P100" i="16"/>
  <c r="P101" i="16"/>
  <c r="P22" i="16"/>
  <c r="P23" i="16"/>
  <c r="P24" i="16"/>
  <c r="P25" i="16"/>
  <c r="P26" i="16"/>
  <c r="P27" i="16"/>
  <c r="P28" i="16"/>
  <c r="P29" i="16"/>
  <c r="P30" i="16"/>
  <c r="P31" i="16"/>
  <c r="P32" i="16"/>
  <c r="P33" i="16"/>
  <c r="P34" i="16"/>
  <c r="P35" i="16"/>
  <c r="P36" i="16"/>
  <c r="P8" i="16"/>
  <c r="P9" i="16"/>
  <c r="P10" i="16"/>
  <c r="P11" i="16"/>
  <c r="P12" i="16"/>
  <c r="P13" i="16"/>
  <c r="P14" i="16"/>
  <c r="P15" i="16"/>
  <c r="P16" i="16"/>
  <c r="P17" i="16"/>
  <c r="P18" i="16"/>
  <c r="P19" i="16"/>
  <c r="P20" i="16"/>
  <c r="P21" i="16"/>
  <c r="P7" i="16"/>
  <c r="D111" i="13" l="1"/>
  <c r="E111" i="13"/>
  <c r="O39" i="13"/>
  <c r="G111" i="13" l="1"/>
  <c r="N70" i="13"/>
  <c r="M70" i="13"/>
  <c r="N64" i="13"/>
  <c r="M64" i="13"/>
  <c r="N62" i="13"/>
  <c r="M62" i="13"/>
  <c r="N40" i="13"/>
  <c r="M40" i="13"/>
  <c r="N42" i="13"/>
  <c r="M42" i="13"/>
  <c r="N48" i="13"/>
  <c r="M48" i="13"/>
  <c r="N19" i="13"/>
  <c r="M19" i="13"/>
  <c r="N21" i="13"/>
  <c r="M21" i="13"/>
  <c r="E4" i="14" l="1"/>
  <c r="G4" i="14" s="1"/>
  <c r="H4" i="14" s="1"/>
  <c r="K4" i="3" l="1"/>
  <c r="I4" i="3"/>
  <c r="E5" i="14" l="1"/>
  <c r="C47" i="8" l="1"/>
  <c r="G73" i="2" s="1"/>
  <c r="E108" i="4"/>
  <c r="E6" i="2" l="1"/>
  <c r="F15" i="1" l="1"/>
  <c r="F14" i="1"/>
  <c r="O13" i="16" l="1"/>
  <c r="O11" i="16"/>
  <c r="O10" i="16"/>
  <c r="O9" i="16"/>
  <c r="O8" i="16"/>
  <c r="O5" i="13"/>
  <c r="D5" i="13"/>
  <c r="D30" i="8" s="1"/>
  <c r="E5" i="13"/>
  <c r="D25" i="8" s="1"/>
  <c r="F5" i="13"/>
  <c r="D31" i="8" s="1"/>
  <c r="G5" i="13"/>
  <c r="D26" i="8" s="1"/>
  <c r="H5" i="13"/>
  <c r="D32" i="8" s="1"/>
  <c r="I5" i="13"/>
  <c r="D27" i="8" s="1"/>
  <c r="J5" i="13"/>
  <c r="D33" i="8" s="1"/>
  <c r="K5" i="13"/>
  <c r="D28" i="8" s="1"/>
  <c r="L5" i="13"/>
  <c r="D34" i="8" s="1"/>
  <c r="D24" i="8"/>
  <c r="C3" i="8"/>
  <c r="G39" i="7"/>
  <c r="H35" i="7"/>
  <c r="H34" i="7"/>
  <c r="E36" i="7"/>
  <c r="E35" i="7"/>
  <c r="E34" i="7"/>
  <c r="G23" i="7"/>
  <c r="C49" i="8"/>
  <c r="H36" i="7" s="1"/>
  <c r="H21" i="7"/>
  <c r="H20" i="7"/>
  <c r="H25" i="7" l="1"/>
  <c r="E98" i="4"/>
  <c r="D23" i="8"/>
  <c r="H22" i="7"/>
  <c r="E219" i="2" l="1"/>
  <c r="F173" i="2"/>
  <c r="E172" i="2"/>
  <c r="O69" i="16" l="1"/>
  <c r="O68" i="16"/>
  <c r="O67" i="16"/>
  <c r="O66" i="16"/>
  <c r="O65" i="16"/>
  <c r="O64" i="16"/>
  <c r="O63" i="16"/>
  <c r="O62" i="16"/>
  <c r="P62" i="16" s="1"/>
  <c r="O61" i="16"/>
  <c r="N58" i="13" l="1"/>
  <c r="M58" i="13"/>
  <c r="D37" i="13"/>
  <c r="D35" i="13" s="1"/>
  <c r="E37" i="13"/>
  <c r="E35" i="13" s="1"/>
  <c r="F37" i="13"/>
  <c r="F35" i="13" s="1"/>
  <c r="G37" i="13"/>
  <c r="G35" i="13" s="1"/>
  <c r="H37" i="13"/>
  <c r="H35" i="13" s="1"/>
  <c r="I37" i="13"/>
  <c r="I35" i="13" s="1"/>
  <c r="J37" i="13"/>
  <c r="J35" i="13" s="1"/>
  <c r="K37" i="13"/>
  <c r="K35" i="13" s="1"/>
  <c r="L37" i="13"/>
  <c r="L35" i="13" s="1"/>
  <c r="O37" i="13"/>
  <c r="O35" i="13" s="1"/>
  <c r="N36" i="13"/>
  <c r="M36" i="13"/>
  <c r="O13" i="13"/>
  <c r="O11" i="13" s="1"/>
  <c r="D13" i="13"/>
  <c r="D11" i="13" s="1"/>
  <c r="E13" i="13"/>
  <c r="E11" i="13" s="1"/>
  <c r="F13" i="13"/>
  <c r="F11" i="13" s="1"/>
  <c r="G13" i="13"/>
  <c r="G11" i="13" s="1"/>
  <c r="H13" i="13"/>
  <c r="H11" i="13" s="1"/>
  <c r="I13" i="13"/>
  <c r="I11" i="13" s="1"/>
  <c r="J13" i="13"/>
  <c r="J11" i="13" s="1"/>
  <c r="K13" i="13"/>
  <c r="K11" i="13" s="1"/>
  <c r="L13" i="13"/>
  <c r="L11" i="13" s="1"/>
  <c r="N12" i="13"/>
  <c r="M12" i="13"/>
  <c r="G94" i="13" l="1"/>
  <c r="O81" i="13"/>
  <c r="O59" i="13" s="1"/>
  <c r="O57" i="13" s="1"/>
  <c r="O4" i="13" s="1"/>
  <c r="L81" i="13"/>
  <c r="L59" i="13" s="1"/>
  <c r="L57" i="13" s="1"/>
  <c r="L4" i="13" s="1"/>
  <c r="K81" i="13"/>
  <c r="K59" i="13" s="1"/>
  <c r="K57" i="13" s="1"/>
  <c r="K4" i="13" s="1"/>
  <c r="J81" i="13"/>
  <c r="J59" i="13" s="1"/>
  <c r="J57" i="13" s="1"/>
  <c r="J4" i="13" s="1"/>
  <c r="I81" i="13"/>
  <c r="I59" i="13" s="1"/>
  <c r="I57" i="13" s="1"/>
  <c r="I4" i="13" s="1"/>
  <c r="H81" i="13"/>
  <c r="H59" i="13" s="1"/>
  <c r="H57" i="13" s="1"/>
  <c r="H4" i="13" s="1"/>
  <c r="G81" i="13"/>
  <c r="G59" i="13" s="1"/>
  <c r="G57" i="13" s="1"/>
  <c r="G4" i="13" s="1"/>
  <c r="F81" i="13"/>
  <c r="E81" i="13"/>
  <c r="E59" i="13" s="1"/>
  <c r="E57" i="13" s="1"/>
  <c r="E4" i="13" s="1"/>
  <c r="D81" i="13"/>
  <c r="D59" i="13" s="1"/>
  <c r="D57" i="13" s="1"/>
  <c r="D4" i="13" s="1"/>
  <c r="C81" i="13"/>
  <c r="C59" i="13" s="1"/>
  <c r="C57" i="13" s="1"/>
  <c r="C4" i="13" s="1"/>
  <c r="N81" i="13" l="1"/>
  <c r="F59" i="13"/>
  <c r="F57" i="13" s="1"/>
  <c r="F4" i="13" s="1"/>
  <c r="M81" i="13"/>
  <c r="M59" i="13" l="1"/>
  <c r="M57" i="13" s="1"/>
  <c r="M15" i="13"/>
  <c r="N59" i="13"/>
  <c r="N57" i="13" s="1"/>
  <c r="N15" i="13"/>
  <c r="M80" i="13"/>
  <c r="N80" i="13"/>
  <c r="N14" i="13" s="1"/>
  <c r="N79" i="13"/>
  <c r="M79" i="13"/>
  <c r="M13" i="13" s="1"/>
  <c r="M11" i="13" l="1"/>
  <c r="M37" i="13"/>
  <c r="M35" i="13" s="1"/>
  <c r="M14" i="13"/>
  <c r="Q79" i="13"/>
  <c r="N13" i="13"/>
  <c r="N11" i="13" s="1"/>
  <c r="Q80" i="13"/>
  <c r="N37" i="13"/>
  <c r="N35" i="13" s="1"/>
  <c r="Q81" i="13"/>
  <c r="M4" i="13" l="1"/>
  <c r="N4" i="13"/>
  <c r="E89" i="13"/>
  <c r="E90" i="13" s="1"/>
  <c r="D89" i="13"/>
  <c r="C89" i="13"/>
  <c r="C91" i="13" s="1"/>
  <c r="C84" i="13" l="1"/>
  <c r="C85" i="13" s="1"/>
  <c r="E91" i="13"/>
  <c r="E84" i="13" s="1"/>
  <c r="D90" i="13"/>
  <c r="D91" i="13" s="1"/>
  <c r="O61" i="13"/>
  <c r="O18" i="13"/>
  <c r="O31" i="13" s="1"/>
  <c r="O53" i="13" l="1"/>
  <c r="O6" i="13"/>
  <c r="D84" i="13"/>
  <c r="G84" i="13" s="1"/>
  <c r="C42" i="8" l="1"/>
  <c r="C41" i="8"/>
  <c r="E103" i="2" l="1"/>
  <c r="E27" i="2"/>
  <c r="E221" i="2" l="1"/>
  <c r="E215" i="2"/>
  <c r="D85" i="13" l="1"/>
  <c r="E85" i="13"/>
  <c r="E24" i="4"/>
  <c r="E6" i="4"/>
  <c r="E84" i="2"/>
  <c r="G85" i="13" l="1"/>
  <c r="E186" i="2"/>
  <c r="E184" i="2"/>
  <c r="E183" i="2"/>
  <c r="E182" i="2"/>
  <c r="E181" i="2"/>
  <c r="E180" i="2"/>
  <c r="E178" i="2"/>
  <c r="E177" i="2"/>
  <c r="E175" i="2"/>
  <c r="E174" i="2"/>
  <c r="E173" i="2"/>
  <c r="G173" i="2" s="1"/>
  <c r="E171" i="2"/>
  <c r="E170" i="2"/>
  <c r="H114" i="2"/>
  <c r="C117" i="16"/>
  <c r="O101" i="16"/>
  <c r="O100" i="16"/>
  <c r="O99" i="16"/>
  <c r="O98" i="16"/>
  <c r="H97" i="16"/>
  <c r="O97" i="16" s="1"/>
  <c r="H96" i="16"/>
  <c r="O96" i="16" s="1"/>
  <c r="O95" i="16"/>
  <c r="O94" i="16"/>
  <c r="O93" i="16"/>
  <c r="O92" i="16"/>
  <c r="O91" i="16"/>
  <c r="O90" i="16"/>
  <c r="O89" i="16"/>
  <c r="O88" i="16"/>
  <c r="O87" i="16"/>
  <c r="O86" i="16"/>
  <c r="O85" i="16"/>
  <c r="O84" i="16"/>
  <c r="O83" i="16"/>
  <c r="O82" i="16"/>
  <c r="O81" i="16"/>
  <c r="O80" i="16"/>
  <c r="O79" i="16"/>
  <c r="O78" i="16"/>
  <c r="O77" i="16"/>
  <c r="O76" i="16"/>
  <c r="O75" i="16"/>
  <c r="O74" i="16"/>
  <c r="O73" i="16"/>
  <c r="O72" i="16"/>
  <c r="O71" i="16"/>
  <c r="O70" i="16"/>
  <c r="O60" i="16"/>
  <c r="O59" i="16"/>
  <c r="O58" i="16"/>
  <c r="O57" i="16"/>
  <c r="O56" i="16"/>
  <c r="O55" i="16"/>
  <c r="O54" i="16"/>
  <c r="O53" i="16"/>
  <c r="O52" i="16"/>
  <c r="O51" i="16"/>
  <c r="O50" i="16"/>
  <c r="O49" i="16"/>
  <c r="O48" i="16"/>
  <c r="O47" i="16"/>
  <c r="O46" i="16"/>
  <c r="O45" i="16"/>
  <c r="O44" i="16"/>
  <c r="O43" i="16"/>
  <c r="O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2" i="16"/>
  <c r="A8" i="16"/>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O7" i="16"/>
  <c r="C58" i="15"/>
  <c r="B58" i="15"/>
  <c r="F7" i="15"/>
  <c r="E7" i="15"/>
  <c r="G10" i="3"/>
  <c r="H77" i="2"/>
  <c r="H78" i="2"/>
  <c r="H80" i="2"/>
  <c r="H81" i="2"/>
  <c r="H97" i="2"/>
  <c r="H104" i="2"/>
  <c r="H105" i="2"/>
  <c r="H106" i="2"/>
  <c r="H107" i="2"/>
  <c r="H108" i="2"/>
  <c r="H110" i="2"/>
  <c r="H116" i="2"/>
  <c r="H117" i="2"/>
  <c r="H118" i="2"/>
  <c r="H119" i="2"/>
  <c r="H120" i="2"/>
  <c r="H121" i="2"/>
  <c r="H122" i="2"/>
  <c r="H124" i="2"/>
  <c r="H131" i="2"/>
  <c r="H133" i="2"/>
  <c r="H136" i="2"/>
  <c r="H137" i="2"/>
  <c r="H138" i="2"/>
  <c r="H139" i="2"/>
  <c r="H140" i="2"/>
  <c r="H141" i="2"/>
  <c r="H142" i="2"/>
  <c r="H143" i="2"/>
  <c r="H144" i="2"/>
  <c r="H148" i="2"/>
  <c r="H157" i="2"/>
  <c r="H158" i="2"/>
  <c r="H159" i="2"/>
  <c r="H160" i="2"/>
  <c r="H185" i="2"/>
  <c r="H187" i="2"/>
  <c r="H188" i="2"/>
  <c r="H191" i="2"/>
  <c r="H192" i="2"/>
  <c r="H193" i="2"/>
  <c r="H196" i="2"/>
  <c r="H209" i="2"/>
  <c r="H216" i="2"/>
  <c r="A61" i="16" l="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H115" i="2"/>
  <c r="G72" i="2"/>
  <c r="E10" i="14"/>
  <c r="E31" i="4"/>
  <c r="E30" i="4"/>
  <c r="E203" i="2"/>
  <c r="N74" i="13" l="1"/>
  <c r="M73" i="13"/>
  <c r="N73" i="13"/>
  <c r="M74" i="13"/>
  <c r="N52" i="13"/>
  <c r="M52" i="13"/>
  <c r="M51" i="13"/>
  <c r="N51" i="13"/>
  <c r="D31" i="13"/>
  <c r="E31" i="13"/>
  <c r="G31" i="13"/>
  <c r="H31" i="13"/>
  <c r="I31" i="13"/>
  <c r="J31" i="13"/>
  <c r="K31" i="13"/>
  <c r="L31" i="13"/>
  <c r="M38" i="13"/>
  <c r="N38" i="13"/>
  <c r="Q38" i="13" s="1"/>
  <c r="M17" i="13"/>
  <c r="N17" i="13"/>
  <c r="Q17" i="13" s="1"/>
  <c r="M20" i="13"/>
  <c r="N20" i="13"/>
  <c r="M22" i="13"/>
  <c r="N22" i="13"/>
  <c r="M24" i="13"/>
  <c r="N24" i="13"/>
  <c r="M25" i="13"/>
  <c r="N25" i="13"/>
  <c r="M26" i="13"/>
  <c r="N26" i="13"/>
  <c r="M27" i="13"/>
  <c r="N27" i="13"/>
  <c r="M28" i="13"/>
  <c r="N28" i="13"/>
  <c r="M29" i="13"/>
  <c r="N29" i="13"/>
  <c r="M41" i="13"/>
  <c r="N41" i="13"/>
  <c r="M43" i="13"/>
  <c r="N43" i="13"/>
  <c r="M45" i="13"/>
  <c r="N45" i="13"/>
  <c r="M46" i="13"/>
  <c r="N46" i="13"/>
  <c r="M47" i="13"/>
  <c r="N47" i="13"/>
  <c r="M49" i="13"/>
  <c r="N49" i="13"/>
  <c r="M50" i="13"/>
  <c r="N50" i="13"/>
  <c r="M63" i="13"/>
  <c r="N63" i="13"/>
  <c r="M65" i="13"/>
  <c r="N65" i="13"/>
  <c r="M66" i="13"/>
  <c r="N66" i="13"/>
  <c r="M67" i="13"/>
  <c r="N67" i="13"/>
  <c r="M68" i="13"/>
  <c r="N68" i="13"/>
  <c r="M69" i="13"/>
  <c r="N69" i="13"/>
  <c r="M71" i="13"/>
  <c r="N71" i="13"/>
  <c r="M72" i="13"/>
  <c r="N72" i="13"/>
  <c r="F31" i="13" l="1"/>
  <c r="N18" i="13"/>
  <c r="D6" i="13"/>
  <c r="K53" i="13"/>
  <c r="K6" i="13"/>
  <c r="F53" i="13"/>
  <c r="F6" i="13"/>
  <c r="I53" i="13"/>
  <c r="I6" i="13"/>
  <c r="E53" i="13"/>
  <c r="E6" i="13"/>
  <c r="G53" i="13"/>
  <c r="G6" i="13"/>
  <c r="J53" i="13"/>
  <c r="J6" i="13"/>
  <c r="L53" i="13"/>
  <c r="L6" i="13"/>
  <c r="H53" i="13"/>
  <c r="H6" i="13"/>
  <c r="D53" i="13"/>
  <c r="N39" i="13"/>
  <c r="H75" i="13"/>
  <c r="D75" i="13"/>
  <c r="J75" i="13"/>
  <c r="I75" i="13"/>
  <c r="E75" i="13"/>
  <c r="O75" i="13"/>
  <c r="O7" i="13" s="1"/>
  <c r="K75" i="13"/>
  <c r="G75" i="13"/>
  <c r="L75" i="13"/>
  <c r="C75" i="13"/>
  <c r="C53" i="13"/>
  <c r="C7" i="13" s="1"/>
  <c r="N31" i="13"/>
  <c r="Q31" i="13" s="1"/>
  <c r="N61" i="13"/>
  <c r="M61" i="13"/>
  <c r="F75" i="13"/>
  <c r="M18" i="13"/>
  <c r="N6" i="13" l="1"/>
  <c r="D7" i="13"/>
  <c r="L7" i="13"/>
  <c r="C24" i="8"/>
  <c r="E22" i="4" s="1"/>
  <c r="K7" i="13"/>
  <c r="I7" i="13"/>
  <c r="G7" i="13"/>
  <c r="H7" i="13"/>
  <c r="J7" i="13"/>
  <c r="E7" i="13"/>
  <c r="F7" i="13"/>
  <c r="N53" i="13"/>
  <c r="M53" i="13"/>
  <c r="M6" i="13"/>
  <c r="N60" i="13"/>
  <c r="N5" i="13" s="1"/>
  <c r="Q5" i="13" s="1"/>
  <c r="M60" i="13"/>
  <c r="M5" i="13" s="1"/>
  <c r="H24" i="7" l="1"/>
  <c r="H23" i="7" s="1"/>
  <c r="E19" i="4"/>
  <c r="Q60" i="13"/>
  <c r="E20" i="4"/>
  <c r="Q53" i="13"/>
  <c r="N75" i="13"/>
  <c r="N7" i="13" s="1"/>
  <c r="Q7" i="13" s="1"/>
  <c r="C37" i="8" s="1"/>
  <c r="M75" i="13"/>
  <c r="G130" i="2" l="1"/>
  <c r="G132" i="2"/>
  <c r="G127" i="2"/>
  <c r="M31" i="13"/>
  <c r="M7" i="13" s="1"/>
  <c r="E29" i="4"/>
  <c r="E23" i="4"/>
  <c r="E48" i="4"/>
  <c r="G66" i="4"/>
  <c r="E96" i="4"/>
  <c r="F98" i="4"/>
  <c r="F96" i="4"/>
  <c r="G93" i="4"/>
  <c r="G44" i="4"/>
  <c r="G37" i="4"/>
  <c r="G42" i="4"/>
  <c r="G41" i="4"/>
  <c r="G40" i="4"/>
  <c r="G39" i="4"/>
  <c r="E70" i="4" l="1"/>
  <c r="E94" i="4"/>
  <c r="E87" i="4"/>
  <c r="E69" i="4"/>
  <c r="E80" i="4"/>
  <c r="G96" i="4"/>
  <c r="G97" i="4"/>
  <c r="E115" i="2"/>
  <c r="F115" i="2" s="1"/>
  <c r="H14" i="4"/>
  <c r="H15" i="4"/>
  <c r="H18" i="4"/>
  <c r="H21" i="4"/>
  <c r="H35" i="4"/>
  <c r="H36" i="4"/>
  <c r="H38" i="4"/>
  <c r="H43" i="4"/>
  <c r="H45" i="4"/>
  <c r="H50" i="4"/>
  <c r="H52" i="4"/>
  <c r="H53" i="4"/>
  <c r="H54" i="4"/>
  <c r="H55" i="4"/>
  <c r="H56" i="4"/>
  <c r="H57" i="4"/>
  <c r="H58" i="4"/>
  <c r="H59" i="4"/>
  <c r="H60" i="4"/>
  <c r="H61" i="4"/>
  <c r="H62" i="4"/>
  <c r="H63" i="4"/>
  <c r="H64" i="4"/>
  <c r="H65" i="4"/>
  <c r="H67" i="4"/>
  <c r="H68" i="4"/>
  <c r="H71" i="4"/>
  <c r="H72" i="4"/>
  <c r="H73" i="4"/>
  <c r="H74" i="4"/>
  <c r="H76" i="4"/>
  <c r="H79" i="4"/>
  <c r="H81" i="4"/>
  <c r="H82" i="4"/>
  <c r="H84" i="4"/>
  <c r="H85" i="4"/>
  <c r="H90" i="4"/>
  <c r="H91" i="4"/>
  <c r="H92" i="4"/>
  <c r="H95" i="4"/>
  <c r="H99" i="4"/>
  <c r="H100" i="4"/>
  <c r="H102" i="4"/>
  <c r="H104" i="4"/>
  <c r="H106" i="4"/>
  <c r="G34" i="4"/>
  <c r="G33" i="4"/>
  <c r="G32" i="4"/>
  <c r="G31" i="4"/>
  <c r="G30" i="4"/>
  <c r="G29" i="4"/>
  <c r="G28" i="4"/>
  <c r="G27" i="4"/>
  <c r="G26" i="4"/>
  <c r="G25" i="4"/>
  <c r="G24" i="4"/>
  <c r="G23" i="4"/>
  <c r="E89" i="4"/>
  <c r="G89" i="4" s="1"/>
  <c r="G88" i="4"/>
  <c r="G86" i="4"/>
  <c r="G83" i="4"/>
  <c r="G78" i="4"/>
  <c r="G77" i="4"/>
  <c r="G75" i="4"/>
  <c r="G108" i="4"/>
  <c r="G49" i="4"/>
  <c r="E47" i="4"/>
  <c r="G47" i="4" s="1"/>
  <c r="G51" i="4"/>
  <c r="G48" i="4"/>
  <c r="G46" i="4"/>
  <c r="F19" i="4"/>
  <c r="G19" i="4" s="1"/>
  <c r="E9" i="4"/>
  <c r="G9" i="4" s="1"/>
  <c r="E7" i="4"/>
  <c r="G7" i="4" s="1"/>
  <c r="G6" i="4"/>
  <c r="G3" i="4"/>
  <c r="H108" i="4" l="1"/>
  <c r="H49" i="4"/>
  <c r="H9" i="14"/>
  <c r="G12" i="14"/>
  <c r="G10" i="14"/>
  <c r="G8" i="14"/>
  <c r="G7" i="14"/>
  <c r="G6" i="14"/>
  <c r="G5" i="14"/>
  <c r="G3" i="14"/>
  <c r="D3" i="14"/>
  <c r="G11" i="14" l="1"/>
  <c r="H3" i="14"/>
  <c r="E109" i="2"/>
  <c r="E83" i="2"/>
  <c r="G84" i="2" s="1"/>
  <c r="B84" i="2"/>
  <c r="G154" i="2"/>
  <c r="G155" i="2"/>
  <c r="G156" i="2"/>
  <c r="E132" i="2"/>
  <c r="E127" i="2"/>
  <c r="G153" i="2"/>
  <c r="E123" i="2"/>
  <c r="G203" i="2"/>
  <c r="G221" i="2"/>
  <c r="F215" i="2"/>
  <c r="G215" i="2" s="1"/>
  <c r="G214" i="2"/>
  <c r="G213" i="2"/>
  <c r="G212" i="2"/>
  <c r="G211" i="2"/>
  <c r="G210" i="2"/>
  <c r="G186" i="2"/>
  <c r="G184" i="2"/>
  <c r="G183" i="2"/>
  <c r="G182" i="2"/>
  <c r="G180" i="2"/>
  <c r="G177" i="2"/>
  <c r="G176" i="2"/>
  <c r="G171" i="2"/>
  <c r="G170" i="2"/>
  <c r="G169" i="2"/>
  <c r="G168" i="2"/>
  <c r="G167" i="2"/>
  <c r="G166" i="2"/>
  <c r="G165" i="2"/>
  <c r="G164" i="2"/>
  <c r="G163" i="2"/>
  <c r="G162" i="2"/>
  <c r="G161" i="2"/>
  <c r="F145" i="2"/>
  <c r="F135" i="2"/>
  <c r="E135" i="2"/>
  <c r="E134" i="2"/>
  <c r="G134" i="2" s="1"/>
  <c r="E130" i="2"/>
  <c r="E129" i="2"/>
  <c r="E128" i="2"/>
  <c r="E126" i="2"/>
  <c r="G126" i="2" s="1"/>
  <c r="E125" i="2"/>
  <c r="G125" i="2" s="1"/>
  <c r="E114" i="2"/>
  <c r="F114" i="2" s="1"/>
  <c r="G113" i="2"/>
  <c r="G112" i="2"/>
  <c r="G111" i="2"/>
  <c r="G102" i="2"/>
  <c r="E100" i="2"/>
  <c r="G100" i="2" s="1"/>
  <c r="E99" i="2"/>
  <c r="G99" i="2" s="1"/>
  <c r="E98" i="2"/>
  <c r="G98" i="2" s="1"/>
  <c r="E101" i="2"/>
  <c r="G101" i="2" s="1"/>
  <c r="G103" i="2"/>
  <c r="E82" i="2"/>
  <c r="G95" i="2"/>
  <c r="G94" i="2"/>
  <c r="G93" i="2"/>
  <c r="G89" i="2"/>
  <c r="E96" i="2"/>
  <c r="G96" i="2" s="1"/>
  <c r="E92" i="2"/>
  <c r="G92" i="2" s="1"/>
  <c r="E91" i="2"/>
  <c r="G91" i="2" s="1"/>
  <c r="E90" i="2"/>
  <c r="G90" i="2" s="1"/>
  <c r="E88" i="2"/>
  <c r="G88" i="2" s="1"/>
  <c r="E87" i="2"/>
  <c r="G87" i="2" s="1"/>
  <c r="E86" i="2"/>
  <c r="G86" i="2" s="1"/>
  <c r="E85" i="2"/>
  <c r="G85" i="2" s="1"/>
  <c r="E52" i="2"/>
  <c r="E20" i="2"/>
  <c r="F27" i="2"/>
  <c r="G27" i="2" s="1"/>
  <c r="E26" i="2"/>
  <c r="G26" i="2" s="1"/>
  <c r="E25" i="2"/>
  <c r="G25" i="2" s="1"/>
  <c r="E24" i="2"/>
  <c r="G24" i="2" s="1"/>
  <c r="E33" i="2"/>
  <c r="E35" i="2"/>
  <c r="E73" i="2"/>
  <c r="F73" i="2" s="1"/>
  <c r="F63" i="2"/>
  <c r="E63" i="2"/>
  <c r="F69" i="2"/>
  <c r="E69" i="2"/>
  <c r="E68" i="2"/>
  <c r="G68" i="2" s="1"/>
  <c r="E67" i="2"/>
  <c r="G67" i="2" s="1"/>
  <c r="E66" i="2"/>
  <c r="E65" i="2"/>
  <c r="E56" i="2"/>
  <c r="G56" i="2" s="1"/>
  <c r="E55" i="2"/>
  <c r="G55" i="2" s="1"/>
  <c r="E60" i="2"/>
  <c r="G60" i="2" s="1"/>
  <c r="E59" i="2"/>
  <c r="G59" i="2" s="1"/>
  <c r="G57" i="2"/>
  <c r="G54" i="2"/>
  <c r="G53" i="2"/>
  <c r="E50" i="2"/>
  <c r="G50" i="2" s="1"/>
  <c r="E49" i="2"/>
  <c r="G49" i="2" s="1"/>
  <c r="E48" i="2"/>
  <c r="G48" i="2" s="1"/>
  <c r="E47" i="2"/>
  <c r="E46" i="2"/>
  <c r="G46" i="2" s="1"/>
  <c r="E44" i="2"/>
  <c r="E41" i="2"/>
  <c r="G41" i="2" s="1"/>
  <c r="E40" i="2"/>
  <c r="G40" i="2" s="1"/>
  <c r="E38" i="2"/>
  <c r="G38" i="2" s="1"/>
  <c r="E37" i="2"/>
  <c r="G37" i="2" s="1"/>
  <c r="E36" i="2"/>
  <c r="G36" i="2" s="1"/>
  <c r="E30" i="2"/>
  <c r="E29" i="2"/>
  <c r="D28" i="2"/>
  <c r="E10" i="2"/>
  <c r="G10" i="2" s="1"/>
  <c r="E9" i="2"/>
  <c r="G9" i="2" s="1"/>
  <c r="E8" i="2"/>
  <c r="E7" i="2"/>
  <c r="G6" i="2"/>
  <c r="E5" i="2"/>
  <c r="G5" i="2" s="1"/>
  <c r="E4" i="2"/>
  <c r="G4" i="2" s="1"/>
  <c r="E18" i="2"/>
  <c r="G18" i="2" s="1"/>
  <c r="E17" i="2"/>
  <c r="G17" i="2" s="1"/>
  <c r="E16" i="2"/>
  <c r="E15" i="2"/>
  <c r="G15" i="2" s="1"/>
  <c r="E14" i="2"/>
  <c r="G14" i="2" s="1"/>
  <c r="G22" i="2"/>
  <c r="G21" i="2"/>
  <c r="G28" i="2"/>
  <c r="G63" i="2" l="1"/>
  <c r="G69" i="2"/>
  <c r="G83" i="2"/>
  <c r="G135" i="2"/>
  <c r="G207" i="2"/>
  <c r="E208" i="2"/>
  <c r="G208" i="2" s="1"/>
  <c r="E206" i="2"/>
  <c r="G206" i="2" s="1"/>
  <c r="E204" i="2"/>
  <c r="G204" i="2" s="1"/>
  <c r="E202" i="2"/>
  <c r="G202" i="2" s="1"/>
  <c r="E200" i="2"/>
  <c r="G200" i="2" s="1"/>
  <c r="E201" i="2"/>
  <c r="G201" i="2" s="1"/>
  <c r="E199" i="2"/>
  <c r="G199" i="2" s="1"/>
  <c r="E198" i="2"/>
  <c r="G198" i="2" s="1"/>
  <c r="E197" i="2"/>
  <c r="G197" i="2" s="1"/>
  <c r="E195" i="2"/>
  <c r="G195" i="2" s="1"/>
  <c r="E194" i="2"/>
  <c r="G194" i="2" s="1"/>
  <c r="E190" i="2"/>
  <c r="G190" i="2" s="1"/>
  <c r="E189" i="2"/>
  <c r="G189" i="2" s="1"/>
  <c r="E152" i="2"/>
  <c r="E151" i="2"/>
  <c r="G151" i="2" s="1"/>
  <c r="E150" i="2"/>
  <c r="G150" i="2" s="1"/>
  <c r="E149" i="2"/>
  <c r="G149" i="2" s="1"/>
  <c r="E147" i="2"/>
  <c r="G147" i="2" s="1"/>
  <c r="G145" i="2"/>
  <c r="E143" i="2"/>
  <c r="F143" i="2" s="1"/>
  <c r="F16" i="1"/>
  <c r="F17" i="1"/>
  <c r="F18" i="1"/>
  <c r="F13" i="1"/>
  <c r="F10" i="1"/>
  <c r="F8" i="1"/>
  <c r="F5" i="1"/>
  <c r="F4" i="1"/>
  <c r="F3" i="1"/>
  <c r="G3" i="1"/>
  <c r="H11" i="2"/>
  <c r="H12" i="2"/>
  <c r="H13" i="2"/>
  <c r="H19" i="2"/>
  <c r="H23" i="2"/>
  <c r="H28" i="2"/>
  <c r="H31" i="2"/>
  <c r="H32" i="2"/>
  <c r="H34" i="2"/>
  <c r="H39" i="2"/>
  <c r="H42" i="2"/>
  <c r="H43" i="2"/>
  <c r="H45" i="2"/>
  <c r="H51" i="2"/>
  <c r="H61" i="2"/>
  <c r="H62" i="2"/>
  <c r="H70" i="2"/>
  <c r="H71" i="2"/>
  <c r="H75" i="2"/>
  <c r="H76" i="2"/>
  <c r="D39" i="8" l="1"/>
  <c r="F181" i="2" s="1"/>
  <c r="G181" i="2" s="1"/>
  <c r="K5" i="3"/>
  <c r="L13" i="3"/>
  <c r="L9" i="3"/>
  <c r="L6" i="3"/>
  <c r="F17" i="3"/>
  <c r="F16" i="3"/>
  <c r="F12" i="3"/>
  <c r="F11" i="3"/>
  <c r="F10" i="3"/>
  <c r="F8" i="3"/>
  <c r="F7" i="3"/>
  <c r="F5" i="3"/>
  <c r="F3" i="3"/>
  <c r="D17" i="3"/>
  <c r="D16" i="3"/>
  <c r="D12" i="3"/>
  <c r="D11" i="3"/>
  <c r="D10" i="3"/>
  <c r="D8" i="3"/>
  <c r="D7" i="3"/>
  <c r="D3" i="3"/>
  <c r="D36" i="1"/>
  <c r="D35" i="1"/>
  <c r="D34" i="1"/>
  <c r="D33" i="1"/>
  <c r="D32" i="1"/>
  <c r="D29" i="1"/>
  <c r="D28" i="1"/>
  <c r="D26" i="1"/>
  <c r="D25" i="1"/>
  <c r="D24" i="1"/>
  <c r="D23" i="1"/>
  <c r="D22" i="1"/>
  <c r="D16" i="1"/>
  <c r="D14" i="1"/>
  <c r="D12" i="1"/>
  <c r="D11" i="1"/>
  <c r="H7" i="1"/>
  <c r="H9" i="1"/>
  <c r="H19" i="1"/>
  <c r="H20" i="1"/>
  <c r="H21" i="1"/>
  <c r="H27" i="1"/>
  <c r="H30" i="1"/>
  <c r="H31" i="1"/>
  <c r="H37" i="1"/>
  <c r="H6" i="1"/>
  <c r="G17" i="1"/>
  <c r="G18" i="1"/>
  <c r="C15" i="1"/>
  <c r="D15" i="1" s="1"/>
  <c r="C13" i="1"/>
  <c r="D13" i="1" s="1"/>
  <c r="G10" i="1"/>
  <c r="G11" i="1"/>
  <c r="G12" i="1"/>
  <c r="G13" i="1"/>
  <c r="C18" i="1"/>
  <c r="D18" i="1" s="1"/>
  <c r="C17" i="1"/>
  <c r="D17" i="1" s="1"/>
  <c r="C10" i="1"/>
  <c r="D10" i="1" s="1"/>
  <c r="C8" i="1"/>
  <c r="D8" i="1" s="1"/>
  <c r="C5" i="1"/>
  <c r="D5" i="1" s="1"/>
  <c r="C4" i="1"/>
  <c r="D4" i="1" s="1"/>
  <c r="C3" i="1"/>
  <c r="D3" i="1" s="1"/>
  <c r="Q75" i="13"/>
  <c r="H11" i="1" l="1"/>
  <c r="H10" i="1"/>
  <c r="H18" i="1"/>
  <c r="H13" i="1"/>
  <c r="L5" i="3"/>
  <c r="H12" i="1"/>
  <c r="H17" i="1"/>
  <c r="D38" i="1"/>
  <c r="G5" i="7" s="1"/>
  <c r="D12" i="14" l="1"/>
  <c r="H12" i="14" s="1"/>
  <c r="E3" i="7"/>
  <c r="E14" i="7" s="1"/>
  <c r="D73" i="2"/>
  <c r="H73" i="2" s="1"/>
  <c r="D111" i="2"/>
  <c r="H111" i="2" s="1"/>
  <c r="D95" i="2"/>
  <c r="H95" i="2" s="1"/>
  <c r="H30" i="4"/>
  <c r="H31" i="4"/>
  <c r="H47" i="4"/>
  <c r="H86" i="4"/>
  <c r="H89" i="4"/>
  <c r="E205" i="2"/>
  <c r="G205" i="2" s="1"/>
  <c r="H27" i="4"/>
  <c r="H28" i="4"/>
  <c r="H32" i="4"/>
  <c r="H33" i="4"/>
  <c r="H34" i="4"/>
  <c r="H37" i="4"/>
  <c r="H39" i="4"/>
  <c r="H40" i="4"/>
  <c r="H41" i="4"/>
  <c r="H42" i="4"/>
  <c r="H44" i="4"/>
  <c r="H46" i="4"/>
  <c r="H48" i="4"/>
  <c r="H51" i="4"/>
  <c r="H75" i="4"/>
  <c r="H77" i="4"/>
  <c r="H78" i="4"/>
  <c r="H83" i="4"/>
  <c r="H88" i="4"/>
  <c r="H93" i="4"/>
  <c r="H66" i="4"/>
  <c r="F172" i="2"/>
  <c r="G172" i="2" s="1"/>
  <c r="F174" i="2"/>
  <c r="G174" i="2" s="1"/>
  <c r="F175" i="2"/>
  <c r="G175" i="2" s="1"/>
  <c r="D36" i="8"/>
  <c r="D3" i="2"/>
  <c r="D4" i="2"/>
  <c r="H4" i="2" s="1"/>
  <c r="D5" i="2"/>
  <c r="H5" i="2" s="1"/>
  <c r="D6" i="2"/>
  <c r="H6" i="2" s="1"/>
  <c r="D10" i="2"/>
  <c r="H10" i="2" s="1"/>
  <c r="D21" i="2"/>
  <c r="H21" i="2" s="1"/>
  <c r="D22" i="2"/>
  <c r="H22" i="2" s="1"/>
  <c r="D37" i="2"/>
  <c r="H37" i="2" s="1"/>
  <c r="D40" i="2"/>
  <c r="H40" i="2" s="1"/>
  <c r="D46" i="2"/>
  <c r="H46" i="2" s="1"/>
  <c r="D53" i="2"/>
  <c r="H53" i="2" s="1"/>
  <c r="D54" i="2"/>
  <c r="H54" i="2" s="1"/>
  <c r="D55" i="2"/>
  <c r="H55" i="2" s="1"/>
  <c r="D57" i="2"/>
  <c r="H57" i="2" s="1"/>
  <c r="D58" i="2"/>
  <c r="H58" i="2" s="1"/>
  <c r="D67" i="2"/>
  <c r="H67" i="2" s="1"/>
  <c r="D68" i="2"/>
  <c r="H68" i="2" s="1"/>
  <c r="D74" i="2"/>
  <c r="H74" i="2" s="1"/>
  <c r="D83" i="2"/>
  <c r="H83" i="2" s="1"/>
  <c r="D84" i="2"/>
  <c r="H84" i="2" s="1"/>
  <c r="D86" i="2"/>
  <c r="H86" i="2" s="1"/>
  <c r="D87" i="2"/>
  <c r="H87" i="2" s="1"/>
  <c r="D89" i="2"/>
  <c r="H89" i="2" s="1"/>
  <c r="D91" i="2"/>
  <c r="H91" i="2" s="1"/>
  <c r="D93" i="2"/>
  <c r="H93" i="2" s="1"/>
  <c r="D94" i="2"/>
  <c r="H94" i="2" s="1"/>
  <c r="D96" i="2"/>
  <c r="H96" i="2" s="1"/>
  <c r="D98" i="2"/>
  <c r="H98" i="2" s="1"/>
  <c r="D99" i="2"/>
  <c r="H99" i="2" s="1"/>
  <c r="D102" i="2"/>
  <c r="H102" i="2" s="1"/>
  <c r="B112" i="2"/>
  <c r="D113" i="2"/>
  <c r="H113" i="2" s="1"/>
  <c r="D125" i="2"/>
  <c r="H125" i="2" s="1"/>
  <c r="D126" i="2"/>
  <c r="H126" i="2" s="1"/>
  <c r="D134" i="2"/>
  <c r="H134" i="2" s="1"/>
  <c r="D147" i="2"/>
  <c r="H147" i="2" s="1"/>
  <c r="D151" i="2"/>
  <c r="H151" i="2" s="1"/>
  <c r="D153" i="2"/>
  <c r="H153" i="2" s="1"/>
  <c r="D154" i="2"/>
  <c r="H154" i="2" s="1"/>
  <c r="D155" i="2"/>
  <c r="H155" i="2" s="1"/>
  <c r="D156" i="2"/>
  <c r="H156" i="2" s="1"/>
  <c r="D170" i="2"/>
  <c r="H170" i="2" s="1"/>
  <c r="D171" i="2"/>
  <c r="H171" i="2" s="1"/>
  <c r="G179" i="2"/>
  <c r="D180" i="2"/>
  <c r="H180" i="2" s="1"/>
  <c r="D194" i="2"/>
  <c r="H194" i="2" s="1"/>
  <c r="D205" i="2"/>
  <c r="D207" i="2"/>
  <c r="H207" i="2" s="1"/>
  <c r="E220" i="2"/>
  <c r="I12" i="3"/>
  <c r="I11" i="3"/>
  <c r="I16" i="3"/>
  <c r="I17" i="3"/>
  <c r="K17" i="3" s="1"/>
  <c r="L17" i="3" s="1"/>
  <c r="G5" i="1"/>
  <c r="H5" i="1" s="1"/>
  <c r="G22" i="1"/>
  <c r="H22" i="1" s="1"/>
  <c r="G23" i="1"/>
  <c r="H23" i="1" s="1"/>
  <c r="G24" i="1"/>
  <c r="H24" i="1" s="1"/>
  <c r="G25" i="1"/>
  <c r="H25" i="1" s="1"/>
  <c r="G26" i="1"/>
  <c r="H26" i="1" s="1"/>
  <c r="G28" i="1"/>
  <c r="H28" i="1" s="1"/>
  <c r="G29" i="1"/>
  <c r="H29" i="1" s="1"/>
  <c r="G32" i="1"/>
  <c r="H32" i="1" s="1"/>
  <c r="G33" i="1"/>
  <c r="H33" i="1" s="1"/>
  <c r="G34" i="1"/>
  <c r="H34" i="1" s="1"/>
  <c r="G35" i="1"/>
  <c r="H35" i="1" s="1"/>
  <c r="G36" i="1"/>
  <c r="H36" i="1" s="1"/>
  <c r="G8" i="1"/>
  <c r="H8" i="1" s="1"/>
  <c r="D7" i="14"/>
  <c r="H7" i="14" s="1"/>
  <c r="D11" i="14"/>
  <c r="H11" i="14" s="1"/>
  <c r="D5" i="14"/>
  <c r="H5" i="14" s="1"/>
  <c r="D6" i="14"/>
  <c r="H6" i="14" s="1"/>
  <c r="G3" i="2"/>
  <c r="I5" i="3"/>
  <c r="D29" i="8" l="1"/>
  <c r="H205" i="2"/>
  <c r="G98" i="4"/>
  <c r="H175" i="2"/>
  <c r="H172" i="2"/>
  <c r="C6" i="7"/>
  <c r="G219" i="2"/>
  <c r="G220" i="2"/>
  <c r="E218" i="2"/>
  <c r="G218" i="2" s="1"/>
  <c r="E107" i="4"/>
  <c r="G107" i="4" s="1"/>
  <c r="H107" i="4" s="1"/>
  <c r="E14" i="14"/>
  <c r="G14" i="14" s="1"/>
  <c r="G15" i="3"/>
  <c r="I15" i="3" s="1"/>
  <c r="K15" i="3" s="1"/>
  <c r="E217" i="2"/>
  <c r="G217" i="2" s="1"/>
  <c r="D13" i="14"/>
  <c r="E13" i="14"/>
  <c r="G14" i="3"/>
  <c r="I14" i="3" s="1"/>
  <c r="K14" i="3" s="1"/>
  <c r="E105" i="4"/>
  <c r="G105" i="4" s="1"/>
  <c r="G101" i="4"/>
  <c r="G103" i="4"/>
  <c r="H103" i="4" s="1"/>
  <c r="H3" i="2"/>
  <c r="D59" i="2"/>
  <c r="H59" i="2" s="1"/>
  <c r="D56" i="2"/>
  <c r="H56" i="2" s="1"/>
  <c r="D49" i="2"/>
  <c r="H49" i="2" s="1"/>
  <c r="D36" i="2"/>
  <c r="H36" i="2" s="1"/>
  <c r="D26" i="2"/>
  <c r="H26" i="2" s="1"/>
  <c r="D24" i="2"/>
  <c r="H24" i="2" s="1"/>
  <c r="D15" i="2"/>
  <c r="H15" i="2" s="1"/>
  <c r="D69" i="2"/>
  <c r="H69" i="2" s="1"/>
  <c r="D72" i="2"/>
  <c r="H72" i="2" s="1"/>
  <c r="D18" i="2"/>
  <c r="H18" i="2" s="1"/>
  <c r="D92" i="2"/>
  <c r="H92" i="2" s="1"/>
  <c r="D190" i="2"/>
  <c r="H190" i="2" s="1"/>
  <c r="D41" i="2"/>
  <c r="H41" i="2" s="1"/>
  <c r="D38" i="2"/>
  <c r="H38" i="2" s="1"/>
  <c r="D177" i="2"/>
  <c r="H177" i="2" s="1"/>
  <c r="D168" i="2"/>
  <c r="H168" i="2" s="1"/>
  <c r="D166" i="2"/>
  <c r="H166" i="2" s="1"/>
  <c r="D164" i="2"/>
  <c r="H164" i="2" s="1"/>
  <c r="D162" i="2"/>
  <c r="H162" i="2" s="1"/>
  <c r="D221" i="2"/>
  <c r="H221" i="2" s="1"/>
  <c r="D112" i="2"/>
  <c r="H112" i="2" s="1"/>
  <c r="D135" i="2"/>
  <c r="H135" i="2" s="1"/>
  <c r="D101" i="2"/>
  <c r="H101" i="2" s="1"/>
  <c r="C28" i="8"/>
  <c r="C30" i="8"/>
  <c r="C32" i="8"/>
  <c r="C26" i="8"/>
  <c r="C33" i="8"/>
  <c r="K10" i="3"/>
  <c r="L10" i="3" s="1"/>
  <c r="H7" i="4"/>
  <c r="C25" i="8"/>
  <c r="C34" i="8"/>
  <c r="C27" i="8"/>
  <c r="G14" i="1"/>
  <c r="H14" i="1" s="1"/>
  <c r="G16" i="1"/>
  <c r="H16" i="1" s="1"/>
  <c r="D215" i="2"/>
  <c r="H215" i="2" s="1"/>
  <c r="D186" i="2"/>
  <c r="H186" i="2" s="1"/>
  <c r="D183" i="2"/>
  <c r="H183" i="2" s="1"/>
  <c r="K8" i="3"/>
  <c r="L8" i="3" s="1"/>
  <c r="D219" i="2"/>
  <c r="D214" i="2"/>
  <c r="H214" i="2" s="1"/>
  <c r="D212" i="2"/>
  <c r="H212" i="2" s="1"/>
  <c r="D210" i="2"/>
  <c r="H210" i="2" s="1"/>
  <c r="D176" i="2"/>
  <c r="H176" i="2" s="1"/>
  <c r="D169" i="2"/>
  <c r="H169" i="2" s="1"/>
  <c r="D167" i="2"/>
  <c r="H167" i="2" s="1"/>
  <c r="D165" i="2"/>
  <c r="H165" i="2" s="1"/>
  <c r="D163" i="2"/>
  <c r="H163" i="2" s="1"/>
  <c r="D161" i="2"/>
  <c r="H161" i="2" s="1"/>
  <c r="D145" i="2"/>
  <c r="D103" i="2"/>
  <c r="H103" i="2" s="1"/>
  <c r="D88" i="2"/>
  <c r="H88" i="2" s="1"/>
  <c r="D85" i="2"/>
  <c r="H85" i="2" s="1"/>
  <c r="D79" i="2"/>
  <c r="H79" i="2" s="1"/>
  <c r="D64" i="2"/>
  <c r="H64" i="2" s="1"/>
  <c r="D60" i="2"/>
  <c r="H60" i="2" s="1"/>
  <c r="D17" i="2"/>
  <c r="H17" i="2" s="1"/>
  <c r="D14" i="2"/>
  <c r="H14" i="2" s="1"/>
  <c r="D8" i="14"/>
  <c r="H8" i="14" s="1"/>
  <c r="G15" i="1"/>
  <c r="H15" i="1" s="1"/>
  <c r="D203" i="2"/>
  <c r="H203" i="2" s="1"/>
  <c r="D201" i="2"/>
  <c r="H201" i="2" s="1"/>
  <c r="D199" i="2"/>
  <c r="H199" i="2" s="1"/>
  <c r="D197" i="2"/>
  <c r="H197" i="2" s="1"/>
  <c r="D90" i="2"/>
  <c r="H90" i="2" s="1"/>
  <c r="H3" i="1"/>
  <c r="K16" i="3"/>
  <c r="L16" i="3" s="1"/>
  <c r="K3" i="3"/>
  <c r="L3" i="3" s="1"/>
  <c r="K12" i="3"/>
  <c r="L12" i="3" s="1"/>
  <c r="H97" i="4"/>
  <c r="H6" i="4"/>
  <c r="I3" i="3"/>
  <c r="D213" i="2"/>
  <c r="H213" i="2" s="1"/>
  <c r="D211" i="2"/>
  <c r="H211" i="2" s="1"/>
  <c r="D208" i="2"/>
  <c r="H208" i="2" s="1"/>
  <c r="D189" i="2"/>
  <c r="H189" i="2" s="1"/>
  <c r="D184" i="2"/>
  <c r="H184" i="2" s="1"/>
  <c r="D182" i="2"/>
  <c r="H182" i="2" s="1"/>
  <c r="D179" i="2"/>
  <c r="H179" i="2" s="1"/>
  <c r="D149" i="2"/>
  <c r="H149" i="2" s="1"/>
  <c r="D63" i="2"/>
  <c r="H63" i="2" s="1"/>
  <c r="G4" i="1"/>
  <c r="H4" i="1" s="1"/>
  <c r="H25" i="4"/>
  <c r="K11" i="3"/>
  <c r="L11" i="3" s="1"/>
  <c r="K7" i="3"/>
  <c r="L7" i="3" s="1"/>
  <c r="D206" i="2"/>
  <c r="H206" i="2" s="1"/>
  <c r="D204" i="2"/>
  <c r="H204" i="2" s="1"/>
  <c r="D202" i="2"/>
  <c r="H202" i="2" s="1"/>
  <c r="D200" i="2"/>
  <c r="H200" i="2" s="1"/>
  <c r="D198" i="2"/>
  <c r="H198" i="2" s="1"/>
  <c r="D195" i="2"/>
  <c r="H195" i="2" s="1"/>
  <c r="D150" i="2"/>
  <c r="H150" i="2" s="1"/>
  <c r="D100" i="2"/>
  <c r="H100" i="2" s="1"/>
  <c r="D50" i="2"/>
  <c r="H50" i="2" s="1"/>
  <c r="D48" i="2"/>
  <c r="H48" i="2" s="1"/>
  <c r="D25" i="2"/>
  <c r="H25" i="2" s="1"/>
  <c r="D9" i="2"/>
  <c r="H9" i="2" s="1"/>
  <c r="H26" i="4"/>
  <c r="H3" i="4"/>
  <c r="H23" i="4"/>
  <c r="H9" i="4"/>
  <c r="H96" i="4"/>
  <c r="H29" i="4"/>
  <c r="H19" i="4"/>
  <c r="H24" i="4"/>
  <c r="D220" i="2"/>
  <c r="D218" i="2"/>
  <c r="D10" i="14"/>
  <c r="H10" i="14" s="1"/>
  <c r="I7" i="3"/>
  <c r="D27" i="2"/>
  <c r="H27" i="2" s="1"/>
  <c r="D14" i="14"/>
  <c r="I8" i="3"/>
  <c r="I10" i="3"/>
  <c r="B15" i="14"/>
  <c r="D217" i="2"/>
  <c r="E15" i="14" l="1"/>
  <c r="C16" i="7" s="1"/>
  <c r="C23" i="8"/>
  <c r="H145" i="2"/>
  <c r="G30" i="2"/>
  <c r="F30" i="2" s="1"/>
  <c r="H98" i="4"/>
  <c r="D37" i="8"/>
  <c r="F178" i="2" s="1"/>
  <c r="G178" i="2" s="1"/>
  <c r="H178" i="2" s="1"/>
  <c r="H220" i="2"/>
  <c r="H219" i="2"/>
  <c r="H217" i="2"/>
  <c r="H218" i="2"/>
  <c r="G47" i="2"/>
  <c r="F47" i="2" s="1"/>
  <c r="G22" i="4"/>
  <c r="H174" i="2"/>
  <c r="C31" i="8"/>
  <c r="C29" i="8" s="1"/>
  <c r="G16" i="2"/>
  <c r="F16" i="2" s="1"/>
  <c r="D181" i="2"/>
  <c r="D222" i="2" s="1"/>
  <c r="H173" i="2"/>
  <c r="G35" i="2"/>
  <c r="F35" i="2" s="1"/>
  <c r="G44" i="2"/>
  <c r="F44" i="2" s="1"/>
  <c r="G33" i="2"/>
  <c r="F33" i="2" s="1"/>
  <c r="G29" i="2"/>
  <c r="F29" i="2" s="1"/>
  <c r="G52" i="2"/>
  <c r="F52" i="2" s="1"/>
  <c r="G152" i="2"/>
  <c r="G7" i="2"/>
  <c r="F7" i="2" s="1"/>
  <c r="H14" i="14"/>
  <c r="C36" i="8"/>
  <c r="C39" i="8"/>
  <c r="H101" i="4"/>
  <c r="D15" i="3"/>
  <c r="F15" i="3"/>
  <c r="L15" i="3" s="1"/>
  <c r="F14" i="3"/>
  <c r="D14" i="3"/>
  <c r="G13" i="14"/>
  <c r="G15" i="14" s="1"/>
  <c r="E17" i="4"/>
  <c r="G17" i="4" s="1"/>
  <c r="E16" i="4"/>
  <c r="G16" i="4" s="1"/>
  <c r="G20" i="4"/>
  <c r="E13" i="4"/>
  <c r="G13" i="4" s="1"/>
  <c r="E4" i="4"/>
  <c r="G4" i="4" s="1"/>
  <c r="H105" i="4"/>
  <c r="K18" i="3"/>
  <c r="D7" i="7" s="1"/>
  <c r="H38" i="1"/>
  <c r="G38" i="1"/>
  <c r="D5" i="7" s="1"/>
  <c r="D15" i="14"/>
  <c r="G16" i="7" s="1"/>
  <c r="I18" i="3"/>
  <c r="E8" i="4" l="1"/>
  <c r="G8" i="4" s="1"/>
  <c r="E5" i="4"/>
  <c r="G5" i="4" s="1"/>
  <c r="D16" i="7"/>
  <c r="E16" i="7" s="1"/>
  <c r="H16" i="7"/>
  <c r="I16" i="7" s="1"/>
  <c r="J16" i="7" s="1"/>
  <c r="C7" i="7"/>
  <c r="H37" i="7"/>
  <c r="E7" i="7"/>
  <c r="H7" i="7"/>
  <c r="H30" i="2"/>
  <c r="G20" i="2"/>
  <c r="F20" i="2" s="1"/>
  <c r="H181" i="2"/>
  <c r="E11" i="4"/>
  <c r="E12" i="4" s="1"/>
  <c r="E10" i="4"/>
  <c r="G10" i="4" s="1"/>
  <c r="H10" i="4" s="1"/>
  <c r="H22" i="4"/>
  <c r="G123" i="2"/>
  <c r="F123" i="2" s="1"/>
  <c r="G129" i="2"/>
  <c r="F129" i="2" s="1"/>
  <c r="F152" i="2"/>
  <c r="H152" i="2"/>
  <c r="G66" i="2"/>
  <c r="G82" i="2"/>
  <c r="G65" i="2"/>
  <c r="F65" i="2" s="1"/>
  <c r="G8" i="2"/>
  <c r="F8" i="2" s="1"/>
  <c r="H44" i="2"/>
  <c r="H13" i="14"/>
  <c r="H15" i="14" s="1"/>
  <c r="F18" i="3"/>
  <c r="G7" i="7" s="1"/>
  <c r="L14" i="3"/>
  <c r="L18" i="3" s="1"/>
  <c r="D18" i="3"/>
  <c r="H16" i="4"/>
  <c r="H17" i="4"/>
  <c r="H20" i="4"/>
  <c r="H13" i="4"/>
  <c r="H7" i="2"/>
  <c r="H29" i="2"/>
  <c r="H52" i="2"/>
  <c r="H33" i="2"/>
  <c r="H5" i="7"/>
  <c r="I5" i="7" s="1"/>
  <c r="J5" i="7" s="1"/>
  <c r="E5" i="7"/>
  <c r="E109" i="4" l="1"/>
  <c r="H38" i="7" s="1"/>
  <c r="H39" i="7" s="1"/>
  <c r="H20" i="2"/>
  <c r="H129" i="2"/>
  <c r="I7" i="7"/>
  <c r="J7" i="7" s="1"/>
  <c r="H123" i="2"/>
  <c r="G12" i="4"/>
  <c r="H12" i="4" s="1"/>
  <c r="G11" i="4"/>
  <c r="H11" i="4" s="1"/>
  <c r="F82" i="2"/>
  <c r="H82" i="2"/>
  <c r="F66" i="2"/>
  <c r="H66" i="2"/>
  <c r="H8" i="2"/>
  <c r="H8" i="4"/>
  <c r="H5" i="4"/>
  <c r="H4" i="4"/>
  <c r="H65" i="2"/>
  <c r="H16" i="2" l="1"/>
  <c r="G80" i="4" l="1"/>
  <c r="G87" i="4"/>
  <c r="G70" i="4"/>
  <c r="G69" i="4"/>
  <c r="G128" i="2"/>
  <c r="G109" i="2"/>
  <c r="G222" i="2" l="1"/>
  <c r="D6" i="7" s="1"/>
  <c r="D11" i="7" s="1"/>
  <c r="H70" i="4"/>
  <c r="H87" i="4"/>
  <c r="H80" i="4"/>
  <c r="H130" i="2"/>
  <c r="F130" i="2"/>
  <c r="H128" i="2"/>
  <c r="F128" i="2"/>
  <c r="H132" i="2"/>
  <c r="F132" i="2"/>
  <c r="G94" i="4"/>
  <c r="G109" i="4" s="1"/>
  <c r="D8" i="7" s="1"/>
  <c r="H8" i="7" s="1"/>
  <c r="C8" i="7"/>
  <c r="H127" i="2"/>
  <c r="F127" i="2"/>
  <c r="H146" i="2"/>
  <c r="B109" i="4"/>
  <c r="D109" i="4"/>
  <c r="G8" i="7" s="1"/>
  <c r="H69" i="4"/>
  <c r="H6" i="7" l="1"/>
  <c r="C9" i="7"/>
  <c r="H94" i="4"/>
  <c r="H109" i="4" s="1"/>
  <c r="H109" i="2"/>
  <c r="F109" i="2"/>
  <c r="I8" i="7"/>
  <c r="J8" i="7" s="1"/>
  <c r="E8" i="7"/>
  <c r="H35" i="2" l="1"/>
  <c r="G6" i="7"/>
  <c r="G9" i="7" s="1"/>
  <c r="H47" i="2"/>
  <c r="H222" i="2" l="1"/>
  <c r="H9" i="7" l="1"/>
  <c r="D12" i="7"/>
  <c r="E6" i="7"/>
  <c r="E9" i="7" s="1"/>
  <c r="D9" i="7"/>
  <c r="I6" i="7" l="1"/>
  <c r="J6" i="7" l="1"/>
  <c r="I9" i="7"/>
  <c r="J9" i="7" s="1"/>
  <c r="H30" i="7" l="1"/>
  <c r="G30" i="7"/>
</calcChain>
</file>

<file path=xl/sharedStrings.xml><?xml version="1.0" encoding="utf-8"?>
<sst xmlns="http://schemas.openxmlformats.org/spreadsheetml/2006/main" count="1675" uniqueCount="939">
  <si>
    <t>Section</t>
  </si>
  <si>
    <t>26.203(c): Prepare training on fatigue management.</t>
  </si>
  <si>
    <t>26.205(b): Develop work hour tracking system</t>
  </si>
  <si>
    <t>26.205(c): Develop individual work scheduling system</t>
  </si>
  <si>
    <t>Table 1: One Time Recordkeeping</t>
  </si>
  <si>
    <t>26.31(b)(1)(v): Record results of behavioral observation for FFD program personnel</t>
  </si>
  <si>
    <t>26.41(a), (b), and (c): Record of audits</t>
  </si>
  <si>
    <t>26.41(d): Record of review of C/V audit results</t>
  </si>
  <si>
    <t>26.41(f): Document and report audit results</t>
  </si>
  <si>
    <t>26.53(g): Record that CVs and other licensees informed of Part 26 violations</t>
  </si>
  <si>
    <t>26.65(d) and (e): Record of reinstatement or administrative withdrawal of authorization</t>
  </si>
  <si>
    <t>26.89(b)(1), (b)(2), and (b)(4): Record that ID and consent-to-testing form obtained</t>
  </si>
  <si>
    <t>26.91(e)(4): Record that results cancelled after EBT calibration check failure</t>
  </si>
  <si>
    <t>26.95(b)(5): Record donor identity for initial alcohol breath test</t>
  </si>
  <si>
    <t>26.97(b)(2): Record reason for new oral fluid alcohol test</t>
  </si>
  <si>
    <t>26.97(d): Record results and alcohol screening device used</t>
  </si>
  <si>
    <t>26.159(i): Record of written authorization to store specimens other than 1 year</t>
  </si>
  <si>
    <t>26.165(f)(1)(iv) and (f)(2): Written record and notice that records purged of references to temporary administrative action</t>
  </si>
  <si>
    <t>26.169(c)(3): Records of HHS lab reports of quantitative test results for adulterated or substituted test results</t>
  </si>
  <si>
    <t>26.183(a): Documentation of MRO qualifications</t>
  </si>
  <si>
    <t>26.187(d): SAE training requirements</t>
  </si>
  <si>
    <t>26.187(f): Documentation of  SAE credentials and training</t>
  </si>
  <si>
    <t>26.189(d): Record of modification of an initial determination of fitness</t>
  </si>
  <si>
    <t>26.203(d)(3): Documentation of waivers</t>
  </si>
  <si>
    <t>26.203(d)(4): Documentation of work hour reviews</t>
  </si>
  <si>
    <t>26.203(d)(5): Documentation of fatigue assessment</t>
  </si>
  <si>
    <t>26.205(b): Record of calculation of work hours</t>
  </si>
  <si>
    <t>26.205(c): Schedule work hours</t>
  </si>
  <si>
    <t>26.205(d)(1): Record of implementation of  work hour controls</t>
  </si>
  <si>
    <t>26.205(d)(2): Record of adequate rest breaks</t>
  </si>
  <si>
    <t>26.205(e)(1) and (2): Record of review of control of work hours twice per calendar year</t>
  </si>
  <si>
    <t>26.205(e)(3): Document methods for reviews</t>
  </si>
  <si>
    <t>26.205(e)(4): Record and trend problems in regarding work hours</t>
  </si>
  <si>
    <t>26.211(f): Document results of fatigue assessments</t>
  </si>
  <si>
    <t>26.405(d): Record of testing for specified drugs, adulterants, and alcohol, at Part 26 specified cutoff levels</t>
  </si>
  <si>
    <t>26.413: Document results of review process</t>
  </si>
  <si>
    <t>26.415: Document and report audit results</t>
  </si>
  <si>
    <t>26.719(d): Document non-reportable indicators of FFD program weaknesses</t>
  </si>
  <si>
    <t>26.821(b): Written agreement between C/Vs and licensees to permit authorized NRC representatives to inspect, copy, or take away copies of C/Vs documents, records, and reports</t>
  </si>
  <si>
    <t>Table 2: Annual Recordkeeping</t>
  </si>
  <si>
    <t>Burden per Response (hours)</t>
  </si>
  <si>
    <t>Total Burden Hours</t>
  </si>
  <si>
    <t>Burden Hours per Response</t>
  </si>
  <si>
    <t>26.37(b): Individuals provide signed consent for release of information</t>
  </si>
  <si>
    <t>26.85(c): Alternative collectors not employed by licensee provide proof of qualification</t>
  </si>
  <si>
    <t>26.85(e): Maintain personnel files for alternative collectors</t>
  </si>
  <si>
    <t>26.91(e)(4): Record that results cancelled after EBT calibration check failure (non-licensee collection site)</t>
  </si>
  <si>
    <t>26.91(e)(5): Prepare record of EBT maintenance (non-licensee collection site)</t>
  </si>
  <si>
    <t>26.93(a)(6): Document alcohol pre-test questions asked and answered (non-licensee collection site)</t>
  </si>
  <si>
    <t>26.95(b)(5): Record donor identity for initial alcohol breath test (non-licensee collection site)</t>
  </si>
  <si>
    <t>26.97(b)(2): Record reason for new oral fluid alcohol test (non-licensee collection site)</t>
  </si>
  <si>
    <t>26.97(d): Record results and alcohol screening device used (non-licensee collection site)</t>
  </si>
  <si>
    <t>26.115(f)(3): Record of name of observer (non-licensee collection site)</t>
  </si>
  <si>
    <t>26.155(c): Supervise technical analysts at HHS lab</t>
  </si>
  <si>
    <t>26.169(h): HHS lab prepares and submits annual statistical summary report of urinalysis testing results</t>
  </si>
  <si>
    <t>26.821(b): Written agreement between C/Vs and licensees to permit authorized NRC representatives to inspect, copy, or take away copies of C/V’s documents, records, and reports</t>
  </si>
  <si>
    <t>TOTAL</t>
  </si>
  <si>
    <t>Responses</t>
  </si>
  <si>
    <t>Table</t>
  </si>
  <si>
    <t>Description</t>
  </si>
  <si>
    <t>Table 3: Annual Reporting</t>
  </si>
  <si>
    <t>Number 
of Respondents</t>
  </si>
  <si>
    <t>Number 
of Responses</t>
  </si>
  <si>
    <t>26.167(c)(2)(i): Refractometer at the HHS lab must display specific gravity to 4 decimals and be interfaced with laboratory information management system or computer and/or document result by hard copy or electronic display</t>
  </si>
  <si>
    <t>26.29(d): Record acceptance of FFD training from other licensees' programs</t>
  </si>
  <si>
    <t>26.405(f): Record that testing conducted at an HHS lab</t>
  </si>
  <si>
    <t>26.207(a)(4): Document basis for waiver</t>
  </si>
  <si>
    <t>26.717(c): Analyze fatigue management program data annually</t>
  </si>
  <si>
    <r>
      <t>26.97(c)(1): Document reason for failure of 2</t>
    </r>
    <r>
      <rPr>
        <vertAlign val="superscript"/>
        <sz val="10"/>
        <color theme="1"/>
        <rFont val="Arial"/>
        <family val="2"/>
      </rPr>
      <t>nd</t>
    </r>
    <r>
      <rPr>
        <sz val="10"/>
        <color theme="1"/>
        <rFont val="Arial"/>
        <family val="2"/>
      </rPr>
      <t xml:space="preserve"> collection attempt</t>
    </r>
  </si>
  <si>
    <t>Operating Reactors</t>
  </si>
  <si>
    <t>Corporate Offices</t>
  </si>
  <si>
    <t>Unit</t>
  </si>
  <si>
    <t>Value</t>
  </si>
  <si>
    <t>LTF</t>
  </si>
  <si>
    <t>site</t>
  </si>
  <si>
    <t>Annual Reporting</t>
  </si>
  <si>
    <t>Recordkeeping (One-Time)</t>
  </si>
  <si>
    <t>Recordkeeping (Annual)</t>
  </si>
  <si>
    <t>Third Party Disclosure (Annual)</t>
  </si>
  <si>
    <t>26.203(d)(1) and (d)(2): Records of work hours, shift schedules, and shift cycles</t>
  </si>
  <si>
    <t>Random</t>
  </si>
  <si>
    <t>For Cause</t>
  </si>
  <si>
    <t xml:space="preserve">Table 4: Annual Third-Party Disclosure
</t>
  </si>
  <si>
    <r>
      <t xml:space="preserve">Section
</t>
    </r>
    <r>
      <rPr>
        <sz val="10"/>
        <color theme="1"/>
        <rFont val="Arial"/>
        <family val="2"/>
      </rPr>
      <t/>
    </r>
  </si>
  <si>
    <t>24-hour reports under 26.719(b)</t>
  </si>
  <si>
    <t>30-day reports under 26.719(c)</t>
  </si>
  <si>
    <t xml:space="preserve">26.135(b): Donor request to MRO for the retesting of an aliquot of a single specimen or the testing of the Bottle B split specimen at a second HHS lab (initial specimen testing performed at an LTF) </t>
  </si>
  <si>
    <t>Pre-Access</t>
  </si>
  <si>
    <t>Clinical Reference Lab (Lenexa, KS)</t>
  </si>
  <si>
    <t>Drug Scan (Horsham, PA)</t>
  </si>
  <si>
    <t>MedTox Laboratories (St. Paul, MN)</t>
  </si>
  <si>
    <t>Quest Diagnostics (Lenexa, KS)</t>
  </si>
  <si>
    <t>Quest Diagnostics (Norristown, PA)</t>
  </si>
  <si>
    <t>Quest Diagnostics (Tucker, GA)</t>
  </si>
  <si>
    <t>Southwest Laboratories (Phoenix, AZ)</t>
  </si>
  <si>
    <t>Alere Toxicology (Gretna, LA)</t>
  </si>
  <si>
    <t>FFD Drug &amp; Alcohol (D&amp;A) Testing Programs</t>
  </si>
  <si>
    <t>Drug Testing Laboratories</t>
  </si>
  <si>
    <t>INPO</t>
  </si>
  <si>
    <t>Duke, Exelon, Southern, TVA, and Xcel</t>
  </si>
  <si>
    <t>Post-Event</t>
  </si>
  <si>
    <t>Tested</t>
  </si>
  <si>
    <t>Positive</t>
  </si>
  <si>
    <t>Total +</t>
  </si>
  <si>
    <t>All Sites</t>
  </si>
  <si>
    <t>DECON sites</t>
  </si>
  <si>
    <t>26.719(c)(1): Submit a report to the NRC within 30 days of completing an investigation into an LTF or HHS lab testing error</t>
  </si>
  <si>
    <t>26.155(a)(4): HHS lab manager reviews and approved lab procedures</t>
  </si>
  <si>
    <t>26.155(a)(5): HHS lab manager maintains QA program</t>
  </si>
  <si>
    <t>26.155(e): Continuing education of HHS lab staff</t>
  </si>
  <si>
    <t>26.155(f): HHS lab personnel records</t>
  </si>
  <si>
    <t>26.157(a): Written HHS lab procedures for accession, receipt, shipment, and testing of urine specimens</t>
  </si>
  <si>
    <t>26.157(b): Written HHS lab chain-of-custody procedures for HHS lab</t>
  </si>
  <si>
    <t>26.157(d): Written HHS lab procedures for device set-up and operation</t>
  </si>
  <si>
    <t>26.159(f): Use of CCF by HHS lab when shipping a specimen to another HHS lab</t>
  </si>
  <si>
    <t>26.33: Behavioral observation records</t>
  </si>
  <si>
    <t xml:space="preserve">26.405(c)(1): Records of pre-assignment D&amp;A test </t>
  </si>
  <si>
    <t>26.405(c)(2) and (c)(3): Records of for-cause and post accident D&amp;A tests</t>
  </si>
  <si>
    <t>Total 
Hours</t>
  </si>
  <si>
    <t>No. Actions/
Year</t>
  </si>
  <si>
    <t xml:space="preserve">Review and evaluate report made under section 26.77(c) regarding an NRC employee or contractor being unfit for duty </t>
  </si>
  <si>
    <t>Review documentation provided by SAE upon request by NRC under section 26.187(f)</t>
  </si>
  <si>
    <t>Review FFD policies and procedures under section 26.27(d) (performed during periodic inspections)</t>
  </si>
  <si>
    <t>Review and evaluate a 24-hour report made under section 26.417(b)(1) to the NRC Operations Center regarding a significant FFD program failure</t>
  </si>
  <si>
    <t>26.137(e)(7): LTF documented procedures to protect against carryover material</t>
  </si>
  <si>
    <t>26.153(e): Record of pre-award inspection of new HHS lab (completed prior to awarding contract for testing services)</t>
  </si>
  <si>
    <t>26.137(h): LTF labeling of standards and controls</t>
  </si>
  <si>
    <t>26.137(f)(5): LTF records on testing errors</t>
  </si>
  <si>
    <t>26.63(d) and (e): Maintain documentation of denial or unfavorable termination of authorization from other FFD programs</t>
  </si>
  <si>
    <t>26.189(c): Record of for cause determination of fitness</t>
  </si>
  <si>
    <t>26.417(b)(2) Collect FFD program performance data for reactor construction site D&amp;A testing program</t>
  </si>
  <si>
    <t>26.717(d): D&amp;A test results leading to termination</t>
  </si>
  <si>
    <t>26.717(c): Analyze D&amp;A testing program FFD data annually</t>
  </si>
  <si>
    <t>Review records under section 26.75(h) to ensure only appropriate records maintained for a licensee or other entity who administratively withdraws access for initial positive drug tests for marijuana or cocaine at an LTF (performed during periodic inspections)</t>
  </si>
  <si>
    <t>24-hour report -- Review, evaluate, and respond to a report made under section 26.719(b) to the NRC Operations Center regarding a significant FFD policy violation or programmatic failure</t>
  </si>
  <si>
    <t>30-day report -- Review, evaluate, and respond to a report made under section 26.719(c) to the NRC detailing the investigation of any testing errors or unsatisfactory performance discovered at an LTF or HHS lab.</t>
  </si>
  <si>
    <t>Annual FFD program performance report – 
Review, analyze, and summarize information received under 26.417(b)(2) from a reactor construction site D&amp;A testing program.</t>
  </si>
  <si>
    <t>Burden accounted for under section 26.719(b)</t>
  </si>
  <si>
    <t>26.31(d)(1)(iii): Document additional drugs in testing panel</t>
  </si>
  <si>
    <t>26.401(b): Prepare a reactor construction site D&amp;A testing program plan</t>
  </si>
  <si>
    <t>Crystal River</t>
  </si>
  <si>
    <t>Fort Calhoun</t>
  </si>
  <si>
    <t>Kewaunee</t>
  </si>
  <si>
    <t>San Onofre</t>
  </si>
  <si>
    <t>Vermont Yankee</t>
  </si>
  <si>
    <t>26.125(b) and (c): Records on the proficiency and qualifications of LTF personnel</t>
  </si>
  <si>
    <t>26.129(b): LTF inspects specimen packages, CCFs, and obtains memorandum from specimen collectors to correct identified discrepancies</t>
  </si>
  <si>
    <t>26.129(b)(1): LTF record of report to senior licensee or other entity management of attempts to tamper with specimens in transit</t>
  </si>
  <si>
    <t>26.27(c): Updates to FFD policy and procedures</t>
  </si>
  <si>
    <t>26.715(b)(10): Records of preventative maintenance on LTF instruments</t>
  </si>
  <si>
    <t>26.715(b)(11): Retain records that summarize any test results the MRO determined to be scientifically insufficient for further action</t>
  </si>
  <si>
    <t>26.37(b)(1): Individual provides signed designation of personal representative for an FFD matter</t>
  </si>
  <si>
    <t>26.63(a), (c), and (e): Former employer(s) provide information to the licensee or other entity to verify an applicant’s suitable inquiry information on previous authorization(s)</t>
  </si>
  <si>
    <t>26.63(c)(3): Former employer refuses to provide information to the licensee or other entity about an applicant’s prior employment history</t>
  </si>
  <si>
    <t>26.67: Records of random D&amp;A testing of persons who have applied for authorization, but who have not been granted unescorted access authorization</t>
  </si>
  <si>
    <t>26.89(a): Record that a donor did not appear for testing (non-licensee collection site)</t>
  </si>
  <si>
    <t>26.89(b)(3): Record  FFD management informed that an individual did not present identification (non-licensee collection site)</t>
  </si>
  <si>
    <t>26.119(a), (e), and (f): Physician evaluating shy-bladder claim prepares report of medical examination of donor and provides this information to the MRO</t>
  </si>
  <si>
    <t>26.715(b)(13): Retain records (e.g., an access log) of authorized visitors, maintenance personnel and service personnel who accessed LTF secure areas</t>
  </si>
  <si>
    <t>26.99(b): Record time of initial alcohol test of 0.02 percent or higher blood alcohol concentration (BAC)</t>
  </si>
  <si>
    <t xml:space="preserve">26.101(b)(7): Record time and BAC result of confirmatory alcohol test </t>
  </si>
  <si>
    <t>26.113(b)(3): Collector completes CCF for split-specimen collection</t>
  </si>
  <si>
    <t>26.113(b)(3): Collector completes CCF for split-specimen collection (non-licensee collection site)</t>
  </si>
  <si>
    <t>26.115(b): Collector documents on CCF approval from FFD manager or MRO to collect a specimen under direct observation</t>
  </si>
  <si>
    <t>26.115(b): Collector documents on CCF approval from FFD manager or MRO to collect a specimen under direct observation (non-licensee collection site)</t>
  </si>
  <si>
    <t>26.115(d): Collector documents on CCF directly observed collection performed and the reason for the observed collection (non-licensee collection site)</t>
  </si>
  <si>
    <t>26.129(b): Collector prepares memorandum to and sends to LTF documenting investigation of discrepancies between bottles and CCF (non-licensee collection site)</t>
  </si>
  <si>
    <t>26.75(i): Record of temporary administrative withdrawal of an individual's authorization due to an initial positive test result for marijuana and/or cocaine at an LTF</t>
  </si>
  <si>
    <t>Burden accounted for under 26.153(e)</t>
  </si>
  <si>
    <t>26.159(a), (c), (e), (f): Confirm HHS lab procedures for specimen security, chain of custody, and preservation in place pursuant to HHS laboratory certification requirements also meet Part 26 requirements (new HHS lab)</t>
  </si>
  <si>
    <t>26.89(a): Collector notifies FFD management that a donor failed to report to the collection site</t>
  </si>
  <si>
    <t>26.89(b)(3): Record that FFD management informed that an individual did not present identification (pre-access testing)</t>
  </si>
  <si>
    <t>26.93(a)(6): Document that alcohol pre-test questions communicated to the donor</t>
  </si>
  <si>
    <t>26.91(e)(5): EBT maintenance records</t>
  </si>
  <si>
    <t>26.103(b): Record that FFD management notified of a confirmatory alcohol test result of 0.01 to 0.02 percent BAC</t>
  </si>
  <si>
    <t>26.107(b): Collector documents on CCF any donor conduct during collection process indicating an attempt to tamper with a specimen, and notifies FFD management</t>
  </si>
  <si>
    <t>26.109(b)(3): Collector documents on CCF that the donor was unable to provide a specimen in the 3-hour time allotted (i.e., a shy bladder), and notifies FFD management</t>
  </si>
  <si>
    <t xml:space="preserve">26.109(b)(4): Collector documents on CCF if a specimen (less than 30 mL) appears to be tampered with and/or donor behavior during collection indicated a possible subversion attempt, and notifies FFD management </t>
  </si>
  <si>
    <t>26.115(d): Collector documents on CCF that observed collection performed and reason for the observed collection</t>
  </si>
  <si>
    <t>26.115(f)(3): Collector documents on CCF the name of observer of directly observed collection</t>
  </si>
  <si>
    <t>26.69(e)(1): Record that information transmitted on testing and treatment plans to other FFD programs (at donor request)</t>
  </si>
  <si>
    <t>26.169(c)(2): Records of HHS lab reports of the numerical values of all positive drug test results (i.e., quantitative test results requested by MRO)</t>
  </si>
  <si>
    <t>26.169(f): Records of HHS lab transmittals of CCF copies for negative results to the MRO</t>
  </si>
  <si>
    <t>26.67 Record of random D&amp;A testing of persons who have applied for authorization and who have received a pre-access test, but who have yet to be granted authorization</t>
  </si>
  <si>
    <t>26.89(c): Collector documents on CCF a donor's refusal to cooperate with the collection process</t>
  </si>
  <si>
    <t>26.91(c)(1) - (c)(3): Record of evidential breath testing (EBT) device test results</t>
  </si>
  <si>
    <t xml:space="preserve">Total Tests (all Reasons For Testing) </t>
  </si>
  <si>
    <t>26.27(d): Provide FFD policy and procedures to NRC for review (performed during periodic inspections)</t>
  </si>
  <si>
    <t>26.53(e)(2): Record that C/Vs informed licensee of the denial or termination of an individual's authorization</t>
  </si>
  <si>
    <t>26.719(b): Prepare information to make a 24-hour event report to the NRC</t>
  </si>
  <si>
    <t>26.69(b) and (c)(1): Applicant provides written self-disclosure and employment history to the licensee or other entity (for authorization following a 1st or 2nd positive drug or alcohol test result, or if other PDI is identified)</t>
  </si>
  <si>
    <t>26.27(b): Make FFD policy statement readily available to subject personnel</t>
  </si>
  <si>
    <t>26.31(b)(1)(i): Records of background investigations, credit and criminal history checks, and psychological assessments of checks for performed on individuals designated as FFD personnel</t>
  </si>
  <si>
    <t>26.27(a): Develop FFD policy statement</t>
  </si>
  <si>
    <t>26.27(a): Develop FFD procedures</t>
  </si>
  <si>
    <t>26.403(b): Develop written FFD procedures 
(reactor construction site D&amp;A testing program)</t>
  </si>
  <si>
    <t>26.403(a): Develop FFD policy statement 
(reactor construction site D&amp;A testing program)</t>
  </si>
  <si>
    <t>Burden covered by HHS lab certification requirements OMB Clearance No. 0930-0158</t>
  </si>
  <si>
    <t>26.185(f)(1): Record of MRO consultation with HHS lab to determine whether additional testing needed for an invalid specimen</t>
  </si>
  <si>
    <t>26.185(d)(1): Documentation that donor declined to discuss test results with MRO</t>
  </si>
  <si>
    <t>26.185(n): Record of MRO review of a positive, adulterated or substituted test result from a second HHS lab (results of retesting a single specimen or testing of a Bottle B split specimen), and MRO communication of the test result to the donor, and report results to FFD management</t>
  </si>
  <si>
    <t>26.185(o): Record of MRO request and HHS lab report of quantitation test results for testing performed on a specimen from a donor applying for reauthorization following a 1st positive drug test result</t>
  </si>
  <si>
    <t>26.185(p): MRO written notice to licensee or other entity of a positive, adulterated, substituted, or invalid test result</t>
  </si>
  <si>
    <t>26.185(e): Donor provides documentation to the MRO demonstrating an inability to discuss test results and requesting the test result determination be reopened</t>
  </si>
  <si>
    <t>26.29(a) and (b): Develop FFD training course and exam</t>
  </si>
  <si>
    <t>26.413: Develop procedures for the review of a determination that an individual violated the FFD policy (reactor construction site D&amp;A testing program)</t>
  </si>
  <si>
    <t>26.85(a): Develop urine collector qualification training</t>
  </si>
  <si>
    <t>26.85(b): Develop alcohol collector qualification training</t>
  </si>
  <si>
    <t>26.31(b)(1)(v): Develop behavioral observation program (BOP) procedures</t>
  </si>
  <si>
    <t>26.406(c): Updates to fitness monitoring procedures (programs that do not adopt random testing and behavioral observation)</t>
  </si>
  <si>
    <t>Number of Record-keepers</t>
  </si>
  <si>
    <t>Responses 
per 
Respondent</t>
  </si>
  <si>
    <t>Burden 
Hours / 
Action</t>
  </si>
  <si>
    <t>26.406(a), (b), and (d): Develop a fitness monitoring program (applies if reactor construction site D&amp;A testing program does not conduct random testing)</t>
  </si>
  <si>
    <t>26.406(c): Develop procedures for fitness monitors
(applies if reactor construction site D&amp;A testing program does not conduct random testing)</t>
  </si>
  <si>
    <t>26.411(a): Develop procedures for maintaining a system of files to protect personal information collected under Subpart K of Part 26</t>
  </si>
  <si>
    <t>26.153(f): Record that Part 26 specified requirements included in a licensee's or other entity's contract with a new HHS lab</t>
  </si>
  <si>
    <t>26.183(c)(1): MRO review of HHS lab test result record for positive, adulterated, substituted, invalid, or at the licensee's or other entity's discretion, dilute specimen</t>
  </si>
  <si>
    <t>26.183(d)(2)(i): Record of MRO staff review and reporting of negative test results to FFD management</t>
  </si>
  <si>
    <t>26.165(b)(4): Record that the donor presented documentation to the MRO on the inability to submit a timely request to initiate specimen retesting at a second HHS lab</t>
  </si>
  <si>
    <t>26.185(a) Record of MRO review of a drug positive, adulterated, substituted, dilute, or invalid HHS lab test result</t>
  </si>
  <si>
    <t>26.411(a): Updates to procedures for maintaining a system of files to protect personal information collected under Subpart K of Part 26</t>
  </si>
  <si>
    <t>26.713(e): Records of written agreements for services under Part 26</t>
  </si>
  <si>
    <t>26.713(a)(4):  Records of determinations of fitness performed under section 26.189 (including recommendations for treatment and followup testing plans)</t>
  </si>
  <si>
    <t>26.713(a)(2): Records pertaining to the determination of a violation of FFD policy and related management actions</t>
  </si>
  <si>
    <t>26.713(a)(1): Records of self-disclosures, employment histories, and suitable inquiries (under sections 26.55, 26.57, 26.59, and 26.69) that result in the granting of authorization</t>
  </si>
  <si>
    <t>26.713(a)(3): Documentation of the granting and termination of authorization</t>
  </si>
  <si>
    <t>26.713(b)(1): Records of FFD training and examinations conducted under section 26.29</t>
  </si>
  <si>
    <t>26.713(b)(2): Records of audits, audit findings, and corrective actions taken under section 26.41</t>
  </si>
  <si>
    <t>26.713(c):  Records on 5-year and permanent denials of authorization</t>
  </si>
  <si>
    <t>26.713(f): Records of background investigations, credit and criminal history checks, and psychological assessments of FFD program personnel conducted under section 26.31(b)(1)(i)</t>
  </si>
  <si>
    <t>Burden accounted for under 
section 26.31(b)(1)(i)</t>
  </si>
  <si>
    <t>26.715(b)(14): Retain records of the inspection, maintenance and calibration of EBTs (collection sites)</t>
  </si>
  <si>
    <t>26.717(a) and (b): Collect FFD performance data for fatigue management program</t>
  </si>
  <si>
    <t>26.717(a) and (b): Collect FFD performance data for D&amp;A  testing programs</t>
  </si>
  <si>
    <t>26.717(g): Collect and report D&amp;A testing program data to the NRC (for C/V with a testing program)</t>
  </si>
  <si>
    <t>Burden accounted for under 
section 26.717(a) and (b)</t>
  </si>
  <si>
    <t>26.37(c): Record of signed release from subject individual to disclose personal information collected under Part 26 to other licensees or other entities</t>
  </si>
  <si>
    <t>26.153(g): Supply memorandum to HHS lab explaining use of non-federal CCF form (non-licensee collection site)</t>
  </si>
  <si>
    <t>26.155(a)(1): Document of HHS lab manager qualifications</t>
  </si>
  <si>
    <t>26.155(a)(3): HHS lab personnel training documentation</t>
  </si>
  <si>
    <t>26.155(b): Certifying scientist at HHS lab certifies test results</t>
  </si>
  <si>
    <t>26.159(a): Retain records (e.g., an access log) of authorized visitors, maintenance personnel, and service personnel who accessed secure areas of HHS lab</t>
  </si>
  <si>
    <t>26.167(h): HHS lab labels standards and controls</t>
  </si>
  <si>
    <t>26.168(a): Blind performance test sample (BPTS) supplier provides HHS lab certification letter of BPTS formulation to licensee or other entity</t>
  </si>
  <si>
    <t>26.167(f)(3): False positive error on BPTS test and the error is technical or methodological, the HHS lab Responsible Person must document that retesting of all positive, adulterated, substituted, and invalid specimens from the time of final resolution of the error back to the time of the last satisfactory performance test cycle has been completed, as requested by the licensee or other entity</t>
  </si>
  <si>
    <t>26.168(h)(2): BPTS sample supplier provides expiration date on each BPTS</t>
  </si>
  <si>
    <t>26.169(c)(2): HHS lab provides quantitative test result record for positive drug test (at the request of the MRO)</t>
  </si>
  <si>
    <t>26.169(c)(3): HHS lab provides quantitative test result record for adulterated or substituted test results (at the request of the MRO)</t>
  </si>
  <si>
    <t>26.167(a): HHS lab documents QA program (encompasses all aspects of the testing process)</t>
  </si>
  <si>
    <t>26.185(o): HHS lab provides quantitation of test results  for testing performed on a specimen from a donor applying for reauthorization following a 1st positive drug test result (at MRO request)</t>
  </si>
  <si>
    <t xml:space="preserve">26.165(b)(3): Donor provides written request to the MRO for the retesting of an aliquot of a single specimen or the testing of the Bottle B split specimen </t>
  </si>
  <si>
    <t>26.185(f)(2): Donor discussion with MRO regarding an invalid test result</t>
  </si>
  <si>
    <t>26.185(h)(1):  Donor discussion with MRO regarding a substituted test result</t>
  </si>
  <si>
    <t>26.185(i)(1): Donor discussion with MRO regarding an adulterated test result</t>
  </si>
  <si>
    <t>26.185(f)(1):  HHS lab consultation with MRO on  whether additional testing of a specimen with an invalid test result should be performed at a second HHS lab</t>
  </si>
  <si>
    <t>26.209(a): Individual declares that due to fatigue, he or she is unable to safety and competently perform his or her duties</t>
  </si>
  <si>
    <t>26.185(n): Second HHS lab provides the MRO with test result report (for retesting of an aliquot of a single specimen or the testing of a Bottle B split specimen)</t>
  </si>
  <si>
    <t>26.719(c): HHS lab provides information to the licensee or other entity on investigation completed on a testing error (information for 30-day event report to NRC)</t>
  </si>
  <si>
    <t>26.169(a): HHS lab reports test results to the MRO of the licensee or other entity</t>
  </si>
  <si>
    <t>26.107(b): Collector documents tampering attempt on CCF form (non-licensee collection site)</t>
  </si>
  <si>
    <t>26.75(h): Record that an individual’s authorization was administratively withdrawn due to impairment confirmed under section 26.189, or because the individual posed a safety hazard</t>
  </si>
  <si>
    <t xml:space="preserve">26.129(a): Maintain documentation of access to secure areas of an LTF by all authorized individuals (i.e., an access log) </t>
  </si>
  <si>
    <t>26.169(c)(4): Record of MRO contact with HHS lab to discuss whether testing by another HHS lab should be conducted on a specimen with an invalid result</t>
  </si>
  <si>
    <t>26.417(a): Records pertaining to the administration of a reactor construction site D&amp;A testing program</t>
  </si>
  <si>
    <t>26.713(d): Records of superseded versions of FFD policies and procedures</t>
  </si>
  <si>
    <t>26.715(b)(3): Retain LTF QA/QA records</t>
  </si>
  <si>
    <t>26.715(b)(4): Retain superseded procedures (LTFs and collection sites)</t>
  </si>
  <si>
    <t>26.715(b)(6):  LTF test reports</t>
  </si>
  <si>
    <t>26.715(b)(7):  LTF performance testing records</t>
  </si>
  <si>
    <t>26.715(b)(5): Retain all test data from LTF (including calibration curves and any calculations used in determining test results</t>
  </si>
  <si>
    <t>26.715(b)(12): LTF retains computer-generated data</t>
  </si>
  <si>
    <t>26.715(b)(1): Retain personnel files on staff at collection sites and LTFs</t>
  </si>
  <si>
    <t>26.715(b)(8): Records from LTF and HHS lab on the investigation of testing errors or unsatisfactory performance, and any corrective actions taken</t>
  </si>
  <si>
    <t>26.37(b)(1): Record of signed consent from individual to  disclose information collected under Part 26 to the individual’s representative on an FFD matter</t>
  </si>
  <si>
    <t>26.35(c): Record of written waiver of right to privacy from individuals given to the Employee Assistance Program (EAP)</t>
  </si>
  <si>
    <t>26.55(a)(1) - (a)(2): Initial authorization
26.57(a)(1) - (a)(2): Authorization update
26.59(a)(1) - (a)(2): Authorization reinstatement
For each individual applying for authorization, a record of a completed self-disclosure, employment history, and suitable inquiry is maintained</t>
  </si>
  <si>
    <t>26.69(c)(5): Record of negative results for pre-access D&amp;A testing (needed prior to granting authorization)</t>
  </si>
  <si>
    <t>26.59(c)(1): Applicant prepares self-disclosure (for authorization reinstatement period of interruption of no more than 30 days)</t>
  </si>
  <si>
    <t>26.169(c)(1): Records of HHS lab reports of positive, adulterated, substituted, dilute, and invalid test results received by the MRO</t>
  </si>
  <si>
    <t>26.169(h): Record of HHS lab statistical summary report of urinalysis testing results (for the calendar year)</t>
  </si>
  <si>
    <t xml:space="preserve">26.403(a): Provide FFD policy to individuals subject to a reactor construction site D&amp;A testing program </t>
  </si>
  <si>
    <t>26.405(g): Record of MRO review of positive, adulterated, substituted, and invalid drug and validity test results (reactor construction site D&amp;A testing program)</t>
  </si>
  <si>
    <t>26.165(b)(4): Donor presents documentation to the MRO on the reason for not being able to make a timely retest request</t>
  </si>
  <si>
    <t>26.165(b)(6) HHS lab provides report to the MRO of the quantitative test results of the retesting of aliquot of a single specimen or the testing of the Bottle B split specimen</t>
  </si>
  <si>
    <t xml:space="preserve">26.168(i)(2): Licensee or other entity completes CCF for a BPTS, places fictional initials on specimen labels, and indicates on the MRO copy of the CCF that the specimen is a BPTS </t>
  </si>
  <si>
    <t>26.111(b): Collector documents on CCF if specimen characteristics (color, clarity) indicate possible tampering by the donor</t>
  </si>
  <si>
    <t>26.111(b): Collector documents on CCF if specimen characteristics (color, clarity) indicate possible tampering by the donor (non-licensee collection site)</t>
  </si>
  <si>
    <t>Burden accounted for under 
section 26.61(a)</t>
  </si>
  <si>
    <t>26.717: Annual FFD program performance report for fatigue management programs</t>
  </si>
  <si>
    <r>
      <t>26.717</t>
    </r>
    <r>
      <rPr>
        <sz val="10"/>
        <rFont val="Arial"/>
        <family val="2"/>
      </rPr>
      <t>: Annual FFD program performance for D&amp;A testing</t>
    </r>
    <r>
      <rPr>
        <sz val="10"/>
        <color theme="1"/>
        <rFont val="Arial"/>
        <family val="2"/>
      </rPr>
      <t xml:space="preserve"> programs</t>
    </r>
  </si>
  <si>
    <t>Burden accounted for in section 
26.31(d)(3)(iii)(A) and (d)(3)(iii)(C)</t>
  </si>
  <si>
    <t>26.29(b): Record of training completion (initial training on FFD policy) and results of comprehensive examination</t>
  </si>
  <si>
    <t>26.29(b): Complete initial training on FFD policy and take comprehensive examination</t>
  </si>
  <si>
    <t>26.29(c)(2): Complete annual refresher training on FFD policy</t>
  </si>
  <si>
    <t>Burden 
Hours per Record-keeper</t>
  </si>
  <si>
    <t>Pre-access</t>
  </si>
  <si>
    <t>Post Event</t>
  </si>
  <si>
    <t>26.75(i)(3): Eliminate from an individual’s record any references to a temporary administrative withdrawal of authorization due to an initial positive marijuana and/or cocaine test result at an LTF that did not confirm positive after testing at an HHS lab</t>
  </si>
  <si>
    <t>26.61(a): Applicant prepares self-disclosure and employment history</t>
  </si>
  <si>
    <t>26.821(a): Provide NRC with access to records (to inspect, copy, or take away copies of records)</t>
  </si>
  <si>
    <t>26.713(g): Documentation on testing for additional drugs as permitted under section 26.31(d)(1), use of more stringent testing cutoff levels as permitted under section 26.31(d)(3), or both.</t>
  </si>
  <si>
    <t xml:space="preserve">26.405(e): Develop specimen collection and D&amp;A testing procedures to protect the donor's privacy, integrity of the specimen, and stringent quality controls to ensure accurate test results </t>
  </si>
  <si>
    <t>26.119(a), (e), and (f):  Written evaluation from the physician who performed a medical evaluation of a donor with a shy bladder (i.e., unable to provide a specimen of adequate volume in the allotted 3-hours)</t>
  </si>
  <si>
    <t>26.119(b): Record that MRO provided information and instructions to the physician who is to perform the examination of a donor with a shy bladder</t>
  </si>
  <si>
    <t>26.169(g): HHS lab copy of the original CCF for each positive, adulterated, substituted, dilute, and invalid test results to the MRO</t>
  </si>
  <si>
    <t>26.165(c)(4): Results report received from the second HHS lab that performed retesting an aliquot of a single specimen or the testing of the Bottle B split specimen</t>
  </si>
  <si>
    <t>26.189(b): If a qualified treatment professional other than the MRO or SAE performs a determination of fitness on an individual, that treatment professional completes and provides a written determination to the MRO</t>
  </si>
  <si>
    <t>26.411(b): Applicant provides written consent to the reactor construction site D&amp;A testing program</t>
  </si>
  <si>
    <t>26.183(d)(2)(ii): Record of MRO staff review of CCFs for positive, adulterated, substituted and invalid results and forwards changes to MRO for review</t>
  </si>
  <si>
    <t xml:space="preserve">Burden accounted for under 
sections 26.183(d)(2)(i) and 26.185(c)
</t>
  </si>
  <si>
    <t>26.715(b)(2): Retain collection site and LTF chain-of-custody documents</t>
  </si>
  <si>
    <t xml:space="preserve">Burden accounted for under 
sections 26.29(a) and (b) </t>
  </si>
  <si>
    <t>26.715(a): Documentation of all aspects of HHS lab testing process, not specified elsewhere in section 26.715(b)</t>
  </si>
  <si>
    <t>26.715(b)(1): Retain personnel files on HHS lab staff</t>
  </si>
  <si>
    <t>26.715(b)(2): Retain HHS lab chain-of-custody documents</t>
  </si>
  <si>
    <t>26.715(b)(3): Retain HHS lab QA/QC records</t>
  </si>
  <si>
    <t>26.715(b)(4): Retain HHS lab superseded procedures</t>
  </si>
  <si>
    <t>26.715(b)(5) Retain all test data from HHS lab (including calibration curves and any calculations used in determining test results)</t>
  </si>
  <si>
    <t>26.715(b)(7): HHS lab performance testing records</t>
  </si>
  <si>
    <t>26.715(b)(6): HHS lab test reports</t>
  </si>
  <si>
    <t>26.165(b)(6): MRO reviews HHS lab results on the retesting of an aliquot of a single specimen or testing of the Bottle B split specimen, informs the donor of the results, and notified FFD management</t>
  </si>
  <si>
    <t>26.185(c): Record of MRO discussion of positive, adulterated, substituted, dilute, or invalid test result with donor</t>
  </si>
  <si>
    <t>26.31(d)(1)(i)(D) and (d)(1)(ii): Documentation of forensic toxicologist review and certification of additional drug(s) to be included in the licensee or other entity's drug testing panel</t>
  </si>
  <si>
    <t>26.37(d): FFD management provides records to individual on an FFD violation</t>
  </si>
  <si>
    <t>26.39(a): Maintain procedures for the review of FFD violation determinations</t>
  </si>
  <si>
    <t>26.39(d): If a review of an FFD violation finds in favor of the individual, the licensee or other entity updates records (delete or correct information found to be inaccurate)</t>
  </si>
  <si>
    <t>Burden accounted for under 
section 26.41(f) and (g)</t>
  </si>
  <si>
    <t>26.41(g): Sharing of audit reports – D&amp;A testing programs may jointly conduct audits or accept audits of C/Vs and HHS labs conducted by other D&amp;A testing programs (if the audit addresses the same services utilized by each program)</t>
  </si>
  <si>
    <t>26.53(i): Individual applying for authorization is informed in writing of the reason(s) for denial or termination of authorization</t>
  </si>
  <si>
    <t>26.59(c)(1): Obtain, review, and retain an applicant’s self-disclosure</t>
  </si>
  <si>
    <t xml:space="preserve">26.63(c)(3): Document inability to obtain information from an applicant’s past employer(s) </t>
  </si>
  <si>
    <t>26.69(c)(3): Record that the licensee or other entity verified that an applicant with a prior FFD testing violation (i.e., a 5-year denial for a 2nd positive result) has abstained from substance abuse for at least 5 years</t>
  </si>
  <si>
    <t>26.63(a), (c), and (e): Obtain, review, and retain an applicant’s suitable inquiry</t>
  </si>
  <si>
    <t>26.63(c)(2): Obtain, review, and retain information on an applicant’s U.S. military service (i.e., form DD 214)</t>
  </si>
  <si>
    <t>26.65(f): Authorization reinstatement after an interruption -- record of administrative withdrawal of authorization under section 26.65(d)(1)(ii) or (e)(2)(iii)(B)</t>
  </si>
  <si>
    <t>26.69(b) and (c)(1): Authorization following a 1st or 2nd positive drug or alcohol test result, or if other PDI is identified -- obtain, review, and retain an applicant’s self-disclosure and employment history</t>
  </si>
  <si>
    <t>26.39(e): C/V with a D&amp;A testing program provides review procedures to each individual that has violated the FFD policy</t>
  </si>
  <si>
    <t>26.69(c)(2): Record that the licensee or other entity identified and resolved PDI (not reviewed and favorably resolved by a previous licensee or other entity)</t>
  </si>
  <si>
    <t>26.69(c)(4): Record that an SAE conducted a determination of fitness and concluded that an applicant with PDI is fit to safely and competently perform duties (i.e., evaluated clinically appropriate treatment and followup testing plans were developed by an SAE -- for an applicant with a prior 1st positive result; ensured treatment recommendations and followup testing from an SAE’s determination of fitness are initiated -- for an applicant with a prior 2nd positive result; or verified the applicant is in compliance with and successfully completed any followup testing and treatment plans)</t>
  </si>
  <si>
    <t>26.185(e): Documentation reviewed by the MRO on a donor’s inability to discuss test results and a request to reopen proceeding</t>
  </si>
  <si>
    <t>26.185(f)(2): Record of MRO contact with donor about an invalid test result, and medical information received</t>
  </si>
  <si>
    <t>26.185(h)(1): Record of MRO contact with donor about a substituted test result, and medical information received</t>
  </si>
  <si>
    <t>26.185(i)(2): Record of MRO confirmation of an adulterated test result (no legitimate medical explanation)</t>
  </si>
  <si>
    <t>26.185(i)(1): Record of MRO contact with donor about an adulterated test result, and medical information received</t>
  </si>
  <si>
    <t>26.185(h)(2): Record of MRO confirmation of a substituted test result (no legitimate medical explanation)</t>
  </si>
  <si>
    <t>26.185(h)(3): MRO record of determination of a legitimate medical explanation for a substituted test result</t>
  </si>
  <si>
    <t>Burden accounted for under
section 26.183(d)(2)(i)</t>
  </si>
  <si>
    <t>26.183(d)(1)(ii)(D): Record of MRO report of confirmed drug positive, adulterated, substituted, or refusal to test result to the licensee’s designated reviewing official</t>
  </si>
  <si>
    <t>26.35(c): Record of EAP disclosure to FFD management about an individual that poses an immediate hazard</t>
  </si>
  <si>
    <t>26.37(a): Develop a system of files and procedures to protect personal information collected under Part 26</t>
  </si>
  <si>
    <t xml:space="preserve">26.405(e): Updates to specimen collection and D&amp;A testing procedures to protect the donor's privacy, integrity of the specimen, and stringent quality controls to ensure accurate test results </t>
  </si>
  <si>
    <t>Burden accounted for under 
sections 26.61(a)</t>
  </si>
  <si>
    <t>26.69(c)(2): Former employer(s) of an applicant provide response to licensee or other entity request to confirm suitable inquiry information for an applicant with PDI</t>
  </si>
  <si>
    <t>26.165(b)(1): At the direction of the MRO, the initial HHS lab that conducted testing send a donor’s specimen (i.e., an aliquot of a single specimen or Bottle B of the split specimen) to a second HHS lab for further testing</t>
  </si>
  <si>
    <t>26.185(c): Donor discussion with MRO of positive, adulterated, substituted, dilute, or invalid test result</t>
  </si>
  <si>
    <t>26.69(d): Record of reviewing official’s determination on an applicant’s request for access authorization</t>
  </si>
  <si>
    <t>26.168(a) Maintain documentation of HHS lab certification of BPTS formulation</t>
  </si>
  <si>
    <t>Burden accounted for under 
section 26.183(c)(1)</t>
  </si>
  <si>
    <t>Burden accounted for under 
section 26.185(e)</t>
  </si>
  <si>
    <t>Burden accounted for under 
section 26.185(n)</t>
  </si>
  <si>
    <t>26.77(c) Report impaired NRC employee</t>
  </si>
  <si>
    <t>26.137(b)(3): Report false negative LTF validity screening result</t>
  </si>
  <si>
    <t>Annual FFD program performance report – 
Review, analyze, and summarize information received under 26.717 from a D&amp;A testing program</t>
  </si>
  <si>
    <t>26.137(b)(1)(iii): LTF documentation of annual test results for a device not approved by SAMHSA for point-of-collection testing</t>
  </si>
  <si>
    <t>Individuals subject to a random D&amp;A testing program</t>
  </si>
  <si>
    <t>26.153(g): Record of memorandum sent to the HHS lab explaining use of non-federal CCF form</t>
  </si>
  <si>
    <t>26.189(b): Determination of fitness record</t>
  </si>
  <si>
    <t>26.417(b)(1): Report to NRC by telephone within 24 hours programmatic failures in a reactor construction site D&amp;A testing program</t>
  </si>
  <si>
    <t>26.89(c): Record that FFD management informed that a donor refused to cooperate with the collection procedures (non-licensee collection site)</t>
  </si>
  <si>
    <t>26.39(a) and (b): Develop procedures for the review of a determination that an individual has violated the FFD policy</t>
  </si>
  <si>
    <t>NRC Action</t>
  </si>
  <si>
    <t>Annualized
Burden Hours</t>
  </si>
  <si>
    <t>Actions</t>
  </si>
  <si>
    <t>Total Testing violations (by results)</t>
  </si>
  <si>
    <t>Alcohol
Totals</t>
  </si>
  <si>
    <t>Total Results 
without Alcohol</t>
  </si>
  <si>
    <t>Burden Estimate Change</t>
  </si>
  <si>
    <t>Burden accounted for under 
section 26.165(b)(6)</t>
  </si>
  <si>
    <t>Burden accounted for under 
26.205(c), (d)(1), and (e)(4)</t>
  </si>
  <si>
    <t>Burden accounted for under 
section 26.207(a)(4)</t>
  </si>
  <si>
    <t>Burden accounted for under 
26.205(d)(2), (e)(3) and (e)(4)</t>
  </si>
  <si>
    <t>Burden accounted for under 
section 26.211(f)</t>
  </si>
  <si>
    <t>Burden accounted for under 
section 26.719(b)</t>
  </si>
  <si>
    <t>Burden accounted for under 
section 26.169(c)(1)</t>
  </si>
  <si>
    <t>Burden accounted for under 
section 26.115(b)</t>
  </si>
  <si>
    <t>Burden accounted for under 
section 26.715(b)(2)</t>
  </si>
  <si>
    <t>Burden accounted for under 
section 26.111(b)</t>
  </si>
  <si>
    <t>Burden accounted for under 
section 26.185(c)</t>
  </si>
  <si>
    <t>Records storage costs &gt;&gt;&gt;</t>
  </si>
  <si>
    <t>26.39(b): D&amp;A testing program provides notice to an individual of the grounds of an FFD policy violation determination and review procedures</t>
  </si>
  <si>
    <t>26.139(d): Record that the LTF prepared a summary of test results for inclusion in the FFD annual program performance report submitted under section 26.717</t>
  </si>
  <si>
    <t>26.165(b)(2): Record that MRO informed the donor of the opportunity to request the retesting of an aliquot of a single specimen or the testing of the Bottle B split specimen at a second HHS lab</t>
  </si>
  <si>
    <t>26.165(b)(3): Donor's written permission provided to the MRO for the retesting of an aliquot of a single specimen or the testing of the Bottle B split specimen at a second HHS lab</t>
  </si>
  <si>
    <t>26.167(f)(3): Record received from the Responsible Person of an HHS lab on a false positive BPTS testing error (determined to be technical or methodological), demonstrating that retesting of all positive, adulterated, substituted, and invalid specimens from the time of final resolution of the error back to the time of the last satisfactory performance test cycle has been completed</t>
  </si>
  <si>
    <t>26.417(b)(2): Prepare annual FFD program performance report for reactor construction site D&amp;A testing program</t>
  </si>
  <si>
    <t>26.719(c)(2): Notify the NRC by telephone within 24 hours of receiving notice of a false positive on a BPTS test result</t>
  </si>
  <si>
    <t>26.719(c)(3): Notify the NRC by telephone within 24 hours of receiving a false negative test result on a QA check of a validity screening test from an LTF</t>
  </si>
  <si>
    <t>Burden of supplying DD 214 affects DOD, or is accounted for under section 26.61(a) (if supplied by the applicant)</t>
  </si>
  <si>
    <t>Burden accounted for under 
section 26.39(b)</t>
  </si>
  <si>
    <t>26.185(j) Donor discussion with MRO regarding a  positive test result from use of a prescription medication (amphetamine, morphine, codeine), and donor provides documentation on medication use to the MRO (e.g., prescription information and pharmacy, prescribing physician information)</t>
  </si>
  <si>
    <t xml:space="preserve">26.87(d)(3): If a collection site cannot be dedicated solely to collecting specimens, secure the portion of the facility when a specimen collection is in process and post a sign indicating access permitted only to authorized personnel </t>
  </si>
  <si>
    <t>Burden accounted for under
section 26.115(b)</t>
  </si>
  <si>
    <t>Burden 
Estimate
Change</t>
  </si>
  <si>
    <r>
      <t>26.97(c)(1): Document reason for failure of second</t>
    </r>
    <r>
      <rPr>
        <sz val="10"/>
        <color theme="1"/>
        <rFont val="Arial"/>
        <family val="2"/>
      </rPr>
      <t xml:space="preserve"> collection attempt (non-licensee collection site)</t>
    </r>
  </si>
  <si>
    <t>Burden
Estimate
Change</t>
  </si>
  <si>
    <t xml:space="preserve"> </t>
  </si>
  <si>
    <t>26.137(d)(6): LTF records that 1 in 10 specimens that test negative on initial validity testing are sent to an HHS lab for testing as part of the LTF’s QA program</t>
  </si>
  <si>
    <t>26.137(b)(3): LTF records submitting 1 in 10 specimens that test negative on validity screening testing are sent to an HHS lab as part of the LTF's QA program</t>
  </si>
  <si>
    <t>26.169(f): HHS lab transmits to the MRO a copy of CCF for specimens with negative test results</t>
  </si>
  <si>
    <t>26.169(c)(4): HHS lab record of contact with MRO to discuss if additional testing by another HHS lab should be conducted on a specimen with an invalid test result</t>
  </si>
  <si>
    <t>26.169(a): Records of reports of test results from the HHS lab</t>
  </si>
  <si>
    <t>Burden accounted for under 
sections 26.61(a) and 26.63(a),(c) and (e)</t>
  </si>
  <si>
    <t>26.55(a)(1) - (a)(2): Initial authorization
26.57(a)(1) - (a)(2): Authorization update
26.59(a)(1) - (a)(2): Authorization reinstatement
Each individual applying for authorization must complete a self-disclosure, employment history, and suitable inquiry</t>
  </si>
  <si>
    <t>D&amp;A testing programs</t>
  </si>
  <si>
    <t>Reactor Construction Site D&amp;A testing programs</t>
  </si>
  <si>
    <t>Construction</t>
  </si>
  <si>
    <t>Total Individuals with D&amp;A testing violations (all Test Types)</t>
  </si>
  <si>
    <t>Data Source</t>
  </si>
  <si>
    <t>report</t>
  </si>
  <si>
    <t>program</t>
  </si>
  <si>
    <t>Fatigue management programs</t>
  </si>
  <si>
    <t>Total</t>
  </si>
  <si>
    <t>CONSTRUCTION</t>
  </si>
  <si>
    <t>Results by Year</t>
  </si>
  <si>
    <t>Change
Hours</t>
  </si>
  <si>
    <t>Change
%</t>
  </si>
  <si>
    <t>Burden accounted for under 
section 26.165(b)(1)</t>
  </si>
  <si>
    <t>26.159(b)(1): Record that the HHS lab notified the licensee or other entity within 24 hours of identifying evidence of specimen tampering</t>
  </si>
  <si>
    <t>26.169(g): HHS lab transmits to the MRO a copy of the original CCF signed by the certifying scientist (for positive, adulterated, substituted, dilute and invalid test result)</t>
  </si>
  <si>
    <t>26.417(b)(1): Report to NRC by telephone within 24 hours of identifying a programmatic failure in a reactor construction site D&amp;A testing program</t>
  </si>
  <si>
    <t>26.719(a): Report a significant FFD program violation, programmatic failure,  or D&amp;A testing error</t>
  </si>
  <si>
    <t>26.719(b): Report to the NRC by telephone within 24 hours of identifying a significant D&amp;A testing violation</t>
  </si>
  <si>
    <t>26.31(d)(3)(iii)(A) and (d)(3)(iii)(C): Documentation of forensic toxicologist review and certification of lower drug testing cutoff levels than specified by Part 26, and inclusion of cutoff levels in the FFD policy and procedures</t>
  </si>
  <si>
    <t>26.159(b)(1): Record that the licensee or other entity received noticed from an HHS lab within 24 hours of the lab identifying evidence of tampering with specimen.</t>
  </si>
  <si>
    <t>26.61(a), (a)(1), and (a)(2): Obtain, review, and retain an applicant’s written self-disclosure and employment history</t>
  </si>
  <si>
    <t>26.61(b) and (c): Specify the information to be collected in the self-disclosure and employment history</t>
  </si>
  <si>
    <t>Burden accounted for under 
section 26.61(a), (a)(1) and (a)(2)</t>
  </si>
  <si>
    <t>Burden accounted for under 
section 26.63(a), (c) and (e)</t>
  </si>
  <si>
    <t>Burden accounted for under 26.27(a)</t>
  </si>
  <si>
    <t>26.31(d)(1)(i)(C): Develop rigorous testing procedures to ensure that the MRO can evaluate the use of substances not included in the NRC-required testing panel (if additional substance testing is performed)</t>
  </si>
  <si>
    <t>26.63(f): Specifies the time periods that a suitable inquiry must cover (for initial authorization, authorization update, and authorization reinstatement)</t>
  </si>
  <si>
    <t>Total 
Annual
Burden 
Hours</t>
  </si>
  <si>
    <t>26.405(b): Records of random D&amp;A tests</t>
  </si>
  <si>
    <t>26.159(c) - (e): Use and storage of CCF forms at HHS lab</t>
  </si>
  <si>
    <t>Burden accounted for under 
section 26.125(b) and (c)</t>
  </si>
  <si>
    <t>26.31(d)(3)(ii): Document LTF technician qualifications to perform validity and drug tests.</t>
  </si>
  <si>
    <t>Description of Data Element</t>
  </si>
  <si>
    <t>Burden accounted for under 
section 26.117(c) - (e)</t>
  </si>
  <si>
    <t>26.117(c) - (e): Collector prepares ID labels and CCF forms for specimen shipment</t>
  </si>
  <si>
    <t>26.117(c) - (e): Collector prepares ID labels and CCF forms for specimen shipment (non-licensee collection site)</t>
  </si>
  <si>
    <t>Burden accounted for under
section 26.715(b)(2)</t>
  </si>
  <si>
    <t>Burden accounted for under 
section 26.403(a) and (b)</t>
  </si>
  <si>
    <t>Burden accounted for under 
section 26.189(c)</t>
  </si>
  <si>
    <t>Burden accounted for under 
section 26.27(c)</t>
  </si>
  <si>
    <t>26.127 (a) – (e): Maintain LTF written procedures on the handling of specimens, chain-of-custody procedures, testing assays, instrument and device setup, and remedial actions for systems and testing devices.</t>
  </si>
  <si>
    <t xml:space="preserve">26.4(j):For personnel granted authorization by a licensee, who are covered by the D&amp;A testing program regulated by a State or Federal agency – (1) record of training that demonstrates section 26.29(a) training requirements met (if not already covered by the program); (2) record of notice of any FFD policy violation </t>
  </si>
  <si>
    <t>26.4(j):  For personnel granted authorization by a licensee, who are covered by a D&amp;A testing program regulated by a State or Federal agency – (1) provision of training record to the licensee to demonstrate section 26.29(a) training requirements met (if not already covered in the existing program); (2) notification of any FFD policy violations by those granted authorization by the licensee or other entity</t>
  </si>
  <si>
    <t>Licensee Testing Facilities (LTFs)</t>
  </si>
  <si>
    <t>HHS-certified laboratories (HHS labs)</t>
  </si>
  <si>
    <t>Burden reported under sections 26.719(b), and (c)(1) - (c)(3)</t>
  </si>
  <si>
    <t>NRC ACTION</t>
  </si>
  <si>
    <t>Table 5: Annualized NRC Burden</t>
  </si>
  <si>
    <t>26.719(c) - 30-day event reports</t>
  </si>
  <si>
    <t>26.719(b) - 24-hour event reports</t>
  </si>
  <si>
    <t>Number of sites using an LTF</t>
  </si>
  <si>
    <t>Number of sites only using an HHS-lab</t>
  </si>
  <si>
    <t>D&amp;A Testing Program Data</t>
  </si>
  <si>
    <t>Reactors under Construction</t>
  </si>
  <si>
    <t>hourly rate</t>
  </si>
  <si>
    <t>HHS-Certified Labs Performing Testing for Part 26 Licensees &amp; Other Entities</t>
  </si>
  <si>
    <t>Sites w/o Construction &amp; DECON</t>
  </si>
  <si>
    <t>Laboratory Corporation of America (RTP, NC)</t>
  </si>
  <si>
    <t xml:space="preserve">All sites (w/o Construction &amp; DECON) </t>
  </si>
  <si>
    <t>Fuel Cycle Facilities</t>
  </si>
  <si>
    <t>B&amp;W, NFS</t>
  </si>
  <si>
    <t>26.127(a) – (e): Develop LTF procedures for specimen handling and chain-of-custody, assays performed, instrument and test setup, and remedial actions for systems and testing devices</t>
  </si>
  <si>
    <t>26.155(a)(1), (a)(3) - (a)(5); (b),(c), (e), and (f): 
Confirm HHS lab personnel qualifications and procedures place pursuant to HHS laboratory certification also meet Part 26 requirements (new HHS lab)</t>
  </si>
  <si>
    <t>Burden accounted for under 
section 26.31(d)(1)(i)(D) and (d)(1)(ii), and 
section 26.31(d)(3)(iii)(A) and (d)(3)(iii)(c)</t>
  </si>
  <si>
    <t>26.35(c): Record of EAP disclosure to a licensee or other entity that an individual poses an immediate hazard, or who has waived in writing the right to privacy</t>
  </si>
  <si>
    <t>26.53(h): Obtain and retain written consent from each individual before initiating any actions under Subpart C of Part 26</t>
  </si>
  <si>
    <t>26.53(h): Applicant provides written consent before any actions are initiated under Subpart C of Part 26</t>
  </si>
  <si>
    <t>Burden accounted for under 
section 26.69(c)(4)</t>
  </si>
  <si>
    <t>26.69(e): Record that follow-up testing and treatment plan for an applicant from the D&amp;A testing program of another licensee or other entity has been verified (that is treatment and follow-up testing successfully completed)</t>
  </si>
  <si>
    <t>26.75(a) – (e), and (g): Records of sanctions for FFD violations</t>
  </si>
  <si>
    <t>26.85(a) and (b): Training of urine and alcohol collectors and maintain training records in personnel files</t>
  </si>
  <si>
    <t>26.87(f)(1) and (f)(3) – (f)(5): Post a sign outside the collection area (if a public restroom used) and document on the custody-and-control form (CCF) the name of a same gender observer (in the exceptional event that a designated collection site is inaccessible, the collector is not the same gender as the donor and a urine specimen must be immediately collected)</t>
  </si>
  <si>
    <t>26.135(b): LTF record of direction from MRO to send Bottle B of a split specimen to a second HHS lab for testing</t>
  </si>
  <si>
    <t>26.137(a): Develop LTF procedures for quality assurance/ quality control (QA/QC) program</t>
  </si>
  <si>
    <t>26.137(a): Record of a QA/QC program and procedures for LTF</t>
  </si>
  <si>
    <t>26.137(b)(1)(ii): LTF documentation of performance testing of a device not approved by SAMHSA for point-of-collection testing</t>
  </si>
  <si>
    <t>Burden accounted for under 
section 26.127 (a) - (e)</t>
  </si>
  <si>
    <t>26.163(a)(2): Record that special analyses testing conducted on a dilute specimen and report of the test results</t>
  </si>
  <si>
    <t>26.165(b)(1): Record of a donor request for the retesting of an aliquot of a single specimen or the testing of the Bottle B split specimen at a second HHS lab</t>
  </si>
  <si>
    <r>
      <t xml:space="preserve">26.165(f)(1): Adjustments to personnel files and written notifications regarding </t>
    </r>
    <r>
      <rPr>
        <sz val="10"/>
        <rFont val="Arial"/>
        <family val="2"/>
      </rPr>
      <t>the results of retesting an aliquot of a single specimen or testing of the Bottle B split specimen, including temporary administrative action</t>
    </r>
  </si>
  <si>
    <t>26.169(c)(2): Records of HHS lab reports of quantitative test results for opiates</t>
  </si>
  <si>
    <t>Burden accounted for under 
section 26.185(f)(1)</t>
  </si>
  <si>
    <t>Burden accounted for under 
section 26.183(d)(1)(ii)(D)</t>
  </si>
  <si>
    <t>26.185(j): Prescription medication drug positives (applies to amphetamine, morphine, and codeine results) – records of MRO review of HHS lab result, discussion of positive result with donor, and review medication information from the donor</t>
  </si>
  <si>
    <t xml:space="preserve">26.185(i)(3): MRO record of determination of a legitimate medical explanation for an adulterated test result </t>
  </si>
  <si>
    <t>26.185(m): Record of MRO review of inspection and audit reports, QC data, multiple specimens, and other data to determine if positive, adulterated, substituted, or invalid result is scientifically insufficient for determination of FFD policy violation</t>
  </si>
  <si>
    <t>26.405(c)(4): Records of follow-up D&amp;A tests</t>
  </si>
  <si>
    <t>26.715(a): Documentation of all aspect of testing process at collection sites and LTFs (not otherwise specified in section 26.715(b))</t>
  </si>
  <si>
    <t>No LTF conducts validity screening testing
(if any did, burden would be accounted for under section 26.719(c)(3)</t>
  </si>
  <si>
    <t>26.31(b)(1)(i): Individual applying for access to serve as FFD program personnel provides background check information for the background investigation, credit and criminal history checks, and psychological assessment</t>
  </si>
  <si>
    <t xml:space="preserve">26.35(a): Employee assistance program (EAP) records </t>
  </si>
  <si>
    <t>26.35(c): Individual completes and provides the EAP with a written waiver of right to privacy to share information with FFD management</t>
  </si>
  <si>
    <t>26.63(c)(2): U.S. Department of Defense (DOD) provides licensee or other entity with form DD 214 which details an applicant’s military service record</t>
  </si>
  <si>
    <t>26.99(b): Record test time of initial test with 0.02 percent BAC or higher (non-licensee collection site)</t>
  </si>
  <si>
    <t>26.103(b): Collector informs FFD management of result between 0.01 and 0.02 percent BAC when donor in work status 3 or more hours (non-licensee collection site)</t>
  </si>
  <si>
    <t>26.101(b)(7): EBT printout of confirmatory alcohol test result includes time of test (non-licensee collection site)</t>
  </si>
  <si>
    <t xml:space="preserve">26.111(c): Collector documents on CCF unusual specimen temperature and/or other observations made during the collection of possible tampering attempt and notifies FFD management (non-licensee collection site) 
</t>
  </si>
  <si>
    <t>26.157(c): Written HHS lab procedures for each testing assay performed</t>
  </si>
  <si>
    <t>26.157(e): Written HHS lab procedures for remedial actions to address system and instrument errors</t>
  </si>
  <si>
    <t>26.169(c)(1): HHS lab provides record to the MRO for each positive, adulterated, substituted, dilute, and invalid test result</t>
  </si>
  <si>
    <t>26.157(a) – (e): Confirm HHS lab procedures in place for accession, receipt, shipment, and testing of specimens pursuant to HHS laboratory certification also meet Part 26 requirements (new HHS lab)</t>
  </si>
  <si>
    <t>&lt;&lt; Has not reported FFD performance data since ceasing operations at the end of 2014</t>
  </si>
  <si>
    <t>Oyster Creek</t>
  </si>
  <si>
    <t>Three Mile Island</t>
  </si>
  <si>
    <t>Follow-up</t>
  </si>
  <si>
    <t>26.407: Develop procedures for behavioral observation (reactor construction site D&amp;A testing program)</t>
  </si>
  <si>
    <t>Total 
Responses</t>
  </si>
  <si>
    <t>Burden per 
Response 
(hours)</t>
  </si>
  <si>
    <t>Average Results (2016-2018)</t>
  </si>
  <si>
    <t>Source:  26.717 (Annual Reporting Forms)</t>
  </si>
  <si>
    <t>&lt;&lt; Has not reported FFD performance data since ceasing operations at the end of 2016</t>
  </si>
  <si>
    <t>Duane Arnold</t>
  </si>
  <si>
    <t>Clinical Reference Laboratory (Lenexa, KS)</t>
  </si>
  <si>
    <t>ElSohly Laboratories</t>
  </si>
  <si>
    <t>Laboratory Corporation of America (South Haven, MS)</t>
  </si>
  <si>
    <t>Burden accounted for under
 section 26.403(a)</t>
  </si>
  <si>
    <t>Burden accounted for under
 section 26.403(b)</t>
  </si>
  <si>
    <t>Burden accounted for under 
sections 26.61(a), (a)(1), and (a)(2), 
and 26.63 (a), (c), and (e)</t>
  </si>
  <si>
    <t>Burden accounted for under
 section 26.715(b)(2)</t>
  </si>
  <si>
    <t>Burden accounted for under
 section 26.107(b)</t>
  </si>
  <si>
    <t>Burden accounted for under
 section 26.185(c)</t>
  </si>
  <si>
    <t>Burden accounted for under
 section 26.165(b)(6)</t>
  </si>
  <si>
    <t>Burden accounted for under
 section 26.169(c)(1)</t>
  </si>
  <si>
    <t>Burden accounted for under
 section 26.129(a)</t>
  </si>
  <si>
    <t>Burden accounted for under
 section 26.183(d)(2)(i)</t>
  </si>
  <si>
    <t>Burden accounted for under
 section 26.61(a)</t>
  </si>
  <si>
    <t>Burden accounted for under 
section 26.61(a), and 26.63(a), (c), and (e)</t>
  </si>
  <si>
    <t>Burden accounted for under
 section 26.61(a), and 26.63(a), (c), and (e)</t>
  </si>
  <si>
    <t>Burden 
Hours / Action</t>
  </si>
  <si>
    <t>Summary of Estimated Burden Hours and Costs (2021-2024)</t>
  </si>
  <si>
    <t>FFD program performance data (2019)</t>
  </si>
  <si>
    <t>26.169(c)(5): Records of HHS lab reports of concentrations exceeding linear range</t>
  </si>
  <si>
    <t>10 CFR 170.20 Average Cost per Professional Hour</t>
  </si>
  <si>
    <t>Revision of Fee Schedules; Fee Recovery for Fiscal Year 2020 
(85 FR 37250, June 19, 2020).</t>
  </si>
  <si>
    <r>
      <t xml:space="preserve">Extension 
</t>
    </r>
    <r>
      <rPr>
        <sz val="10"/>
        <color theme="1"/>
        <rFont val="Arial"/>
        <family val="2"/>
      </rPr>
      <t>(May 2021 - April 2024)</t>
    </r>
  </si>
  <si>
    <r>
      <t xml:space="preserve">Approved Clearance Values
</t>
    </r>
    <r>
      <rPr>
        <sz val="10"/>
        <rFont val="Arial"/>
        <family val="2"/>
      </rPr>
      <t>(approved 04/03/2018 - ICR 201709-3150-004)</t>
    </r>
  </si>
  <si>
    <t>26.109(b)(3): Collector documents on CCF shy-bladder situation and notifies FFD management (non-licensee collection site)</t>
  </si>
  <si>
    <t>26.203(a): Prepare fatigue management policy 
(in addition to 26.27 burden)</t>
  </si>
  <si>
    <t>Indian Point</t>
  </si>
  <si>
    <t>Pilgrim</t>
  </si>
  <si>
    <t>Vogtle 3&amp;4</t>
  </si>
  <si>
    <t>Construction - Vogtle 3&amp;4</t>
  </si>
  <si>
    <t>2018 Results</t>
  </si>
  <si>
    <t>2017 Results</t>
  </si>
  <si>
    <t>2016 Results</t>
  </si>
  <si>
    <t>Average
2016-18</t>
  </si>
  <si>
    <t>DECON &amp; Construction ceased</t>
  </si>
  <si>
    <t>Fort Calhoun (no reports since 2016)</t>
  </si>
  <si>
    <r>
      <t xml:space="preserve">Fort Calhoun </t>
    </r>
    <r>
      <rPr>
        <i/>
        <sz val="10"/>
        <color theme="1"/>
        <rFont val="Arial"/>
        <family val="2"/>
      </rPr>
      <t>(no report since 2016)</t>
    </r>
  </si>
  <si>
    <t>Burden Hours 
per Recordkeeper
(Annualized)</t>
  </si>
  <si>
    <t>Total 
Burden Hours
(Annualized)</t>
  </si>
  <si>
    <t>Annual fatigue management performance report -- 
Review, analyze, and summarize fatigue management data specified in section 26.203(e) that is submitted under section 26.717</t>
  </si>
  <si>
    <r>
      <t xml:space="preserve">Extension 
</t>
    </r>
    <r>
      <rPr>
        <sz val="10"/>
        <color theme="1"/>
        <rFont val="Arial"/>
        <family val="2"/>
      </rPr>
      <t>(May 2021- April 2024)</t>
    </r>
  </si>
  <si>
    <r>
      <t xml:space="preserve">Extension
</t>
    </r>
    <r>
      <rPr>
        <sz val="10"/>
        <color theme="1"/>
        <rFont val="Arial"/>
        <family val="2"/>
      </rPr>
      <t>(May 2021 - April 2024)</t>
    </r>
  </si>
  <si>
    <t>Vogtle Unit 4 (fuel load expected November 2021)</t>
  </si>
  <si>
    <t>2019 FFD program performance data</t>
  </si>
  <si>
    <r>
      <t xml:space="preserve">Extension 
</t>
    </r>
    <r>
      <rPr>
        <sz val="10"/>
        <rFont val="Arial"/>
        <family val="2"/>
      </rPr>
      <t>(May 2021- April 2024)</t>
    </r>
  </si>
  <si>
    <t>Part 26 - OMB Clearance (2021 - 2024)</t>
  </si>
  <si>
    <r>
      <t>FFD Program
(</t>
    </r>
    <r>
      <rPr>
        <b/>
        <sz val="11"/>
        <color rgb="FFFF0000"/>
        <rFont val="Arial"/>
        <family val="2"/>
      </rPr>
      <t>D&amp;A and Fatigue</t>
    </r>
    <r>
      <rPr>
        <b/>
        <sz val="11"/>
        <rFont val="Arial"/>
        <family val="2"/>
      </rPr>
      <t>)</t>
    </r>
  </si>
  <si>
    <t>Facility 
(Operating Reactors)</t>
  </si>
  <si>
    <r>
      <t>FFD Program (</t>
    </r>
    <r>
      <rPr>
        <b/>
        <sz val="11"/>
        <color rgb="FFFF0000"/>
        <rFont val="Arial"/>
        <family val="2"/>
      </rPr>
      <t>D&amp;A only</t>
    </r>
    <r>
      <rPr>
        <b/>
        <sz val="11"/>
        <rFont val="Arial"/>
        <family val="2"/>
      </rPr>
      <t>)</t>
    </r>
  </si>
  <si>
    <t>Facility</t>
  </si>
  <si>
    <t>Ameren UE</t>
  </si>
  <si>
    <t xml:space="preserve">Callaway </t>
  </si>
  <si>
    <t>Babcock &amp; Wilcox, NOG, Lynchburg</t>
  </si>
  <si>
    <t>Fuel Cycle</t>
  </si>
  <si>
    <t>Arizona Public Service Company</t>
  </si>
  <si>
    <t>Palo Verde</t>
  </si>
  <si>
    <t>Nuclear Fuel Services, Irwin</t>
  </si>
  <si>
    <t>Dominion Generation</t>
  </si>
  <si>
    <t>Millstone</t>
  </si>
  <si>
    <t>C/V</t>
  </si>
  <si>
    <t>North Anna</t>
  </si>
  <si>
    <t>Surry</t>
  </si>
  <si>
    <t>DTE Electric Company</t>
  </si>
  <si>
    <t>Fermi 2</t>
  </si>
  <si>
    <t>Duke Energy</t>
  </si>
  <si>
    <t>Brunswick</t>
  </si>
  <si>
    <t>Catawba</t>
  </si>
  <si>
    <t>H.B. Robinson</t>
  </si>
  <si>
    <t>McGuire</t>
  </si>
  <si>
    <t>Oconee</t>
  </si>
  <si>
    <t>Shearon Harris</t>
  </si>
  <si>
    <t>Energy Harbor</t>
  </si>
  <si>
    <t>Beaver Valley</t>
  </si>
  <si>
    <t>Davis-Besse</t>
  </si>
  <si>
    <t>Perry</t>
  </si>
  <si>
    <t>Energy Northwest</t>
  </si>
  <si>
    <t>Columbia</t>
  </si>
  <si>
    <t>Entergy Nuclear Operations, Inc.</t>
  </si>
  <si>
    <t>Arkansas Nuclear One</t>
  </si>
  <si>
    <t>Grand Gulf</t>
  </si>
  <si>
    <t>Palisades</t>
  </si>
  <si>
    <t>River Bend</t>
  </si>
  <si>
    <t>Waterford</t>
  </si>
  <si>
    <t>Exelon Nuclear</t>
  </si>
  <si>
    <t>Braidwood</t>
  </si>
  <si>
    <t>Byron</t>
  </si>
  <si>
    <t>Calvert Cliffs</t>
  </si>
  <si>
    <t>Clinton</t>
  </si>
  <si>
    <t>Dresden</t>
  </si>
  <si>
    <t>James A. FitzPatrick</t>
  </si>
  <si>
    <t>LaSalle</t>
  </si>
  <si>
    <t>Limerick</t>
  </si>
  <si>
    <t>Nine Mile Point</t>
  </si>
  <si>
    <t>Peach Bottom</t>
  </si>
  <si>
    <t>Quad Cities</t>
  </si>
  <si>
    <t>R.E. Ginna</t>
  </si>
  <si>
    <t>Indiana Michigan Power Co.</t>
  </si>
  <si>
    <t>D.C. Cook</t>
  </si>
  <si>
    <t>Luminant Generation Co.</t>
  </si>
  <si>
    <t>Comanche Peak</t>
  </si>
  <si>
    <t>Nebraska Public Power District</t>
  </si>
  <si>
    <t>Cooper</t>
  </si>
  <si>
    <t>Point Beach</t>
  </si>
  <si>
    <t>Seabrook</t>
  </si>
  <si>
    <t>St. Lucie</t>
  </si>
  <si>
    <t>Turkey Point Units 3 &amp; 4</t>
  </si>
  <si>
    <t>Pacific Gas &amp; Electric Co.</t>
  </si>
  <si>
    <t>Diablo Canyon</t>
  </si>
  <si>
    <t>PSEG Nuclear, Inc.</t>
  </si>
  <si>
    <t>Salem/Hope Creek</t>
  </si>
  <si>
    <t>STP Nuclear Operating Co.</t>
  </si>
  <si>
    <t>South Texas Project</t>
  </si>
  <si>
    <t>Southern Nuclear Operating Co.</t>
  </si>
  <si>
    <t>E.I. Hatch</t>
  </si>
  <si>
    <t>Joseph M. Farley</t>
  </si>
  <si>
    <r>
      <t xml:space="preserve">Vogtle Units 1, 2, </t>
    </r>
    <r>
      <rPr>
        <b/>
        <sz val="11"/>
        <color rgb="FFFF0000"/>
        <rFont val="Arial"/>
        <family val="2"/>
      </rPr>
      <t>3, 4</t>
    </r>
  </si>
  <si>
    <t>Talen Energy Corporation</t>
  </si>
  <si>
    <t>Susquehanna</t>
  </si>
  <si>
    <t>Tennessee Valley Authority</t>
  </si>
  <si>
    <t>Browns Ferry</t>
  </si>
  <si>
    <t>Sequoyah</t>
  </si>
  <si>
    <t>Watts Bar</t>
  </si>
  <si>
    <t>Wolf Creek Nuclear Operating Corp.</t>
  </si>
  <si>
    <t>Wolf Creek</t>
  </si>
  <si>
    <t>Xcel Energy</t>
  </si>
  <si>
    <t>Monticello</t>
  </si>
  <si>
    <t>Prairie Island</t>
  </si>
  <si>
    <t>Difference from last clearance period 2018-2021</t>
  </si>
  <si>
    <t>New sites entered decommissioning</t>
  </si>
  <si>
    <t>Entergy Nuclear</t>
  </si>
  <si>
    <t>Indian Point (Units 2&amp;3)</t>
  </si>
  <si>
    <t>NextEra Energy</t>
  </si>
  <si>
    <t>Fuel load is anticipated at unit 3 (Nov. 2020) and unit 4 (Nov. 2021) = subject to full D&amp;A testing program (no longer Subpart K)</t>
  </si>
  <si>
    <t>Operating Reactor Information (Part 26 - OMB Clearance May 2021 - April 2024)</t>
  </si>
  <si>
    <t>OMB Clearance Period</t>
  </si>
  <si>
    <t>Start:</t>
  </si>
  <si>
    <t>End:</t>
  </si>
  <si>
    <r>
      <t xml:space="preserve">
Reactor Facilty
</t>
    </r>
    <r>
      <rPr>
        <sz val="9"/>
        <color rgb="FFFF0000"/>
        <rFont val="Arial"/>
        <family val="2"/>
      </rPr>
      <t>(Use to count # facilities)</t>
    </r>
  </si>
  <si>
    <t>Construction Permit
Issued</t>
  </si>
  <si>
    <t xml:space="preserve">Initial 
Operating License </t>
  </si>
  <si>
    <t>Renewal 1
Operating License</t>
  </si>
  <si>
    <t>Renewal 2
Operating License</t>
  </si>
  <si>
    <t>Shutdown
Date</t>
  </si>
  <si>
    <r>
      <t xml:space="preserve">Cease 
FFD Program
</t>
    </r>
    <r>
      <rPr>
        <sz val="9"/>
        <color rgb="FFFF0000"/>
        <rFont val="Arial"/>
        <family val="2"/>
      </rPr>
      <t>[formula]</t>
    </r>
  </si>
  <si>
    <t>Issued</t>
  </si>
  <si>
    <t>Expiration</t>
  </si>
  <si>
    <t xml:space="preserve">Expiration </t>
  </si>
  <si>
    <t>Arkansas Nuclear</t>
  </si>
  <si>
    <t>Reactor</t>
  </si>
  <si>
    <t>Arkansas Nuclear 1</t>
  </si>
  <si>
    <t>Arkansas Nuclear 2</t>
  </si>
  <si>
    <t>Beaver Valley 1</t>
  </si>
  <si>
    <t>Beaver Valley 2</t>
  </si>
  <si>
    <t>Braidwood 1</t>
  </si>
  <si>
    <t>Exelon Corporation, LLC</t>
  </si>
  <si>
    <t>Braidwood 2</t>
  </si>
  <si>
    <t>Browns Ferry 1</t>
  </si>
  <si>
    <t>Tenessee Valley Authority</t>
  </si>
  <si>
    <t>Browns Ferry 2</t>
  </si>
  <si>
    <t>Browns Ferry 3</t>
  </si>
  <si>
    <t>Brunswick 1</t>
  </si>
  <si>
    <t>Brunswick 2</t>
  </si>
  <si>
    <t>Byron 1</t>
  </si>
  <si>
    <t>Byron 2</t>
  </si>
  <si>
    <t>Callaway</t>
  </si>
  <si>
    <t>Callaway 1</t>
  </si>
  <si>
    <t>Calvert Cliffs 1</t>
  </si>
  <si>
    <t>Calvert Cliffs 2</t>
  </si>
  <si>
    <t>Catawba 1</t>
  </si>
  <si>
    <t>Catawba 2</t>
  </si>
  <si>
    <t>Clinton 1</t>
  </si>
  <si>
    <t xml:space="preserve">Columbia </t>
  </si>
  <si>
    <t>Comanche Peak 1</t>
  </si>
  <si>
    <t>Comanche Peak 2</t>
  </si>
  <si>
    <t>Cooper 1</t>
  </si>
  <si>
    <t>D.C.Cook</t>
  </si>
  <si>
    <t>D.C. Cook 1</t>
  </si>
  <si>
    <t>D.C. Cook 2</t>
  </si>
  <si>
    <t>Diablo Canyon 1</t>
  </si>
  <si>
    <t>Diablo Canyon 2</t>
  </si>
  <si>
    <t>Dresden 2</t>
  </si>
  <si>
    <t>Dresden 3</t>
  </si>
  <si>
    <t>Edwin I. Hatch</t>
  </si>
  <si>
    <t>Edwin I. Hatch 1</t>
  </si>
  <si>
    <t>Edwin I. Hatch 2</t>
  </si>
  <si>
    <t>Fermi</t>
  </si>
  <si>
    <t>Grand Gulf 1</t>
  </si>
  <si>
    <t>H.B. Robinson 2</t>
  </si>
  <si>
    <t>Hope Creek</t>
  </si>
  <si>
    <t>Hope Creek 1</t>
  </si>
  <si>
    <t>PSEG Nuclear, LLC</t>
  </si>
  <si>
    <t>Joseph M. Farley 1</t>
  </si>
  <si>
    <t>Joseph M. Farley 2</t>
  </si>
  <si>
    <t>LaSalle County 1</t>
  </si>
  <si>
    <t>LaSalle County 2</t>
  </si>
  <si>
    <t>Limerick 1</t>
  </si>
  <si>
    <t>Limerick 2</t>
  </si>
  <si>
    <t>McGuire 1</t>
  </si>
  <si>
    <t>McGuire 2</t>
  </si>
  <si>
    <t>Millstone 2</t>
  </si>
  <si>
    <t>Millstone 3</t>
  </si>
  <si>
    <t>Nine Mile Point 1</t>
  </si>
  <si>
    <t>Nine Mile Point 2</t>
  </si>
  <si>
    <t>North Anna 1</t>
  </si>
  <si>
    <t>North Anna 2</t>
  </si>
  <si>
    <t>Oconee 1</t>
  </si>
  <si>
    <t>Oconee 2</t>
  </si>
  <si>
    <t>Oconee 3</t>
  </si>
  <si>
    <t>Palo Verde 1</t>
  </si>
  <si>
    <t>Palo Verde 2</t>
  </si>
  <si>
    <t>Palo Verde 3</t>
  </si>
  <si>
    <t xml:space="preserve">Peach Bottom </t>
  </si>
  <si>
    <t>Peach Bottom 2</t>
  </si>
  <si>
    <t>Peach Bottom 3</t>
  </si>
  <si>
    <t>Perry 1</t>
  </si>
  <si>
    <t>Point Beach 1</t>
  </si>
  <si>
    <t>Point Beach 2</t>
  </si>
  <si>
    <t>Praire Island</t>
  </si>
  <si>
    <t>Prairie Island 1</t>
  </si>
  <si>
    <t>Prairie Island 2</t>
  </si>
  <si>
    <t>Quad Cities 1</t>
  </si>
  <si>
    <t>Quad Cities 2</t>
  </si>
  <si>
    <t>River Bend 1</t>
  </si>
  <si>
    <t>Salem</t>
  </si>
  <si>
    <t>Salem 1</t>
  </si>
  <si>
    <t>Salem 2</t>
  </si>
  <si>
    <t>Seabrook 1</t>
  </si>
  <si>
    <t>Sequoyah 1</t>
  </si>
  <si>
    <t>Sequoyah 2</t>
  </si>
  <si>
    <t>Shearon Harris 1</t>
  </si>
  <si>
    <t>South Texas Project 1</t>
  </si>
  <si>
    <t>South Texas Project 2</t>
  </si>
  <si>
    <t>St. Lucie 1</t>
  </si>
  <si>
    <t>St. Lucie 2</t>
  </si>
  <si>
    <t>Surry 1</t>
  </si>
  <si>
    <t>Surry 2</t>
  </si>
  <si>
    <t>Susquehanna 1</t>
  </si>
  <si>
    <t>Susquehanna 2</t>
  </si>
  <si>
    <t>Turkey Point</t>
  </si>
  <si>
    <t>Turkey Point 3</t>
  </si>
  <si>
    <t>Turkey Point 4</t>
  </si>
  <si>
    <t>V.C. Summer</t>
  </si>
  <si>
    <t>VC Summer 1</t>
  </si>
  <si>
    <t>Vogtle</t>
  </si>
  <si>
    <t>Vogtle 1</t>
  </si>
  <si>
    <t>Vogtle 2</t>
  </si>
  <si>
    <t>Vogtle 3</t>
  </si>
  <si>
    <t>Vogtle 4</t>
  </si>
  <si>
    <t>Waterford 3</t>
  </si>
  <si>
    <t>Watts</t>
  </si>
  <si>
    <t>Watts Bar 1</t>
  </si>
  <si>
    <t>Watts Bar 2</t>
  </si>
  <si>
    <t>Wolf Creek 1</t>
  </si>
  <si>
    <r>
      <t xml:space="preserve">Sites Decommissioning </t>
    </r>
    <r>
      <rPr>
        <b/>
        <u/>
        <sz val="11"/>
        <color theme="1"/>
        <rFont val="Arial"/>
        <family val="2"/>
      </rPr>
      <t>OR</t>
    </r>
    <r>
      <rPr>
        <b/>
        <sz val="11"/>
        <color theme="1"/>
        <rFont val="Arial"/>
        <family val="2"/>
      </rPr>
      <t xml:space="preserve"> will be Decommissioning before start of clearance period = Not subject to Part 26</t>
    </r>
  </si>
  <si>
    <t>Crystal River 3</t>
  </si>
  <si>
    <t>San Onofre 2</t>
  </si>
  <si>
    <t>Southern California Edison Co.</t>
  </si>
  <si>
    <t>San Onofre 3</t>
  </si>
  <si>
    <t>NorthStar</t>
  </si>
  <si>
    <t>Omaha Public Power District</t>
  </si>
  <si>
    <t>Holtec International</t>
  </si>
  <si>
    <t>New status since last clearance</t>
  </si>
  <si>
    <t>Pilgrim 1</t>
  </si>
  <si>
    <t>Three Mile Island 1</t>
  </si>
  <si>
    <t>Indian Point 2</t>
  </si>
  <si>
    <t>Indian Point 3</t>
  </si>
  <si>
    <t>Vogtle Units 3&amp;4</t>
  </si>
  <si>
    <t>26.109(b)(4): Collector documents on CCF confirmation from FFD management to conduct an observed collection (non-licensee collection site)</t>
  </si>
  <si>
    <t>26.403(a): Updates to FFD policy and procedures 
(reactor construction site D&amp;A testing program)</t>
  </si>
  <si>
    <t>Notes on reactors (Decommissioning/New Reactors/Acquisitions)</t>
  </si>
  <si>
    <t>26.37(d): Request by donor or donor’s representative to the licensee or other entity to provide personal records collected under Part 26</t>
  </si>
  <si>
    <t>V.C. Summer 2&amp;3 (ceased construction 2017)</t>
  </si>
  <si>
    <t>Primary</t>
  </si>
  <si>
    <t>Backup</t>
  </si>
  <si>
    <t>DrugScan Inc (Horsham, PA)</t>
  </si>
  <si>
    <t>2017 OMB Clearance (used 2015 ARF data)</t>
  </si>
  <si>
    <t>2021 OMB Clearance (used 2019 ARF data)</t>
  </si>
  <si>
    <t>HHS labs</t>
  </si>
  <si>
    <t>26.185(k): Record of MRO report to licensee that no FFD policy violation has occurred (i.e., legitimate prescription medication used in a manner and at the dosage prescribed).  If the individual poses a potential risk to public health and safety because of impairment while on duty – the MRO will ensure that a determination of fitness is performed)</t>
  </si>
  <si>
    <t>Drug Testing Laboratories (number of sites using)</t>
  </si>
  <si>
    <t>2018-2021</t>
  </si>
  <si>
    <t>2021-2024</t>
  </si>
  <si>
    <t>2018-2021 OMB Clearance</t>
  </si>
  <si>
    <t>2015 ARF data on HHS labs - Notes:</t>
  </si>
  <si>
    <t>Primary - Quest Diagnostics, 7 sites did not report one of the three locations (Lenexa, Norristown, or Atlanta</t>
  </si>
  <si>
    <t>26.719(c): Prepare 30-day event report documentation.</t>
  </si>
  <si>
    <t>Number of Reportable Events per Year (average 2016-2018)</t>
  </si>
  <si>
    <t>Construction sites (only Voglte 3&amp;4)</t>
  </si>
  <si>
    <t>Total Tests</t>
  </si>
  <si>
    <t>FFD program performance data (2016-2018)</t>
  </si>
  <si>
    <t>Total Annual 
Burden 
Hours</t>
  </si>
  <si>
    <t>Total Annual Burden 
Hours</t>
  </si>
  <si>
    <r>
      <t xml:space="preserve">Number of </t>
    </r>
    <r>
      <rPr>
        <u/>
        <sz val="10"/>
        <color theme="1"/>
        <rFont val="Arial"/>
        <family val="2"/>
      </rPr>
      <t>drug &amp; alcohol</t>
    </r>
    <r>
      <rPr>
        <sz val="10"/>
        <color theme="1"/>
        <rFont val="Arial"/>
        <family val="2"/>
      </rPr>
      <t xml:space="preserve"> positive, adulterated, substituted, and refusal to test results</t>
    </r>
  </si>
  <si>
    <t>D&amp;A Prgm</t>
  </si>
  <si>
    <r>
      <t xml:space="preserve">Number of </t>
    </r>
    <r>
      <rPr>
        <u/>
        <sz val="10"/>
        <color theme="1"/>
        <rFont val="Arial"/>
        <family val="2"/>
      </rPr>
      <t>drug only positive</t>
    </r>
    <r>
      <rPr>
        <sz val="10"/>
        <color theme="1"/>
        <rFont val="Arial"/>
        <family val="2"/>
      </rPr>
      <t>, adulterated, substituted, and refusal to test results</t>
    </r>
  </si>
  <si>
    <t>FFD prgm</t>
  </si>
  <si>
    <t>Vogtle 1&amp;2 - 2016</t>
  </si>
  <si>
    <t>Vogtle 1&amp;2 - 2017</t>
  </si>
  <si>
    <t>Vogtle 1&amp;2 - 2018</t>
  </si>
  <si>
    <t>FFD program performance data (average of 2016-2018)</t>
  </si>
  <si>
    <t>Voglte 1&amp;2</t>
  </si>
  <si>
    <t>Vogtle 3 (operating)</t>
  </si>
  <si>
    <t>Vogtle 4 (operating)</t>
  </si>
  <si>
    <t>Average Results (2016-2018)
Vogtle 1&amp;2 for extrapolation for Units 3&amp;4  (2021-2024)</t>
  </si>
  <si>
    <r>
      <t xml:space="preserve">All Sites </t>
    </r>
    <r>
      <rPr>
        <sz val="10"/>
        <color rgb="FFFF0000"/>
        <rFont val="Arial"/>
        <family val="2"/>
      </rPr>
      <t>(with extrapolated Vogtle 3&amp;4 operating values added)</t>
    </r>
  </si>
  <si>
    <t>Voglte 4 will be subject to a full D&amp;A program for 2 years of the new clearance period</t>
  </si>
  <si>
    <t>Voglte 3 will be subject to a full D&amp;A program for all 3 years of new clearance</t>
  </si>
  <si>
    <t>for y1 of new clearance (unit 3 operating so 1/2 values)</t>
  </si>
  <si>
    <t>for y2 of new clearance (both operating)</t>
  </si>
  <si>
    <t>for y3 of new clearance (both operating)</t>
  </si>
  <si>
    <t>Average Population Subject to Random Testing</t>
  </si>
  <si>
    <t>&lt;&lt; V.C. Summer 2&amp;3 ceased construction in 2017</t>
  </si>
  <si>
    <r>
      <t xml:space="preserve">DECOMMISSIONING </t>
    </r>
    <r>
      <rPr>
        <b/>
        <sz val="10"/>
        <color rgb="FFFF0000"/>
        <rFont val="Arial"/>
        <family val="2"/>
      </rPr>
      <t>&amp; CEASED CONSTRUCTION</t>
    </r>
  </si>
  <si>
    <t>Burden accounted for under 
section 26.715(b)(14)</t>
  </si>
  <si>
    <t>26.129(d): LTF personnel documenting the testing process and transfers of custody of each specimen and aliquots</t>
  </si>
  <si>
    <t>Total Number of Respondents</t>
  </si>
  <si>
    <t>Reactor construction sites D&amp;A testing programs</t>
  </si>
  <si>
    <t>Third-party respondents</t>
  </si>
  <si>
    <t>Pre-access testing (D&amp;A testing programs)</t>
  </si>
  <si>
    <t>BPTS suppliers</t>
  </si>
  <si>
    <t>EAPs</t>
  </si>
  <si>
    <t>Non-licensee collection sites</t>
  </si>
  <si>
    <t>Total Respondents</t>
  </si>
  <si>
    <t>Pre-access testing (reactor construction site D&amp;A testing programs</t>
  </si>
  <si>
    <t>Total Number of Responses</t>
  </si>
  <si>
    <t>Annual Reporting Responses (Table 3)</t>
  </si>
  <si>
    <t>Recordkeepers</t>
  </si>
  <si>
    <t>Third-party Responses (Table 4)</t>
  </si>
  <si>
    <t>Total Responses</t>
  </si>
  <si>
    <t>Operating reactors</t>
  </si>
  <si>
    <t>Fuel Cycle facilities</t>
  </si>
  <si>
    <t>Contractor/Vendors (C/Vs)</t>
  </si>
  <si>
    <t>C/Vs</t>
  </si>
  <si>
    <t>FFD D&amp;A Testing Programs --- Site Totals</t>
  </si>
  <si>
    <t>26.29(c)(2): Record of training completion 
(annual refresher training on FFD policy)</t>
  </si>
  <si>
    <t>Unit 3 fuel load scheduled for by 11/23/20 (&amp; operating by November 2021); unit 4 scheduled for fuel load by 11/23/20 (&amp; opearing by November 2022)</t>
  </si>
  <si>
    <r>
      <rPr>
        <b/>
        <sz val="10"/>
        <rFont val="Arial"/>
        <family val="2"/>
      </rPr>
      <t xml:space="preserve">Decommissioning.  </t>
    </r>
    <r>
      <rPr>
        <sz val="10"/>
        <rFont val="Arial"/>
        <family val="2"/>
      </rPr>
      <t xml:space="preserve">In a February 8, 2017 letter (ML17044A004), the licensee submitted a Notification of Permanent Cessation of Power Operations for Indian Point 2 and 3. In this letter, Entergy provided notification to the NRC of its </t>
    </r>
    <r>
      <rPr>
        <u/>
        <sz val="10"/>
        <color rgb="FFFF0000"/>
        <rFont val="Arial"/>
        <family val="2"/>
      </rPr>
      <t>intent to permanently cease power operations at Indian Point 2 and 3 no later than April 30, 2020, and April 30, 2021, respectively</t>
    </r>
  </si>
  <si>
    <r>
      <rPr>
        <b/>
        <sz val="10"/>
        <rFont val="Arial"/>
        <family val="2"/>
      </rPr>
      <t xml:space="preserve">Decommissioning.  </t>
    </r>
    <r>
      <rPr>
        <sz val="10"/>
        <rFont val="Arial"/>
        <family val="2"/>
      </rPr>
      <t>In a September 25, 2018 letter (ML18268A258), Exelon certified to the NRC that it had permanently ceased operations on September 17, 2018 and as of September 25, 2018 all fuel had been permanently removed from the reactor vessel arid placed in the spent fuel pool.  In a July 1, 2019 Holtec Press Release (HH#34.10), Holtec announced completing the ownership transfer and acquisition of Oyster Creek Generating Station from Exelon Generation.</t>
    </r>
  </si>
  <si>
    <r>
      <rPr>
        <b/>
        <sz val="10"/>
        <rFont val="Arial"/>
        <family val="2"/>
      </rPr>
      <t xml:space="preserve">Decommissioning.  </t>
    </r>
    <r>
      <rPr>
        <sz val="10"/>
        <rFont val="Arial"/>
        <family val="2"/>
      </rPr>
      <t xml:space="preserve">Permanently ceased operations on December 29, 2019 (ML15013A426). On February 9, 2017, Entergy and NorthStar Group Services, Inc. (NorthStar) submitted a request to transfer the Vermont Yankee Nuclear Power Station license from Entergy to NorthStar for the purposes of expedited decommissioning. The NRC issued an Order approving the transfer of the plant operating license in October 2018. The transfer included the plant’s dry cask spent fuel storage facility. </t>
    </r>
  </si>
  <si>
    <t>needed for extrapolating site population for Vogtle 3&amp;4</t>
  </si>
  <si>
    <t>Extrapolated values Voglte 3&amp;4 (operating) (add to 2016-208 averages)</t>
  </si>
  <si>
    <t xml:space="preserve">26.203(c): Updates to training on fatigue management. </t>
  </si>
  <si>
    <t>26.203(a): Updates to fatigue management policy 
(in addition to 26.27 burden)</t>
  </si>
  <si>
    <t>26.203(b): Updates to fatigue management procedures 
(in addition to 26.27 burden)</t>
  </si>
  <si>
    <r>
      <t xml:space="preserve">Approved Clearance Values
</t>
    </r>
    <r>
      <rPr>
        <sz val="10"/>
        <color theme="1"/>
        <rFont val="Arial"/>
        <family val="2"/>
      </rPr>
      <t>(approved 04/03/2018 - ICR 201709-3150-004)</t>
    </r>
  </si>
  <si>
    <t>26.203(e)(1): Prepare information on waivers of work hour controls for inclusion in the annual FFD program performance report for fatigue management programs</t>
  </si>
  <si>
    <t>26.203(e)(2): Prepare summary of fatigue corrective actions for inclusion in the annual FFD program performance report for fatigue management programs</t>
  </si>
  <si>
    <r>
      <t>Approved Clearance Values</t>
    </r>
    <r>
      <rPr>
        <sz val="10"/>
        <rFont val="Arial"/>
        <family val="2"/>
      </rPr>
      <t xml:space="preserve">
(approved 04/03/2018 - ICR 201709-3150-004)</t>
    </r>
  </si>
  <si>
    <t>26.203(b): Prepare fatigue management procedures  
(in addition to 26.27 burden)</t>
  </si>
  <si>
    <t>26.111(c): Collector documents on CCF unusual specimen temperature and/or observations during the collection indicating possible tampering, and notifies FFD management</t>
  </si>
  <si>
    <t xml:space="preserve">Burden accounted for under 
sections 26.41(a) - (d), (f) and (g) </t>
  </si>
  <si>
    <t>attempts</t>
  </si>
  <si>
    <t>Number of Subversion Attempts FFD D&amp;A Testing Programs (2016-2018)</t>
  </si>
  <si>
    <t>Burden accounted for under 
section 26.107(b)</t>
  </si>
  <si>
    <t>Average</t>
  </si>
  <si>
    <r>
      <rPr>
        <b/>
        <sz val="10"/>
        <rFont val="Arial"/>
        <family val="2"/>
      </rPr>
      <t xml:space="preserve"> </t>
    </r>
    <r>
      <rPr>
        <b/>
        <sz val="10"/>
        <color theme="1"/>
        <rFont val="Arial"/>
        <family val="2"/>
      </rPr>
      <t>Total</t>
    </r>
  </si>
  <si>
    <t>Tables 1 + 2 Burden &gt;&gt;&gt;</t>
  </si>
  <si>
    <r>
      <rPr>
        <b/>
        <sz val="10"/>
        <rFont val="Arial"/>
        <family val="2"/>
      </rPr>
      <t>Decommissioning</t>
    </r>
    <r>
      <rPr>
        <sz val="10"/>
        <rFont val="Arial"/>
        <family val="2"/>
      </rPr>
      <t>.  By letter to the NRC on 01/18/2018, Nextera Duane Arnold announced it will permanently cease operations in the 4th quarter of 2020.  By letter datated August 27, 2020, Duane Arnold was shut down on August 10, 2020 in response to a derecho storm and will remain shut down and begin the decommissioning process. Duane Arnold permanently ceased power operations on August 10, 2020 (ML20240A067 - letter from NextEra dated 08/27/20).</t>
    </r>
  </si>
  <si>
    <r>
      <rPr>
        <b/>
        <sz val="10"/>
        <rFont val="Arial"/>
        <family val="2"/>
      </rPr>
      <t xml:space="preserve">Decommissioning. </t>
    </r>
    <r>
      <rPr>
        <sz val="10"/>
        <rFont val="Arial"/>
        <family val="2"/>
      </rPr>
      <t>Certification of Permanent Cessation of Operations and Permanent Removal of Fuel (shutdown on May 31, 2019 and fuel removed from reactor vessel on June 9, 2019) (ML19161A033).  In an August 26, 2019 Holtec Press Release (HH 34.16), Holtec announced completing acquisition of Pilgrim Nuclear Power Station in Massachusetts from Entergy Corporation. (https://holtecinternational.com/wp-content/uploads/2019/08/HH-34.16.pdf)</t>
    </r>
  </si>
  <si>
    <r>
      <rPr>
        <b/>
        <sz val="10"/>
        <rFont val="Arial"/>
        <family val="2"/>
      </rPr>
      <t xml:space="preserve">Decommissioning. </t>
    </r>
    <r>
      <rPr>
        <sz val="10"/>
        <rFont val="Arial"/>
        <family val="2"/>
      </rPr>
      <t xml:space="preserve"> Exelon letter to NRC certified removal of all fuel from reactor pressure vessel on September 26, 2019 (ML19269E480)</t>
    </r>
  </si>
  <si>
    <t xml:space="preserve"> Burden 
Estimate 
Change</t>
  </si>
  <si>
    <t>Not included in previous clearance</t>
  </si>
  <si>
    <t>26.9: Application to NRC for exemption (fatigue management program) – COVID-19</t>
  </si>
  <si>
    <r>
      <rPr>
        <u/>
        <sz val="11"/>
        <rFont val="Arial"/>
        <family val="2"/>
      </rPr>
      <t>Data source</t>
    </r>
    <r>
      <rPr>
        <sz val="11"/>
        <rFont val="Arial"/>
        <family val="2"/>
      </rPr>
      <t>: NRC Digest 2020-2021, NUREG 1350, vol.32 (ML20282A632)</t>
    </r>
  </si>
  <si>
    <t>Vista Energy</t>
  </si>
  <si>
    <r>
      <t>Southern Nuclear Operating Co</t>
    </r>
    <r>
      <rPr>
        <sz val="10"/>
        <color rgb="FFFF0000"/>
        <rFont val="Arial"/>
        <family val="2"/>
      </rPr>
      <t>.</t>
    </r>
  </si>
  <si>
    <t>Arizona Public Service Co.</t>
  </si>
  <si>
    <t>Review exemption request under section 26.9 
(Fatigue management program) – COVID-19</t>
  </si>
  <si>
    <r>
      <rPr>
        <b/>
        <sz val="10"/>
        <rFont val="Arial"/>
        <family val="2"/>
      </rPr>
      <t>Decommissioning</t>
    </r>
    <r>
      <rPr>
        <sz val="10"/>
        <rFont val="Arial"/>
        <family val="2"/>
      </rPr>
      <t>. In a September 28, 2017 letter (ML17271A233), Entergy notfied NRC of its intent to "</t>
    </r>
    <r>
      <rPr>
        <u/>
        <sz val="10"/>
        <color rgb="FFFF0000"/>
        <rFont val="Arial"/>
        <family val="2"/>
      </rPr>
      <t>permanently cease power operations at the Palisdaes Nuclear Plant (PNP) in the spring of 2022. A more specific date for permanent power cessation cannot be provided at this time due to fuel cycle duration variables.</t>
    </r>
    <r>
      <rPr>
        <sz val="10"/>
        <rFont val="Arial"/>
        <family val="2"/>
      </rPr>
      <t xml:space="preserve">" </t>
    </r>
  </si>
  <si>
    <r>
      <rPr>
        <b/>
        <sz val="10"/>
        <rFont val="Arial"/>
        <family val="2"/>
      </rPr>
      <t xml:space="preserve">Decommissioning.  </t>
    </r>
    <r>
      <rPr>
        <sz val="10"/>
        <rFont val="Arial"/>
        <family val="2"/>
      </rPr>
      <t xml:space="preserve">In a September 2, 2020 letter (ML20246G613), the licensee submitted a Notification of Permanent Cessation of Power Operations for Byron Units 1 and 2. In this letter, Exelon provided notification to the NRC of its </t>
    </r>
    <r>
      <rPr>
        <u/>
        <sz val="10"/>
        <color rgb="FFFF0000"/>
        <rFont val="Arial"/>
        <family val="2"/>
      </rPr>
      <t>intent to permanently cease power operations at Byron Units 1 and 2 on or before September 30, 2021, due to sever economic challenges.</t>
    </r>
  </si>
  <si>
    <r>
      <rPr>
        <u/>
        <sz val="11"/>
        <rFont val="Arial"/>
        <family val="2"/>
      </rPr>
      <t>Last updated</t>
    </r>
    <r>
      <rPr>
        <sz val="11"/>
        <rFont val="Arial"/>
        <family val="2"/>
      </rPr>
      <t>: November 23, 2020, Brian Zaleski (NRC)</t>
    </r>
  </si>
  <si>
    <t>Facility 
Type</t>
  </si>
  <si>
    <t>Reactor 
Name</t>
  </si>
  <si>
    <t>Parent 
Company</t>
  </si>
  <si>
    <r>
      <rPr>
        <sz val="10"/>
        <color rgb="FFFF0000"/>
        <rFont val="Arial"/>
        <family val="2"/>
      </rPr>
      <t xml:space="preserve">Laboratory Corporation of America - </t>
    </r>
    <r>
      <rPr>
        <sz val="10"/>
        <color theme="1"/>
        <rFont val="Arial"/>
        <family val="2"/>
      </rPr>
      <t>MedTox Laboratories (St. Paul, MN)</t>
    </r>
  </si>
  <si>
    <t>Red color indicates change from last clearance period</t>
  </si>
  <si>
    <t>Entergy Corporation, Inc.</t>
  </si>
  <si>
    <t>Energy Harbor Corp.</t>
  </si>
  <si>
    <t>NextEra Energy Inc.</t>
  </si>
  <si>
    <t>Talen Energy Corp.</t>
  </si>
  <si>
    <t>(units 3 and 4 will come online during this clearance period)</t>
  </si>
  <si>
    <r>
      <t xml:space="preserve">Byron </t>
    </r>
    <r>
      <rPr>
        <sz val="11"/>
        <color rgb="FFFF0000"/>
        <rFont val="Arial"/>
        <family val="2"/>
      </rPr>
      <t>(planned shutdown by 09/30/2021)</t>
    </r>
  </si>
  <si>
    <r>
      <t xml:space="preserve">Dresden </t>
    </r>
    <r>
      <rPr>
        <sz val="11"/>
        <color rgb="FFFF0000"/>
        <rFont val="Arial"/>
        <family val="2"/>
      </rPr>
      <t>(planned shutdown by 11/30/2021)</t>
    </r>
  </si>
  <si>
    <r>
      <t xml:space="preserve">Palisades </t>
    </r>
    <r>
      <rPr>
        <sz val="11"/>
        <color rgb="FFFF0000"/>
        <rFont val="Arial"/>
        <family val="2"/>
      </rPr>
      <t>(planned shutdown in Spring 2022)</t>
    </r>
  </si>
  <si>
    <r>
      <t xml:space="preserve">Palisades </t>
    </r>
    <r>
      <rPr>
        <sz val="11"/>
        <color rgb="FFFF0000"/>
        <rFont val="Arial"/>
        <family val="2"/>
      </rPr>
      <t>(planned shutdown in spring 2022)</t>
    </r>
  </si>
  <si>
    <r>
      <t>Dresden</t>
    </r>
    <r>
      <rPr>
        <sz val="11"/>
        <color rgb="FFFF0000"/>
        <rFont val="Arial"/>
        <family val="2"/>
      </rPr>
      <t xml:space="preserve"> (planned shutdown by 11/30/2021)</t>
    </r>
  </si>
  <si>
    <r>
      <t xml:space="preserve">Byron </t>
    </r>
    <r>
      <rPr>
        <sz val="10"/>
        <color rgb="FFFF0000"/>
        <rFont val="Arial"/>
        <family val="2"/>
      </rPr>
      <t>(will only operate for 152 days of 1st year of clearance)</t>
    </r>
  </si>
  <si>
    <r>
      <t xml:space="preserve">Dresden </t>
    </r>
    <r>
      <rPr>
        <sz val="10"/>
        <color rgb="FFFF0000"/>
        <rFont val="Arial"/>
        <family val="2"/>
      </rPr>
      <t>(will only operate for 213 days of 1st year of clearance)</t>
    </r>
  </si>
  <si>
    <t xml:space="preserve">removed, will not operate in 2nd or 3rd year of clearance period </t>
  </si>
  <si>
    <t xml:space="preserve">removed, will not operate in  3rd year of clearance period </t>
  </si>
  <si>
    <t>removed, will not operate in 2nd or 3rd year of clearance period, fully year of ops in year 1</t>
  </si>
  <si>
    <r>
      <t>V.C. Summer 1</t>
    </r>
    <r>
      <rPr>
        <sz val="11"/>
        <color rgb="FFFF0000"/>
        <rFont val="Arial"/>
        <family val="2"/>
      </rPr>
      <t xml:space="preserve"> (acquisition from South Carolina Electric &amp; Gas</t>
    </r>
    <r>
      <rPr>
        <sz val="11"/>
        <rFont val="Arial"/>
        <family val="2"/>
      </rPr>
      <t>)</t>
    </r>
  </si>
  <si>
    <t>26.411(a) and (b): Collection of personal information under Subpart K of Part 26</t>
  </si>
  <si>
    <t>&lt;&lt; includes extrapolated Vogtle 3&amp;4 values; adjusted values for Byron, Dresden, Palisades decon in year 1</t>
  </si>
  <si>
    <t>&lt;&lt;&lt;&lt; applicable days Yr1 :</t>
  </si>
  <si>
    <t>see Reactor Info worksheet (days from start of clearance to shutdown)</t>
  </si>
  <si>
    <t>removed &amp; then adjusted for 1st yr of clearance period ops of only 152 days b4 shutdown (row 14 above)</t>
  </si>
  <si>
    <t>removed &amp; then adjusted for 1st yr of clearance period ops of only 213 days b4 shutdown (row 15 above)</t>
  </si>
  <si>
    <t>Vogtle 3&amp;4 (extrapolated as operating sites, used Vogtle 1&amp;2)</t>
  </si>
  <si>
    <t>&lt;&lt; New site in decommissioning</t>
  </si>
  <si>
    <t>All Sites (with modeled ops #s for Vogtle 3&amp;4, Byron &amp; Dresden)</t>
  </si>
  <si>
    <r>
      <t xml:space="preserve">V.C. Summer 2&amp;3 </t>
    </r>
    <r>
      <rPr>
        <i/>
        <sz val="10"/>
        <color theme="1"/>
        <rFont val="Arial"/>
        <family val="2"/>
      </rPr>
      <t>(ended construction in 2017)</t>
    </r>
  </si>
  <si>
    <t>&lt;&lt; Planned to enter decommissioning Spring 2022 (Removed work pop for yrs 2&amp;3 of clearance; work pop included for 1st yr of clearance - fully operating)</t>
  </si>
  <si>
    <t>&lt;&lt; Planned to enter decommissioning in Sept 2021 (Removed work pop for yrs 2&amp;3 of clearance; included proportional work pop #'s for yr1 (not operating 365-152 = 213 days)</t>
  </si>
  <si>
    <t>&lt;&lt; Planned to enter decommissioning in Nov 2021 (Removed worker pop for yrs 2&amp;3 of clearance, included proportional work pop #'s for yr1 (not operating 365-213 =152 days)</t>
  </si>
  <si>
    <t>Excludes 10 decommissioning sites (Crystal River, Duane Arnold, Fort Calhoun, Indian Point, Kewaunee, Oyster Creek, Pilgrim, San Onofre, Three Mile Island, and Vermont Yankee).  Three additional sites will permanently shutdown during the first year of this clearance period (Byron, Dresden, and Palisades)</t>
  </si>
  <si>
    <t>26.9: Application to NRC for exemption (D&amp;A testing program)</t>
  </si>
  <si>
    <t>Review exemption request under section 26.9 
(D&amp;A testing program)</t>
  </si>
  <si>
    <t>Applicable 
Days under Clearance</t>
  </si>
  <si>
    <r>
      <rPr>
        <b/>
        <sz val="10"/>
        <rFont val="Arial"/>
        <family val="2"/>
      </rPr>
      <t>Decommissioning</t>
    </r>
    <r>
      <rPr>
        <sz val="10"/>
        <rFont val="Arial"/>
        <family val="2"/>
      </rPr>
      <t>.  In a September 2, 2020 letter, the licensee submitted a Notification of Permanent Cessation of Power Operations for Dresden Units 2 and 3. In this letter, Exelon provided notification to the NRC of its</t>
    </r>
    <r>
      <rPr>
        <u/>
        <sz val="10"/>
        <color rgb="FFFF0000"/>
        <rFont val="Arial"/>
        <family val="2"/>
      </rPr>
      <t xml:space="preserve"> intent to permanently cease power operations at Dresden Units 2 and 3 on or before November 30, 2021, due to sever economic challenges</t>
    </r>
    <r>
      <rPr>
        <sz val="10"/>
        <rFont val="Arial"/>
        <family val="2"/>
      </rPr>
      <t>.</t>
    </r>
  </si>
  <si>
    <t>&lt;&lt; in Feb 2021, Quest announced that Tucker, GA lab would close in March 2021</t>
  </si>
  <si>
    <t>Vogtle Units 3 &amp; 4 (will complete construction and begin to operate during the 2021-2024 clearance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</si>
</sst>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4" formatCode="_(&quot;$&quot;* #,##0.00_);_(&quot;$&quot;* \(#,##0.00\);_(&quot;$&quot;* &quot;-&quot;??_);_(@_)"/>
    <numFmt numFmtId="43" formatCode="_(* #,##0.00_);_(* \(#,##0.00\);_(* &quot;-&quot;??_);_(@_)"/>
    <numFmt numFmtId="164" formatCode="_(* #,##0.0_);_(* \(#,##0.0\);_(* &quot;-&quot;??_);_(@_)"/>
    <numFmt numFmtId="165" formatCode="_(&quot;$&quot;* #,##0_);_(&quot;$&quot;* \(#,##0\);_(&quot;$&quot;* &quot;-&quot;??_);_(@_)"/>
    <numFmt numFmtId="166" formatCode="_(* #,##0.0_);_(* \(#,##0.0\);\ 0;_(@_)"/>
    <numFmt numFmtId="167" formatCode="_(* #,##0.0_);_(* \(#,##0.0\);_(* &quot;-&quot;?_);_(@_)"/>
    <numFmt numFmtId="168" formatCode="0.0%"/>
    <numFmt numFmtId="169" formatCode="_(* #,##0.0_);_(* \(#,##0.0\);0;_(@_)"/>
    <numFmt numFmtId="170" formatCode="#,###,##0"/>
    <numFmt numFmtId="171" formatCode="_(* #,##0.0_);_(* \(#,##0.0\);\ 0\ ;_(@_)"/>
    <numFmt numFmtId="172" formatCode="mmm\-dd\-yyyy"/>
    <numFmt numFmtId="173" formatCode="_(* #,##0_);_(* \(#,##0\);_(* &quot;-&quot;??_);_(@_)"/>
    <numFmt numFmtId="174" formatCode="#,##0.0"/>
    <numFmt numFmtId="175" formatCode="#,###,##0.0"/>
    <numFmt numFmtId="176" formatCode="0.0"/>
    <numFmt numFmtId="177" formatCode="mmm\ yyyy"/>
    <numFmt numFmtId="178" formatCode="_(* #,##0.00_);_(* \(#,##0.00\);\ 0.0;_(@_)"/>
  </numFmts>
  <fonts count="38" x14ac:knownFonts="1">
    <font>
      <sz val="11"/>
      <color theme="1"/>
      <name val="Arial"/>
      <family val="2"/>
    </font>
    <font>
      <b/>
      <sz val="11"/>
      <color theme="1"/>
      <name val="Arial"/>
      <family val="2"/>
    </font>
    <font>
      <sz val="11"/>
      <color theme="1"/>
      <name val="Arial"/>
      <family val="2"/>
    </font>
    <font>
      <b/>
      <sz val="10"/>
      <color theme="1"/>
      <name val="Arial"/>
      <family val="2"/>
    </font>
    <font>
      <sz val="10"/>
      <color theme="1"/>
      <name val="Arial"/>
      <family val="2"/>
    </font>
    <font>
      <vertAlign val="superscript"/>
      <sz val="10"/>
      <color theme="1"/>
      <name val="Arial"/>
      <family val="2"/>
    </font>
    <font>
      <sz val="10"/>
      <name val="Arial"/>
      <family val="2"/>
    </font>
    <font>
      <b/>
      <sz val="10"/>
      <name val="Arial"/>
      <family val="2"/>
    </font>
    <font>
      <sz val="10"/>
      <color rgb="FFFF0000"/>
      <name val="Arial"/>
      <family val="2"/>
    </font>
    <font>
      <u/>
      <sz val="10"/>
      <color theme="1"/>
      <name val="Arial"/>
      <family val="2"/>
    </font>
    <font>
      <b/>
      <sz val="10"/>
      <color indexed="8"/>
      <name val="Arial"/>
      <family val="2"/>
    </font>
    <font>
      <sz val="10"/>
      <color indexed="8"/>
      <name val="Arial"/>
      <family val="2"/>
    </font>
    <font>
      <b/>
      <sz val="16"/>
      <color theme="1"/>
      <name val="Arial"/>
      <family val="2"/>
    </font>
    <font>
      <b/>
      <sz val="16"/>
      <name val="Arial"/>
      <family val="2"/>
    </font>
    <font>
      <sz val="9"/>
      <color theme="1"/>
      <name val="Arial"/>
      <family val="2"/>
    </font>
    <font>
      <b/>
      <sz val="12"/>
      <color theme="1"/>
      <name val="Arial"/>
      <family val="2"/>
    </font>
    <font>
      <b/>
      <sz val="11"/>
      <color indexed="8"/>
      <name val="Arial"/>
      <family val="2"/>
    </font>
    <font>
      <u/>
      <sz val="10"/>
      <color rgb="FFFF0000"/>
      <name val="Arial"/>
      <family val="2"/>
    </font>
    <font>
      <sz val="11"/>
      <color rgb="FFFF0000"/>
      <name val="Arial"/>
      <family val="2"/>
    </font>
    <font>
      <b/>
      <sz val="11"/>
      <color rgb="FFFF0000"/>
      <name val="Arial"/>
      <family val="2"/>
    </font>
    <font>
      <b/>
      <sz val="10"/>
      <color rgb="FFFF0000"/>
      <name val="Arial"/>
      <family val="2"/>
    </font>
    <font>
      <i/>
      <sz val="10"/>
      <color theme="1"/>
      <name val="Arial"/>
      <family val="2"/>
    </font>
    <font>
      <b/>
      <sz val="11"/>
      <name val="Arial"/>
      <family val="2"/>
    </font>
    <font>
      <sz val="11"/>
      <name val="Arial"/>
      <family val="2"/>
    </font>
    <font>
      <b/>
      <sz val="12"/>
      <name val="Arial"/>
      <family val="2"/>
    </font>
    <font>
      <u/>
      <sz val="11"/>
      <name val="Arial"/>
      <family val="2"/>
    </font>
    <font>
      <b/>
      <sz val="9"/>
      <name val="Arial"/>
      <family val="2"/>
    </font>
    <font>
      <sz val="9"/>
      <color rgb="FFFF0000"/>
      <name val="Arial"/>
      <family val="2"/>
    </font>
    <font>
      <sz val="9"/>
      <name val="Arial"/>
      <family val="2"/>
    </font>
    <font>
      <b/>
      <u/>
      <sz val="11"/>
      <color theme="1"/>
      <name val="Arial"/>
      <family val="2"/>
    </font>
    <font>
      <u/>
      <sz val="10"/>
      <name val="Arial"/>
      <family val="2"/>
    </font>
    <font>
      <b/>
      <sz val="14"/>
      <color theme="1"/>
      <name val="Arial"/>
      <family val="2"/>
    </font>
    <font>
      <b/>
      <sz val="9"/>
      <color rgb="FFFF0000"/>
      <name val="Arial"/>
      <family val="2"/>
    </font>
    <font>
      <sz val="14"/>
      <color theme="1"/>
      <name val="Arial"/>
      <family val="2"/>
    </font>
    <font>
      <sz val="8"/>
      <name val="Arial"/>
      <family val="2"/>
    </font>
    <font>
      <sz val="11"/>
      <color theme="0"/>
      <name val="Arial"/>
      <family val="2"/>
    </font>
    <font>
      <b/>
      <strike/>
      <sz val="10"/>
      <name val="Arial"/>
      <family val="2"/>
    </font>
    <font>
      <b/>
      <strike/>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1"/>
        <bgColor indexed="64"/>
      </patternFill>
    </fill>
    <fill>
      <patternFill patternType="solid">
        <fgColor theme="1" tint="0.249977111117893"/>
        <bgColor indexed="64"/>
      </patternFill>
    </fill>
    <fill>
      <patternFill patternType="solid">
        <fgColor rgb="FF00B0F0"/>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dashDot">
        <color indexed="64"/>
      </bottom>
      <diagonal/>
    </border>
    <border>
      <left style="dashDot">
        <color indexed="64"/>
      </left>
      <right style="dashDot">
        <color indexed="64"/>
      </right>
      <top style="dashDot">
        <color indexed="64"/>
      </top>
      <bottom style="dashDot">
        <color indexed="64"/>
      </bottom>
      <diagonal/>
    </border>
    <border>
      <left style="dashDot">
        <color indexed="64"/>
      </left>
      <right style="medium">
        <color indexed="64"/>
      </right>
      <top style="dashDot">
        <color indexed="64"/>
      </top>
      <bottom style="dashDot">
        <color indexed="64"/>
      </bottom>
      <diagonal/>
    </border>
    <border>
      <left style="medium">
        <color indexed="64"/>
      </left>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right/>
      <top style="thin">
        <color indexed="64"/>
      </top>
      <bottom style="double">
        <color indexed="64"/>
      </bottom>
      <diagonal/>
    </border>
    <border>
      <left/>
      <right/>
      <top style="thin">
        <color theme="6" tint="0.79998168889431442"/>
      </top>
      <bottom style="thin">
        <color theme="6" tint="0.79998168889431442"/>
      </bottom>
      <diagonal/>
    </border>
    <border>
      <left/>
      <right/>
      <top/>
      <bottom style="thin">
        <color theme="6" tint="0.79998168889431442"/>
      </bottom>
      <diagonal/>
    </border>
    <border>
      <left/>
      <right/>
      <top style="thin">
        <color theme="6" tint="0.79998168889431442"/>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6" fillId="0" borderId="0"/>
  </cellStyleXfs>
  <cellXfs count="813">
    <xf numFmtId="0" fontId="0" fillId="0" borderId="0" xfId="0"/>
    <xf numFmtId="164" fontId="0" fillId="0" borderId="0" xfId="1" applyNumberFormat="1" applyFont="1"/>
    <xf numFmtId="164" fontId="0" fillId="0" borderId="0" xfId="1" applyNumberFormat="1" applyFont="1" applyFill="1"/>
    <xf numFmtId="164" fontId="1" fillId="0" borderId="0" xfId="1" applyNumberFormat="1" applyFont="1" applyFill="1"/>
    <xf numFmtId="164" fontId="0" fillId="0" borderId="0" xfId="1" applyNumberFormat="1" applyFont="1" applyFill="1" applyAlignment="1"/>
    <xf numFmtId="164" fontId="0" fillId="0" borderId="0" xfId="1" applyNumberFormat="1" applyFont="1" applyFill="1" applyAlignment="1">
      <alignment horizontal="right"/>
    </xf>
    <xf numFmtId="164" fontId="4" fillId="0" borderId="0" xfId="1" applyNumberFormat="1" applyFont="1" applyFill="1"/>
    <xf numFmtId="164" fontId="4" fillId="0" borderId="0" xfId="1" applyNumberFormat="1" applyFont="1" applyFill="1" applyAlignment="1">
      <alignment horizontal="left"/>
    </xf>
    <xf numFmtId="0" fontId="4" fillId="0" borderId="0" xfId="0" applyFont="1"/>
    <xf numFmtId="0" fontId="0" fillId="0" borderId="0" xfId="0" applyAlignment="1">
      <alignment horizontal="center"/>
    </xf>
    <xf numFmtId="0" fontId="0" fillId="0" borderId="0" xfId="0" applyBorder="1"/>
    <xf numFmtId="0" fontId="0" fillId="0" borderId="0" xfId="0" applyFill="1"/>
    <xf numFmtId="0" fontId="6" fillId="2" borderId="1" xfId="1" applyNumberFormat="1" applyFont="1" applyFill="1" applyBorder="1" applyAlignment="1">
      <alignment horizontal="left" vertical="center" wrapText="1"/>
    </xf>
    <xf numFmtId="166" fontId="3" fillId="2" borderId="6" xfId="1" applyNumberFormat="1" applyFont="1" applyFill="1" applyBorder="1" applyAlignment="1">
      <alignment horizontal="right" vertical="center" wrapText="1"/>
    </xf>
    <xf numFmtId="164" fontId="3" fillId="2" borderId="7" xfId="1" applyNumberFormat="1" applyFont="1" applyFill="1" applyBorder="1" applyAlignment="1">
      <alignment horizontal="right" vertical="center" wrapText="1"/>
    </xf>
    <xf numFmtId="164" fontId="3" fillId="2" borderId="10" xfId="1" applyNumberFormat="1" applyFont="1" applyFill="1" applyBorder="1" applyAlignment="1">
      <alignment horizontal="right" vertical="center" wrapText="1"/>
    </xf>
    <xf numFmtId="164" fontId="3" fillId="2" borderId="7" xfId="1" applyNumberFormat="1"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164" fontId="4" fillId="2" borderId="0" xfId="1" applyNumberFormat="1" applyFont="1" applyFill="1"/>
    <xf numFmtId="164" fontId="0" fillId="2" borderId="0" xfId="1" applyNumberFormat="1" applyFont="1" applyFill="1"/>
    <xf numFmtId="170" fontId="4" fillId="0" borderId="0" xfId="0" applyNumberFormat="1" applyFont="1" applyFill="1" applyAlignment="1">
      <alignment horizontal="right"/>
    </xf>
    <xf numFmtId="0" fontId="11" fillId="0" borderId="0" xfId="0" applyFont="1"/>
    <xf numFmtId="3" fontId="11" fillId="0" borderId="0" xfId="0" applyNumberFormat="1" applyFont="1"/>
    <xf numFmtId="0" fontId="11" fillId="0" borderId="0" xfId="0" applyFont="1" applyAlignment="1">
      <alignment horizontal="left" indent="1"/>
    </xf>
    <xf numFmtId="0" fontId="11" fillId="0" borderId="0" xfId="0" applyFont="1" applyAlignment="1">
      <alignment horizontal="left"/>
    </xf>
    <xf numFmtId="168" fontId="4" fillId="2" borderId="0" xfId="3" applyNumberFormat="1" applyFont="1" applyFill="1"/>
    <xf numFmtId="164" fontId="0" fillId="0" borderId="0" xfId="1" applyNumberFormat="1" applyFont="1" applyFill="1" applyAlignment="1">
      <alignment vertical="center"/>
    </xf>
    <xf numFmtId="49" fontId="4" fillId="2" borderId="1" xfId="1" applyNumberFormat="1" applyFont="1" applyFill="1" applyBorder="1" applyAlignment="1">
      <alignment vertical="center" wrapText="1"/>
    </xf>
    <xf numFmtId="168" fontId="4" fillId="2" borderId="0" xfId="3" applyNumberFormat="1" applyFont="1" applyFill="1" applyBorder="1" applyAlignment="1">
      <alignment vertical="center"/>
    </xf>
    <xf numFmtId="0" fontId="4" fillId="2" borderId="0" xfId="0" applyFont="1" applyFill="1"/>
    <xf numFmtId="0" fontId="0" fillId="0" borderId="0" xfId="0" applyAlignment="1">
      <alignment horizontal="right"/>
    </xf>
    <xf numFmtId="164" fontId="4" fillId="2" borderId="0" xfId="1" applyNumberFormat="1" applyFont="1" applyFill="1" applyAlignment="1">
      <alignment horizontal="left"/>
    </xf>
    <xf numFmtId="0" fontId="4" fillId="2" borderId="1" xfId="1" applyNumberFormat="1" applyFont="1" applyFill="1" applyBorder="1" applyAlignment="1">
      <alignment horizontal="left" vertical="top" wrapText="1"/>
    </xf>
    <xf numFmtId="0" fontId="4" fillId="0" borderId="0" xfId="0" applyFont="1" applyBorder="1"/>
    <xf numFmtId="0" fontId="4" fillId="0" borderId="7" xfId="0" applyFont="1" applyBorder="1"/>
    <xf numFmtId="0" fontId="4" fillId="0" borderId="0" xfId="0" applyFont="1" applyFill="1" applyBorder="1" applyAlignment="1">
      <alignment horizontal="center"/>
    </xf>
    <xf numFmtId="0" fontId="4" fillId="0" borderId="0" xfId="0" applyFont="1" applyFill="1" applyBorder="1"/>
    <xf numFmtId="0" fontId="4" fillId="0" borderId="0" xfId="0" applyFont="1" applyBorder="1" applyAlignment="1">
      <alignment horizontal="center"/>
    </xf>
    <xf numFmtId="0" fontId="3" fillId="0" borderId="1" xfId="1" applyNumberFormat="1" applyFont="1" applyFill="1" applyBorder="1" applyAlignment="1">
      <alignment horizontal="left" vertical="center" wrapText="1"/>
    </xf>
    <xf numFmtId="49" fontId="3" fillId="0" borderId="1" xfId="1" applyNumberFormat="1" applyFont="1" applyFill="1" applyBorder="1" applyAlignment="1">
      <alignment vertical="center" wrapText="1"/>
    </xf>
    <xf numFmtId="164" fontId="3" fillId="0" borderId="1" xfId="1" applyNumberFormat="1" applyFont="1" applyFill="1" applyBorder="1" applyAlignment="1">
      <alignment horizontal="center" vertical="center" wrapText="1"/>
    </xf>
    <xf numFmtId="0" fontId="0" fillId="0" borderId="0" xfId="0" applyFill="1" applyAlignment="1">
      <alignment horizontal="center"/>
    </xf>
    <xf numFmtId="3" fontId="11" fillId="0" borderId="0" xfId="0" applyNumberFormat="1" applyFont="1" applyFill="1"/>
    <xf numFmtId="0" fontId="11" fillId="0" borderId="0" xfId="0" applyFont="1" applyFill="1"/>
    <xf numFmtId="0" fontId="3" fillId="0" borderId="1" xfId="1" applyNumberFormat="1" applyFont="1" applyFill="1" applyBorder="1" applyAlignment="1">
      <alignment horizontal="center" vertical="center" wrapText="1"/>
    </xf>
    <xf numFmtId="164" fontId="3" fillId="2" borderId="8" xfId="1" applyNumberFormat="1" applyFont="1" applyFill="1" applyBorder="1" applyAlignment="1">
      <alignment horizontal="right" vertical="center" wrapText="1"/>
    </xf>
    <xf numFmtId="164" fontId="0" fillId="0" borderId="0" xfId="1" applyNumberFormat="1" applyFont="1" applyFill="1" applyBorder="1"/>
    <xf numFmtId="0" fontId="3" fillId="0" borderId="12" xfId="1" applyNumberFormat="1" applyFont="1" applyFill="1" applyBorder="1" applyAlignment="1">
      <alignment horizontal="left" vertical="center" wrapText="1"/>
    </xf>
    <xf numFmtId="0" fontId="3" fillId="0" borderId="12" xfId="1" applyNumberFormat="1" applyFont="1" applyFill="1" applyBorder="1" applyAlignment="1">
      <alignment horizontal="center" vertical="center" wrapText="1"/>
    </xf>
    <xf numFmtId="0" fontId="0" fillId="0" borderId="7" xfId="0" applyFill="1" applyBorder="1"/>
    <xf numFmtId="0" fontId="0" fillId="0" borderId="7" xfId="0" applyBorder="1"/>
    <xf numFmtId="0" fontId="0" fillId="0" borderId="7" xfId="0" applyFill="1" applyBorder="1" applyAlignment="1">
      <alignment horizontal="center"/>
    </xf>
    <xf numFmtId="0" fontId="11" fillId="0" borderId="7" xfId="0" applyFont="1" applyBorder="1"/>
    <xf numFmtId="3" fontId="11" fillId="0" borderId="7" xfId="0" applyNumberFormat="1" applyFont="1" applyBorder="1"/>
    <xf numFmtId="0" fontId="3" fillId="3" borderId="4" xfId="0" applyFont="1" applyFill="1" applyBorder="1"/>
    <xf numFmtId="0" fontId="10" fillId="3" borderId="4" xfId="0" applyFont="1" applyFill="1" applyBorder="1"/>
    <xf numFmtId="3" fontId="10" fillId="3" borderId="4" xfId="0" applyNumberFormat="1" applyFont="1" applyFill="1" applyBorder="1"/>
    <xf numFmtId="0" fontId="11" fillId="0" borderId="7" xfId="0" applyFont="1" applyBorder="1" applyAlignment="1">
      <alignment horizontal="left"/>
    </xf>
    <xf numFmtId="0" fontId="11" fillId="0" borderId="7" xfId="0" applyFont="1" applyBorder="1" applyAlignment="1">
      <alignment horizontal="left" indent="1"/>
    </xf>
    <xf numFmtId="0" fontId="11" fillId="0" borderId="7" xfId="0" applyFont="1" applyFill="1" applyBorder="1"/>
    <xf numFmtId="170" fontId="4" fillId="0" borderId="7" xfId="0" applyNumberFormat="1" applyFont="1" applyFill="1" applyBorder="1" applyAlignment="1">
      <alignment horizontal="right"/>
    </xf>
    <xf numFmtId="0" fontId="0" fillId="3" borderId="4" xfId="0" applyFill="1" applyBorder="1"/>
    <xf numFmtId="0" fontId="0" fillId="3" borderId="4" xfId="0" applyFill="1" applyBorder="1" applyAlignment="1">
      <alignment horizontal="center"/>
    </xf>
    <xf numFmtId="0" fontId="0" fillId="0" borderId="4" xfId="0" applyBorder="1"/>
    <xf numFmtId="0" fontId="0" fillId="0" borderId="4" xfId="0" applyBorder="1" applyAlignment="1">
      <alignment horizontal="center"/>
    </xf>
    <xf numFmtId="0" fontId="11" fillId="0" borderId="0" xfId="0" applyFont="1" applyAlignment="1">
      <alignment horizontal="right"/>
    </xf>
    <xf numFmtId="3" fontId="11" fillId="0" borderId="4" xfId="0" applyNumberFormat="1" applyFont="1" applyFill="1" applyBorder="1"/>
    <xf numFmtId="49" fontId="4" fillId="2" borderId="8" xfId="1" applyNumberFormat="1" applyFont="1" applyFill="1" applyBorder="1" applyAlignment="1">
      <alignment vertical="center" wrapText="1"/>
    </xf>
    <xf numFmtId="167" fontId="4" fillId="2" borderId="8" xfId="0" applyNumberFormat="1" applyFont="1" applyFill="1" applyBorder="1" applyAlignment="1">
      <alignment vertical="center"/>
    </xf>
    <xf numFmtId="164" fontId="4" fillId="2" borderId="1" xfId="1" applyNumberFormat="1" applyFont="1" applyFill="1" applyBorder="1" applyAlignment="1">
      <alignment horizontal="center" vertical="center" wrapText="1"/>
    </xf>
    <xf numFmtId="0" fontId="4" fillId="2" borderId="1" xfId="1" applyNumberFormat="1" applyFont="1" applyFill="1" applyBorder="1" applyAlignment="1">
      <alignment horizontal="left" vertical="center" wrapText="1"/>
    </xf>
    <xf numFmtId="164" fontId="4" fillId="2" borderId="12" xfId="1" applyNumberFormat="1" applyFont="1" applyFill="1" applyBorder="1" applyAlignment="1">
      <alignment horizontal="center" vertical="center" wrapText="1"/>
    </xf>
    <xf numFmtId="49" fontId="4" fillId="2" borderId="12" xfId="1" applyNumberFormat="1" applyFont="1" applyFill="1" applyBorder="1" applyAlignment="1">
      <alignment vertical="center" wrapText="1"/>
    </xf>
    <xf numFmtId="167" fontId="4" fillId="2" borderId="12" xfId="0" applyNumberFormat="1" applyFont="1" applyFill="1" applyBorder="1" applyAlignment="1">
      <alignment vertical="center"/>
    </xf>
    <xf numFmtId="164" fontId="6" fillId="2" borderId="1" xfId="1" applyNumberFormat="1" applyFont="1" applyFill="1" applyBorder="1" applyAlignment="1">
      <alignment horizontal="center" vertical="center" wrapText="1"/>
    </xf>
    <xf numFmtId="0" fontId="6" fillId="2" borderId="1" xfId="1" applyNumberFormat="1" applyFont="1" applyFill="1" applyBorder="1" applyAlignment="1">
      <alignment horizontal="left" vertical="top" wrapText="1"/>
    </xf>
    <xf numFmtId="0" fontId="4" fillId="2" borderId="12" xfId="1" applyNumberFormat="1" applyFont="1" applyFill="1" applyBorder="1" applyAlignment="1">
      <alignment horizontal="left" vertical="center" wrapText="1"/>
    </xf>
    <xf numFmtId="164" fontId="4" fillId="2" borderId="8" xfId="1" applyNumberFormat="1" applyFont="1" applyFill="1" applyBorder="1" applyAlignment="1">
      <alignment vertical="center"/>
    </xf>
    <xf numFmtId="49" fontId="6" fillId="2" borderId="1" xfId="1" applyNumberFormat="1" applyFont="1" applyFill="1" applyBorder="1" applyAlignment="1">
      <alignment vertical="center" wrapText="1"/>
    </xf>
    <xf numFmtId="0" fontId="4" fillId="2" borderId="8" xfId="1" applyNumberFormat="1" applyFont="1" applyFill="1" applyBorder="1" applyAlignment="1">
      <alignment vertical="top" wrapText="1"/>
    </xf>
    <xf numFmtId="0" fontId="4" fillId="2" borderId="1" xfId="1" applyNumberFormat="1" applyFont="1" applyFill="1" applyBorder="1" applyAlignment="1">
      <alignment vertical="top" wrapText="1"/>
    </xf>
    <xf numFmtId="0" fontId="4" fillId="2" borderId="12" xfId="1" applyNumberFormat="1" applyFont="1" applyFill="1" applyBorder="1" applyAlignment="1">
      <alignment horizontal="left" vertical="top" wrapText="1"/>
    </xf>
    <xf numFmtId="0" fontId="4" fillId="2" borderId="12" xfId="1" applyNumberFormat="1" applyFont="1" applyFill="1" applyBorder="1" applyAlignment="1">
      <alignment vertical="top" wrapText="1"/>
    </xf>
    <xf numFmtId="0" fontId="3" fillId="2" borderId="12" xfId="1" applyNumberFormat="1" applyFont="1" applyFill="1" applyBorder="1" applyAlignment="1">
      <alignment horizontal="left" vertical="center" wrapText="1"/>
    </xf>
    <xf numFmtId="0" fontId="3" fillId="2" borderId="12" xfId="1" applyNumberFormat="1" applyFont="1" applyFill="1" applyBorder="1" applyAlignment="1">
      <alignment horizontal="center" vertical="center" wrapText="1"/>
    </xf>
    <xf numFmtId="0" fontId="6" fillId="2" borderId="8" xfId="1" applyNumberFormat="1" applyFont="1" applyFill="1" applyBorder="1" applyAlignment="1">
      <alignment vertical="top" wrapText="1"/>
    </xf>
    <xf numFmtId="164" fontId="0" fillId="0" borderId="0" xfId="0" applyNumberFormat="1"/>
    <xf numFmtId="0" fontId="1" fillId="3" borderId="0" xfId="0" applyFont="1" applyFill="1" applyBorder="1" applyAlignment="1">
      <alignment horizontal="left" vertical="top" indent="1"/>
    </xf>
    <xf numFmtId="0" fontId="0" fillId="3" borderId="0" xfId="0" applyFill="1" applyBorder="1"/>
    <xf numFmtId="0" fontId="0" fillId="3" borderId="0" xfId="0" applyFill="1" applyBorder="1" applyAlignment="1">
      <alignment horizontal="center"/>
    </xf>
    <xf numFmtId="164" fontId="4" fillId="0" borderId="1" xfId="1" applyNumberFormat="1" applyFont="1" applyFill="1" applyBorder="1" applyAlignment="1">
      <alignment horizontal="center" vertical="center" wrapText="1"/>
    </xf>
    <xf numFmtId="167" fontId="4" fillId="2" borderId="13" xfId="0" applyNumberFormat="1" applyFont="1" applyFill="1" applyBorder="1" applyAlignment="1">
      <alignment vertical="center"/>
    </xf>
    <xf numFmtId="164" fontId="3" fillId="2" borderId="11" xfId="1" applyNumberFormat="1" applyFont="1" applyFill="1" applyBorder="1" applyAlignment="1">
      <alignment horizontal="center" vertical="center"/>
    </xf>
    <xf numFmtId="164" fontId="7" fillId="2" borderId="6" xfId="1" applyNumberFormat="1" applyFont="1" applyFill="1" applyBorder="1" applyAlignment="1">
      <alignment horizontal="center" vertical="center" wrapText="1"/>
    </xf>
    <xf numFmtId="3" fontId="8" fillId="0" borderId="7" xfId="0" applyNumberFormat="1" applyFont="1" applyBorder="1"/>
    <xf numFmtId="0" fontId="8" fillId="0" borderId="7" xfId="0" applyFont="1" applyBorder="1"/>
    <xf numFmtId="0" fontId="8" fillId="0" borderId="0" xfId="0" applyFont="1"/>
    <xf numFmtId="0" fontId="18" fillId="0" borderId="0" xfId="0" applyFont="1" applyAlignment="1">
      <alignment vertical="center"/>
    </xf>
    <xf numFmtId="0" fontId="6" fillId="3" borderId="4" xfId="0" applyFont="1" applyFill="1" applyBorder="1" applyAlignment="1">
      <alignment horizontal="center" vertical="center"/>
    </xf>
    <xf numFmtId="3" fontId="6" fillId="0" borderId="0" xfId="0" applyNumberFormat="1" applyFont="1"/>
    <xf numFmtId="3" fontId="6" fillId="4" borderId="7" xfId="0" applyNumberFormat="1" applyFont="1" applyFill="1" applyBorder="1"/>
    <xf numFmtId="3" fontId="20" fillId="0" borderId="0" xfId="0" applyNumberFormat="1" applyFont="1" applyFill="1"/>
    <xf numFmtId="0" fontId="19" fillId="0" borderId="0" xfId="0" applyFont="1"/>
    <xf numFmtId="3" fontId="11" fillId="4" borderId="7" xfId="0" applyNumberFormat="1" applyFont="1" applyFill="1" applyBorder="1"/>
    <xf numFmtId="0" fontId="3" fillId="0" borderId="1" xfId="1" applyNumberFormat="1" applyFont="1" applyFill="1" applyBorder="1" applyAlignment="1">
      <alignment horizontal="center" vertical="center" wrapText="1"/>
    </xf>
    <xf numFmtId="0" fontId="3" fillId="2" borderId="12" xfId="1" applyNumberFormat="1" applyFont="1" applyFill="1" applyBorder="1" applyAlignment="1">
      <alignment horizontal="center" vertical="center" wrapText="1"/>
    </xf>
    <xf numFmtId="167" fontId="4" fillId="0" borderId="8" xfId="0" applyNumberFormat="1" applyFont="1" applyFill="1" applyBorder="1" applyAlignment="1">
      <alignment vertical="center"/>
    </xf>
    <xf numFmtId="164" fontId="6"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left" vertical="center" wrapText="1"/>
    </xf>
    <xf numFmtId="0" fontId="3" fillId="2" borderId="1" xfId="1" applyNumberFormat="1" applyFont="1" applyFill="1" applyBorder="1" applyAlignment="1">
      <alignment horizontal="center" vertical="center" wrapText="1"/>
    </xf>
    <xf numFmtId="0" fontId="3" fillId="2" borderId="12" xfId="1" applyNumberFormat="1" applyFont="1" applyFill="1" applyBorder="1" applyAlignment="1">
      <alignment horizontal="center" vertical="center" wrapText="1"/>
    </xf>
    <xf numFmtId="170" fontId="4" fillId="0" borderId="0" xfId="0" applyNumberFormat="1" applyFont="1" applyFill="1" applyBorder="1"/>
    <xf numFmtId="170" fontId="4" fillId="0" borderId="0" xfId="0" applyNumberFormat="1" applyFont="1" applyFill="1" applyBorder="1" applyAlignment="1"/>
    <xf numFmtId="0" fontId="0" fillId="0" borderId="4" xfId="0" applyFill="1" applyBorder="1"/>
    <xf numFmtId="0" fontId="0" fillId="0" borderId="0" xfId="0" applyFill="1" applyBorder="1" applyAlignment="1">
      <alignment horizontal="center"/>
    </xf>
    <xf numFmtId="0" fontId="0" fillId="0" borderId="0" xfId="0" applyFill="1" applyBorder="1"/>
    <xf numFmtId="0" fontId="0" fillId="0" borderId="0" xfId="0" applyFont="1" applyFill="1" applyBorder="1"/>
    <xf numFmtId="0" fontId="0" fillId="0" borderId="0" xfId="0" applyFont="1" applyFill="1" applyBorder="1" applyAlignment="1">
      <alignment horizontal="center"/>
    </xf>
    <xf numFmtId="170" fontId="4" fillId="4" borderId="0" xfId="0" applyNumberFormat="1" applyFont="1" applyFill="1" applyBorder="1" applyAlignment="1">
      <alignment horizontal="right"/>
    </xf>
    <xf numFmtId="170" fontId="4" fillId="4" borderId="0" xfId="0" applyNumberFormat="1" applyFont="1" applyFill="1" applyBorder="1"/>
    <xf numFmtId="170" fontId="4" fillId="4" borderId="0" xfId="0" applyNumberFormat="1" applyFont="1" applyFill="1" applyAlignment="1">
      <alignment horizontal="right"/>
    </xf>
    <xf numFmtId="170" fontId="4" fillId="4" borderId="7" xfId="0" applyNumberFormat="1" applyFont="1" applyFill="1" applyBorder="1" applyAlignment="1">
      <alignment horizontal="right"/>
    </xf>
    <xf numFmtId="170" fontId="4" fillId="4" borderId="4" xfId="0" applyNumberFormat="1" applyFont="1" applyFill="1" applyBorder="1" applyAlignment="1">
      <alignment horizontal="right"/>
    </xf>
    <xf numFmtId="0" fontId="0" fillId="3" borderId="9" xfId="0" applyFill="1" applyBorder="1"/>
    <xf numFmtId="0" fontId="0" fillId="3" borderId="4" xfId="0" applyFill="1" applyBorder="1" applyAlignment="1">
      <alignment vertical="center"/>
    </xf>
    <xf numFmtId="0" fontId="1" fillId="3" borderId="4" xfId="0" applyFont="1" applyFill="1" applyBorder="1" applyAlignment="1">
      <alignment horizontal="left" vertical="center" indent="1"/>
    </xf>
    <xf numFmtId="0" fontId="0" fillId="0" borderId="4" xfId="0" applyFill="1" applyBorder="1" applyAlignment="1">
      <alignment horizontal="center"/>
    </xf>
    <xf numFmtId="170" fontId="4" fillId="0" borderId="7" xfId="0" applyNumberFormat="1" applyFont="1" applyFill="1" applyBorder="1" applyAlignment="1">
      <alignment horizontal="center"/>
    </xf>
    <xf numFmtId="0" fontId="4" fillId="4" borderId="0" xfId="0" applyFont="1" applyFill="1" applyAlignment="1">
      <alignment horizontal="right"/>
    </xf>
    <xf numFmtId="0" fontId="4" fillId="4" borderId="0" xfId="0" applyFont="1" applyFill="1" applyBorder="1" applyAlignment="1">
      <alignment horizontal="right"/>
    </xf>
    <xf numFmtId="0" fontId="4" fillId="4" borderId="16" xfId="0" applyFont="1" applyFill="1" applyBorder="1" applyAlignment="1">
      <alignment horizontal="left" indent="1"/>
    </xf>
    <xf numFmtId="0" fontId="4" fillId="4" borderId="2" xfId="0" applyFont="1" applyFill="1" applyBorder="1" applyAlignment="1">
      <alignment horizontal="left" indent="1"/>
    </xf>
    <xf numFmtId="170" fontId="4" fillId="0" borderId="16" xfId="0" applyNumberFormat="1" applyFont="1" applyFill="1" applyBorder="1" applyAlignment="1">
      <alignment horizontal="right"/>
    </xf>
    <xf numFmtId="170" fontId="4" fillId="4" borderId="16" xfId="0" applyNumberFormat="1" applyFont="1" applyFill="1" applyBorder="1" applyAlignment="1">
      <alignment horizontal="right"/>
    </xf>
    <xf numFmtId="170" fontId="4" fillId="4" borderId="2" xfId="0" applyNumberFormat="1" applyFont="1" applyFill="1" applyBorder="1" applyAlignment="1">
      <alignment horizontal="right"/>
    </xf>
    <xf numFmtId="170" fontId="4" fillId="0" borderId="17" xfId="0" applyNumberFormat="1" applyFont="1" applyFill="1" applyBorder="1" applyAlignment="1">
      <alignment horizontal="right"/>
    </xf>
    <xf numFmtId="0" fontId="0" fillId="6" borderId="0" xfId="0" applyFill="1"/>
    <xf numFmtId="0" fontId="4" fillId="0" borderId="16" xfId="0" applyFont="1" applyFill="1" applyBorder="1" applyAlignment="1">
      <alignment horizontal="left" indent="3"/>
    </xf>
    <xf numFmtId="170" fontId="4" fillId="4" borderId="10" xfId="0" applyNumberFormat="1" applyFont="1" applyFill="1" applyBorder="1" applyAlignment="1">
      <alignment horizontal="right"/>
    </xf>
    <xf numFmtId="170" fontId="4" fillId="0" borderId="16" xfId="0" applyNumberFormat="1" applyFont="1" applyFill="1" applyBorder="1"/>
    <xf numFmtId="170" fontId="4" fillId="4" borderId="16" xfId="0" applyNumberFormat="1" applyFont="1" applyFill="1" applyBorder="1"/>
    <xf numFmtId="0" fontId="0" fillId="6" borderId="16" xfId="0" applyFill="1" applyBorder="1"/>
    <xf numFmtId="170" fontId="4" fillId="0" borderId="16" xfId="0" applyNumberFormat="1" applyFont="1" applyFill="1" applyBorder="1" applyAlignment="1"/>
    <xf numFmtId="0" fontId="4" fillId="0" borderId="15" xfId="0" applyFont="1" applyFill="1" applyBorder="1" applyAlignment="1">
      <alignment horizontal="left" indent="1"/>
    </xf>
    <xf numFmtId="170" fontId="4" fillId="6" borderId="0" xfId="0" applyNumberFormat="1" applyFont="1" applyFill="1" applyAlignment="1">
      <alignment horizontal="right"/>
    </xf>
    <xf numFmtId="170" fontId="4" fillId="6" borderId="16" xfId="0" applyNumberFormat="1" applyFont="1" applyFill="1" applyBorder="1" applyAlignment="1">
      <alignment horizontal="right"/>
    </xf>
    <xf numFmtId="170" fontId="4" fillId="6" borderId="0" xfId="0" applyNumberFormat="1" applyFont="1" applyFill="1" applyBorder="1"/>
    <xf numFmtId="170" fontId="4" fillId="6" borderId="16" xfId="0" applyNumberFormat="1" applyFont="1" applyFill="1" applyBorder="1"/>
    <xf numFmtId="0" fontId="4" fillId="6" borderId="0" xfId="0" applyFont="1" applyFill="1" applyAlignment="1">
      <alignment horizontal="right"/>
    </xf>
    <xf numFmtId="170" fontId="4" fillId="0" borderId="0" xfId="0" applyNumberFormat="1" applyFont="1" applyFill="1" applyBorder="1" applyAlignment="1">
      <alignment horizontal="right"/>
    </xf>
    <xf numFmtId="0" fontId="4" fillId="4" borderId="17" xfId="0" applyFont="1" applyFill="1" applyBorder="1" applyAlignment="1">
      <alignment horizontal="right"/>
    </xf>
    <xf numFmtId="0" fontId="0" fillId="0" borderId="9" xfId="0" applyFill="1" applyBorder="1" applyAlignment="1">
      <alignment horizontal="center"/>
    </xf>
    <xf numFmtId="0" fontId="0" fillId="0" borderId="9" xfId="0" applyFill="1" applyBorder="1"/>
    <xf numFmtId="0" fontId="4" fillId="4" borderId="10" xfId="0" applyFont="1" applyFill="1" applyBorder="1" applyAlignment="1">
      <alignment horizontal="left" indent="1"/>
    </xf>
    <xf numFmtId="0" fontId="4" fillId="4" borderId="9" xfId="0" applyFont="1" applyFill="1" applyBorder="1" applyAlignment="1">
      <alignment horizontal="right"/>
    </xf>
    <xf numFmtId="170" fontId="4" fillId="4" borderId="17" xfId="0" applyNumberFormat="1" applyFont="1" applyFill="1" applyBorder="1"/>
    <xf numFmtId="0" fontId="6" fillId="0" borderId="16" xfId="0" applyFont="1" applyFill="1" applyBorder="1" applyAlignment="1">
      <alignment horizontal="left" indent="3"/>
    </xf>
    <xf numFmtId="170" fontId="6" fillId="0" borderId="0" xfId="0" applyNumberFormat="1" applyFont="1" applyFill="1" applyAlignment="1">
      <alignment horizontal="right"/>
    </xf>
    <xf numFmtId="170" fontId="6" fillId="0" borderId="16" xfId="0" applyNumberFormat="1" applyFont="1" applyFill="1" applyBorder="1" applyAlignment="1">
      <alignment horizontal="right"/>
    </xf>
    <xf numFmtId="170" fontId="6" fillId="0" borderId="0" xfId="0" applyNumberFormat="1" applyFont="1" applyFill="1" applyBorder="1"/>
    <xf numFmtId="170" fontId="6" fillId="0" borderId="16" xfId="0" applyNumberFormat="1" applyFont="1" applyFill="1" applyBorder="1"/>
    <xf numFmtId="3" fontId="6" fillId="3" borderId="0" xfId="0" applyNumberFormat="1" applyFont="1" applyFill="1"/>
    <xf numFmtId="0" fontId="11" fillId="0" borderId="0" xfId="0" applyFont="1" applyBorder="1" applyAlignment="1">
      <alignment horizontal="left"/>
    </xf>
    <xf numFmtId="3" fontId="11" fillId="0" borderId="0" xfId="0" applyNumberFormat="1" applyFont="1" applyBorder="1"/>
    <xf numFmtId="3" fontId="11" fillId="0" borderId="0" xfId="0" applyNumberFormat="1" applyFont="1" applyFill="1" applyBorder="1"/>
    <xf numFmtId="3" fontId="11" fillId="4" borderId="4" xfId="0" applyNumberFormat="1" applyFont="1" applyFill="1" applyBorder="1"/>
    <xf numFmtId="0" fontId="6" fillId="0" borderId="0" xfId="0" applyFont="1" applyFill="1"/>
    <xf numFmtId="3" fontId="6" fillId="0" borderId="0" xfId="0" applyNumberFormat="1" applyFont="1" applyFill="1"/>
    <xf numFmtId="164" fontId="4" fillId="0" borderId="1" xfId="1" applyNumberFormat="1" applyFont="1" applyFill="1" applyBorder="1" applyAlignment="1">
      <alignment vertical="center" wrapText="1"/>
    </xf>
    <xf numFmtId="0" fontId="8" fillId="2" borderId="0" xfId="0" applyFont="1" applyFill="1"/>
    <xf numFmtId="0" fontId="0" fillId="3" borderId="7" xfId="0" applyFill="1" applyBorder="1" applyAlignment="1">
      <alignment horizontal="center" wrapText="1"/>
    </xf>
    <xf numFmtId="0" fontId="22" fillId="3" borderId="7" xfId="0" applyFont="1" applyFill="1" applyBorder="1" applyAlignment="1">
      <alignment vertical="center" wrapText="1"/>
    </xf>
    <xf numFmtId="0" fontId="22" fillId="3" borderId="7" xfId="0" applyFont="1" applyFill="1" applyBorder="1" applyAlignment="1">
      <alignment horizontal="left" vertical="center" wrapText="1"/>
    </xf>
    <xf numFmtId="0" fontId="0" fillId="2" borderId="7" xfId="0" applyFill="1" applyBorder="1" applyAlignment="1">
      <alignment horizontal="center"/>
    </xf>
    <xf numFmtId="0" fontId="23" fillId="2" borderId="7" xfId="0" applyFont="1" applyFill="1" applyBorder="1" applyAlignment="1">
      <alignment vertical="center"/>
    </xf>
    <xf numFmtId="0" fontId="23" fillId="2" borderId="7" xfId="0" applyFont="1" applyFill="1" applyBorder="1" applyAlignment="1">
      <alignment horizontal="left" vertical="center"/>
    </xf>
    <xf numFmtId="0" fontId="23" fillId="2" borderId="10" xfId="0" applyFont="1" applyFill="1" applyBorder="1" applyAlignment="1">
      <alignment horizontal="left" vertical="center" wrapText="1" indent="1"/>
    </xf>
    <xf numFmtId="0" fontId="0" fillId="2" borderId="4" xfId="0" applyFill="1" applyBorder="1" applyAlignment="1">
      <alignment horizontal="center"/>
    </xf>
    <xf numFmtId="0" fontId="23" fillId="2" borderId="4" xfId="0" applyFont="1" applyFill="1" applyBorder="1" applyAlignment="1">
      <alignment vertical="center"/>
    </xf>
    <xf numFmtId="0" fontId="23" fillId="2" borderId="4" xfId="0" applyFont="1" applyFill="1" applyBorder="1" applyAlignment="1">
      <alignment horizontal="left" vertical="center"/>
    </xf>
    <xf numFmtId="0" fontId="23" fillId="2" borderId="2" xfId="0" applyFont="1" applyFill="1" applyBorder="1" applyAlignment="1">
      <alignment horizontal="left" vertical="top" indent="1"/>
    </xf>
    <xf numFmtId="0" fontId="23" fillId="2" borderId="9" xfId="0" applyFont="1" applyFill="1" applyBorder="1" applyAlignment="1">
      <alignment horizontal="left" vertical="center"/>
    </xf>
    <xf numFmtId="0" fontId="23" fillId="2" borderId="10" xfId="0" applyFont="1" applyFill="1" applyBorder="1" applyAlignment="1">
      <alignment horizontal="left" vertical="top" indent="1"/>
    </xf>
    <xf numFmtId="0" fontId="23" fillId="2" borderId="6" xfId="0" applyFont="1" applyFill="1" applyBorder="1" applyAlignment="1">
      <alignment horizontal="left" vertical="center" wrapText="1" indent="1"/>
    </xf>
    <xf numFmtId="0" fontId="23" fillId="2" borderId="0" xfId="0" applyFont="1" applyFill="1" applyAlignment="1">
      <alignment horizontal="left" vertical="center"/>
    </xf>
    <xf numFmtId="0" fontId="22" fillId="4" borderId="0" xfId="0" applyFont="1" applyFill="1" applyAlignment="1">
      <alignment horizontal="left" vertical="top" indent="1"/>
    </xf>
    <xf numFmtId="0" fontId="23" fillId="2" borderId="0" xfId="0" applyFont="1" applyFill="1" applyAlignment="1">
      <alignment horizontal="left" vertical="top"/>
    </xf>
    <xf numFmtId="0" fontId="23" fillId="2" borderId="9" xfId="0" applyFont="1" applyFill="1" applyBorder="1" applyAlignment="1">
      <alignment horizontal="left" vertical="center" wrapText="1"/>
    </xf>
    <xf numFmtId="0" fontId="23" fillId="2" borderId="7" xfId="0" applyFont="1" applyFill="1" applyBorder="1" applyAlignment="1">
      <alignment horizontal="left" vertical="top"/>
    </xf>
    <xf numFmtId="0" fontId="23" fillId="2" borderId="4" xfId="0" applyFont="1" applyFill="1" applyBorder="1" applyAlignment="1">
      <alignment vertical="top"/>
    </xf>
    <xf numFmtId="0" fontId="23" fillId="2" borderId="4" xfId="0" applyFont="1" applyFill="1" applyBorder="1" applyAlignment="1">
      <alignment horizontal="left" vertical="top"/>
    </xf>
    <xf numFmtId="0" fontId="23" fillId="2" borderId="9" xfId="0" applyFont="1" applyFill="1" applyBorder="1" applyAlignment="1">
      <alignment horizontal="left" vertical="top"/>
    </xf>
    <xf numFmtId="0" fontId="23" fillId="2" borderId="18" xfId="0" applyFont="1" applyFill="1" applyBorder="1" applyAlignment="1">
      <alignment horizontal="left" vertical="top"/>
    </xf>
    <xf numFmtId="0" fontId="22" fillId="4" borderId="0" xfId="0" applyFont="1" applyFill="1" applyAlignment="1">
      <alignment horizontal="left" vertical="top"/>
    </xf>
    <xf numFmtId="0" fontId="1" fillId="0" borderId="7" xfId="0" applyFont="1" applyBorder="1" applyAlignment="1">
      <alignment horizontal="center"/>
    </xf>
    <xf numFmtId="0" fontId="0" fillId="5" borderId="7" xfId="0" applyFill="1" applyBorder="1"/>
    <xf numFmtId="0" fontId="19" fillId="0" borderId="0" xfId="0" applyFont="1" applyAlignment="1">
      <alignment horizontal="left" indent="2"/>
    </xf>
    <xf numFmtId="0" fontId="6" fillId="0" borderId="0" xfId="4"/>
    <xf numFmtId="0" fontId="6" fillId="2" borderId="0" xfId="4" applyFill="1"/>
    <xf numFmtId="0" fontId="24" fillId="2" borderId="0" xfId="4" applyFont="1" applyFill="1"/>
    <xf numFmtId="0" fontId="8" fillId="2" borderId="0" xfId="4" applyFont="1" applyFill="1"/>
    <xf numFmtId="0" fontId="0" fillId="2" borderId="0" xfId="0" applyFill="1"/>
    <xf numFmtId="0" fontId="23" fillId="2" borderId="0" xfId="4" applyFont="1" applyFill="1" applyAlignment="1">
      <alignment horizontal="left" vertical="center" indent="1"/>
    </xf>
    <xf numFmtId="0" fontId="7" fillId="2" borderId="0" xfId="4" applyFont="1" applyFill="1"/>
    <xf numFmtId="0" fontId="6" fillId="2" borderId="14" xfId="4" applyFill="1" applyBorder="1"/>
    <xf numFmtId="0" fontId="3" fillId="2" borderId="9" xfId="0" applyFont="1" applyFill="1" applyBorder="1" applyAlignment="1">
      <alignment horizontal="right"/>
    </xf>
    <xf numFmtId="0" fontId="4" fillId="2" borderId="9" xfId="0" applyFont="1" applyFill="1" applyBorder="1" applyAlignment="1">
      <alignment horizontal="right"/>
    </xf>
    <xf numFmtId="0" fontId="23" fillId="2" borderId="0" xfId="4" applyFont="1" applyFill="1" applyAlignment="1">
      <alignment horizontal="left" indent="1"/>
    </xf>
    <xf numFmtId="0" fontId="20" fillId="2" borderId="0" xfId="4" applyFont="1" applyFill="1" applyAlignment="1">
      <alignment horizontal="left"/>
    </xf>
    <xf numFmtId="0" fontId="6" fillId="2" borderId="6" xfId="4" applyFill="1" applyBorder="1"/>
    <xf numFmtId="0" fontId="4" fillId="2" borderId="7" xfId="0" applyFont="1" applyFill="1" applyBorder="1"/>
    <xf numFmtId="0" fontId="4" fillId="2" borderId="7" xfId="0" applyFont="1" applyFill="1" applyBorder="1" applyAlignment="1">
      <alignment horizontal="right"/>
    </xf>
    <xf numFmtId="0" fontId="28" fillId="2" borderId="27" xfId="4" applyFont="1" applyFill="1" applyBorder="1" applyAlignment="1">
      <alignment horizontal="center"/>
    </xf>
    <xf numFmtId="0" fontId="26" fillId="0" borderId="31" xfId="4" applyFont="1" applyBorder="1" applyAlignment="1">
      <alignment horizontal="center" vertical="center" wrapText="1"/>
    </xf>
    <xf numFmtId="0" fontId="26" fillId="0" borderId="29" xfId="4" applyFont="1" applyBorder="1" applyAlignment="1">
      <alignment horizontal="center" vertical="center" wrapText="1"/>
    </xf>
    <xf numFmtId="0" fontId="26" fillId="0" borderId="32" xfId="4" applyFont="1" applyBorder="1" applyAlignment="1">
      <alignment horizontal="center" vertical="center" wrapText="1"/>
    </xf>
    <xf numFmtId="0" fontId="26" fillId="2" borderId="29" xfId="4" applyFont="1" applyFill="1" applyBorder="1" applyAlignment="1">
      <alignment horizontal="center" vertical="top" wrapText="1"/>
    </xf>
    <xf numFmtId="0" fontId="6" fillId="0" borderId="0" xfId="4" applyAlignment="1">
      <alignment vertical="center"/>
    </xf>
    <xf numFmtId="0" fontId="6" fillId="0" borderId="28" xfId="4" applyBorder="1" applyAlignment="1">
      <alignment vertical="center"/>
    </xf>
    <xf numFmtId="0" fontId="6" fillId="0" borderId="28" xfId="4" applyBorder="1" applyAlignment="1">
      <alignment horizontal="center" vertical="center"/>
    </xf>
    <xf numFmtId="49" fontId="6" fillId="0" borderId="0" xfId="4" applyNumberFormat="1" applyAlignment="1">
      <alignment vertical="center"/>
    </xf>
    <xf numFmtId="14" fontId="6" fillId="0" borderId="0" xfId="4" applyNumberFormat="1" applyAlignment="1">
      <alignment horizontal="center" vertical="center" wrapText="1"/>
    </xf>
    <xf numFmtId="14" fontId="6" fillId="0" borderId="27" xfId="4" applyNumberFormat="1" applyBorder="1" applyAlignment="1">
      <alignment horizontal="center" vertical="center" wrapText="1"/>
    </xf>
    <xf numFmtId="14" fontId="11" fillId="0" borderId="27" xfId="4" applyNumberFormat="1" applyFont="1" applyBorder="1" applyAlignment="1">
      <alignment horizontal="center" vertical="center" wrapText="1"/>
    </xf>
    <xf numFmtId="14" fontId="11" fillId="0" borderId="28" xfId="4" applyNumberFormat="1" applyFont="1" applyBorder="1" applyAlignment="1">
      <alignment horizontal="center" vertical="center" wrapText="1"/>
    </xf>
    <xf numFmtId="14" fontId="6" fillId="2" borderId="27" xfId="4" applyNumberFormat="1" applyFill="1" applyBorder="1" applyAlignment="1">
      <alignment horizontal="center" vertical="center" wrapText="1"/>
    </xf>
    <xf numFmtId="0" fontId="6" fillId="0" borderId="0" xfId="4" quotePrefix="1" applyAlignment="1">
      <alignment vertical="center"/>
    </xf>
    <xf numFmtId="0" fontId="6" fillId="0" borderId="27" xfId="4" applyBorder="1" applyAlignment="1">
      <alignment vertical="center"/>
    </xf>
    <xf numFmtId="14" fontId="11" fillId="0" borderId="27" xfId="4" quotePrefix="1" applyNumberFormat="1" applyFont="1" applyBorder="1" applyAlignment="1">
      <alignment horizontal="center" vertical="center" wrapText="1"/>
    </xf>
    <xf numFmtId="14" fontId="6" fillId="2" borderId="34" xfId="4" applyNumberFormat="1" applyFill="1" applyBorder="1" applyAlignment="1">
      <alignment horizontal="center" vertical="center" wrapText="1"/>
    </xf>
    <xf numFmtId="14" fontId="6" fillId="0" borderId="34" xfId="4" applyNumberFormat="1" applyBorder="1" applyAlignment="1">
      <alignment horizontal="center" vertical="center" wrapText="1"/>
    </xf>
    <xf numFmtId="1" fontId="6" fillId="0" borderId="27" xfId="4" applyNumberFormat="1" applyBorder="1" applyAlignment="1">
      <alignment horizontal="left" vertical="center" wrapText="1"/>
    </xf>
    <xf numFmtId="0" fontId="6" fillId="0" borderId="27" xfId="4" applyBorder="1" applyAlignment="1">
      <alignment horizontal="left" vertical="center"/>
    </xf>
    <xf numFmtId="14" fontId="11" fillId="0" borderId="0" xfId="4" applyNumberFormat="1" applyFont="1" applyAlignment="1">
      <alignment horizontal="center" vertical="center" wrapText="1"/>
    </xf>
    <xf numFmtId="0" fontId="6" fillId="0" borderId="28" xfId="4" applyBorder="1" applyAlignment="1">
      <alignment horizontal="left" vertical="center"/>
    </xf>
    <xf numFmtId="14" fontId="6" fillId="0" borderId="35" xfId="4" applyNumberFormat="1" applyBorder="1" applyAlignment="1">
      <alignment horizontal="center" vertical="center" wrapText="1"/>
    </xf>
    <xf numFmtId="0" fontId="6" fillId="5" borderId="28" xfId="4" applyFill="1" applyBorder="1" applyAlignment="1">
      <alignment horizontal="center" vertical="center"/>
    </xf>
    <xf numFmtId="0" fontId="6" fillId="5" borderId="0" xfId="4" applyFill="1" applyAlignment="1">
      <alignment vertical="center"/>
    </xf>
    <xf numFmtId="14" fontId="6" fillId="5" borderId="36" xfId="4" applyNumberFormat="1" applyFill="1" applyBorder="1" applyAlignment="1">
      <alignment horizontal="center" vertical="center" wrapText="1"/>
    </xf>
    <xf numFmtId="14" fontId="6" fillId="5" borderId="37" xfId="4" applyNumberFormat="1" applyFill="1" applyBorder="1" applyAlignment="1">
      <alignment horizontal="center" vertical="center" wrapText="1"/>
    </xf>
    <xf numFmtId="0" fontId="6" fillId="4" borderId="0" xfId="4" applyFill="1" applyAlignment="1">
      <alignment vertical="center"/>
    </xf>
    <xf numFmtId="0" fontId="6" fillId="0" borderId="38" xfId="4" applyBorder="1" applyAlignment="1">
      <alignment vertical="center"/>
    </xf>
    <xf numFmtId="0" fontId="6" fillId="0" borderId="38" xfId="4" applyBorder="1" applyAlignment="1">
      <alignment horizontal="center" vertical="center"/>
    </xf>
    <xf numFmtId="0" fontId="6" fillId="0" borderId="31" xfId="4" quotePrefix="1" applyBorder="1" applyAlignment="1">
      <alignment vertical="center"/>
    </xf>
    <xf numFmtId="0" fontId="6" fillId="7" borderId="38" xfId="4" applyFill="1" applyBorder="1"/>
    <xf numFmtId="0" fontId="6" fillId="7" borderId="31" xfId="4" applyFill="1" applyBorder="1"/>
    <xf numFmtId="0" fontId="6" fillId="7" borderId="29" xfId="4" applyFill="1" applyBorder="1"/>
    <xf numFmtId="0" fontId="6" fillId="8" borderId="33" xfId="4" applyFill="1" applyBorder="1"/>
    <xf numFmtId="0" fontId="6" fillId="0" borderId="31" xfId="4" applyBorder="1"/>
    <xf numFmtId="0" fontId="0" fillId="0" borderId="31" xfId="0" applyBorder="1"/>
    <xf numFmtId="0" fontId="0" fillId="0" borderId="29" xfId="0" applyBorder="1"/>
    <xf numFmtId="172" fontId="6" fillId="0" borderId="31" xfId="4" applyNumberFormat="1" applyBorder="1" applyAlignment="1">
      <alignment horizontal="center"/>
    </xf>
    <xf numFmtId="0" fontId="6" fillId="9" borderId="31" xfId="4" applyFill="1" applyBorder="1"/>
    <xf numFmtId="0" fontId="1" fillId="9" borderId="31" xfId="0" applyFont="1" applyFill="1" applyBorder="1" applyAlignment="1">
      <alignment vertical="center"/>
    </xf>
    <xf numFmtId="0" fontId="1" fillId="9" borderId="31" xfId="0" applyFont="1" applyFill="1" applyBorder="1"/>
    <xf numFmtId="0" fontId="1" fillId="9" borderId="29" xfId="0" applyFont="1" applyFill="1" applyBorder="1"/>
    <xf numFmtId="0" fontId="7" fillId="9" borderId="31" xfId="4" applyFont="1" applyFill="1" applyBorder="1"/>
    <xf numFmtId="0" fontId="0" fillId="9" borderId="31" xfId="0" applyFill="1" applyBorder="1"/>
    <xf numFmtId="0" fontId="6" fillId="0" borderId="28" xfId="4" applyBorder="1"/>
    <xf numFmtId="0" fontId="6" fillId="0" borderId="18" xfId="4" applyBorder="1"/>
    <xf numFmtId="0" fontId="6" fillId="0" borderId="39" xfId="4" applyBorder="1"/>
    <xf numFmtId="0" fontId="6" fillId="0" borderId="39" xfId="4" applyBorder="1" applyAlignment="1">
      <alignment horizontal="center" vertical="center"/>
    </xf>
    <xf numFmtId="0" fontId="6" fillId="0" borderId="18" xfId="4" quotePrefix="1" applyBorder="1" applyAlignment="1">
      <alignment vertical="center"/>
    </xf>
    <xf numFmtId="0" fontId="6" fillId="0" borderId="40" xfId="4" applyBorder="1" applyAlignment="1">
      <alignment vertical="center"/>
    </xf>
    <xf numFmtId="14" fontId="6" fillId="0" borderId="18" xfId="4" applyNumberFormat="1" applyBorder="1" applyAlignment="1">
      <alignment horizontal="center" vertical="center" wrapText="1"/>
    </xf>
    <xf numFmtId="14" fontId="6" fillId="0" borderId="40" xfId="4" applyNumberFormat="1" applyBorder="1" applyAlignment="1">
      <alignment horizontal="center" vertical="center" wrapText="1"/>
    </xf>
    <xf numFmtId="14" fontId="11" fillId="0" borderId="40" xfId="4" applyNumberFormat="1" applyFont="1" applyBorder="1" applyAlignment="1">
      <alignment horizontal="center" vertical="center" wrapText="1"/>
    </xf>
    <xf numFmtId="14" fontId="11" fillId="0" borderId="39" xfId="4" applyNumberFormat="1" applyFont="1" applyBorder="1" applyAlignment="1">
      <alignment horizontal="center" vertical="center" wrapText="1"/>
    </xf>
    <xf numFmtId="0" fontId="0" fillId="0" borderId="18" xfId="0" applyBorder="1"/>
    <xf numFmtId="0" fontId="6" fillId="0" borderId="41" xfId="4" applyBorder="1"/>
    <xf numFmtId="0" fontId="6" fillId="0" borderId="42" xfId="4" applyBorder="1"/>
    <xf numFmtId="0" fontId="6" fillId="0" borderId="42" xfId="4" applyBorder="1" applyAlignment="1">
      <alignment horizontal="center" vertical="center"/>
    </xf>
    <xf numFmtId="0" fontId="6" fillId="0" borderId="41" xfId="4" quotePrefix="1" applyBorder="1" applyAlignment="1">
      <alignment vertical="center"/>
    </xf>
    <xf numFmtId="0" fontId="6" fillId="0" borderId="43" xfId="4" applyBorder="1" applyAlignment="1">
      <alignment vertical="center"/>
    </xf>
    <xf numFmtId="14" fontId="6" fillId="0" borderId="41" xfId="4" applyNumberFormat="1" applyBorder="1" applyAlignment="1">
      <alignment horizontal="center" vertical="center" wrapText="1"/>
    </xf>
    <xf numFmtId="14" fontId="6" fillId="0" borderId="43" xfId="4" applyNumberFormat="1" applyBorder="1" applyAlignment="1">
      <alignment horizontal="center" vertical="center" wrapText="1"/>
    </xf>
    <xf numFmtId="14" fontId="11" fillId="0" borderId="43" xfId="4" applyNumberFormat="1" applyFont="1" applyBorder="1" applyAlignment="1">
      <alignment horizontal="center" vertical="center" wrapText="1"/>
    </xf>
    <xf numFmtId="14" fontId="11" fillId="0" borderId="42" xfId="4" applyNumberFormat="1" applyFont="1" applyBorder="1" applyAlignment="1">
      <alignment horizontal="center" vertical="center" wrapText="1"/>
    </xf>
    <xf numFmtId="14" fontId="11" fillId="0" borderId="41" xfId="4" applyNumberFormat="1" applyFont="1" applyBorder="1" applyAlignment="1">
      <alignment horizontal="center" vertical="center" wrapText="1"/>
    </xf>
    <xf numFmtId="14" fontId="6" fillId="0" borderId="44" xfId="4" applyNumberFormat="1" applyBorder="1" applyAlignment="1">
      <alignment horizontal="center" vertical="center" wrapText="1"/>
    </xf>
    <xf numFmtId="0" fontId="0" fillId="0" borderId="41" xfId="0" applyBorder="1"/>
    <xf numFmtId="0" fontId="6" fillId="0" borderId="28" xfId="4" applyBorder="1" applyAlignment="1">
      <alignment horizontal="left" vertical="top"/>
    </xf>
    <xf numFmtId="0" fontId="6" fillId="5" borderId="28" xfId="4" applyFill="1" applyBorder="1"/>
    <xf numFmtId="0" fontId="6" fillId="5" borderId="39" xfId="4" applyFill="1" applyBorder="1"/>
    <xf numFmtId="0" fontId="6" fillId="0" borderId="0" xfId="4" applyAlignment="1">
      <alignment horizontal="center"/>
    </xf>
    <xf numFmtId="0" fontId="7" fillId="0" borderId="0" xfId="4" applyFont="1" applyAlignment="1">
      <alignment horizontal="left" vertical="center"/>
    </xf>
    <xf numFmtId="0" fontId="6" fillId="0" borderId="0" xfId="4" applyAlignment="1">
      <alignment horizontal="left" indent="1"/>
    </xf>
    <xf numFmtId="0" fontId="6" fillId="0" borderId="8" xfId="4" applyBorder="1" applyAlignment="1">
      <alignment horizontal="left" vertical="center" wrapText="1"/>
    </xf>
    <xf numFmtId="0" fontId="6" fillId="0" borderId="1" xfId="4" applyBorder="1" applyAlignment="1">
      <alignment horizontal="left" vertical="center" wrapText="1"/>
    </xf>
    <xf numFmtId="164" fontId="3" fillId="2" borderId="10" xfId="1" applyNumberFormat="1" applyFont="1" applyFill="1" applyBorder="1" applyAlignment="1">
      <alignment horizontal="center" vertical="center"/>
    </xf>
    <xf numFmtId="3" fontId="8" fillId="0" borderId="0" xfId="0" applyNumberFormat="1" applyFont="1" applyFill="1"/>
    <xf numFmtId="1" fontId="3" fillId="2" borderId="6" xfId="1" applyNumberFormat="1" applyFont="1" applyFill="1" applyBorder="1" applyAlignment="1">
      <alignment horizontal="right" vertical="center" wrapText="1"/>
    </xf>
    <xf numFmtId="0" fontId="4" fillId="2" borderId="48" xfId="0" applyFont="1" applyFill="1" applyBorder="1" applyAlignment="1">
      <alignment horizontal="left"/>
    </xf>
    <xf numFmtId="0" fontId="6" fillId="2" borderId="0" xfId="0" applyFont="1" applyFill="1" applyBorder="1" applyAlignment="1">
      <alignment horizontal="center"/>
    </xf>
    <xf numFmtId="0" fontId="4" fillId="2" borderId="47" xfId="0" applyFont="1" applyFill="1" applyBorder="1" applyAlignment="1">
      <alignment horizontal="left"/>
    </xf>
    <xf numFmtId="0" fontId="8" fillId="2" borderId="47" xfId="0" applyFont="1" applyFill="1" applyBorder="1" applyAlignment="1">
      <alignment horizontal="left"/>
    </xf>
    <xf numFmtId="0" fontId="30" fillId="2" borderId="9" xfId="0" applyFont="1" applyFill="1" applyBorder="1" applyAlignment="1">
      <alignment horizontal="center"/>
    </xf>
    <xf numFmtId="0" fontId="14" fillId="0" borderId="0" xfId="0" applyFont="1" applyFill="1" applyBorder="1"/>
    <xf numFmtId="0" fontId="32" fillId="0" borderId="0" xfId="0" applyFont="1" applyFill="1" applyBorder="1"/>
    <xf numFmtId="0" fontId="3" fillId="4" borderId="4" xfId="0" applyFont="1" applyFill="1" applyBorder="1"/>
    <xf numFmtId="0" fontId="4" fillId="4" borderId="4" xfId="0" applyFont="1" applyFill="1" applyBorder="1"/>
    <xf numFmtId="0" fontId="30" fillId="4" borderId="9" xfId="0" applyFont="1" applyFill="1" applyBorder="1" applyAlignment="1">
      <alignment horizontal="center"/>
    </xf>
    <xf numFmtId="0" fontId="23" fillId="2" borderId="0" xfId="0" applyFont="1" applyFill="1" applyBorder="1" applyAlignment="1">
      <alignment horizontal="left" vertical="top"/>
    </xf>
    <xf numFmtId="164" fontId="4" fillId="0" borderId="12" xfId="1"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3" fontId="11" fillId="4" borderId="0" xfId="0" applyNumberFormat="1" applyFont="1" applyFill="1"/>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0" fillId="2" borderId="0" xfId="0" applyFill="1" applyBorder="1"/>
    <xf numFmtId="0" fontId="0" fillId="2" borderId="7" xfId="0" applyFill="1" applyBorder="1"/>
    <xf numFmtId="0" fontId="4" fillId="2" borderId="7" xfId="0" applyFont="1" applyFill="1" applyBorder="1" applyAlignment="1">
      <alignment horizontal="center"/>
    </xf>
    <xf numFmtId="0" fontId="4" fillId="2" borderId="10" xfId="0" applyFont="1" applyFill="1" applyBorder="1" applyAlignment="1">
      <alignment horizontal="center"/>
    </xf>
    <xf numFmtId="0" fontId="0" fillId="2" borderId="9" xfId="0" applyFill="1" applyBorder="1"/>
    <xf numFmtId="0" fontId="3" fillId="2" borderId="7" xfId="0" applyFont="1" applyFill="1" applyBorder="1"/>
    <xf numFmtId="0" fontId="14" fillId="2" borderId="0" xfId="0" applyFont="1" applyFill="1"/>
    <xf numFmtId="0" fontId="8" fillId="2" borderId="7" xfId="0" applyFont="1" applyFill="1" applyBorder="1"/>
    <xf numFmtId="0" fontId="14" fillId="2" borderId="7" xfId="0" applyFont="1" applyFill="1" applyBorder="1"/>
    <xf numFmtId="0" fontId="4" fillId="2" borderId="0" xfId="0" applyFont="1" applyFill="1" applyBorder="1"/>
    <xf numFmtId="0" fontId="4" fillId="2" borderId="0" xfId="0" applyFont="1" applyFill="1" applyAlignment="1">
      <alignment horizontal="center"/>
    </xf>
    <xf numFmtId="0" fontId="4" fillId="2" borderId="4" xfId="0" applyFont="1" applyFill="1" applyBorder="1"/>
    <xf numFmtId="0" fontId="0" fillId="0" borderId="0" xfId="0" applyAlignment="1">
      <alignment vertical="center"/>
    </xf>
    <xf numFmtId="0" fontId="33" fillId="2" borderId="0" xfId="0" applyFont="1" applyFill="1"/>
    <xf numFmtId="0" fontId="0" fillId="2" borderId="0" xfId="0" applyFill="1" applyAlignment="1">
      <alignment vertical="center"/>
    </xf>
    <xf numFmtId="0" fontId="4" fillId="2" borderId="0" xfId="0" applyFont="1" applyFill="1" applyBorder="1" applyAlignment="1">
      <alignment vertical="top"/>
    </xf>
    <xf numFmtId="0" fontId="4" fillId="2" borderId="0" xfId="0" applyFont="1" applyFill="1" applyAlignment="1">
      <alignment vertical="top"/>
    </xf>
    <xf numFmtId="0" fontId="4" fillId="2" borderId="0" xfId="0" applyFont="1" applyFill="1" applyAlignment="1">
      <alignment horizontal="center" vertical="top"/>
    </xf>
    <xf numFmtId="0" fontId="4" fillId="2" borderId="0" xfId="0" applyFont="1" applyFill="1" applyAlignment="1">
      <alignment vertical="top" wrapText="1"/>
    </xf>
    <xf numFmtId="0" fontId="4" fillId="2" borderId="7" xfId="0" applyFont="1" applyFill="1" applyBorder="1" applyAlignment="1">
      <alignment vertical="top"/>
    </xf>
    <xf numFmtId="0" fontId="4" fillId="2" borderId="4" xfId="0" applyFont="1" applyFill="1" applyBorder="1" applyAlignment="1">
      <alignment vertical="top"/>
    </xf>
    <xf numFmtId="0" fontId="4" fillId="2" borderId="0" xfId="0" applyFont="1" applyFill="1" applyBorder="1" applyAlignment="1">
      <alignment vertical="center"/>
    </xf>
    <xf numFmtId="0" fontId="4" fillId="4" borderId="15" xfId="0" applyFont="1" applyFill="1" applyBorder="1" applyAlignment="1">
      <alignment horizontal="left" indent="1"/>
    </xf>
    <xf numFmtId="170" fontId="4" fillId="4" borderId="14" xfId="0" applyNumberFormat="1" applyFont="1" applyFill="1" applyBorder="1" applyAlignment="1">
      <alignment horizontal="right"/>
    </xf>
    <xf numFmtId="170" fontId="4" fillId="4" borderId="9" xfId="0" applyNumberFormat="1" applyFont="1" applyFill="1" applyBorder="1" applyAlignment="1">
      <alignment horizontal="right"/>
    </xf>
    <xf numFmtId="170" fontId="4" fillId="4" borderId="15" xfId="0" applyNumberFormat="1" applyFont="1" applyFill="1" applyBorder="1" applyAlignment="1">
      <alignment horizontal="right"/>
    </xf>
    <xf numFmtId="170" fontId="4" fillId="4" borderId="9" xfId="0" applyNumberFormat="1" applyFont="1" applyFill="1" applyBorder="1"/>
    <xf numFmtId="170" fontId="4" fillId="4" borderId="15" xfId="0" applyNumberFormat="1" applyFont="1" applyFill="1" applyBorder="1"/>
    <xf numFmtId="0" fontId="4" fillId="0" borderId="16" xfId="0" applyFont="1" applyFill="1" applyBorder="1" applyAlignment="1">
      <alignment horizontal="left" indent="2"/>
    </xf>
    <xf numFmtId="0" fontId="4" fillId="0" borderId="10" xfId="0" applyFont="1" applyFill="1" applyBorder="1" applyAlignment="1">
      <alignment horizontal="right" indent="1"/>
    </xf>
    <xf numFmtId="3" fontId="6" fillId="0" borderId="0" xfId="0" applyNumberFormat="1" applyFont="1" applyAlignment="1">
      <alignment horizontal="right" vertical="top"/>
    </xf>
    <xf numFmtId="170" fontId="4" fillId="0" borderId="15" xfId="0" applyNumberFormat="1" applyFont="1" applyFill="1" applyBorder="1" applyAlignment="1"/>
    <xf numFmtId="0" fontId="4" fillId="0" borderId="15" xfId="0" applyFont="1" applyFill="1" applyBorder="1" applyAlignment="1">
      <alignment horizontal="right"/>
    </xf>
    <xf numFmtId="0" fontId="4" fillId="0" borderId="10" xfId="0" applyFont="1" applyFill="1" applyBorder="1" applyAlignment="1">
      <alignment horizontal="right"/>
    </xf>
    <xf numFmtId="0" fontId="4" fillId="0" borderId="16" xfId="0" applyFont="1" applyFill="1" applyBorder="1" applyAlignment="1">
      <alignment horizontal="right"/>
    </xf>
    <xf numFmtId="170" fontId="4" fillId="0" borderId="10" xfId="0" applyNumberFormat="1" applyFont="1" applyFill="1" applyBorder="1" applyAlignment="1">
      <alignment horizontal="right"/>
    </xf>
    <xf numFmtId="170" fontId="4" fillId="0" borderId="7" xfId="0" applyNumberFormat="1" applyFont="1" applyFill="1" applyBorder="1" applyAlignment="1"/>
    <xf numFmtId="170" fontId="4" fillId="0" borderId="10" xfId="0" applyNumberFormat="1" applyFont="1" applyFill="1" applyBorder="1" applyAlignment="1"/>
    <xf numFmtId="0" fontId="18" fillId="0" borderId="4" xfId="0" applyFont="1" applyFill="1" applyBorder="1" applyAlignment="1">
      <alignment horizontal="left"/>
    </xf>
    <xf numFmtId="170" fontId="4" fillId="4" borderId="7" xfId="0" applyNumberFormat="1" applyFont="1" applyFill="1" applyBorder="1" applyAlignment="1">
      <alignment horizontal="center"/>
    </xf>
    <xf numFmtId="170" fontId="4" fillId="0" borderId="9" xfId="0" applyNumberFormat="1" applyFont="1" applyFill="1" applyBorder="1" applyAlignment="1">
      <alignment horizontal="center"/>
    </xf>
    <xf numFmtId="170" fontId="4" fillId="0" borderId="0" xfId="0" applyNumberFormat="1" applyFont="1" applyFill="1" applyBorder="1" applyAlignment="1">
      <alignment horizontal="center"/>
    </xf>
    <xf numFmtId="0" fontId="18" fillId="0" borderId="0" xfId="0" applyFont="1" applyBorder="1" applyAlignment="1">
      <alignment horizontal="center" vertical="center"/>
    </xf>
    <xf numFmtId="0" fontId="8" fillId="0" borderId="0" xfId="0" applyFont="1" applyAlignment="1">
      <alignment vertical="center"/>
    </xf>
    <xf numFmtId="3" fontId="6" fillId="3" borderId="7" xfId="0" applyNumberFormat="1" applyFont="1" applyFill="1" applyBorder="1"/>
    <xf numFmtId="170" fontId="6" fillId="0" borderId="0" xfId="0" applyNumberFormat="1" applyFont="1" applyFill="1" applyBorder="1" applyAlignment="1">
      <alignment horizontal="right" vertical="top"/>
    </xf>
    <xf numFmtId="170" fontId="0" fillId="3" borderId="4" xfId="0" applyNumberFormat="1" applyFill="1" applyBorder="1"/>
    <xf numFmtId="0" fontId="18" fillId="0" borderId="0" xfId="0" applyFont="1" applyFill="1" applyBorder="1" applyAlignment="1">
      <alignment horizontal="left"/>
    </xf>
    <xf numFmtId="0" fontId="6" fillId="0" borderId="0" xfId="4" applyFill="1" applyAlignment="1">
      <alignment vertical="center"/>
    </xf>
    <xf numFmtId="0" fontId="18" fillId="0" borderId="0" xfId="0" applyFont="1" applyFill="1"/>
    <xf numFmtId="0" fontId="4" fillId="2" borderId="7" xfId="0" applyFont="1" applyFill="1" applyBorder="1" applyAlignment="1">
      <alignment horizontal="center"/>
    </xf>
    <xf numFmtId="0" fontId="23" fillId="2" borderId="0" xfId="0" applyFont="1" applyFill="1" applyAlignment="1">
      <alignment horizontal="left"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164" fontId="0" fillId="2" borderId="7" xfId="1" applyNumberFormat="1" applyFont="1" applyFill="1" applyBorder="1"/>
    <xf numFmtId="0" fontId="0" fillId="2" borderId="7" xfId="0" applyFill="1" applyBorder="1" applyAlignment="1"/>
    <xf numFmtId="0" fontId="0" fillId="3" borderId="20" xfId="0" applyFill="1" applyBorder="1"/>
    <xf numFmtId="164" fontId="0" fillId="2" borderId="0" xfId="1" applyNumberFormat="1" applyFont="1" applyFill="1" applyBorder="1"/>
    <xf numFmtId="0" fontId="0" fillId="2" borderId="0" xfId="0" applyFill="1" applyBorder="1" applyAlignment="1"/>
    <xf numFmtId="0" fontId="0" fillId="2" borderId="27" xfId="0" applyFill="1" applyBorder="1" applyAlignment="1"/>
    <xf numFmtId="0" fontId="0" fillId="2" borderId="52" xfId="0" applyFill="1" applyBorder="1" applyAlignment="1"/>
    <xf numFmtId="173" fontId="0" fillId="2" borderId="52" xfId="1" applyNumberFormat="1" applyFont="1" applyFill="1" applyBorder="1" applyAlignment="1"/>
    <xf numFmtId="0" fontId="0" fillId="2" borderId="28" xfId="0" applyFill="1" applyBorder="1"/>
    <xf numFmtId="164" fontId="0" fillId="2" borderId="0" xfId="1" applyNumberFormat="1" applyFont="1" applyFill="1" applyBorder="1" applyAlignment="1">
      <alignment horizontal="right"/>
    </xf>
    <xf numFmtId="173" fontId="0" fillId="2" borderId="27" xfId="1" applyNumberFormat="1" applyFont="1" applyFill="1" applyBorder="1" applyAlignment="1"/>
    <xf numFmtId="0" fontId="0" fillId="2" borderId="0" xfId="0" applyFill="1" applyBorder="1" applyAlignment="1">
      <alignment horizontal="right"/>
    </xf>
    <xf numFmtId="0" fontId="0" fillId="2" borderId="38" xfId="0" applyFill="1" applyBorder="1"/>
    <xf numFmtId="164" fontId="0" fillId="2" borderId="31" xfId="1" applyNumberFormat="1" applyFont="1" applyFill="1" applyBorder="1"/>
    <xf numFmtId="0" fontId="0" fillId="2" borderId="31" xfId="0" applyFill="1" applyBorder="1"/>
    <xf numFmtId="0" fontId="1" fillId="2" borderId="31" xfId="0" applyFont="1" applyFill="1" applyBorder="1" applyAlignment="1">
      <alignment horizontal="right"/>
    </xf>
    <xf numFmtId="164" fontId="0" fillId="2" borderId="27" xfId="1" applyNumberFormat="1" applyFont="1" applyFill="1" applyBorder="1" applyAlignment="1"/>
    <xf numFmtId="175" fontId="4" fillId="0" borderId="0" xfId="0" applyNumberFormat="1" applyFont="1" applyFill="1" applyBorder="1" applyAlignment="1"/>
    <xf numFmtId="0" fontId="1" fillId="3" borderId="25" xfId="0" applyFont="1" applyFill="1" applyBorder="1" applyAlignment="1">
      <alignment horizontal="left"/>
    </xf>
    <xf numFmtId="164" fontId="1" fillId="3" borderId="50" xfId="1" applyNumberFormat="1" applyFont="1" applyFill="1" applyBorder="1"/>
    <xf numFmtId="0" fontId="1" fillId="3" borderId="50" xfId="0" applyFont="1" applyFill="1" applyBorder="1"/>
    <xf numFmtId="0" fontId="0" fillId="3" borderId="50" xfId="0" applyFill="1" applyBorder="1"/>
    <xf numFmtId="0" fontId="0" fillId="3" borderId="50" xfId="0" applyFill="1" applyBorder="1" applyAlignment="1">
      <alignment horizontal="right"/>
    </xf>
    <xf numFmtId="0" fontId="0" fillId="3" borderId="24" xfId="0" applyFill="1" applyBorder="1" applyAlignment="1">
      <alignment horizontal="right"/>
    </xf>
    <xf numFmtId="0" fontId="1" fillId="2" borderId="28" xfId="0" applyFont="1" applyFill="1" applyBorder="1" applyAlignment="1">
      <alignment horizontal="left" indent="7"/>
    </xf>
    <xf numFmtId="0" fontId="1" fillId="2" borderId="51" xfId="0" applyFont="1" applyFill="1" applyBorder="1" applyAlignment="1">
      <alignment horizontal="left" indent="7"/>
    </xf>
    <xf numFmtId="0" fontId="0" fillId="2" borderId="39" xfId="0" applyFill="1" applyBorder="1"/>
    <xf numFmtId="164" fontId="0" fillId="2" borderId="18" xfId="1" applyNumberFormat="1" applyFont="1" applyFill="1" applyBorder="1"/>
    <xf numFmtId="0" fontId="0" fillId="2" borderId="18" xfId="0" applyFill="1" applyBorder="1"/>
    <xf numFmtId="0" fontId="0" fillId="2" borderId="18" xfId="0" applyFill="1" applyBorder="1" applyAlignment="1">
      <alignment horizontal="right"/>
    </xf>
    <xf numFmtId="0" fontId="1" fillId="3" borderId="19" xfId="0" applyFont="1" applyFill="1" applyBorder="1"/>
    <xf numFmtId="164" fontId="0" fillId="3" borderId="20" xfId="1" applyNumberFormat="1" applyFont="1" applyFill="1" applyBorder="1"/>
    <xf numFmtId="0" fontId="0" fillId="3" borderId="21" xfId="0" applyFill="1" applyBorder="1"/>
    <xf numFmtId="0" fontId="0" fillId="2" borderId="28" xfId="0" applyFill="1" applyBorder="1" applyAlignment="1">
      <alignment horizontal="left" indent="6"/>
    </xf>
    <xf numFmtId="164" fontId="0" fillId="2" borderId="27" xfId="1" applyNumberFormat="1" applyFont="1" applyFill="1" applyBorder="1"/>
    <xf numFmtId="173" fontId="0" fillId="2" borderId="0" xfId="1" applyNumberFormat="1" applyFont="1" applyFill="1" applyBorder="1"/>
    <xf numFmtId="173" fontId="0" fillId="2" borderId="27" xfId="1" applyNumberFormat="1" applyFont="1" applyFill="1" applyBorder="1"/>
    <xf numFmtId="0" fontId="0" fillId="2" borderId="39" xfId="0" applyFill="1" applyBorder="1" applyAlignment="1">
      <alignment horizontal="left" indent="6"/>
    </xf>
    <xf numFmtId="173" fontId="0" fillId="2" borderId="18" xfId="1" applyNumberFormat="1" applyFont="1" applyFill="1" applyBorder="1"/>
    <xf numFmtId="173" fontId="0" fillId="2" borderId="40" xfId="1" applyNumberFormat="1" applyFont="1" applyFill="1" applyBorder="1"/>
    <xf numFmtId="164" fontId="0" fillId="2" borderId="31" xfId="0" applyNumberFormat="1" applyFill="1" applyBorder="1"/>
    <xf numFmtId="164" fontId="0" fillId="2" borderId="53" xfId="0" applyNumberFormat="1" applyFill="1" applyBorder="1"/>
    <xf numFmtId="0" fontId="4" fillId="2" borderId="7" xfId="0" applyFont="1" applyFill="1" applyBorder="1" applyAlignment="1">
      <alignment horizontal="right" vertical="top"/>
    </xf>
    <xf numFmtId="3" fontId="4" fillId="2" borderId="7" xfId="0" applyNumberFormat="1" applyFont="1" applyFill="1" applyBorder="1" applyAlignment="1">
      <alignment horizontal="right" vertical="top"/>
    </xf>
    <xf numFmtId="0" fontId="4" fillId="2" borderId="4" xfId="0" applyFont="1" applyFill="1" applyBorder="1" applyAlignment="1">
      <alignment horizontal="right" vertical="top"/>
    </xf>
    <xf numFmtId="0" fontId="4" fillId="2" borderId="6" xfId="0" applyFont="1" applyFill="1" applyBorder="1" applyAlignment="1">
      <alignment horizontal="center"/>
    </xf>
    <xf numFmtId="170" fontId="4" fillId="4" borderId="6" xfId="0" applyNumberFormat="1" applyFont="1" applyFill="1" applyBorder="1" applyAlignment="1"/>
    <xf numFmtId="170" fontId="4" fillId="4" borderId="7" xfId="0" applyNumberFormat="1" applyFont="1" applyFill="1" applyBorder="1" applyAlignment="1"/>
    <xf numFmtId="0" fontId="4" fillId="0" borderId="10" xfId="0" applyFont="1" applyFill="1" applyBorder="1" applyAlignment="1">
      <alignment horizontal="left" indent="2"/>
    </xf>
    <xf numFmtId="175" fontId="4" fillId="0" borderId="10" xfId="0" applyNumberFormat="1" applyFont="1" applyFill="1" applyBorder="1" applyAlignment="1"/>
    <xf numFmtId="175" fontId="0" fillId="0" borderId="9" xfId="0" applyNumberFormat="1" applyFill="1" applyBorder="1"/>
    <xf numFmtId="175" fontId="0" fillId="0" borderId="9" xfId="0" applyNumberFormat="1" applyFill="1" applyBorder="1" applyAlignment="1">
      <alignment horizontal="center"/>
    </xf>
    <xf numFmtId="175" fontId="0" fillId="0" borderId="0" xfId="0" applyNumberFormat="1" applyFill="1" applyBorder="1"/>
    <xf numFmtId="175" fontId="4" fillId="4" borderId="0" xfId="0" applyNumberFormat="1" applyFont="1" applyFill="1" applyBorder="1" applyAlignment="1">
      <alignment horizontal="center"/>
    </xf>
    <xf numFmtId="175" fontId="0" fillId="0" borderId="7" xfId="0" applyNumberFormat="1" applyFill="1" applyBorder="1"/>
    <xf numFmtId="175" fontId="0" fillId="0" borderId="7" xfId="0" applyNumberFormat="1" applyFill="1" applyBorder="1" applyAlignment="1">
      <alignment horizontal="center"/>
    </xf>
    <xf numFmtId="175" fontId="4" fillId="4" borderId="7" xfId="0" applyNumberFormat="1" applyFont="1" applyFill="1" applyBorder="1" applyAlignment="1">
      <alignment horizontal="center"/>
    </xf>
    <xf numFmtId="170" fontId="4" fillId="4" borderId="4" xfId="0" applyNumberFormat="1" applyFont="1" applyFill="1" applyBorder="1" applyAlignment="1">
      <alignment horizontal="center"/>
    </xf>
    <xf numFmtId="0" fontId="4" fillId="4" borderId="7" xfId="0" applyFont="1" applyFill="1" applyBorder="1" applyAlignment="1">
      <alignment horizontal="center"/>
    </xf>
    <xf numFmtId="164" fontId="0" fillId="2" borderId="7" xfId="1" applyNumberFormat="1" applyFont="1" applyFill="1" applyBorder="1" applyAlignment="1"/>
    <xf numFmtId="164" fontId="0" fillId="2" borderId="0" xfId="1" applyNumberFormat="1" applyFont="1" applyFill="1" applyBorder="1" applyAlignment="1"/>
    <xf numFmtId="164" fontId="0" fillId="2" borderId="18" xfId="1" applyNumberFormat="1" applyFont="1" applyFill="1" applyBorder="1" applyAlignment="1"/>
    <xf numFmtId="164" fontId="0" fillId="2" borderId="40" xfId="1" applyNumberFormat="1" applyFont="1" applyFill="1" applyBorder="1" applyAlignment="1"/>
    <xf numFmtId="164" fontId="0" fillId="2" borderId="29" xfId="1" applyNumberFormat="1" applyFont="1" applyFill="1" applyBorder="1"/>
    <xf numFmtId="0" fontId="4" fillId="2" borderId="7" xfId="0" applyFont="1" applyFill="1" applyBorder="1" applyAlignment="1">
      <alignment horizontal="left" vertical="top" wrapText="1" indent="2"/>
    </xf>
    <xf numFmtId="0" fontId="4" fillId="2" borderId="0" xfId="0" applyFont="1" applyFill="1" applyBorder="1" applyAlignment="1">
      <alignment horizontal="left" vertical="top" wrapText="1" indent="2"/>
    </xf>
    <xf numFmtId="166" fontId="4" fillId="0" borderId="1" xfId="1" applyNumberFormat="1" applyFont="1" applyFill="1" applyBorder="1" applyAlignment="1">
      <alignment horizontal="centerContinuous" vertical="center" wrapText="1"/>
    </xf>
    <xf numFmtId="164" fontId="4" fillId="0" borderId="1" xfId="1" applyNumberFormat="1" applyFont="1" applyFill="1" applyBorder="1" applyAlignment="1">
      <alignment horizontal="centerContinuous" vertical="center" wrapText="1"/>
    </xf>
    <xf numFmtId="164" fontId="4" fillId="0" borderId="3" xfId="1" applyNumberFormat="1" applyFont="1" applyFill="1" applyBorder="1" applyAlignment="1">
      <alignment horizontal="centerContinuous" vertical="center" wrapText="1"/>
    </xf>
    <xf numFmtId="166" fontId="4" fillId="0" borderId="1" xfId="1" applyNumberFormat="1" applyFont="1" applyFill="1" applyBorder="1" applyAlignment="1">
      <alignment horizontal="right" vertical="center" wrapText="1"/>
    </xf>
    <xf numFmtId="43" fontId="4" fillId="0" borderId="1" xfId="1" applyNumberFormat="1" applyFont="1" applyFill="1" applyBorder="1" applyAlignment="1">
      <alignment horizontal="centerContinuous" vertical="center" wrapText="1"/>
    </xf>
    <xf numFmtId="177" fontId="4" fillId="5" borderId="15" xfId="0" applyNumberFormat="1" applyFont="1" applyFill="1" applyBorder="1" applyAlignment="1">
      <alignment horizontal="center"/>
    </xf>
    <xf numFmtId="177" fontId="4" fillId="5" borderId="10" xfId="0" applyNumberFormat="1" applyFont="1" applyFill="1" applyBorder="1" applyAlignment="1">
      <alignment horizontal="center"/>
    </xf>
    <xf numFmtId="0" fontId="6" fillId="5" borderId="1" xfId="4" applyFill="1" applyBorder="1" applyAlignment="1">
      <alignment vertical="top" wrapText="1"/>
    </xf>
    <xf numFmtId="0" fontId="4" fillId="0" borderId="15" xfId="0" applyFont="1" applyFill="1" applyBorder="1" applyAlignment="1">
      <alignment horizontal="left" indent="3"/>
    </xf>
    <xf numFmtId="170" fontId="4" fillId="0" borderId="14" xfId="0" applyNumberFormat="1" applyFont="1" applyFill="1" applyBorder="1" applyAlignment="1">
      <alignment horizontal="right"/>
    </xf>
    <xf numFmtId="170" fontId="4" fillId="0" borderId="9" xfId="0" applyNumberFormat="1" applyFont="1" applyFill="1" applyBorder="1" applyAlignment="1">
      <alignment horizontal="right"/>
    </xf>
    <xf numFmtId="170" fontId="4" fillId="0" borderId="15" xfId="0" applyNumberFormat="1" applyFont="1" applyFill="1" applyBorder="1" applyAlignment="1">
      <alignment horizontal="right"/>
    </xf>
    <xf numFmtId="170" fontId="4" fillId="0" borderId="9" xfId="0" applyNumberFormat="1" applyFont="1" applyFill="1" applyBorder="1"/>
    <xf numFmtId="170" fontId="4" fillId="0" borderId="15" xfId="0" applyNumberFormat="1" applyFont="1" applyFill="1" applyBorder="1"/>
    <xf numFmtId="0" fontId="4" fillId="0" borderId="14" xfId="0" applyFont="1" applyFill="1" applyBorder="1" applyAlignment="1">
      <alignment horizontal="right"/>
    </xf>
    <xf numFmtId="0" fontId="4" fillId="0" borderId="9" xfId="0" applyFont="1" applyFill="1" applyBorder="1" applyAlignment="1">
      <alignment horizontal="right"/>
    </xf>
    <xf numFmtId="0" fontId="8" fillId="0" borderId="0" xfId="0" applyFont="1" applyFill="1" applyAlignment="1">
      <alignment horizontal="left" indent="1"/>
    </xf>
    <xf numFmtId="0" fontId="11" fillId="0" borderId="0" xfId="0" applyFont="1" applyFill="1" applyAlignment="1">
      <alignment horizontal="left" indent="1"/>
    </xf>
    <xf numFmtId="0" fontId="11" fillId="0" borderId="7" xfId="0" applyFont="1" applyFill="1" applyBorder="1" applyAlignment="1">
      <alignment horizontal="left" indent="1"/>
    </xf>
    <xf numFmtId="0" fontId="8" fillId="0" borderId="46" xfId="0" applyFont="1" applyFill="1" applyBorder="1" applyAlignment="1">
      <alignment horizontal="left" indent="1"/>
    </xf>
    <xf numFmtId="3" fontId="11" fillId="0" borderId="46" xfId="0" applyNumberFormat="1" applyFont="1" applyFill="1" applyBorder="1"/>
    <xf numFmtId="0" fontId="11" fillId="4" borderId="19" xfId="0" applyFont="1" applyFill="1" applyBorder="1" applyAlignment="1">
      <alignment horizontal="left"/>
    </xf>
    <xf numFmtId="0" fontId="6" fillId="0" borderId="50" xfId="0" applyFont="1" applyFill="1" applyBorder="1" applyAlignment="1">
      <alignment horizontal="center" vertical="center"/>
    </xf>
    <xf numFmtId="0" fontId="6" fillId="0" borderId="24" xfId="0" applyFont="1" applyFill="1" applyBorder="1" applyAlignment="1">
      <alignment horizontal="center" vertical="center"/>
    </xf>
    <xf numFmtId="3" fontId="11" fillId="0" borderId="18" xfId="0" applyNumberFormat="1" applyFont="1" applyFill="1" applyBorder="1"/>
    <xf numFmtId="3" fontId="11" fillId="0" borderId="40" xfId="0" applyNumberFormat="1" applyFont="1" applyFill="1" applyBorder="1"/>
    <xf numFmtId="3" fontId="11" fillId="0" borderId="27" xfId="0" applyNumberFormat="1" applyFont="1" applyFill="1" applyBorder="1"/>
    <xf numFmtId="0" fontId="11" fillId="0" borderId="39" xfId="0" applyFont="1" applyFill="1" applyBorder="1" applyAlignment="1">
      <alignment horizontal="right"/>
    </xf>
    <xf numFmtId="0" fontId="11" fillId="0" borderId="28" xfId="0" applyFont="1" applyFill="1" applyBorder="1" applyAlignment="1">
      <alignment horizontal="right"/>
    </xf>
    <xf numFmtId="0" fontId="7" fillId="4" borderId="38" xfId="0" applyFont="1" applyFill="1" applyBorder="1" applyAlignment="1">
      <alignment horizontal="right"/>
    </xf>
    <xf numFmtId="3" fontId="7" fillId="4" borderId="31" xfId="0" applyNumberFormat="1" applyFont="1" applyFill="1" applyBorder="1"/>
    <xf numFmtId="3" fontId="7" fillId="4" borderId="29" xfId="0" applyNumberFormat="1" applyFont="1" applyFill="1" applyBorder="1"/>
    <xf numFmtId="0" fontId="18" fillId="4" borderId="0" xfId="0" applyFont="1" applyFill="1"/>
    <xf numFmtId="0" fontId="4" fillId="2" borderId="4" xfId="0" applyFont="1" applyFill="1" applyBorder="1" applyAlignment="1">
      <alignment vertical="top" wrapText="1"/>
    </xf>
    <xf numFmtId="0" fontId="4" fillId="2" borderId="0" xfId="0" applyFont="1" applyFill="1" applyBorder="1" applyAlignment="1">
      <alignment horizontal="right" vertical="top"/>
    </xf>
    <xf numFmtId="0" fontId="4" fillId="2" borderId="0" xfId="0" applyFont="1" applyFill="1" applyAlignment="1">
      <alignment horizontal="right" vertical="top"/>
    </xf>
    <xf numFmtId="0" fontId="4" fillId="2" borderId="7" xfId="0" applyFont="1" applyFill="1" applyBorder="1" applyAlignment="1">
      <alignment horizontal="left" vertical="top" wrapText="1" indent="8"/>
    </xf>
    <xf numFmtId="0" fontId="4" fillId="2" borderId="7" xfId="0" applyFont="1" applyFill="1" applyBorder="1" applyAlignment="1">
      <alignment horizontal="left" vertical="center"/>
    </xf>
    <xf numFmtId="0" fontId="0" fillId="2" borderId="7" xfId="0" applyFill="1" applyBorder="1" applyAlignment="1">
      <alignment vertical="center"/>
    </xf>
    <xf numFmtId="0" fontId="4" fillId="2" borderId="9" xfId="0" applyFont="1" applyFill="1" applyBorder="1" applyAlignment="1">
      <alignment horizontal="right" vertical="top"/>
    </xf>
    <xf numFmtId="0" fontId="3" fillId="2" borderId="9" xfId="0" applyFont="1" applyFill="1" applyBorder="1" applyAlignment="1">
      <alignment vertical="top"/>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4" xfId="0" applyFont="1" applyFill="1" applyBorder="1" applyAlignment="1">
      <alignment vertical="center" wrapText="1"/>
    </xf>
    <xf numFmtId="0" fontId="4" fillId="2" borderId="4" xfId="0" applyFont="1" applyFill="1" applyBorder="1" applyAlignment="1">
      <alignment horizontal="center" vertical="center"/>
    </xf>
    <xf numFmtId="0" fontId="3" fillId="2" borderId="7" xfId="0" applyFont="1" applyFill="1" applyBorder="1" applyAlignment="1">
      <alignment vertical="center"/>
    </xf>
    <xf numFmtId="0" fontId="4" fillId="2" borderId="4" xfId="0" applyFont="1" applyFill="1" applyBorder="1" applyAlignment="1">
      <alignment horizontal="left" vertical="top" wrapText="1" indent="1"/>
    </xf>
    <xf numFmtId="0" fontId="4" fillId="2" borderId="0"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166" fontId="4" fillId="2" borderId="1" xfId="1" applyNumberFormat="1" applyFont="1" applyFill="1" applyBorder="1" applyAlignment="1">
      <alignment horizontal="centerContinuous" vertical="center" wrapText="1"/>
    </xf>
    <xf numFmtId="43" fontId="4" fillId="2" borderId="1" xfId="1" applyNumberFormat="1" applyFont="1" applyFill="1" applyBorder="1" applyAlignment="1">
      <alignment horizontal="centerContinuous" vertical="center" wrapText="1"/>
    </xf>
    <xf numFmtId="164" fontId="4" fillId="2" borderId="3" xfId="1" applyNumberFormat="1" applyFont="1" applyFill="1" applyBorder="1" applyAlignment="1">
      <alignment horizontal="centerContinuous" vertical="center" wrapText="1"/>
    </xf>
    <xf numFmtId="166" fontId="4" fillId="2" borderId="1" xfId="1" applyNumberFormat="1" applyFont="1" applyFill="1" applyBorder="1" applyAlignment="1">
      <alignment horizontal="right" vertical="center" wrapText="1"/>
    </xf>
    <xf numFmtId="164" fontId="4" fillId="2" borderId="1" xfId="1" applyNumberFormat="1" applyFont="1" applyFill="1" applyBorder="1" applyAlignment="1">
      <alignment horizontal="centerContinuous" vertical="center" wrapText="1"/>
    </xf>
    <xf numFmtId="164" fontId="4" fillId="0" borderId="8" xfId="1" applyNumberFormat="1" applyFont="1" applyFill="1" applyBorder="1" applyAlignment="1">
      <alignment horizontal="center" vertical="center" wrapText="1"/>
    </xf>
    <xf numFmtId="168" fontId="4" fillId="0" borderId="0" xfId="3" applyNumberFormat="1" applyFont="1" applyFill="1"/>
    <xf numFmtId="171" fontId="6" fillId="0" borderId="5" xfId="1" applyNumberFormat="1" applyFont="1" applyFill="1" applyBorder="1" applyAlignment="1">
      <alignment horizontal="right" vertical="center" wrapText="1"/>
    </xf>
    <xf numFmtId="171" fontId="6" fillId="0" borderId="8" xfId="1" applyNumberFormat="1" applyFont="1" applyFill="1" applyBorder="1" applyAlignment="1">
      <alignment horizontal="right" vertical="center" wrapText="1"/>
    </xf>
    <xf numFmtId="169" fontId="4" fillId="0" borderId="1" xfId="1" applyNumberFormat="1" applyFont="1" applyFill="1" applyBorder="1" applyAlignment="1">
      <alignment horizontal="centerContinuous" vertical="center" wrapText="1"/>
    </xf>
    <xf numFmtId="171" fontId="6" fillId="0" borderId="1" xfId="1" applyNumberFormat="1" applyFont="1" applyFill="1" applyBorder="1" applyAlignment="1">
      <alignment horizontal="right" vertical="center" wrapText="1"/>
    </xf>
    <xf numFmtId="169" fontId="4" fillId="0" borderId="8" xfId="1" applyNumberFormat="1" applyFont="1" applyFill="1" applyBorder="1" applyAlignment="1">
      <alignment horizontal="centerContinuous" vertical="center" wrapText="1"/>
    </xf>
    <xf numFmtId="171" fontId="6" fillId="0" borderId="13" xfId="1" applyNumberFormat="1" applyFont="1" applyFill="1" applyBorder="1" applyAlignment="1">
      <alignment horizontal="right" vertical="center" wrapText="1"/>
    </xf>
    <xf numFmtId="169" fontId="4" fillId="0" borderId="1" xfId="1" applyNumberFormat="1" applyFont="1" applyFill="1" applyBorder="1" applyAlignment="1">
      <alignment horizontal="right" vertical="center" wrapText="1"/>
    </xf>
    <xf numFmtId="171" fontId="6" fillId="0" borderId="12" xfId="1" applyNumberFormat="1" applyFont="1" applyFill="1" applyBorder="1" applyAlignment="1">
      <alignment horizontal="right" vertical="center" wrapText="1"/>
    </xf>
    <xf numFmtId="164" fontId="6" fillId="0" borderId="12" xfId="1" applyNumberFormat="1" applyFont="1" applyFill="1" applyBorder="1" applyAlignment="1">
      <alignment horizontal="center" vertical="center" wrapText="1"/>
    </xf>
    <xf numFmtId="171" fontId="6" fillId="0" borderId="11" xfId="1" applyNumberFormat="1" applyFont="1" applyFill="1" applyBorder="1" applyAlignment="1">
      <alignment horizontal="right" vertical="center" wrapText="1"/>
    </xf>
    <xf numFmtId="1" fontId="4" fillId="0" borderId="1" xfId="1" applyNumberFormat="1" applyFont="1" applyFill="1" applyBorder="1" applyAlignment="1">
      <alignment horizontal="centerContinuous" vertical="center"/>
    </xf>
    <xf numFmtId="164" fontId="4" fillId="0" borderId="1" xfId="1" applyNumberFormat="1" applyFont="1" applyFill="1" applyBorder="1" applyAlignment="1">
      <alignment horizontal="centerContinuous" vertical="center"/>
    </xf>
    <xf numFmtId="1" fontId="4" fillId="0" borderId="1" xfId="1" applyNumberFormat="1" applyFont="1" applyFill="1" applyBorder="1" applyAlignment="1">
      <alignment horizontal="centerContinuous" vertical="center" wrapText="1"/>
    </xf>
    <xf numFmtId="2" fontId="4" fillId="0" borderId="1" xfId="1" applyNumberFormat="1" applyFont="1" applyFill="1" applyBorder="1" applyAlignment="1">
      <alignment horizontal="centerContinuous" vertical="center" wrapText="1"/>
    </xf>
    <xf numFmtId="1" fontId="4" fillId="0" borderId="12" xfId="1" applyNumberFormat="1" applyFont="1" applyFill="1" applyBorder="1" applyAlignment="1">
      <alignment horizontal="centerContinuous" vertical="center" wrapText="1"/>
    </xf>
    <xf numFmtId="164" fontId="4" fillId="0" borderId="12" xfId="1" applyNumberFormat="1" applyFont="1" applyFill="1" applyBorder="1" applyAlignment="1">
      <alignment horizontal="centerContinuous" vertical="center" wrapText="1"/>
    </xf>
    <xf numFmtId="178" fontId="4" fillId="2" borderId="1" xfId="1" applyNumberFormat="1" applyFont="1" applyFill="1" applyBorder="1" applyAlignment="1">
      <alignment horizontal="right" vertical="center" wrapText="1"/>
    </xf>
    <xf numFmtId="166" fontId="4" fillId="2" borderId="12" xfId="1" applyNumberFormat="1" applyFont="1" applyFill="1" applyBorder="1" applyAlignment="1">
      <alignment horizontal="right" vertical="center" wrapText="1"/>
    </xf>
    <xf numFmtId="170" fontId="0" fillId="4" borderId="0" xfId="0" applyNumberFormat="1" applyFill="1" applyBorder="1" applyAlignment="1">
      <alignment horizontal="center"/>
    </xf>
    <xf numFmtId="0" fontId="3" fillId="2" borderId="7" xfId="0" applyFont="1" applyFill="1" applyBorder="1" applyAlignment="1">
      <alignment horizontal="left" vertical="top" wrapText="1"/>
    </xf>
    <xf numFmtId="0" fontId="3" fillId="2" borderId="7" xfId="0" applyFont="1" applyFill="1" applyBorder="1" applyAlignment="1">
      <alignment horizontal="center" vertical="top"/>
    </xf>
    <xf numFmtId="0" fontId="4" fillId="2" borderId="7" xfId="0" applyFont="1" applyFill="1" applyBorder="1" applyAlignment="1">
      <alignment horizontal="center" vertical="top"/>
    </xf>
    <xf numFmtId="0" fontId="3" fillId="2" borderId="4" xfId="0" applyFont="1" applyFill="1" applyBorder="1" applyAlignment="1">
      <alignment horizontal="left" vertical="top" wrapText="1" indent="2"/>
    </xf>
    <xf numFmtId="0" fontId="3" fillId="2" borderId="4" xfId="0" applyFont="1" applyFill="1" applyBorder="1" applyAlignment="1">
      <alignment horizontal="center" vertical="top"/>
    </xf>
    <xf numFmtId="0" fontId="4" fillId="2" borderId="4" xfId="0" applyFont="1" applyFill="1" applyBorder="1" applyAlignment="1">
      <alignment horizontal="center" vertical="top"/>
    </xf>
    <xf numFmtId="0" fontId="4" fillId="2" borderId="0" xfId="0" applyFont="1" applyFill="1" applyBorder="1" applyAlignment="1">
      <alignment horizontal="center" vertical="top"/>
    </xf>
    <xf numFmtId="0" fontId="4" fillId="2" borderId="7" xfId="0" applyFont="1" applyFill="1" applyBorder="1" applyAlignment="1">
      <alignment horizontal="right" vertical="top" wrapText="1"/>
    </xf>
    <xf numFmtId="0" fontId="3" fillId="2" borderId="7" xfId="0" applyFont="1" applyFill="1" applyBorder="1" applyAlignment="1">
      <alignment horizontal="left" vertical="top" wrapText="1" indent="2"/>
    </xf>
    <xf numFmtId="0" fontId="3" fillId="2" borderId="4" xfId="0" applyFont="1" applyFill="1" applyBorder="1" applyAlignment="1">
      <alignment horizontal="left" vertical="top" wrapText="1"/>
    </xf>
    <xf numFmtId="0" fontId="4" fillId="2" borderId="0" xfId="0" applyFont="1" applyFill="1" applyBorder="1" applyAlignment="1">
      <alignment horizontal="right" vertical="top" wrapText="1"/>
    </xf>
    <xf numFmtId="0" fontId="3" fillId="2" borderId="9" xfId="0" applyFont="1" applyFill="1" applyBorder="1" applyAlignment="1">
      <alignment horizontal="left" vertical="top" wrapText="1"/>
    </xf>
    <xf numFmtId="0" fontId="4" fillId="2" borderId="9" xfId="0" applyFont="1" applyFill="1" applyBorder="1" applyAlignment="1">
      <alignment horizontal="center" vertical="top"/>
    </xf>
    <xf numFmtId="0" fontId="18" fillId="2" borderId="0" xfId="0" applyFont="1" applyFill="1"/>
    <xf numFmtId="0" fontId="4" fillId="2" borderId="0" xfId="0" applyFont="1" applyFill="1" applyAlignment="1">
      <alignment horizontal="left" vertical="top" wrapText="1" indent="4"/>
    </xf>
    <xf numFmtId="0" fontId="3" fillId="2" borderId="7" xfId="0" applyFont="1" applyFill="1" applyBorder="1" applyAlignment="1">
      <alignment vertical="top" wrapText="1"/>
    </xf>
    <xf numFmtId="3" fontId="4" fillId="2" borderId="4" xfId="0" applyNumberFormat="1" applyFont="1" applyFill="1" applyBorder="1" applyAlignment="1">
      <alignment horizontal="right" vertical="top"/>
    </xf>
    <xf numFmtId="3" fontId="4" fillId="2" borderId="0" xfId="0" applyNumberFormat="1" applyFont="1" applyFill="1" applyBorder="1" applyAlignment="1">
      <alignment horizontal="right" vertical="top"/>
    </xf>
    <xf numFmtId="174" fontId="4" fillId="2" borderId="4" xfId="0" applyNumberFormat="1" applyFont="1" applyFill="1" applyBorder="1" applyAlignment="1">
      <alignment horizontal="right" vertical="top"/>
    </xf>
    <xf numFmtId="3" fontId="4" fillId="2" borderId="0" xfId="0" applyNumberFormat="1" applyFont="1" applyFill="1" applyAlignment="1">
      <alignment horizontal="right" vertical="top"/>
    </xf>
    <xf numFmtId="174" fontId="4" fillId="2" borderId="0" xfId="0" applyNumberFormat="1" applyFont="1" applyFill="1" applyAlignment="1">
      <alignment horizontal="right" vertical="top"/>
    </xf>
    <xf numFmtId="174" fontId="4" fillId="2" borderId="0" xfId="0" applyNumberFormat="1" applyFont="1" applyFill="1" applyBorder="1" applyAlignment="1">
      <alignment horizontal="right" vertical="top"/>
    </xf>
    <xf numFmtId="174" fontId="4" fillId="2" borderId="7" xfId="0" applyNumberFormat="1" applyFont="1" applyFill="1" applyBorder="1" applyAlignment="1">
      <alignment horizontal="right" vertical="top"/>
    </xf>
    <xf numFmtId="0" fontId="3" fillId="3" borderId="7" xfId="0" applyFont="1" applyFill="1" applyBorder="1" applyAlignment="1">
      <alignment vertical="center"/>
    </xf>
    <xf numFmtId="0" fontId="3" fillId="3" borderId="7" xfId="0" applyFont="1" applyFill="1" applyBorder="1" applyAlignment="1">
      <alignment horizontal="center"/>
    </xf>
    <xf numFmtId="0" fontId="31" fillId="2" borderId="0" xfId="0" applyFont="1" applyFill="1" applyBorder="1"/>
    <xf numFmtId="0" fontId="33" fillId="2" borderId="0" xfId="0" applyFont="1" applyFill="1" applyBorder="1" applyAlignment="1">
      <alignment horizontal="center"/>
    </xf>
    <xf numFmtId="0" fontId="33" fillId="2" borderId="0" xfId="0" applyFont="1" applyFill="1" applyBorder="1"/>
    <xf numFmtId="0" fontId="6" fillId="2" borderId="0" xfId="0" applyFont="1" applyFill="1" applyBorder="1" applyAlignment="1">
      <alignment horizontal="right" vertical="top"/>
    </xf>
    <xf numFmtId="0" fontId="6" fillId="2" borderId="7" xfId="0" applyFont="1" applyFill="1" applyBorder="1" applyAlignment="1">
      <alignment horizontal="right" vertical="top"/>
    </xf>
    <xf numFmtId="6" fontId="4" fillId="2" borderId="4" xfId="0" applyNumberFormat="1" applyFont="1" applyFill="1" applyBorder="1" applyAlignment="1">
      <alignment horizontal="right" vertical="center"/>
    </xf>
    <xf numFmtId="0" fontId="4" fillId="2" borderId="7" xfId="0" applyFont="1" applyFill="1" applyBorder="1" applyAlignment="1">
      <alignment horizontal="right" vertical="center"/>
    </xf>
    <xf numFmtId="164" fontId="4" fillId="2" borderId="1" xfId="1" applyNumberFormat="1" applyFont="1" applyFill="1" applyBorder="1" applyAlignment="1">
      <alignment horizontal="right" vertical="center" wrapText="1"/>
    </xf>
    <xf numFmtId="0" fontId="19" fillId="2" borderId="0" xfId="0" applyFont="1" applyFill="1" applyAlignment="1">
      <alignment horizontal="left" vertical="center"/>
    </xf>
    <xf numFmtId="0" fontId="1" fillId="2" borderId="0" xfId="0" applyFont="1" applyFill="1"/>
    <xf numFmtId="0" fontId="0" fillId="2" borderId="0" xfId="0" applyFill="1" applyAlignment="1">
      <alignment horizontal="center"/>
    </xf>
    <xf numFmtId="0" fontId="0" fillId="2" borderId="0" xfId="0" applyFill="1" applyAlignment="1">
      <alignment horizontal="left" indent="1"/>
    </xf>
    <xf numFmtId="0" fontId="23" fillId="2" borderId="0" xfId="4" applyFont="1" applyFill="1"/>
    <xf numFmtId="0" fontId="23" fillId="2" borderId="0" xfId="4" applyFont="1" applyFill="1" applyAlignment="1">
      <alignment horizontal="left" vertical="top"/>
    </xf>
    <xf numFmtId="0" fontId="0" fillId="2" borderId="0" xfId="0" applyFill="1" applyAlignment="1">
      <alignment horizontal="left" indent="2"/>
    </xf>
    <xf numFmtId="0" fontId="15" fillId="2" borderId="0" xfId="0" applyFont="1" applyFill="1"/>
    <xf numFmtId="170" fontId="4" fillId="2" borderId="17" xfId="0" applyNumberFormat="1" applyFont="1" applyFill="1" applyBorder="1" applyAlignment="1">
      <alignment horizontal="right"/>
    </xf>
    <xf numFmtId="170" fontId="4" fillId="2" borderId="0" xfId="0" applyNumberFormat="1" applyFont="1" applyFill="1" applyBorder="1" applyAlignment="1">
      <alignment horizontal="right"/>
    </xf>
    <xf numFmtId="0" fontId="4" fillId="2" borderId="7" xfId="0" applyFont="1" applyFill="1" applyBorder="1" applyAlignment="1">
      <alignment horizontal="right" vertical="top" wrapText="1" indent="1"/>
    </xf>
    <xf numFmtId="0" fontId="4" fillId="2" borderId="0" xfId="0" applyFont="1" applyFill="1" applyBorder="1" applyAlignment="1">
      <alignment horizontal="right" vertical="top" wrapText="1" indent="1"/>
    </xf>
    <xf numFmtId="0" fontId="4" fillId="2" borderId="0" xfId="0" applyFont="1" applyFill="1" applyAlignment="1">
      <alignment horizontal="right" vertical="top" wrapText="1" indent="1"/>
    </xf>
    <xf numFmtId="0" fontId="4" fillId="2" borderId="0" xfId="0" applyFont="1" applyFill="1" applyBorder="1" applyAlignment="1">
      <alignment horizontal="right" vertical="center" wrapText="1" indent="1"/>
    </xf>
    <xf numFmtId="0" fontId="3" fillId="2" borderId="7" xfId="0" applyFont="1" applyFill="1" applyBorder="1" applyAlignment="1">
      <alignment horizontal="left" vertical="top"/>
    </xf>
    <xf numFmtId="0" fontId="4" fillId="2" borderId="7" xfId="0" applyFont="1" applyFill="1" applyBorder="1" applyAlignment="1">
      <alignment vertical="center" wrapText="1"/>
    </xf>
    <xf numFmtId="1" fontId="6" fillId="2" borderId="7" xfId="0" applyNumberFormat="1" applyFont="1" applyFill="1" applyBorder="1" applyAlignment="1">
      <alignment horizontal="right" vertical="top"/>
    </xf>
    <xf numFmtId="0" fontId="0" fillId="2" borderId="54" xfId="0" applyFill="1" applyBorder="1" applyAlignment="1">
      <alignment horizontal="center"/>
    </xf>
    <xf numFmtId="0" fontId="0" fillId="2" borderId="1" xfId="0" applyFill="1" applyBorder="1"/>
    <xf numFmtId="164" fontId="0" fillId="2" borderId="1" xfId="1" applyNumberFormat="1" applyFont="1" applyFill="1" applyBorder="1"/>
    <xf numFmtId="164" fontId="0" fillId="2" borderId="1" xfId="0" applyNumberFormat="1" applyFill="1" applyBorder="1" applyAlignment="1">
      <alignment horizontal="left" wrapText="1"/>
    </xf>
    <xf numFmtId="165" fontId="0" fillId="2" borderId="55" xfId="2" applyNumberFormat="1" applyFont="1" applyFill="1" applyBorder="1" applyAlignment="1">
      <alignment horizontal="center" wrapText="1"/>
    </xf>
    <xf numFmtId="168" fontId="0" fillId="2" borderId="1" xfId="3" applyNumberFormat="1" applyFont="1" applyFill="1" applyBorder="1" applyAlignment="1">
      <alignment horizontal="right" wrapText="1"/>
    </xf>
    <xf numFmtId="0" fontId="0" fillId="2" borderId="56" xfId="0" applyFill="1" applyBorder="1" applyAlignment="1">
      <alignment horizontal="center"/>
    </xf>
    <xf numFmtId="0" fontId="0" fillId="2" borderId="12" xfId="0" applyFill="1" applyBorder="1"/>
    <xf numFmtId="164" fontId="0" fillId="2" borderId="12" xfId="0" applyNumberFormat="1" applyFill="1" applyBorder="1" applyAlignment="1">
      <alignment horizontal="center" wrapText="1"/>
    </xf>
    <xf numFmtId="164" fontId="0" fillId="2" borderId="12" xfId="0" applyNumberFormat="1" applyFill="1" applyBorder="1" applyAlignment="1">
      <alignment horizontal="left" wrapText="1"/>
    </xf>
    <xf numFmtId="165" fontId="0" fillId="2" borderId="57" xfId="2" applyNumberFormat="1" applyFont="1" applyFill="1" applyBorder="1" applyAlignment="1">
      <alignment horizontal="center" wrapText="1"/>
    </xf>
    <xf numFmtId="168" fontId="0" fillId="2" borderId="12" xfId="3" applyNumberFormat="1" applyFont="1" applyFill="1" applyBorder="1" applyAlignment="1">
      <alignment horizontal="right" wrapText="1"/>
    </xf>
    <xf numFmtId="164" fontId="1" fillId="2" borderId="58" xfId="1" applyNumberFormat="1" applyFont="1" applyFill="1" applyBorder="1" applyAlignment="1">
      <alignment horizontal="right"/>
    </xf>
    <xf numFmtId="164" fontId="1" fillId="2" borderId="58" xfId="0" applyNumberFormat="1" applyFont="1" applyFill="1" applyBorder="1" applyAlignment="1">
      <alignment horizontal="left" wrapText="1"/>
    </xf>
    <xf numFmtId="165" fontId="1" fillId="2" borderId="59" xfId="2" applyNumberFormat="1" applyFont="1" applyFill="1" applyBorder="1" applyAlignment="1">
      <alignment horizontal="center" wrapText="1"/>
    </xf>
    <xf numFmtId="164" fontId="1" fillId="2" borderId="8" xfId="0" applyNumberFormat="1" applyFont="1" applyFill="1" applyBorder="1" applyAlignment="1">
      <alignment horizontal="left" wrapText="1"/>
    </xf>
    <xf numFmtId="164" fontId="0" fillId="2" borderId="8" xfId="0" applyNumberFormat="1" applyFont="1" applyFill="1" applyBorder="1" applyAlignment="1">
      <alignment horizontal="left" wrapText="1"/>
    </xf>
    <xf numFmtId="168" fontId="0" fillId="2" borderId="8" xfId="3" applyNumberFormat="1" applyFont="1" applyFill="1" applyBorder="1" applyAlignment="1">
      <alignment horizontal="right" wrapText="1"/>
    </xf>
    <xf numFmtId="0" fontId="0" fillId="2" borderId="0" xfId="0" applyFill="1" applyAlignment="1">
      <alignment horizontal="right"/>
    </xf>
    <xf numFmtId="44" fontId="0" fillId="2" borderId="0" xfId="2" applyFont="1" applyFill="1"/>
    <xf numFmtId="164" fontId="0" fillId="2" borderId="0" xfId="0" applyNumberFormat="1" applyFill="1"/>
    <xf numFmtId="43" fontId="0" fillId="2" borderId="0" xfId="0" applyNumberFormat="1" applyFill="1"/>
    <xf numFmtId="0" fontId="0" fillId="2" borderId="64" xfId="0" applyFill="1" applyBorder="1" applyAlignment="1">
      <alignment horizontal="center"/>
    </xf>
    <xf numFmtId="0" fontId="0" fillId="2" borderId="65" xfId="0" applyFill="1" applyBorder="1"/>
    <xf numFmtId="164" fontId="0" fillId="2" borderId="65" xfId="1" applyNumberFormat="1" applyFont="1" applyFill="1" applyBorder="1"/>
    <xf numFmtId="164" fontId="0" fillId="2" borderId="65" xfId="0" applyNumberFormat="1" applyFill="1" applyBorder="1" applyAlignment="1">
      <alignment horizontal="left" wrapText="1"/>
    </xf>
    <xf numFmtId="165" fontId="0" fillId="2" borderId="66" xfId="2" applyNumberFormat="1" applyFont="1" applyFill="1" applyBorder="1" applyAlignment="1">
      <alignment horizontal="center" wrapText="1"/>
    </xf>
    <xf numFmtId="0" fontId="1" fillId="2" borderId="0" xfId="0" applyFont="1" applyFill="1" applyAlignment="1">
      <alignment horizontal="center" vertical="center"/>
    </xf>
    <xf numFmtId="0" fontId="1" fillId="3" borderId="50" xfId="0" applyFont="1" applyFill="1" applyBorder="1" applyAlignment="1">
      <alignment horizontal="right"/>
    </xf>
    <xf numFmtId="0" fontId="1" fillId="3" borderId="24" xfId="0" applyFont="1" applyFill="1" applyBorder="1" applyAlignment="1">
      <alignment horizontal="right"/>
    </xf>
    <xf numFmtId="14" fontId="11" fillId="0" borderId="0" xfId="4" applyNumberFormat="1" applyFont="1" applyFill="1" applyAlignment="1">
      <alignment horizontal="center" vertical="center" wrapText="1"/>
    </xf>
    <xf numFmtId="14" fontId="11" fillId="0" borderId="28" xfId="4" applyNumberFormat="1" applyFont="1" applyFill="1" applyBorder="1" applyAlignment="1">
      <alignment horizontal="center" vertical="center" wrapText="1"/>
    </xf>
    <xf numFmtId="0" fontId="6" fillId="0" borderId="27" xfId="4" applyFill="1" applyBorder="1" applyAlignment="1">
      <alignment vertical="center"/>
    </xf>
    <xf numFmtId="0" fontId="6" fillId="0" borderId="27" xfId="4" applyFont="1" applyFill="1" applyBorder="1" applyAlignment="1">
      <alignment vertical="center"/>
    </xf>
    <xf numFmtId="14" fontId="6" fillId="0" borderId="0" xfId="4" applyNumberFormat="1" applyFont="1" applyFill="1" applyAlignment="1">
      <alignment horizontal="center" vertical="center" wrapText="1"/>
    </xf>
    <xf numFmtId="14" fontId="6" fillId="0" borderId="0" xfId="4" applyNumberFormat="1" applyFill="1" applyAlignment="1">
      <alignment horizontal="center" vertical="center" wrapText="1"/>
    </xf>
    <xf numFmtId="14" fontId="6" fillId="0" borderId="27" xfId="4" applyNumberFormat="1" applyFont="1" applyFill="1" applyBorder="1" applyAlignment="1">
      <alignment horizontal="center" vertical="center" wrapText="1"/>
    </xf>
    <xf numFmtId="0" fontId="4" fillId="0" borderId="0" xfId="0" applyFont="1" applyFill="1" applyAlignment="1">
      <alignment horizontal="right"/>
    </xf>
    <xf numFmtId="0" fontId="6" fillId="0" borderId="0" xfId="0" applyFont="1" applyFill="1" applyAlignment="1">
      <alignment horizontal="right"/>
    </xf>
    <xf numFmtId="0" fontId="4" fillId="0" borderId="0" xfId="0" applyFont="1" applyFill="1" applyBorder="1" applyAlignment="1">
      <alignment horizontal="right"/>
    </xf>
    <xf numFmtId="14" fontId="6" fillId="0" borderId="27" xfId="4" applyNumberFormat="1" applyFill="1" applyBorder="1" applyAlignment="1">
      <alignment horizontal="center" vertical="center" wrapText="1"/>
    </xf>
    <xf numFmtId="14" fontId="11" fillId="0" borderId="27" xfId="4" applyNumberFormat="1" applyFont="1" applyFill="1" applyBorder="1" applyAlignment="1">
      <alignment horizontal="center" vertical="center" wrapText="1"/>
    </xf>
    <xf numFmtId="0" fontId="20" fillId="2" borderId="4" xfId="0" applyFont="1" applyFill="1" applyBorder="1"/>
    <xf numFmtId="0" fontId="9" fillId="0" borderId="0" xfId="0" applyFont="1" applyFill="1" applyBorder="1"/>
    <xf numFmtId="0" fontId="6" fillId="0" borderId="27" xfId="4" applyFont="1" applyFill="1" applyBorder="1" applyAlignment="1">
      <alignment horizontal="left" vertical="center" wrapText="1"/>
    </xf>
    <xf numFmtId="0" fontId="6" fillId="0" borderId="29" xfId="4" applyFont="1" applyFill="1" applyBorder="1" applyAlignment="1">
      <alignment vertical="center"/>
    </xf>
    <xf numFmtId="3" fontId="6" fillId="0" borderId="0" xfId="4" applyNumberFormat="1" applyAlignment="1">
      <alignment horizontal="center" vertical="center"/>
    </xf>
    <xf numFmtId="3" fontId="6" fillId="10" borderId="0" xfId="4" applyNumberFormat="1" applyFill="1" applyAlignment="1">
      <alignment horizontal="center" vertical="center"/>
    </xf>
    <xf numFmtId="0" fontId="23" fillId="2" borderId="0" xfId="0" applyFont="1" applyFill="1" applyAlignment="1">
      <alignment horizontal="left" vertical="center"/>
    </xf>
    <xf numFmtId="0" fontId="4" fillId="2" borderId="0" xfId="0" applyFont="1" applyFill="1" applyBorder="1" applyAlignment="1">
      <alignment horizontal="center" vertical="center"/>
    </xf>
    <xf numFmtId="0" fontId="23" fillId="2" borderId="0" xfId="0" applyFont="1" applyFill="1"/>
    <xf numFmtId="0" fontId="35" fillId="2" borderId="0" xfId="0" applyFont="1" applyFill="1"/>
    <xf numFmtId="0" fontId="0" fillId="2" borderId="0" xfId="0" applyFont="1" applyFill="1"/>
    <xf numFmtId="0" fontId="23" fillId="2" borderId="0" xfId="0" applyFont="1" applyFill="1" applyAlignment="1">
      <alignment horizontal="center"/>
    </xf>
    <xf numFmtId="0" fontId="23" fillId="2" borderId="0" xfId="0" applyFont="1" applyFill="1" applyAlignment="1">
      <alignment horizontal="left" indent="1"/>
    </xf>
    <xf numFmtId="0" fontId="18" fillId="0" borderId="0" xfId="0" applyFont="1"/>
    <xf numFmtId="164" fontId="3" fillId="2" borderId="6" xfId="1" applyNumberFormat="1" applyFont="1" applyFill="1" applyBorder="1" applyAlignment="1">
      <alignment horizontal="center" vertical="center" wrapText="1"/>
    </xf>
    <xf numFmtId="0" fontId="8" fillId="0" borderId="0" xfId="0" applyFont="1" applyAlignment="1">
      <alignment horizontal="right"/>
    </xf>
    <xf numFmtId="3" fontId="8" fillId="0" borderId="0" xfId="0" applyNumberFormat="1" applyFont="1" applyAlignment="1">
      <alignment horizontal="center"/>
    </xf>
    <xf numFmtId="0" fontId="4" fillId="0" borderId="15" xfId="0" applyFont="1" applyFill="1" applyBorder="1" applyAlignment="1">
      <alignment horizontal="left" indent="2"/>
    </xf>
    <xf numFmtId="0" fontId="8" fillId="0" borderId="0" xfId="0" applyFont="1" applyFill="1"/>
    <xf numFmtId="0" fontId="22" fillId="0" borderId="0" xfId="0" applyFont="1" applyFill="1"/>
    <xf numFmtId="0" fontId="19" fillId="0" borderId="0" xfId="0" applyFont="1" applyFill="1"/>
    <xf numFmtId="168" fontId="4" fillId="0" borderId="0" xfId="3" applyNumberFormat="1" applyFont="1"/>
    <xf numFmtId="0" fontId="8" fillId="0" borderId="16" xfId="0" applyFont="1" applyFill="1" applyBorder="1" applyAlignment="1">
      <alignment horizontal="left" indent="3"/>
    </xf>
    <xf numFmtId="170" fontId="8" fillId="0" borderId="0" xfId="0" applyNumberFormat="1" applyFont="1" applyFill="1" applyAlignment="1">
      <alignment horizontal="right"/>
    </xf>
    <xf numFmtId="170" fontId="8" fillId="0" borderId="16" xfId="0" applyNumberFormat="1" applyFont="1" applyFill="1" applyBorder="1" applyAlignment="1">
      <alignment horizontal="right"/>
    </xf>
    <xf numFmtId="170" fontId="8" fillId="0" borderId="0" xfId="0" applyNumberFormat="1" applyFont="1" applyFill="1" applyBorder="1"/>
    <xf numFmtId="170" fontId="8" fillId="0" borderId="16" xfId="0" applyNumberFormat="1" applyFont="1" applyFill="1" applyBorder="1"/>
    <xf numFmtId="0" fontId="8" fillId="0" borderId="0" xfId="0" applyFont="1" applyFill="1" applyAlignment="1">
      <alignment horizontal="right"/>
    </xf>
    <xf numFmtId="0" fontId="18" fillId="0" borderId="0" xfId="0" applyFont="1" applyFill="1" applyAlignment="1">
      <alignment horizontal="center"/>
    </xf>
    <xf numFmtId="0" fontId="19" fillId="0" borderId="0" xfId="0" applyFont="1" applyFill="1" applyBorder="1" applyAlignment="1">
      <alignment horizontal="left" vertical="top" indent="1"/>
    </xf>
    <xf numFmtId="0" fontId="1" fillId="2" borderId="7" xfId="0" applyFont="1" applyFill="1" applyBorder="1" applyAlignment="1">
      <alignment horizontal="center" vertical="center"/>
    </xf>
    <xf numFmtId="0" fontId="3" fillId="2" borderId="1" xfId="1" applyNumberFormat="1" applyFont="1" applyFill="1" applyBorder="1" applyAlignment="1">
      <alignment horizontal="center" vertical="center" wrapText="1"/>
    </xf>
    <xf numFmtId="49" fontId="12" fillId="2" borderId="1" xfId="1" applyNumberFormat="1" applyFont="1" applyFill="1" applyBorder="1" applyAlignment="1">
      <alignment horizontal="center" vertical="center"/>
    </xf>
    <xf numFmtId="164" fontId="3" fillId="2" borderId="7" xfId="1" applyNumberFormat="1" applyFont="1" applyFill="1" applyBorder="1" applyAlignment="1">
      <alignment horizontal="center" vertical="center"/>
    </xf>
    <xf numFmtId="0" fontId="12" fillId="2" borderId="1" xfId="1" applyNumberFormat="1" applyFont="1" applyFill="1" applyBorder="1" applyAlignment="1">
      <alignment vertical="center"/>
    </xf>
    <xf numFmtId="166" fontId="6" fillId="2" borderId="1" xfId="1" applyNumberFormat="1" applyFont="1" applyFill="1" applyBorder="1" applyAlignment="1">
      <alignment horizontal="centerContinuous" vertical="center" wrapText="1"/>
    </xf>
    <xf numFmtId="164" fontId="6" fillId="2" borderId="1" xfId="1" applyNumberFormat="1" applyFont="1" applyFill="1" applyBorder="1" applyAlignment="1">
      <alignment horizontal="right" vertical="center" wrapText="1"/>
    </xf>
    <xf numFmtId="166" fontId="4" fillId="2" borderId="2" xfId="1" applyNumberFormat="1" applyFont="1" applyFill="1" applyBorder="1" applyAlignment="1">
      <alignment horizontal="centerContinuous" vertical="center" wrapText="1"/>
    </xf>
    <xf numFmtId="166" fontId="6" fillId="2" borderId="1" xfId="1" applyNumberFormat="1" applyFont="1" applyFill="1" applyBorder="1" applyAlignment="1">
      <alignment horizontal="right" vertical="center" wrapText="1"/>
    </xf>
    <xf numFmtId="166" fontId="4" fillId="2" borderId="1" xfId="1" applyNumberFormat="1" applyFont="1" applyFill="1" applyBorder="1" applyAlignment="1">
      <alignment horizontal="center" vertical="center" wrapText="1"/>
    </xf>
    <xf numFmtId="164" fontId="4" fillId="2" borderId="1" xfId="1" applyNumberFormat="1" applyFont="1" applyFill="1" applyBorder="1" applyAlignment="1">
      <alignment vertical="center" wrapText="1"/>
    </xf>
    <xf numFmtId="164" fontId="4" fillId="2" borderId="12" xfId="1" applyNumberFormat="1" applyFont="1" applyFill="1" applyBorder="1" applyAlignment="1">
      <alignment horizontal="right" vertical="center" wrapText="1"/>
    </xf>
    <xf numFmtId="166" fontId="4" fillId="2" borderId="8" xfId="1" applyNumberFormat="1" applyFont="1" applyFill="1" applyBorder="1" applyAlignment="1">
      <alignment horizontal="center" vertical="center" wrapText="1"/>
    </xf>
    <xf numFmtId="164" fontId="4" fillId="2" borderId="8" xfId="1" applyNumberFormat="1" applyFont="1" applyFill="1" applyBorder="1" applyAlignment="1">
      <alignment horizontal="center" vertical="center" wrapText="1"/>
    </xf>
    <xf numFmtId="164" fontId="4" fillId="2" borderId="12" xfId="1" applyNumberFormat="1" applyFont="1" applyFill="1" applyBorder="1" applyAlignment="1">
      <alignment vertical="center"/>
    </xf>
    <xf numFmtId="43" fontId="4" fillId="2" borderId="1" xfId="1" applyNumberFormat="1" applyFont="1" applyFill="1" applyBorder="1" applyAlignment="1">
      <alignment horizontal="right" vertical="center" wrapText="1"/>
    </xf>
    <xf numFmtId="43" fontId="4" fillId="2" borderId="1" xfId="1" applyNumberFormat="1" applyFont="1" applyFill="1" applyBorder="1" applyAlignment="1">
      <alignment horizontal="right" vertical="center" wrapText="1" indent="1"/>
    </xf>
    <xf numFmtId="49" fontId="6" fillId="2" borderId="8" xfId="1" applyNumberFormat="1" applyFont="1" applyFill="1" applyBorder="1" applyAlignment="1">
      <alignment vertical="center" wrapText="1"/>
    </xf>
    <xf numFmtId="164" fontId="4" fillId="2" borderId="8" xfId="1" applyNumberFormat="1" applyFont="1" applyFill="1" applyBorder="1" applyAlignment="1">
      <alignment vertical="center" wrapText="1"/>
    </xf>
    <xf numFmtId="171" fontId="6" fillId="2" borderId="5" xfId="1" applyNumberFormat="1" applyFont="1" applyFill="1" applyBorder="1" applyAlignment="1">
      <alignment horizontal="right" vertical="center" wrapText="1"/>
    </xf>
    <xf numFmtId="171" fontId="6" fillId="2" borderId="8" xfId="1" applyNumberFormat="1" applyFont="1" applyFill="1" applyBorder="1" applyAlignment="1">
      <alignment horizontal="right" vertical="center" wrapText="1"/>
    </xf>
    <xf numFmtId="169" fontId="4" fillId="2" borderId="1" xfId="1" applyNumberFormat="1" applyFont="1" applyFill="1" applyBorder="1" applyAlignment="1">
      <alignment horizontal="right" vertical="center" wrapText="1"/>
    </xf>
    <xf numFmtId="169" fontId="4" fillId="2" borderId="8" xfId="1" applyNumberFormat="1" applyFont="1" applyFill="1" applyBorder="1" applyAlignment="1">
      <alignment horizontal="right" vertical="center" wrapText="1"/>
    </xf>
    <xf numFmtId="169" fontId="4" fillId="2" borderId="1" xfId="1" applyNumberFormat="1" applyFont="1" applyFill="1" applyBorder="1" applyAlignment="1">
      <alignment horizontal="centerContinuous" vertical="center" wrapText="1"/>
    </xf>
    <xf numFmtId="169" fontId="6" fillId="2" borderId="1" xfId="1" applyNumberFormat="1" applyFont="1" applyFill="1" applyBorder="1" applyAlignment="1">
      <alignment horizontal="right" vertical="center" wrapText="1"/>
    </xf>
    <xf numFmtId="169" fontId="4" fillId="2" borderId="12" xfId="1" applyNumberFormat="1" applyFont="1" applyFill="1" applyBorder="1" applyAlignment="1">
      <alignment horizontal="right" vertical="center" wrapText="1"/>
    </xf>
    <xf numFmtId="171" fontId="6" fillId="2" borderId="12" xfId="1" applyNumberFormat="1" applyFont="1" applyFill="1" applyBorder="1" applyAlignment="1">
      <alignment horizontal="right" vertical="center" wrapText="1"/>
    </xf>
    <xf numFmtId="164" fontId="4" fillId="2" borderId="1" xfId="1" applyNumberFormat="1" applyFont="1" applyFill="1" applyBorder="1" applyAlignment="1">
      <alignment horizontal="center" vertical="center"/>
    </xf>
    <xf numFmtId="166" fontId="4" fillId="2" borderId="1" xfId="1" applyNumberFormat="1" applyFont="1" applyFill="1" applyBorder="1" applyAlignment="1">
      <alignment vertical="center" wrapText="1"/>
    </xf>
    <xf numFmtId="164" fontId="4" fillId="2" borderId="3" xfId="1" applyNumberFormat="1" applyFont="1" applyFill="1" applyBorder="1" applyAlignment="1">
      <alignment vertical="center" wrapText="1"/>
    </xf>
    <xf numFmtId="164" fontId="4" fillId="2" borderId="1" xfId="1" applyNumberFormat="1" applyFont="1" applyFill="1" applyBorder="1" applyAlignment="1">
      <alignment horizontal="right" vertical="center"/>
    </xf>
    <xf numFmtId="43" fontId="4" fillId="2" borderId="1" xfId="1" applyNumberFormat="1" applyFont="1" applyFill="1" applyBorder="1" applyAlignment="1">
      <alignment horizontal="center" vertical="center" wrapText="1"/>
    </xf>
    <xf numFmtId="164" fontId="6" fillId="2" borderId="1" xfId="1" applyNumberFormat="1" applyFont="1" applyFill="1" applyBorder="1" applyAlignment="1">
      <alignment horizontal="right" vertical="center"/>
    </xf>
    <xf numFmtId="164" fontId="8" fillId="2" borderId="0" xfId="1" applyNumberFormat="1" applyFont="1" applyFill="1" applyAlignment="1">
      <alignment horizontal="left"/>
    </xf>
    <xf numFmtId="0" fontId="13" fillId="0" borderId="1" xfId="1" applyNumberFormat="1" applyFont="1" applyFill="1" applyBorder="1" applyAlignment="1">
      <alignment vertical="top" wrapText="1"/>
    </xf>
    <xf numFmtId="0" fontId="13" fillId="2" borderId="1" xfId="1" applyNumberFormat="1" applyFont="1" applyFill="1" applyBorder="1" applyAlignment="1">
      <alignment vertical="center" wrapText="1"/>
    </xf>
    <xf numFmtId="1" fontId="4" fillId="2" borderId="1" xfId="1" applyNumberFormat="1" applyFont="1" applyFill="1" applyBorder="1" applyAlignment="1">
      <alignment horizontal="right" vertical="center" wrapText="1"/>
    </xf>
    <xf numFmtId="164" fontId="4" fillId="2" borderId="8" xfId="1" applyNumberFormat="1" applyFont="1" applyFill="1" applyBorder="1" applyAlignment="1">
      <alignment horizontal="centerContinuous" vertical="center" wrapText="1"/>
    </xf>
    <xf numFmtId="1" fontId="4" fillId="2" borderId="8" xfId="1" applyNumberFormat="1" applyFont="1" applyFill="1" applyBorder="1" applyAlignment="1">
      <alignment horizontal="right" vertical="center" wrapText="1"/>
    </xf>
    <xf numFmtId="176" fontId="4" fillId="2" borderId="1" xfId="1" applyNumberFormat="1" applyFont="1" applyFill="1" applyBorder="1" applyAlignment="1">
      <alignment horizontal="right" vertical="center" wrapText="1"/>
    </xf>
    <xf numFmtId="43" fontId="4" fillId="2" borderId="8" xfId="1" applyNumberFormat="1" applyFont="1" applyFill="1" applyBorder="1" applyAlignment="1">
      <alignment horizontal="center" vertical="center" wrapText="1"/>
    </xf>
    <xf numFmtId="0" fontId="6" fillId="2" borderId="8" xfId="1" applyNumberFormat="1" applyFont="1" applyFill="1" applyBorder="1" applyAlignment="1">
      <alignment horizontal="left" vertical="center" wrapText="1"/>
    </xf>
    <xf numFmtId="0" fontId="6" fillId="2" borderId="8" xfId="4" applyFont="1" applyFill="1" applyBorder="1" applyAlignment="1">
      <alignment horizontal="left" vertical="center" wrapText="1"/>
    </xf>
    <xf numFmtId="14" fontId="11" fillId="2" borderId="27" xfId="4" applyNumberFormat="1" applyFont="1" applyFill="1" applyBorder="1" applyAlignment="1">
      <alignment horizontal="center" vertical="center" wrapText="1"/>
    </xf>
    <xf numFmtId="0" fontId="36" fillId="10" borderId="7" xfId="0" applyFont="1" applyFill="1" applyBorder="1" applyAlignment="1">
      <alignment horizontal="center"/>
    </xf>
    <xf numFmtId="0" fontId="37" fillId="10" borderId="49" xfId="0" applyFont="1" applyFill="1" applyBorder="1" applyAlignment="1">
      <alignment horizontal="left"/>
    </xf>
    <xf numFmtId="0" fontId="37" fillId="10" borderId="7" xfId="0" applyFont="1" applyFill="1" applyBorder="1"/>
    <xf numFmtId="175" fontId="4" fillId="0" borderId="14" xfId="0" applyNumberFormat="1" applyFont="1" applyFill="1" applyBorder="1" applyAlignment="1"/>
    <xf numFmtId="175" fontId="4" fillId="0" borderId="15" xfId="0" applyNumberFormat="1" applyFont="1" applyFill="1" applyBorder="1" applyAlignment="1"/>
    <xf numFmtId="175" fontId="4" fillId="0" borderId="17" xfId="0" applyNumberFormat="1" applyFont="1" applyFill="1" applyBorder="1" applyAlignment="1"/>
    <xf numFmtId="175" fontId="4" fillId="0" borderId="16" xfId="0" applyNumberFormat="1" applyFont="1" applyFill="1" applyBorder="1" applyAlignment="1"/>
    <xf numFmtId="175" fontId="4" fillId="0" borderId="6" xfId="0" applyNumberFormat="1" applyFont="1" applyFill="1" applyBorder="1" applyAlignment="1"/>
    <xf numFmtId="175" fontId="4" fillId="0" borderId="7" xfId="0" applyNumberFormat="1" applyFont="1" applyFill="1" applyBorder="1" applyAlignment="1"/>
    <xf numFmtId="0" fontId="23" fillId="0" borderId="0" xfId="0" applyFont="1"/>
    <xf numFmtId="49" fontId="3" fillId="2" borderId="11" xfId="1" applyNumberFormat="1" applyFont="1" applyFill="1" applyBorder="1" applyAlignment="1">
      <alignment horizontal="right" vertical="top" wrapText="1"/>
    </xf>
    <xf numFmtId="49" fontId="3" fillId="2" borderId="11" xfId="1" applyNumberFormat="1" applyFont="1" applyFill="1" applyBorder="1" applyAlignment="1">
      <alignment horizontal="right" vertical="center" wrapText="1"/>
    </xf>
    <xf numFmtId="164" fontId="3" fillId="2" borderId="11" xfId="1" applyNumberFormat="1" applyFont="1" applyFill="1" applyBorder="1" applyAlignment="1">
      <alignment horizontal="right" vertical="center" wrapText="1"/>
    </xf>
    <xf numFmtId="0" fontId="3" fillId="2" borderId="11" xfId="1" applyNumberFormat="1" applyFont="1" applyFill="1" applyBorder="1" applyAlignment="1">
      <alignment horizontal="right" vertical="center" wrapText="1"/>
    </xf>
    <xf numFmtId="0" fontId="4" fillId="2" borderId="1" xfId="0" applyFont="1" applyFill="1" applyBorder="1" applyAlignment="1">
      <alignment vertical="top" wrapText="1"/>
    </xf>
    <xf numFmtId="0" fontId="6" fillId="0" borderId="1" xfId="4" applyFill="1" applyBorder="1" applyAlignment="1">
      <alignment horizontal="left" vertical="top" wrapText="1"/>
    </xf>
    <xf numFmtId="0" fontId="6" fillId="0" borderId="1" xfId="4" applyFill="1" applyBorder="1" applyAlignment="1">
      <alignment horizontal="left" vertical="center" wrapText="1"/>
    </xf>
    <xf numFmtId="0" fontId="6" fillId="0" borderId="28" xfId="4" applyFill="1" applyBorder="1" applyAlignment="1">
      <alignment horizontal="center" vertical="center"/>
    </xf>
    <xf numFmtId="0" fontId="6" fillId="0" borderId="0" xfId="4" quotePrefix="1" applyFill="1" applyAlignment="1">
      <alignment vertical="center"/>
    </xf>
    <xf numFmtId="0" fontId="6" fillId="0" borderId="39" xfId="4" applyFill="1" applyBorder="1" applyAlignment="1">
      <alignment horizontal="center" vertical="center"/>
    </xf>
    <xf numFmtId="0" fontId="6" fillId="0" borderId="18" xfId="4" quotePrefix="1" applyFill="1" applyBorder="1" applyAlignment="1">
      <alignment vertical="center"/>
    </xf>
    <xf numFmtId="0" fontId="6" fillId="0" borderId="40" xfId="4" applyFont="1" applyFill="1" applyBorder="1" applyAlignment="1">
      <alignment vertical="center"/>
    </xf>
    <xf numFmtId="14" fontId="6" fillId="0" borderId="18" xfId="4" applyNumberFormat="1" applyFill="1" applyBorder="1" applyAlignment="1">
      <alignment horizontal="center" vertical="center" wrapText="1"/>
    </xf>
    <xf numFmtId="14" fontId="6" fillId="0" borderId="40" xfId="4" applyNumberFormat="1" applyFill="1" applyBorder="1" applyAlignment="1">
      <alignment horizontal="center" vertical="center" wrapText="1"/>
    </xf>
    <xf numFmtId="14" fontId="11" fillId="0" borderId="40" xfId="4" applyNumberFormat="1" applyFont="1" applyFill="1" applyBorder="1" applyAlignment="1">
      <alignment horizontal="center" vertical="center" wrapText="1"/>
    </xf>
    <xf numFmtId="14" fontId="11" fillId="0" borderId="39" xfId="4" applyNumberFormat="1" applyFont="1" applyFill="1" applyBorder="1" applyAlignment="1">
      <alignment horizontal="center" vertical="center" wrapText="1"/>
    </xf>
    <xf numFmtId="14" fontId="6" fillId="0" borderId="45" xfId="4" applyNumberFormat="1" applyFill="1" applyBorder="1" applyAlignment="1">
      <alignment horizontal="center" vertical="center" wrapText="1"/>
    </xf>
    <xf numFmtId="14" fontId="8" fillId="0" borderId="27" xfId="4" applyNumberFormat="1" applyFont="1" applyFill="1" applyBorder="1" applyAlignment="1">
      <alignment horizontal="center" vertical="center" wrapText="1"/>
    </xf>
    <xf numFmtId="14" fontId="7" fillId="0" borderId="27" xfId="4" applyNumberFormat="1" applyFont="1" applyFill="1" applyBorder="1" applyAlignment="1">
      <alignment horizontal="center" vertical="center" wrapText="1"/>
    </xf>
    <xf numFmtId="0" fontId="6" fillId="0" borderId="0" xfId="4" applyFont="1" applyFill="1" applyAlignment="1">
      <alignment vertical="center"/>
    </xf>
    <xf numFmtId="0" fontId="6" fillId="0" borderId="28" xfId="4" applyFont="1" applyFill="1" applyBorder="1" applyAlignment="1">
      <alignment vertical="center"/>
    </xf>
    <xf numFmtId="0" fontId="6" fillId="0" borderId="28" xfId="4" applyFont="1" applyFill="1" applyBorder="1" applyAlignment="1">
      <alignment horizontal="center" vertical="center"/>
    </xf>
    <xf numFmtId="0" fontId="8" fillId="0" borderId="0" xfId="4" applyFont="1" applyFill="1" applyAlignment="1">
      <alignment vertical="center"/>
    </xf>
    <xf numFmtId="0" fontId="6" fillId="0" borderId="0" xfId="4" applyFont="1" applyAlignment="1">
      <alignment vertical="center"/>
    </xf>
    <xf numFmtId="0" fontId="6" fillId="0" borderId="28" xfId="4" applyFont="1" applyBorder="1" applyAlignment="1">
      <alignment vertical="center"/>
    </xf>
    <xf numFmtId="0" fontId="6" fillId="0" borderId="28" xfId="4" applyFont="1" applyBorder="1" applyAlignment="1">
      <alignment horizontal="center" vertical="center"/>
    </xf>
    <xf numFmtId="0" fontId="23" fillId="0" borderId="7" xfId="0" applyFont="1" applyFill="1" applyBorder="1" applyAlignment="1">
      <alignment horizontal="left" vertical="top"/>
    </xf>
    <xf numFmtId="0" fontId="4" fillId="2" borderId="2" xfId="0" applyFont="1" applyFill="1" applyBorder="1" applyAlignment="1">
      <alignment vertical="center" wrapText="1"/>
    </xf>
    <xf numFmtId="0" fontId="0" fillId="2" borderId="9" xfId="0" applyFill="1" applyBorder="1" applyAlignment="1">
      <alignment horizontal="center" vertical="center"/>
    </xf>
    <xf numFmtId="0" fontId="0" fillId="2" borderId="0" xfId="0" applyFill="1" applyBorder="1" applyAlignment="1">
      <alignment horizontal="center" vertical="center"/>
    </xf>
    <xf numFmtId="0" fontId="0" fillId="2" borderId="7" xfId="0" applyFill="1" applyBorder="1" applyAlignment="1">
      <alignment horizontal="center" vertical="center"/>
    </xf>
    <xf numFmtId="0" fontId="23" fillId="2" borderId="9" xfId="0" applyFont="1" applyFill="1" applyBorder="1" applyAlignment="1">
      <alignment horizontal="left" vertical="center"/>
    </xf>
    <xf numFmtId="0" fontId="23" fillId="2" borderId="0" xfId="0" applyFont="1" applyFill="1" applyBorder="1" applyAlignment="1">
      <alignment horizontal="left" vertical="center"/>
    </xf>
    <xf numFmtId="0" fontId="23" fillId="2" borderId="7" xfId="0" applyFont="1" applyFill="1" applyBorder="1" applyAlignment="1">
      <alignment horizontal="left" vertical="center"/>
    </xf>
    <xf numFmtId="0" fontId="0" fillId="2" borderId="0" xfId="0" applyFill="1" applyAlignment="1">
      <alignment horizontal="center" vertical="center"/>
    </xf>
    <xf numFmtId="0" fontId="23" fillId="2" borderId="0" xfId="0" applyFont="1" applyFill="1" applyAlignment="1">
      <alignment horizontal="left" vertical="center"/>
    </xf>
    <xf numFmtId="0" fontId="0" fillId="2" borderId="18" xfId="0" applyFill="1" applyBorder="1" applyAlignment="1">
      <alignment horizontal="center" vertical="center"/>
    </xf>
    <xf numFmtId="0" fontId="23" fillId="2" borderId="18" xfId="0" applyFont="1" applyFill="1" applyBorder="1" applyAlignment="1">
      <alignment horizontal="left" vertical="center"/>
    </xf>
    <xf numFmtId="0" fontId="23" fillId="2" borderId="9" xfId="0" applyFont="1" applyFill="1" applyBorder="1" applyAlignment="1">
      <alignment vertical="center"/>
    </xf>
    <xf numFmtId="0" fontId="23" fillId="2" borderId="0" xfId="0" applyFont="1" applyFill="1" applyAlignment="1">
      <alignment vertical="center"/>
    </xf>
    <xf numFmtId="0" fontId="23" fillId="2" borderId="7" xfId="0" applyFont="1" applyFill="1" applyBorder="1" applyAlignment="1">
      <alignment vertical="center"/>
    </xf>
    <xf numFmtId="0" fontId="23" fillId="2" borderId="5" xfId="0" applyFont="1" applyFill="1" applyBorder="1" applyAlignment="1">
      <alignment horizontal="left" vertical="center" wrapText="1" indent="1"/>
    </xf>
    <xf numFmtId="0" fontId="23" fillId="2" borderId="8" xfId="0" applyFont="1" applyFill="1" applyBorder="1" applyAlignment="1">
      <alignment horizontal="left" vertical="center" wrapText="1" indent="1"/>
    </xf>
    <xf numFmtId="0" fontId="6" fillId="0" borderId="1" xfId="4" applyBorder="1" applyAlignment="1">
      <alignment horizontal="left" vertical="top" wrapText="1"/>
    </xf>
    <xf numFmtId="0" fontId="26" fillId="2" borderId="25" xfId="4" applyFont="1" applyFill="1" applyBorder="1" applyAlignment="1">
      <alignment horizontal="center" vertical="center" wrapText="1"/>
    </xf>
    <xf numFmtId="0" fontId="26" fillId="2" borderId="24" xfId="4" applyFont="1" applyFill="1" applyBorder="1" applyAlignment="1">
      <alignment horizontal="center" vertical="center" wrapText="1"/>
    </xf>
    <xf numFmtId="0" fontId="26" fillId="0" borderId="25" xfId="4" applyFont="1" applyBorder="1" applyAlignment="1">
      <alignment horizontal="center" vertical="center" wrapText="1"/>
    </xf>
    <xf numFmtId="0" fontId="26" fillId="0" borderId="24" xfId="4" applyFont="1" applyBorder="1" applyAlignment="1">
      <alignment horizontal="center" vertical="center" wrapText="1"/>
    </xf>
    <xf numFmtId="0" fontId="26" fillId="0" borderId="26" xfId="4" applyFont="1" applyBorder="1" applyAlignment="1">
      <alignment horizontal="center" vertical="center" wrapText="1"/>
    </xf>
    <xf numFmtId="0" fontId="26" fillId="0" borderId="33" xfId="4" applyFont="1" applyBorder="1" applyAlignment="1">
      <alignment horizontal="center" vertical="center" wrapText="1"/>
    </xf>
    <xf numFmtId="0" fontId="26" fillId="3" borderId="22" xfId="4" applyFont="1" applyFill="1" applyBorder="1" applyAlignment="1">
      <alignment horizontal="center" vertical="center" wrapText="1"/>
    </xf>
    <xf numFmtId="0" fontId="26" fillId="3" borderId="30" xfId="4" applyFont="1" applyFill="1" applyBorder="1" applyAlignment="1">
      <alignment horizontal="center" vertical="center" wrapText="1"/>
    </xf>
    <xf numFmtId="0" fontId="0" fillId="4" borderId="41" xfId="0" applyFill="1" applyBorder="1" applyAlignment="1">
      <alignment horizontal="center" vertical="center" wrapText="1"/>
    </xf>
    <xf numFmtId="0" fontId="0" fillId="4" borderId="0" xfId="0" applyFill="1" applyAlignment="1">
      <alignment horizontal="center" vertical="center" wrapText="1"/>
    </xf>
    <xf numFmtId="0" fontId="0" fillId="4" borderId="18" xfId="0" applyFill="1" applyBorder="1" applyAlignment="1">
      <alignment horizontal="center" vertical="center" wrapText="1"/>
    </xf>
    <xf numFmtId="0" fontId="8" fillId="0" borderId="1" xfId="4" applyFont="1" applyFill="1" applyBorder="1" applyAlignment="1">
      <alignment horizontal="left" vertical="top"/>
    </xf>
    <xf numFmtId="0" fontId="6" fillId="0" borderId="1" xfId="4" applyFont="1" applyFill="1" applyBorder="1" applyAlignment="1">
      <alignment horizontal="left" vertical="top"/>
    </xf>
    <xf numFmtId="0" fontId="26" fillId="2" borderId="23" xfId="4" applyFont="1" applyFill="1" applyBorder="1" applyAlignment="1">
      <alignment horizontal="center" vertical="center" wrapText="1"/>
    </xf>
    <xf numFmtId="0" fontId="6" fillId="0" borderId="1" xfId="4" applyFill="1" applyBorder="1" applyAlignment="1">
      <alignment horizontal="left" vertical="top" wrapText="1"/>
    </xf>
    <xf numFmtId="0" fontId="6" fillId="0" borderId="1" xfId="4" applyBorder="1" applyAlignment="1">
      <alignment vertical="top" wrapText="1"/>
    </xf>
    <xf numFmtId="0" fontId="6" fillId="0" borderId="1" xfId="4" applyBorder="1" applyAlignment="1">
      <alignment vertical="center" wrapText="1"/>
    </xf>
    <xf numFmtId="0" fontId="6" fillId="0" borderId="1" xfId="4" applyFill="1" applyBorder="1" applyAlignment="1">
      <alignment vertical="top" wrapText="1"/>
    </xf>
    <xf numFmtId="0" fontId="6" fillId="10" borderId="67" xfId="4" applyFill="1" applyBorder="1" applyAlignment="1">
      <alignment horizontal="center" vertical="center" wrapText="1"/>
    </xf>
    <xf numFmtId="0" fontId="6" fillId="10" borderId="68" xfId="4" applyFill="1" applyBorder="1" applyAlignment="1">
      <alignment horizontal="center" vertical="center" wrapText="1"/>
    </xf>
    <xf numFmtId="0" fontId="26" fillId="0" borderId="19"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20" xfId="4" applyFont="1" applyBorder="1" applyAlignment="1">
      <alignment horizontal="center" vertical="center" wrapText="1"/>
    </xf>
    <xf numFmtId="0" fontId="26" fillId="0" borderId="31" xfId="4" applyFont="1" applyBorder="1" applyAlignment="1">
      <alignment horizontal="center" vertical="center" wrapText="1"/>
    </xf>
    <xf numFmtId="0" fontId="26" fillId="0" borderId="21" xfId="4" applyFont="1" applyBorder="1" applyAlignment="1">
      <alignment horizontal="center" vertical="center" wrapText="1"/>
    </xf>
    <xf numFmtId="0" fontId="26" fillId="0" borderId="29" xfId="4" applyFont="1" applyBorder="1" applyAlignment="1">
      <alignment horizontal="center" vertical="center" wrapText="1"/>
    </xf>
    <xf numFmtId="0" fontId="26" fillId="0" borderId="22" xfId="4" applyFont="1" applyBorder="1" applyAlignment="1">
      <alignment horizontal="center" vertical="center" wrapText="1"/>
    </xf>
    <xf numFmtId="0" fontId="26" fillId="0" borderId="30" xfId="4" applyFont="1" applyBorder="1" applyAlignment="1">
      <alignment horizontal="center" vertical="center" wrapText="1"/>
    </xf>
    <xf numFmtId="0" fontId="4" fillId="2" borderId="1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9" xfId="0" applyFont="1" applyFill="1" applyBorder="1" applyAlignment="1">
      <alignment horizontal="center" vertical="center" wrapText="1"/>
    </xf>
    <xf numFmtId="0" fontId="16" fillId="4" borderId="9" xfId="0" applyFont="1" applyFill="1" applyBorder="1" applyAlignment="1">
      <alignment horizontal="left" vertical="center" wrapText="1" indent="1"/>
    </xf>
    <xf numFmtId="0" fontId="16" fillId="4" borderId="16" xfId="0" applyFont="1" applyFill="1" applyBorder="1" applyAlignment="1">
      <alignment horizontal="left" vertical="center" indent="1"/>
    </xf>
    <xf numFmtId="0" fontId="16" fillId="4" borderId="7" xfId="0" applyFont="1" applyFill="1" applyBorder="1" applyAlignment="1">
      <alignment horizontal="left" vertical="center" indent="1"/>
    </xf>
    <xf numFmtId="0" fontId="16" fillId="4" borderId="10" xfId="0" applyFont="1" applyFill="1" applyBorder="1" applyAlignment="1">
      <alignment horizontal="left" vertical="center" indent="1"/>
    </xf>
    <xf numFmtId="0" fontId="4" fillId="2" borderId="0" xfId="0" applyFont="1" applyFill="1" applyBorder="1" applyAlignment="1">
      <alignment horizontal="center" wrapText="1"/>
    </xf>
    <xf numFmtId="0" fontId="4" fillId="2" borderId="7" xfId="0" applyFont="1" applyFill="1" applyBorder="1" applyAlignment="1">
      <alignment horizontal="center"/>
    </xf>
    <xf numFmtId="0" fontId="4" fillId="2" borderId="9" xfId="0" applyFont="1" applyFill="1" applyBorder="1" applyAlignment="1">
      <alignment horizontal="center" wrapText="1"/>
    </xf>
    <xf numFmtId="0" fontId="16" fillId="3" borderId="9" xfId="0" applyFont="1" applyFill="1" applyBorder="1" applyAlignment="1">
      <alignment horizontal="left" vertical="center" wrapText="1" indent="1"/>
    </xf>
    <xf numFmtId="0" fontId="16" fillId="3" borderId="15" xfId="0" applyFont="1" applyFill="1" applyBorder="1" applyAlignment="1">
      <alignment horizontal="left" vertical="center" indent="1"/>
    </xf>
    <xf numFmtId="0" fontId="16" fillId="3" borderId="7" xfId="0" applyFont="1" applyFill="1" applyBorder="1" applyAlignment="1">
      <alignment horizontal="left" vertical="center" indent="1"/>
    </xf>
    <xf numFmtId="0" fontId="16" fillId="3" borderId="10" xfId="0" applyFont="1" applyFill="1" applyBorder="1" applyAlignment="1">
      <alignment horizontal="left" vertical="center" indent="1"/>
    </xf>
    <xf numFmtId="0" fontId="15" fillId="4" borderId="4" xfId="0" applyFont="1" applyFill="1" applyBorder="1" applyAlignment="1">
      <alignment horizontal="left" vertical="top"/>
    </xf>
    <xf numFmtId="0" fontId="4" fillId="2" borderId="14" xfId="0" applyFont="1" applyFill="1" applyBorder="1" applyAlignment="1">
      <alignment horizontal="center" vertical="center"/>
    </xf>
    <xf numFmtId="0" fontId="4" fillId="2" borderId="9" xfId="0" applyFont="1" applyFill="1" applyBorder="1" applyAlignment="1">
      <alignment horizontal="center" vertical="center"/>
    </xf>
    <xf numFmtId="0" fontId="10" fillId="3" borderId="4" xfId="0" applyFont="1" applyFill="1" applyBorder="1" applyAlignment="1">
      <alignment horizontal="left" vertical="center" wrapText="1"/>
    </xf>
    <xf numFmtId="0" fontId="10" fillId="3" borderId="4"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0" xfId="0" applyFont="1" applyFill="1" applyBorder="1" applyAlignment="1">
      <alignment horizontal="left" vertical="center"/>
    </xf>
    <xf numFmtId="0" fontId="4" fillId="2" borderId="4" xfId="0" applyFont="1" applyFill="1" applyBorder="1" applyAlignment="1">
      <alignment horizontal="left" vertical="top"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4" fillId="2" borderId="9"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3" fillId="3" borderId="7" xfId="0" applyFont="1" applyFill="1" applyBorder="1" applyAlignment="1">
      <alignment horizontal="left" vertical="center"/>
    </xf>
    <xf numFmtId="0" fontId="4" fillId="2" borderId="0" xfId="0" applyFont="1" applyFill="1" applyBorder="1" applyAlignment="1">
      <alignment horizontal="left" vertical="center" wrapText="1" indent="1"/>
    </xf>
    <xf numFmtId="0" fontId="4" fillId="2" borderId="4" xfId="0" applyFont="1" applyFill="1" applyBorder="1" applyAlignment="1">
      <alignment horizontal="left" vertical="top" wrapText="1" indent="1"/>
    </xf>
    <xf numFmtId="0" fontId="6" fillId="2" borderId="9" xfId="0" applyFont="1" applyFill="1" applyBorder="1" applyAlignment="1">
      <alignment horizontal="left" vertical="center" wrapText="1" indent="1"/>
    </xf>
    <xf numFmtId="0" fontId="4" fillId="2" borderId="0" xfId="0" applyFont="1" applyFill="1" applyBorder="1" applyAlignment="1">
      <alignment horizontal="left" vertical="top" wrapText="1" indent="1"/>
    </xf>
    <xf numFmtId="0" fontId="4" fillId="2" borderId="9" xfId="0" applyFont="1" applyFill="1" applyBorder="1" applyAlignment="1">
      <alignment vertical="center" wrapText="1"/>
    </xf>
    <xf numFmtId="0" fontId="4" fillId="2" borderId="0" xfId="0" applyFont="1" applyFill="1" applyBorder="1" applyAlignment="1">
      <alignment vertical="center" wrapText="1"/>
    </xf>
    <xf numFmtId="0" fontId="4" fillId="2" borderId="7" xfId="0" applyFont="1" applyFill="1" applyBorder="1" applyAlignment="1">
      <alignment vertical="center" wrapText="1"/>
    </xf>
    <xf numFmtId="0" fontId="3" fillId="0" borderId="1" xfId="1" applyNumberFormat="1" applyFont="1" applyFill="1" applyBorder="1" applyAlignment="1">
      <alignment horizontal="center" vertical="center" wrapText="1"/>
    </xf>
    <xf numFmtId="0" fontId="7" fillId="2" borderId="1" xfId="1" applyNumberFormat="1" applyFont="1" applyFill="1" applyBorder="1" applyAlignment="1">
      <alignment horizontal="center" vertical="center" wrapText="1"/>
    </xf>
    <xf numFmtId="0" fontId="3" fillId="2" borderId="1" xfId="1"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0" fontId="1" fillId="0" borderId="12" xfId="1" applyNumberFormat="1" applyFont="1" applyFill="1" applyBorder="1" applyAlignment="1">
      <alignment horizontal="center" vertical="center" wrapText="1"/>
    </xf>
    <xf numFmtId="0" fontId="3" fillId="2" borderId="1" xfId="1" applyNumberFormat="1" applyFont="1" applyFill="1" applyBorder="1" applyAlignment="1">
      <alignment horizontal="center" vertical="center"/>
    </xf>
    <xf numFmtId="0" fontId="7" fillId="0"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54" xfId="0" applyFill="1" applyBorder="1" applyAlignment="1">
      <alignment horizontal="center" vertical="center"/>
    </xf>
    <xf numFmtId="0" fontId="0" fillId="2" borderId="1" xfId="0" applyFill="1" applyBorder="1" applyAlignment="1">
      <alignment horizontal="center" vertical="center"/>
    </xf>
    <xf numFmtId="0" fontId="0" fillId="2" borderId="55" xfId="0" applyFill="1" applyBorder="1" applyAlignment="1">
      <alignment horizontal="center" vertical="center" wrapText="1"/>
    </xf>
    <xf numFmtId="0" fontId="1" fillId="2" borderId="30" xfId="0" applyFont="1" applyFill="1" applyBorder="1" applyAlignment="1">
      <alignment horizontal="right"/>
    </xf>
    <xf numFmtId="0" fontId="1" fillId="2" borderId="58" xfId="0" applyFont="1" applyFill="1" applyBorder="1" applyAlignment="1">
      <alignment horizontal="right"/>
    </xf>
    <xf numFmtId="164" fontId="0" fillId="2" borderId="5" xfId="1" applyNumberFormat="1" applyFont="1" applyFill="1" applyBorder="1" applyAlignment="1">
      <alignment horizontal="center" vertical="center"/>
    </xf>
    <xf numFmtId="164" fontId="0" fillId="2" borderId="8" xfId="1" applyNumberFormat="1" applyFont="1"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164" fontId="0" fillId="2" borderId="62" xfId="1" applyNumberFormat="1" applyFont="1" applyFill="1" applyBorder="1" applyAlignment="1">
      <alignment horizontal="center" vertical="center"/>
    </xf>
    <xf numFmtId="0" fontId="0" fillId="2" borderId="61" xfId="0" applyFill="1" applyBorder="1" applyAlignment="1">
      <alignment horizontal="center" vertical="center" wrapText="1"/>
    </xf>
    <xf numFmtId="0" fontId="0" fillId="2" borderId="63" xfId="0" applyFill="1" applyBorder="1" applyAlignment="1">
      <alignment horizontal="center" vertical="center" wrapText="1"/>
    </xf>
  </cellXfs>
  <cellStyles count="5">
    <cellStyle name="Comma" xfId="1" builtinId="3"/>
    <cellStyle name="Currency" xfId="2" builtinId="4"/>
    <cellStyle name="Normal" xfId="0" builtinId="0"/>
    <cellStyle name="Normal 2 4" xfId="4" xr:uid="{80FAAB5E-06B7-4BE3-B6B4-9D347A8AF50B}"/>
    <cellStyle name="Percent" xfId="3" builtinId="5"/>
  </cellStyles>
  <dxfs count="0"/>
  <tableStyles count="0" defaultTableStyle="TableStyleMedium2" defaultPivotStyle="PivotStyleLight16"/>
  <colors>
    <mruColors>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7796-BF1A-4EE6-B956-5AE67237F9F4}">
  <sheetPr codeName="Sheet1">
    <tabColor rgb="FFFF0000"/>
  </sheetPr>
  <dimension ref="A1:V136"/>
  <sheetViews>
    <sheetView view="pageBreakPreview" zoomScale="70" zoomScaleNormal="80" zoomScaleSheetLayoutView="70" workbookViewId="0">
      <pane xSplit="2" ySplit="3" topLeftCell="C4" activePane="bottomRight" state="frozen"/>
      <selection activeCell="D130" sqref="D130"/>
      <selection pane="topRight" activeCell="D130" sqref="D130"/>
      <selection pane="bottomLeft" activeCell="D130" sqref="D130"/>
      <selection pane="bottomRight" activeCell="E54" sqref="E54"/>
    </sheetView>
  </sheetViews>
  <sheetFormatPr defaultRowHeight="14" x14ac:dyDescent="0.3"/>
  <cols>
    <col min="1" max="1" width="5" customWidth="1"/>
    <col min="2" max="2" width="31.6640625" customWidth="1"/>
    <col min="3" max="3" width="21.9140625" customWidth="1"/>
    <col min="4" max="4" width="8.33203125" customWidth="1"/>
    <col min="5" max="5" width="34.08203125" customWidth="1"/>
    <col min="6" max="6" width="20.33203125" customWidth="1"/>
    <col min="7" max="7" width="9.08203125" customWidth="1"/>
  </cols>
  <sheetData>
    <row r="1" spans="1:6" ht="15.5" x14ac:dyDescent="0.35">
      <c r="A1" s="544" t="s">
        <v>572</v>
      </c>
      <c r="B1" s="202"/>
      <c r="C1" s="202"/>
      <c r="D1" s="202"/>
      <c r="E1" s="202"/>
      <c r="F1" s="202"/>
    </row>
    <row r="2" spans="1:6" ht="9" customHeight="1" x14ac:dyDescent="0.35">
      <c r="A2" s="544"/>
      <c r="B2" s="202"/>
      <c r="C2" s="202"/>
      <c r="D2" s="202"/>
      <c r="E2" s="202"/>
      <c r="F2" s="202"/>
    </row>
    <row r="3" spans="1:6" ht="28" x14ac:dyDescent="0.3">
      <c r="A3" s="171"/>
      <c r="B3" s="172" t="s">
        <v>573</v>
      </c>
      <c r="C3" s="173" t="s">
        <v>574</v>
      </c>
      <c r="D3" s="202"/>
      <c r="E3" s="172" t="s">
        <v>575</v>
      </c>
      <c r="F3" s="173" t="s">
        <v>576</v>
      </c>
    </row>
    <row r="4" spans="1:6" x14ac:dyDescent="0.3">
      <c r="A4" s="174">
        <v>1</v>
      </c>
      <c r="B4" s="175" t="s">
        <v>577</v>
      </c>
      <c r="C4" s="176" t="s">
        <v>578</v>
      </c>
      <c r="D4" s="202"/>
      <c r="E4" s="177" t="s">
        <v>579</v>
      </c>
      <c r="F4" s="721" t="s">
        <v>580</v>
      </c>
    </row>
    <row r="5" spans="1:6" x14ac:dyDescent="0.3">
      <c r="A5" s="178">
        <v>2</v>
      </c>
      <c r="B5" s="179" t="s">
        <v>581</v>
      </c>
      <c r="C5" s="180" t="s">
        <v>582</v>
      </c>
      <c r="D5" s="202"/>
      <c r="E5" s="181" t="s">
        <v>583</v>
      </c>
      <c r="F5" s="722"/>
    </row>
    <row r="6" spans="1:6" x14ac:dyDescent="0.3">
      <c r="A6" s="708">
        <v>3</v>
      </c>
      <c r="B6" s="718" t="s">
        <v>584</v>
      </c>
      <c r="C6" s="182" t="s">
        <v>585</v>
      </c>
      <c r="D6" s="202"/>
      <c r="E6" s="183" t="s">
        <v>98</v>
      </c>
      <c r="F6" s="184" t="s">
        <v>586</v>
      </c>
    </row>
    <row r="7" spans="1:6" ht="13.75" customHeight="1" x14ac:dyDescent="0.3">
      <c r="A7" s="714"/>
      <c r="B7" s="719"/>
      <c r="C7" s="185" t="s">
        <v>587</v>
      </c>
      <c r="D7" s="202"/>
      <c r="E7" s="186" t="str">
        <f>"Total programs = " &amp; COUNTA(E4:E6)</f>
        <v>Total programs = 3</v>
      </c>
      <c r="F7" s="186" t="str">
        <f>"Total Facilities = " &amp; COUNTA(E4:E6)</f>
        <v>Total Facilities = 3</v>
      </c>
    </row>
    <row r="8" spans="1:6" x14ac:dyDescent="0.3">
      <c r="A8" s="714"/>
      <c r="B8" s="719"/>
      <c r="C8" s="185" t="s">
        <v>588</v>
      </c>
      <c r="D8" s="360"/>
      <c r="E8" s="202"/>
      <c r="F8" s="202"/>
    </row>
    <row r="9" spans="1:6" x14ac:dyDescent="0.3">
      <c r="A9" s="710"/>
      <c r="B9" s="720"/>
      <c r="C9" s="602" t="s">
        <v>918</v>
      </c>
      <c r="D9" s="537"/>
      <c r="E9" s="202"/>
      <c r="F9" s="202"/>
    </row>
    <row r="10" spans="1:6" x14ac:dyDescent="0.3">
      <c r="A10" s="178">
        <v>4</v>
      </c>
      <c r="B10" s="179" t="s">
        <v>589</v>
      </c>
      <c r="C10" s="180" t="s">
        <v>590</v>
      </c>
      <c r="D10" s="202"/>
      <c r="E10" s="202"/>
      <c r="F10" s="202"/>
    </row>
    <row r="11" spans="1:6" x14ac:dyDescent="0.3">
      <c r="A11" s="708">
        <v>5</v>
      </c>
      <c r="B11" s="718" t="s">
        <v>591</v>
      </c>
      <c r="C11" s="182" t="s">
        <v>592</v>
      </c>
      <c r="D11" s="537"/>
      <c r="E11" s="202"/>
      <c r="F11" s="202"/>
    </row>
    <row r="12" spans="1:6" x14ac:dyDescent="0.3">
      <c r="A12" s="714"/>
      <c r="B12" s="719"/>
      <c r="C12" s="185" t="s">
        <v>593</v>
      </c>
      <c r="D12" s="202"/>
      <c r="E12" s="202"/>
      <c r="F12" s="202"/>
    </row>
    <row r="13" spans="1:6" x14ac:dyDescent="0.3">
      <c r="A13" s="714"/>
      <c r="B13" s="719"/>
      <c r="C13" s="185" t="s">
        <v>594</v>
      </c>
      <c r="D13" s="202"/>
      <c r="E13" s="202"/>
      <c r="F13" s="202"/>
    </row>
    <row r="14" spans="1:6" x14ac:dyDescent="0.3">
      <c r="A14" s="714"/>
      <c r="B14" s="719"/>
      <c r="C14" s="185" t="s">
        <v>595</v>
      </c>
      <c r="D14" s="202"/>
      <c r="E14" s="202"/>
      <c r="F14" s="202"/>
    </row>
    <row r="15" spans="1:6" x14ac:dyDescent="0.3">
      <c r="A15" s="714"/>
      <c r="B15" s="719"/>
      <c r="C15" s="185" t="s">
        <v>596</v>
      </c>
      <c r="D15" s="202"/>
      <c r="E15" s="202"/>
      <c r="F15" s="202"/>
    </row>
    <row r="16" spans="1:6" x14ac:dyDescent="0.3">
      <c r="A16" s="710"/>
      <c r="B16" s="720"/>
      <c r="C16" s="176" t="s">
        <v>597</v>
      </c>
      <c r="D16" s="202"/>
      <c r="E16" s="202"/>
      <c r="F16" s="202"/>
    </row>
    <row r="17" spans="1:6" x14ac:dyDescent="0.3">
      <c r="A17" s="714">
        <v>6</v>
      </c>
      <c r="B17" s="711" t="s">
        <v>598</v>
      </c>
      <c r="C17" s="187" t="s">
        <v>599</v>
      </c>
      <c r="D17" s="202"/>
      <c r="E17" s="202"/>
      <c r="F17" s="202"/>
    </row>
    <row r="18" spans="1:6" x14ac:dyDescent="0.3">
      <c r="A18" s="714"/>
      <c r="B18" s="715"/>
      <c r="C18" s="187" t="s">
        <v>600</v>
      </c>
      <c r="D18" s="202"/>
      <c r="E18" s="202"/>
      <c r="F18" s="202"/>
    </row>
    <row r="19" spans="1:6" x14ac:dyDescent="0.3">
      <c r="A19" s="710"/>
      <c r="B19" s="713"/>
      <c r="C19" s="176" t="s">
        <v>601</v>
      </c>
      <c r="D19" s="202"/>
      <c r="E19" s="202"/>
      <c r="F19" s="202"/>
    </row>
    <row r="20" spans="1:6" x14ac:dyDescent="0.3">
      <c r="A20" s="178">
        <v>7</v>
      </c>
      <c r="B20" s="179" t="s">
        <v>602</v>
      </c>
      <c r="C20" s="176" t="s">
        <v>603</v>
      </c>
      <c r="D20" s="202"/>
      <c r="E20" s="202"/>
      <c r="F20" s="202"/>
    </row>
    <row r="21" spans="1:6" x14ac:dyDescent="0.3">
      <c r="A21" s="708">
        <v>8</v>
      </c>
      <c r="B21" s="718" t="s">
        <v>604</v>
      </c>
      <c r="C21" s="188" t="s">
        <v>605</v>
      </c>
      <c r="D21" s="202"/>
      <c r="E21" s="202"/>
      <c r="F21" s="202"/>
    </row>
    <row r="22" spans="1:6" x14ac:dyDescent="0.3">
      <c r="A22" s="714"/>
      <c r="B22" s="719"/>
      <c r="C22" s="185" t="s">
        <v>606</v>
      </c>
      <c r="D22" s="202"/>
      <c r="E22" s="202"/>
      <c r="F22" s="202"/>
    </row>
    <row r="23" spans="1:6" x14ac:dyDescent="0.3">
      <c r="A23" s="714"/>
      <c r="B23" s="719"/>
      <c r="C23" s="602" t="s">
        <v>910</v>
      </c>
      <c r="D23" s="517"/>
      <c r="E23" s="604"/>
      <c r="F23" s="202"/>
    </row>
    <row r="24" spans="1:6" x14ac:dyDescent="0.3">
      <c r="A24" s="714"/>
      <c r="B24" s="719"/>
      <c r="C24" s="185" t="s">
        <v>608</v>
      </c>
      <c r="D24" s="202"/>
      <c r="E24" s="202"/>
      <c r="F24" s="202"/>
    </row>
    <row r="25" spans="1:6" x14ac:dyDescent="0.3">
      <c r="A25" s="710"/>
      <c r="B25" s="720"/>
      <c r="C25" s="176" t="s">
        <v>609</v>
      </c>
      <c r="D25" s="202"/>
      <c r="E25" s="202"/>
      <c r="F25" s="202"/>
    </row>
    <row r="26" spans="1:6" x14ac:dyDescent="0.3">
      <c r="A26" s="708">
        <v>9</v>
      </c>
      <c r="B26" s="711" t="s">
        <v>610</v>
      </c>
      <c r="C26" s="182" t="s">
        <v>611</v>
      </c>
      <c r="D26" s="202"/>
      <c r="E26" s="202"/>
      <c r="F26" s="202"/>
    </row>
    <row r="27" spans="1:6" x14ac:dyDescent="0.3">
      <c r="A27" s="714"/>
      <c r="B27" s="715"/>
      <c r="C27" s="602" t="s">
        <v>908</v>
      </c>
      <c r="D27" s="517"/>
      <c r="E27" s="605"/>
      <c r="F27" s="202"/>
    </row>
    <row r="28" spans="1:6" x14ac:dyDescent="0.3">
      <c r="A28" s="714"/>
      <c r="B28" s="715"/>
      <c r="C28" s="185" t="s">
        <v>613</v>
      </c>
      <c r="D28" s="606"/>
      <c r="E28" s="202"/>
      <c r="F28" s="202"/>
    </row>
    <row r="29" spans="1:6" x14ac:dyDescent="0.3">
      <c r="A29" s="714"/>
      <c r="B29" s="715"/>
      <c r="C29" s="185" t="s">
        <v>614</v>
      </c>
      <c r="D29" s="606"/>
      <c r="E29" s="202"/>
      <c r="F29" s="202"/>
    </row>
    <row r="30" spans="1:6" x14ac:dyDescent="0.3">
      <c r="A30" s="714"/>
      <c r="B30" s="715"/>
      <c r="C30" s="602" t="s">
        <v>909</v>
      </c>
      <c r="D30" s="517"/>
      <c r="E30" s="605"/>
      <c r="F30" s="202"/>
    </row>
    <row r="31" spans="1:6" x14ac:dyDescent="0.3">
      <c r="A31" s="714"/>
      <c r="B31" s="715"/>
      <c r="C31" s="185" t="s">
        <v>616</v>
      </c>
      <c r="D31" s="202"/>
      <c r="E31" s="202"/>
      <c r="F31" s="202"/>
    </row>
    <row r="32" spans="1:6" x14ac:dyDescent="0.3">
      <c r="A32" s="714"/>
      <c r="B32" s="715"/>
      <c r="C32" s="187" t="s">
        <v>617</v>
      </c>
      <c r="D32" s="202"/>
      <c r="E32" s="202"/>
      <c r="F32" s="202"/>
    </row>
    <row r="33" spans="1:6" x14ac:dyDescent="0.3">
      <c r="A33" s="714"/>
      <c r="B33" s="715"/>
      <c r="C33" s="187" t="s">
        <v>618</v>
      </c>
      <c r="D33" s="202"/>
      <c r="E33" s="202"/>
      <c r="F33" s="202"/>
    </row>
    <row r="34" spans="1:6" x14ac:dyDescent="0.3">
      <c r="A34" s="714"/>
      <c r="B34" s="715"/>
      <c r="C34" s="187" t="s">
        <v>619</v>
      </c>
      <c r="D34" s="202"/>
      <c r="E34" s="202"/>
      <c r="F34" s="202"/>
    </row>
    <row r="35" spans="1:6" x14ac:dyDescent="0.3">
      <c r="A35" s="714"/>
      <c r="B35" s="715"/>
      <c r="C35" s="187" t="s">
        <v>620</v>
      </c>
      <c r="D35" s="202"/>
      <c r="E35" s="202"/>
      <c r="F35" s="202"/>
    </row>
    <row r="36" spans="1:6" x14ac:dyDescent="0.3">
      <c r="A36" s="714"/>
      <c r="B36" s="715"/>
      <c r="C36" s="187" t="s">
        <v>621</v>
      </c>
      <c r="D36" s="202"/>
      <c r="E36" s="202"/>
      <c r="F36" s="202"/>
    </row>
    <row r="37" spans="1:6" x14ac:dyDescent="0.3">
      <c r="A37" s="710"/>
      <c r="B37" s="713"/>
      <c r="C37" s="189" t="s">
        <v>622</v>
      </c>
      <c r="D37" s="202"/>
      <c r="E37" s="202"/>
      <c r="F37" s="202"/>
    </row>
    <row r="38" spans="1:6" x14ac:dyDescent="0.3">
      <c r="A38" s="178">
        <v>10</v>
      </c>
      <c r="B38" s="190" t="s">
        <v>623</v>
      </c>
      <c r="C38" s="191" t="s">
        <v>624</v>
      </c>
      <c r="D38" s="202"/>
      <c r="E38" s="202"/>
      <c r="F38" s="202"/>
    </row>
    <row r="39" spans="1:6" x14ac:dyDescent="0.3">
      <c r="A39" s="178">
        <v>11</v>
      </c>
      <c r="B39" s="190" t="s">
        <v>625</v>
      </c>
      <c r="C39" s="191" t="s">
        <v>626</v>
      </c>
      <c r="D39" s="202"/>
      <c r="E39" s="202"/>
      <c r="F39" s="202"/>
    </row>
    <row r="40" spans="1:6" x14ac:dyDescent="0.3">
      <c r="A40" s="178">
        <v>12</v>
      </c>
      <c r="B40" s="190" t="s">
        <v>627</v>
      </c>
      <c r="C40" s="191" t="s">
        <v>628</v>
      </c>
      <c r="D40" s="202"/>
      <c r="E40" s="202"/>
      <c r="F40" s="202"/>
    </row>
    <row r="41" spans="1:6" x14ac:dyDescent="0.3">
      <c r="A41" s="708">
        <v>13</v>
      </c>
      <c r="B41" s="711" t="s">
        <v>658</v>
      </c>
      <c r="C41" s="192" t="s">
        <v>629</v>
      </c>
      <c r="D41" s="202"/>
      <c r="E41" s="202"/>
      <c r="F41" s="202"/>
    </row>
    <row r="42" spans="1:6" x14ac:dyDescent="0.3">
      <c r="A42" s="714"/>
      <c r="B42" s="715"/>
      <c r="C42" s="187" t="s">
        <v>630</v>
      </c>
      <c r="D42" s="202"/>
      <c r="E42" s="202"/>
      <c r="F42" s="202"/>
    </row>
    <row r="43" spans="1:6" x14ac:dyDescent="0.3">
      <c r="A43" s="714"/>
      <c r="B43" s="715"/>
      <c r="C43" s="187" t="s">
        <v>631</v>
      </c>
      <c r="D43" s="202"/>
      <c r="E43" s="202"/>
      <c r="F43" s="202"/>
    </row>
    <row r="44" spans="1:6" x14ac:dyDescent="0.3">
      <c r="A44" s="710"/>
      <c r="B44" s="713"/>
      <c r="C44" s="189" t="s">
        <v>632</v>
      </c>
      <c r="D44" s="202"/>
      <c r="E44" s="202"/>
      <c r="F44" s="202"/>
    </row>
    <row r="45" spans="1:6" x14ac:dyDescent="0.3">
      <c r="A45" s="178">
        <v>14</v>
      </c>
      <c r="B45" s="190" t="s">
        <v>633</v>
      </c>
      <c r="C45" s="191" t="s">
        <v>634</v>
      </c>
      <c r="D45" s="202"/>
      <c r="E45" s="202"/>
      <c r="F45" s="202"/>
    </row>
    <row r="46" spans="1:6" x14ac:dyDescent="0.3">
      <c r="A46" s="178">
        <v>15</v>
      </c>
      <c r="B46" s="190" t="s">
        <v>635</v>
      </c>
      <c r="C46" s="191" t="s">
        <v>636</v>
      </c>
      <c r="D46" s="202"/>
      <c r="E46" s="202"/>
      <c r="F46" s="202"/>
    </row>
    <row r="47" spans="1:6" x14ac:dyDescent="0.3">
      <c r="A47" s="708">
        <v>16</v>
      </c>
      <c r="B47" s="711" t="s">
        <v>639</v>
      </c>
      <c r="C47" s="192" t="s">
        <v>640</v>
      </c>
      <c r="D47" s="202"/>
      <c r="E47" s="202"/>
      <c r="F47" s="202"/>
    </row>
    <row r="48" spans="1:6" x14ac:dyDescent="0.3">
      <c r="A48" s="709"/>
      <c r="B48" s="712"/>
      <c r="C48" s="303" t="s">
        <v>641</v>
      </c>
      <c r="D48" s="202"/>
      <c r="E48" s="202"/>
      <c r="F48" s="202"/>
    </row>
    <row r="49" spans="1:6" x14ac:dyDescent="0.3">
      <c r="A49" s="710"/>
      <c r="B49" s="713"/>
      <c r="C49" s="706" t="s">
        <v>642</v>
      </c>
      <c r="D49" s="517" t="s">
        <v>907</v>
      </c>
      <c r="E49" s="202"/>
      <c r="F49" s="202"/>
    </row>
    <row r="50" spans="1:6" x14ac:dyDescent="0.3">
      <c r="A50" s="178">
        <v>17</v>
      </c>
      <c r="B50" s="190" t="s">
        <v>637</v>
      </c>
      <c r="C50" s="191" t="s">
        <v>638</v>
      </c>
      <c r="D50" s="202"/>
      <c r="E50" s="202"/>
      <c r="F50" s="202"/>
    </row>
    <row r="51" spans="1:6" x14ac:dyDescent="0.3">
      <c r="A51" s="178">
        <v>18</v>
      </c>
      <c r="B51" s="190" t="s">
        <v>643</v>
      </c>
      <c r="C51" s="191" t="s">
        <v>644</v>
      </c>
      <c r="D51" s="202"/>
      <c r="E51" s="202"/>
      <c r="F51" s="202"/>
    </row>
    <row r="52" spans="1:6" x14ac:dyDescent="0.3">
      <c r="A52" s="714">
        <v>19</v>
      </c>
      <c r="B52" s="711" t="s">
        <v>645</v>
      </c>
      <c r="C52" s="187" t="s">
        <v>646</v>
      </c>
      <c r="D52" s="202"/>
      <c r="E52" s="202"/>
      <c r="F52" s="202"/>
    </row>
    <row r="53" spans="1:6" x14ac:dyDescent="0.3">
      <c r="A53" s="714"/>
      <c r="B53" s="715"/>
      <c r="C53" s="187" t="s">
        <v>647</v>
      </c>
      <c r="D53" s="202"/>
      <c r="E53" s="202"/>
      <c r="F53" s="202"/>
    </row>
    <row r="54" spans="1:6" x14ac:dyDescent="0.3">
      <c r="A54" s="714"/>
      <c r="B54" s="713"/>
      <c r="C54" s="187" t="s">
        <v>648</v>
      </c>
      <c r="D54" s="202"/>
      <c r="E54" s="202"/>
      <c r="F54" s="202"/>
    </row>
    <row r="55" spans="1:6" x14ac:dyDescent="0.3">
      <c r="A55" s="178">
        <v>20</v>
      </c>
      <c r="B55" s="190" t="s">
        <v>649</v>
      </c>
      <c r="C55" s="191" t="s">
        <v>650</v>
      </c>
      <c r="D55" s="202"/>
      <c r="E55" s="202"/>
      <c r="F55" s="202"/>
    </row>
    <row r="56" spans="1:6" x14ac:dyDescent="0.3">
      <c r="A56" s="708">
        <v>21</v>
      </c>
      <c r="B56" s="711" t="s">
        <v>651</v>
      </c>
      <c r="C56" s="192" t="s">
        <v>652</v>
      </c>
      <c r="D56" s="202"/>
      <c r="E56" s="202"/>
      <c r="F56" s="202"/>
    </row>
    <row r="57" spans="1:6" ht="14.5" thickBot="1" x14ac:dyDescent="0.35">
      <c r="A57" s="716"/>
      <c r="B57" s="717"/>
      <c r="C57" s="193" t="s">
        <v>653</v>
      </c>
      <c r="D57" s="202"/>
      <c r="E57" s="202"/>
      <c r="F57" s="202"/>
    </row>
    <row r="58" spans="1:6" ht="14.5" thickTop="1" x14ac:dyDescent="0.3">
      <c r="B58" s="194" t="str">
        <f>"Total programs = " &amp; COUNTA(B4:B57)</f>
        <v>Total programs = 21</v>
      </c>
      <c r="C58" s="194" t="str">
        <f>"Total Facilities = " &amp; COUNTA(C4:C57)</f>
        <v>Total Facilities = 54</v>
      </c>
      <c r="D58" s="202"/>
      <c r="E58" s="202"/>
      <c r="F58" s="202"/>
    </row>
    <row r="59" spans="1:6" x14ac:dyDescent="0.3">
      <c r="A59" s="50"/>
      <c r="B59" s="195"/>
      <c r="C59" s="50"/>
      <c r="D59" s="310"/>
      <c r="E59" s="310"/>
      <c r="F59" s="310"/>
    </row>
    <row r="60" spans="1:6" x14ac:dyDescent="0.3">
      <c r="A60" s="196" t="s">
        <v>654</v>
      </c>
      <c r="B60" s="196"/>
      <c r="C60" s="196"/>
      <c r="D60" s="196"/>
      <c r="E60" s="196"/>
      <c r="F60" s="196"/>
    </row>
    <row r="61" spans="1:6" x14ac:dyDescent="0.3">
      <c r="A61" s="202"/>
      <c r="B61" s="538" t="s">
        <v>655</v>
      </c>
      <c r="C61" s="202"/>
      <c r="D61" s="202"/>
      <c r="E61" s="202"/>
      <c r="F61" s="202"/>
    </row>
    <row r="62" spans="1:6" x14ac:dyDescent="0.3">
      <c r="A62" s="539">
        <v>1</v>
      </c>
      <c r="B62" s="540" t="s">
        <v>656</v>
      </c>
      <c r="C62" s="541" t="s">
        <v>657</v>
      </c>
      <c r="D62" s="517"/>
      <c r="E62" s="517"/>
      <c r="F62" s="517"/>
    </row>
    <row r="63" spans="1:6" x14ac:dyDescent="0.3">
      <c r="A63" s="607">
        <v>2</v>
      </c>
      <c r="B63" s="608" t="s">
        <v>656</v>
      </c>
      <c r="C63" s="541" t="s">
        <v>911</v>
      </c>
      <c r="D63" s="604"/>
      <c r="E63" s="604"/>
      <c r="F63" s="517"/>
    </row>
    <row r="64" spans="1:6" x14ac:dyDescent="0.3">
      <c r="A64" s="607">
        <v>3</v>
      </c>
      <c r="B64" s="608" t="s">
        <v>656</v>
      </c>
      <c r="C64" s="541" t="s">
        <v>554</v>
      </c>
      <c r="D64" s="604"/>
      <c r="E64" s="604"/>
      <c r="F64" s="202"/>
    </row>
    <row r="65" spans="1:6" x14ac:dyDescent="0.3">
      <c r="A65" s="607">
        <v>4</v>
      </c>
      <c r="B65" s="608" t="s">
        <v>610</v>
      </c>
      <c r="C65" s="541" t="s">
        <v>908</v>
      </c>
      <c r="D65" s="604"/>
      <c r="E65" s="604"/>
      <c r="F65" s="202"/>
    </row>
    <row r="66" spans="1:6" x14ac:dyDescent="0.3">
      <c r="A66" s="607">
        <v>5</v>
      </c>
      <c r="B66" s="608" t="s">
        <v>610</v>
      </c>
      <c r="C66" s="541" t="s">
        <v>912</v>
      </c>
      <c r="D66" s="604"/>
      <c r="E66" s="604"/>
      <c r="F66" s="202"/>
    </row>
    <row r="67" spans="1:6" x14ac:dyDescent="0.3">
      <c r="A67" s="539">
        <v>6</v>
      </c>
      <c r="B67" s="540" t="s">
        <v>610</v>
      </c>
      <c r="C67" s="541" t="s">
        <v>517</v>
      </c>
      <c r="D67" s="202"/>
      <c r="E67" s="202"/>
      <c r="F67" s="202"/>
    </row>
    <row r="68" spans="1:6" x14ac:dyDescent="0.3">
      <c r="A68" s="539">
        <v>7</v>
      </c>
      <c r="B68" s="540" t="s">
        <v>610</v>
      </c>
      <c r="C68" s="542" t="s">
        <v>518</v>
      </c>
      <c r="D68" s="202"/>
      <c r="E68" s="202"/>
      <c r="F68" s="202"/>
    </row>
    <row r="69" spans="1:6" x14ac:dyDescent="0.3">
      <c r="A69" s="539">
        <v>8</v>
      </c>
      <c r="B69" s="540" t="s">
        <v>658</v>
      </c>
      <c r="C69" s="541" t="s">
        <v>526</v>
      </c>
      <c r="D69" s="202"/>
      <c r="E69" s="202"/>
      <c r="F69" s="202"/>
    </row>
    <row r="70" spans="1:6" x14ac:dyDescent="0.3">
      <c r="A70" s="202"/>
      <c r="B70" s="202"/>
      <c r="C70" s="202"/>
      <c r="D70" s="202"/>
      <c r="E70" s="202"/>
      <c r="F70" s="202"/>
    </row>
    <row r="71" spans="1:6" x14ac:dyDescent="0.3">
      <c r="A71" s="202"/>
      <c r="B71" s="538" t="s">
        <v>938</v>
      </c>
      <c r="C71" s="202"/>
      <c r="D71" s="202"/>
      <c r="E71" s="202"/>
      <c r="F71" s="202"/>
    </row>
    <row r="72" spans="1:6" x14ac:dyDescent="0.3">
      <c r="A72" s="202"/>
      <c r="B72" s="543" t="s">
        <v>659</v>
      </c>
      <c r="C72" s="202"/>
      <c r="D72" s="202"/>
      <c r="E72" s="202"/>
      <c r="F72" s="202"/>
    </row>
    <row r="73" spans="1:6" x14ac:dyDescent="0.3">
      <c r="B73" s="197"/>
    </row>
    <row r="131" spans="2:22" x14ac:dyDescent="0.3">
      <c r="B131" s="50"/>
      <c r="C131" s="50"/>
      <c r="D131" s="50"/>
      <c r="E131" s="50"/>
      <c r="F131" s="50"/>
      <c r="G131" s="50"/>
      <c r="H131" s="50"/>
      <c r="I131" s="50"/>
      <c r="J131" s="50"/>
      <c r="K131" s="50"/>
      <c r="L131" s="50"/>
      <c r="M131" s="50"/>
      <c r="N131" s="50"/>
      <c r="O131" s="50"/>
      <c r="P131" s="50"/>
      <c r="Q131" s="50"/>
    </row>
    <row r="134" spans="2:22" x14ac:dyDescent="0.3">
      <c r="B134" s="30"/>
      <c r="V134">
        <v>0</v>
      </c>
    </row>
    <row r="135" spans="2:22" x14ac:dyDescent="0.3">
      <c r="B135" s="30"/>
      <c r="V135">
        <v>0</v>
      </c>
    </row>
    <row r="136" spans="2:22" x14ac:dyDescent="0.3">
      <c r="B136" s="30"/>
      <c r="V136">
        <v>1</v>
      </c>
    </row>
  </sheetData>
  <mergeCells count="19">
    <mergeCell ref="A17:A19"/>
    <mergeCell ref="B17:B19"/>
    <mergeCell ref="F4:F5"/>
    <mergeCell ref="A6:A9"/>
    <mergeCell ref="B6:B9"/>
    <mergeCell ref="A11:A16"/>
    <mergeCell ref="B11:B16"/>
    <mergeCell ref="A21:A25"/>
    <mergeCell ref="B21:B25"/>
    <mergeCell ref="A26:A37"/>
    <mergeCell ref="B26:B37"/>
    <mergeCell ref="A41:A44"/>
    <mergeCell ref="B41:B44"/>
    <mergeCell ref="A47:A49"/>
    <mergeCell ref="B47:B49"/>
    <mergeCell ref="A52:A54"/>
    <mergeCell ref="B52:B54"/>
    <mergeCell ref="A56:A57"/>
    <mergeCell ref="B56:B57"/>
  </mergeCells>
  <pageMargins left="0.7" right="0.7" top="0.75" bottom="0.75" header="0.3" footer="0.3"/>
  <pageSetup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L40"/>
  <sheetViews>
    <sheetView tabSelected="1" view="pageBreakPreview" topLeftCell="A12" zoomScale="80" zoomScaleNormal="80" zoomScaleSheetLayoutView="80" workbookViewId="0">
      <selection activeCell="H11" sqref="H11"/>
    </sheetView>
  </sheetViews>
  <sheetFormatPr defaultRowHeight="14" x14ac:dyDescent="0.3"/>
  <cols>
    <col min="1" max="1" width="6.4140625" customWidth="1"/>
    <col min="2" max="2" width="26.9140625" customWidth="1"/>
    <col min="3" max="3" width="11.6640625" style="1" customWidth="1"/>
    <col min="4" max="4" width="14.6640625" customWidth="1"/>
    <col min="5" max="5" width="14.58203125" customWidth="1"/>
    <col min="6" max="6" width="1.83203125" customWidth="1"/>
    <col min="7" max="7" width="13.4140625" customWidth="1"/>
    <col min="8" max="8" width="12.5" customWidth="1"/>
    <col min="9" max="9" width="13.83203125" customWidth="1"/>
    <col min="10" max="10" width="8.4140625" customWidth="1"/>
    <col min="12" max="12" width="10.08203125" bestFit="1" customWidth="1"/>
  </cols>
  <sheetData>
    <row r="1" spans="1:12" ht="10.75" customHeight="1" thickBot="1" x14ac:dyDescent="0.35">
      <c r="A1" s="202"/>
      <c r="B1" s="202"/>
      <c r="C1" s="19"/>
      <c r="D1" s="202"/>
      <c r="E1" s="202"/>
      <c r="F1" s="202"/>
      <c r="G1" s="202"/>
      <c r="H1" s="202"/>
      <c r="I1" s="202"/>
      <c r="J1" s="202"/>
    </row>
    <row r="2" spans="1:12" x14ac:dyDescent="0.3">
      <c r="A2" s="393" t="s">
        <v>544</v>
      </c>
      <c r="B2" s="365"/>
      <c r="C2" s="394"/>
      <c r="D2" s="365"/>
      <c r="E2" s="395"/>
      <c r="G2" s="626" t="s">
        <v>807</v>
      </c>
      <c r="H2" s="626" t="s">
        <v>808</v>
      </c>
      <c r="I2" s="202"/>
      <c r="J2" s="202"/>
    </row>
    <row r="3" spans="1:12" x14ac:dyDescent="0.3">
      <c r="A3" s="801" t="s">
        <v>58</v>
      </c>
      <c r="B3" s="802" t="s">
        <v>59</v>
      </c>
      <c r="C3" s="806" t="s">
        <v>57</v>
      </c>
      <c r="D3" s="800" t="s">
        <v>372</v>
      </c>
      <c r="E3" s="803" t="str">
        <f>"Cost at $"&amp;'Data '!C48&amp;"/hour"</f>
        <v>Cost at $279/hour</v>
      </c>
      <c r="F3" s="202"/>
      <c r="G3" s="800" t="s">
        <v>372</v>
      </c>
      <c r="H3" s="800" t="s">
        <v>372</v>
      </c>
      <c r="I3" s="800" t="s">
        <v>425</v>
      </c>
      <c r="J3" s="800" t="s">
        <v>426</v>
      </c>
    </row>
    <row r="4" spans="1:12" x14ac:dyDescent="0.3">
      <c r="A4" s="801"/>
      <c r="B4" s="802"/>
      <c r="C4" s="807"/>
      <c r="D4" s="800"/>
      <c r="E4" s="803"/>
      <c r="F4" s="202"/>
      <c r="G4" s="800"/>
      <c r="H4" s="800"/>
      <c r="I4" s="800"/>
      <c r="J4" s="800"/>
    </row>
    <row r="5" spans="1:12" x14ac:dyDescent="0.3">
      <c r="A5" s="554">
        <v>1</v>
      </c>
      <c r="B5" s="555" t="s">
        <v>76</v>
      </c>
      <c r="C5" s="556">
        <v>0</v>
      </c>
      <c r="D5" s="557">
        <f>T1_1X_Rcdkping!G38</f>
        <v>90.666666666666657</v>
      </c>
      <c r="E5" s="558">
        <f>D5*'Data '!$C$48</f>
        <v>25295.999999999996</v>
      </c>
      <c r="F5" s="202"/>
      <c r="G5" s="557">
        <f>T1_1X_Rcdkping!D38</f>
        <v>112</v>
      </c>
      <c r="H5" s="557">
        <f>D5</f>
        <v>90.666666666666657</v>
      </c>
      <c r="I5" s="557">
        <f>H5-G5</f>
        <v>-21.333333333333343</v>
      </c>
      <c r="J5" s="559">
        <f>I5/G5</f>
        <v>-0.19047619047619055</v>
      </c>
    </row>
    <row r="6" spans="1:12" x14ac:dyDescent="0.3">
      <c r="A6" s="554">
        <v>2</v>
      </c>
      <c r="B6" s="555" t="s">
        <v>77</v>
      </c>
      <c r="C6" s="556">
        <f>Num_FFD_Prgms_Total + Num_Fatigue_Programs</f>
        <v>46</v>
      </c>
      <c r="D6" s="557">
        <f>T2_Ann_Rcdkping!G222</f>
        <v>181067.47046296301</v>
      </c>
      <c r="E6" s="558">
        <f>D6*'Data '!$C$48</f>
        <v>50517824.25916668</v>
      </c>
      <c r="F6" s="202"/>
      <c r="G6" s="557">
        <f>T2_Ann_Rcdkping!D222</f>
        <v>220886.51794444444</v>
      </c>
      <c r="H6" s="557">
        <f>D6</f>
        <v>181067.47046296301</v>
      </c>
      <c r="I6" s="557">
        <f t="shared" ref="I6:I8" si="0">H6-G6</f>
        <v>-39819.047481481422</v>
      </c>
      <c r="J6" s="559">
        <f>I6/G6</f>
        <v>-0.18026925251950587</v>
      </c>
    </row>
    <row r="7" spans="1:12" x14ac:dyDescent="0.3">
      <c r="A7" s="554">
        <v>3</v>
      </c>
      <c r="B7" s="555" t="s">
        <v>75</v>
      </c>
      <c r="C7" s="556">
        <f>T3_AnnRpting!I18</f>
        <v>298.33333333333337</v>
      </c>
      <c r="D7" s="557">
        <f>T3_AnnRpting!K18</f>
        <v>5346.666666666667</v>
      </c>
      <c r="E7" s="558">
        <f>D7*'Data '!$C$48</f>
        <v>1491720</v>
      </c>
      <c r="F7" s="202"/>
      <c r="G7" s="557">
        <f>T3_AnnRpting!F18</f>
        <v>6248</v>
      </c>
      <c r="H7" s="557">
        <f t="shared" ref="H7:H8" si="1">D7</f>
        <v>5346.666666666667</v>
      </c>
      <c r="I7" s="557">
        <f t="shared" si="0"/>
        <v>-901.33333333333303</v>
      </c>
      <c r="J7" s="559">
        <f>I7/G7</f>
        <v>-0.14425949637217239</v>
      </c>
    </row>
    <row r="8" spans="1:12" ht="14.5" thickBot="1" x14ac:dyDescent="0.35">
      <c r="A8" s="560">
        <v>4</v>
      </c>
      <c r="B8" s="561" t="s">
        <v>78</v>
      </c>
      <c r="C8" s="562">
        <f>T4_Ann_3rdParty!E109</f>
        <v>366312.27750000008</v>
      </c>
      <c r="D8" s="563">
        <f>T4_Ann_3rdParty!G109</f>
        <v>411471.08291666675</v>
      </c>
      <c r="E8" s="564">
        <f>D8*'Data '!$C$48</f>
        <v>114800432.13375002</v>
      </c>
      <c r="F8" s="202"/>
      <c r="G8" s="563">
        <f>T4_Ann_3rdParty!D109</f>
        <v>492029.37841666659</v>
      </c>
      <c r="H8" s="563">
        <f t="shared" si="1"/>
        <v>411471.08291666675</v>
      </c>
      <c r="I8" s="563">
        <f t="shared" si="0"/>
        <v>-80558.295499999833</v>
      </c>
      <c r="J8" s="565">
        <f>I8/G8</f>
        <v>-0.16372659648745697</v>
      </c>
    </row>
    <row r="9" spans="1:12" ht="15" thickTop="1" thickBot="1" x14ac:dyDescent="0.35">
      <c r="A9" s="804" t="s">
        <v>56</v>
      </c>
      <c r="B9" s="805"/>
      <c r="C9" s="566">
        <f>SUM(C5:C8)</f>
        <v>366656.6108333334</v>
      </c>
      <c r="D9" s="567">
        <f>SUM(D5:D8)</f>
        <v>597975.88671296311</v>
      </c>
      <c r="E9" s="568">
        <f>SUM(E5:E8)</f>
        <v>166835272.39291671</v>
      </c>
      <c r="F9" s="202"/>
      <c r="G9" s="569">
        <f>SUM(G5:G8)</f>
        <v>719275.89636111096</v>
      </c>
      <c r="H9" s="569">
        <f>SUM(H5:H8)</f>
        <v>597975.88671296311</v>
      </c>
      <c r="I9" s="570">
        <f>SUM(I5:I8)</f>
        <v>-121300.00964814793</v>
      </c>
      <c r="J9" s="571">
        <f>I9/G9</f>
        <v>-0.16864183863496171</v>
      </c>
    </row>
    <row r="10" spans="1:12" x14ac:dyDescent="0.3">
      <c r="A10" s="202"/>
      <c r="B10" s="202"/>
      <c r="C10" s="19"/>
      <c r="D10" s="202"/>
      <c r="E10" s="202"/>
      <c r="F10" s="202"/>
      <c r="G10" s="202"/>
      <c r="H10" s="202"/>
      <c r="I10" s="202"/>
      <c r="J10" s="202"/>
      <c r="L10" s="86"/>
    </row>
    <row r="11" spans="1:12" x14ac:dyDescent="0.3">
      <c r="A11" s="202"/>
      <c r="B11" s="202"/>
      <c r="C11" s="572" t="s">
        <v>883</v>
      </c>
      <c r="D11" s="19">
        <f>D5 +D6</f>
        <v>181158.13712962967</v>
      </c>
      <c r="E11" s="202"/>
      <c r="F11" s="202"/>
      <c r="G11" s="202"/>
      <c r="H11" s="202"/>
      <c r="I11" s="202"/>
      <c r="J11" s="202"/>
    </row>
    <row r="12" spans="1:12" x14ac:dyDescent="0.3">
      <c r="A12" s="202"/>
      <c r="B12" s="202"/>
      <c r="C12" s="572" t="s">
        <v>389</v>
      </c>
      <c r="D12" s="573">
        <f>D11 * (0.0004) *'Data '!C48</f>
        <v>20217.248103666672</v>
      </c>
      <c r="E12" s="202"/>
      <c r="F12" s="202"/>
      <c r="G12" s="202"/>
      <c r="H12" s="202"/>
      <c r="I12" s="202"/>
      <c r="J12" s="574"/>
    </row>
    <row r="13" spans="1:12" ht="14" customHeight="1" thickBot="1" x14ac:dyDescent="0.35">
      <c r="A13" s="202"/>
      <c r="B13" s="202"/>
      <c r="C13" s="19"/>
      <c r="D13" s="575"/>
      <c r="E13" s="202"/>
      <c r="F13" s="202"/>
      <c r="G13" s="581" t="s">
        <v>807</v>
      </c>
      <c r="H13" s="581" t="s">
        <v>808</v>
      </c>
      <c r="I13" s="202"/>
      <c r="J13" s="202"/>
    </row>
    <row r="14" spans="1:12" x14ac:dyDescent="0.3">
      <c r="A14" s="808" t="s">
        <v>58</v>
      </c>
      <c r="B14" s="809" t="s">
        <v>59</v>
      </c>
      <c r="C14" s="810" t="s">
        <v>373</v>
      </c>
      <c r="D14" s="811" t="s">
        <v>372</v>
      </c>
      <c r="E14" s="812" t="str">
        <f>E3</f>
        <v>Cost at $279/hour</v>
      </c>
      <c r="F14" s="202"/>
      <c r="G14" s="800" t="s">
        <v>372</v>
      </c>
      <c r="H14" s="800" t="s">
        <v>372</v>
      </c>
      <c r="I14" s="800" t="s">
        <v>425</v>
      </c>
      <c r="J14" s="800" t="s">
        <v>426</v>
      </c>
    </row>
    <row r="15" spans="1:12" x14ac:dyDescent="0.3">
      <c r="A15" s="801"/>
      <c r="B15" s="802"/>
      <c r="C15" s="807"/>
      <c r="D15" s="800"/>
      <c r="E15" s="803"/>
      <c r="F15" s="202"/>
      <c r="G15" s="800"/>
      <c r="H15" s="800"/>
      <c r="I15" s="800"/>
      <c r="J15" s="800"/>
    </row>
    <row r="16" spans="1:12" ht="14.5" thickBot="1" x14ac:dyDescent="0.35">
      <c r="A16" s="576">
        <v>5</v>
      </c>
      <c r="B16" s="577" t="s">
        <v>371</v>
      </c>
      <c r="C16" s="578">
        <f>T5_Ann_NRC!E15</f>
        <v>214.33333333333334</v>
      </c>
      <c r="D16" s="579">
        <f>T5_Ann_NRC!G15</f>
        <v>1715.3333333333335</v>
      </c>
      <c r="E16" s="580">
        <f>D16*NRC_Labor_Rate</f>
        <v>478578.00000000006</v>
      </c>
      <c r="F16" s="202"/>
      <c r="G16" s="557">
        <f>T5_Ann_NRC!D15</f>
        <v>1872</v>
      </c>
      <c r="H16" s="557">
        <f>T5_Ann_NRC!G15</f>
        <v>1715.3333333333335</v>
      </c>
      <c r="I16" s="557">
        <f>H16-G16</f>
        <v>-156.66666666666652</v>
      </c>
      <c r="J16" s="559">
        <f>I16/G16</f>
        <v>-8.368945868945861E-2</v>
      </c>
    </row>
    <row r="17" spans="1:10" ht="8.4" customHeight="1" x14ac:dyDescent="0.3">
      <c r="A17" s="202"/>
      <c r="B17" s="202"/>
      <c r="C17" s="19"/>
      <c r="D17" s="202"/>
      <c r="E17" s="202"/>
      <c r="F17" s="202"/>
      <c r="G17" s="202"/>
      <c r="H17" s="202"/>
      <c r="I17" s="202"/>
      <c r="J17" s="202"/>
    </row>
    <row r="18" spans="1:10" ht="6" customHeight="1" thickBot="1" x14ac:dyDescent="0.35">
      <c r="A18" s="202"/>
      <c r="B18" s="202"/>
      <c r="C18" s="19"/>
      <c r="D18" s="202"/>
      <c r="E18" s="202"/>
      <c r="F18" s="202"/>
      <c r="G18" s="202"/>
      <c r="H18" s="202"/>
      <c r="I18" s="202"/>
      <c r="J18" s="202"/>
    </row>
    <row r="19" spans="1:10" x14ac:dyDescent="0.3">
      <c r="A19" s="202"/>
      <c r="B19" s="381" t="s">
        <v>842</v>
      </c>
      <c r="C19" s="382"/>
      <c r="D19" s="383"/>
      <c r="E19" s="383"/>
      <c r="F19" s="384"/>
      <c r="G19" s="582" t="s">
        <v>807</v>
      </c>
      <c r="H19" s="583" t="s">
        <v>808</v>
      </c>
      <c r="I19" s="202"/>
      <c r="J19" s="202"/>
    </row>
    <row r="20" spans="1:10" x14ac:dyDescent="0.3">
      <c r="A20" s="202"/>
      <c r="B20" s="387" t="s">
        <v>414</v>
      </c>
      <c r="C20" s="366"/>
      <c r="D20" s="366"/>
      <c r="E20" s="309"/>
      <c r="F20" s="309"/>
      <c r="G20" s="367">
        <v>26</v>
      </c>
      <c r="H20" s="368">
        <f>Num_FFD_Prgms_Full</f>
        <v>24</v>
      </c>
      <c r="I20" s="202"/>
      <c r="J20" s="202"/>
    </row>
    <row r="21" spans="1:10" x14ac:dyDescent="0.3">
      <c r="A21" s="202"/>
      <c r="B21" s="387" t="s">
        <v>843</v>
      </c>
      <c r="C21" s="366"/>
      <c r="D21" s="366"/>
      <c r="E21" s="309"/>
      <c r="F21" s="309"/>
      <c r="G21" s="367">
        <v>2</v>
      </c>
      <c r="H21" s="368">
        <f>Num_FFD_Prgms_SubK</f>
        <v>1</v>
      </c>
      <c r="I21" s="202"/>
      <c r="J21" s="202"/>
    </row>
    <row r="22" spans="1:10" x14ac:dyDescent="0.3">
      <c r="A22" s="202"/>
      <c r="B22" s="388" t="s">
        <v>421</v>
      </c>
      <c r="C22" s="363"/>
      <c r="D22" s="363"/>
      <c r="E22" s="310"/>
      <c r="F22" s="310"/>
      <c r="G22" s="364">
        <v>21</v>
      </c>
      <c r="H22" s="369">
        <f>Num_Fatigue_Programs</f>
        <v>21</v>
      </c>
      <c r="I22" s="202"/>
      <c r="J22" s="202"/>
    </row>
    <row r="23" spans="1:10" x14ac:dyDescent="0.3">
      <c r="A23" s="202"/>
      <c r="B23" s="388" t="s">
        <v>844</v>
      </c>
      <c r="C23" s="363"/>
      <c r="D23" s="363"/>
      <c r="E23" s="310"/>
      <c r="F23" s="310"/>
      <c r="G23" s="422">
        <f>ROUNDUP(SUM(G24:G29),0)</f>
        <v>88180</v>
      </c>
      <c r="H23" s="370">
        <f>ROUNDUP(SUM(H24:H29),0)</f>
        <v>70515</v>
      </c>
      <c r="I23" s="202"/>
      <c r="J23" s="202"/>
    </row>
    <row r="24" spans="1:10" x14ac:dyDescent="0.3">
      <c r="A24" s="202"/>
      <c r="B24" s="371"/>
      <c r="C24" s="309"/>
      <c r="D24" s="366"/>
      <c r="E24" s="372" t="s">
        <v>845</v>
      </c>
      <c r="F24" s="309"/>
      <c r="G24" s="423">
        <v>81219</v>
      </c>
      <c r="H24" s="373">
        <f>Num_PreAccess_Tests</f>
        <v>68285.166666666672</v>
      </c>
      <c r="I24" s="202"/>
      <c r="J24" s="202"/>
    </row>
    <row r="25" spans="1:10" x14ac:dyDescent="0.3">
      <c r="A25" s="202"/>
      <c r="B25" s="371"/>
      <c r="C25" s="366"/>
      <c r="D25" s="309"/>
      <c r="E25" s="374" t="s">
        <v>850</v>
      </c>
      <c r="F25" s="309"/>
      <c r="G25" s="423">
        <v>6898</v>
      </c>
      <c r="H25" s="373">
        <f>'Data '!D24/3</f>
        <v>2171.2222222222222</v>
      </c>
      <c r="I25" s="202"/>
      <c r="J25" s="202"/>
    </row>
    <row r="26" spans="1:10" x14ac:dyDescent="0.3">
      <c r="A26" s="202"/>
      <c r="B26" s="371"/>
      <c r="C26" s="366"/>
      <c r="D26" s="309"/>
      <c r="E26" s="374" t="s">
        <v>804</v>
      </c>
      <c r="F26" s="309"/>
      <c r="G26" s="423">
        <v>9</v>
      </c>
      <c r="H26" s="379">
        <f>Num_HHS_Labs</f>
        <v>9</v>
      </c>
      <c r="I26" s="202"/>
      <c r="J26" s="202"/>
    </row>
    <row r="27" spans="1:10" x14ac:dyDescent="0.3">
      <c r="A27" s="202"/>
      <c r="B27" s="371"/>
      <c r="C27" s="366"/>
      <c r="D27" s="309"/>
      <c r="E27" s="374" t="s">
        <v>846</v>
      </c>
      <c r="F27" s="309"/>
      <c r="G27" s="423">
        <v>2</v>
      </c>
      <c r="H27" s="379">
        <v>1</v>
      </c>
      <c r="I27" s="202"/>
      <c r="J27" s="202"/>
    </row>
    <row r="28" spans="1:10" x14ac:dyDescent="0.3">
      <c r="A28" s="202"/>
      <c r="B28" s="371"/>
      <c r="C28" s="366"/>
      <c r="D28" s="309"/>
      <c r="E28" s="374" t="s">
        <v>847</v>
      </c>
      <c r="F28" s="309"/>
      <c r="G28" s="423">
        <v>26</v>
      </c>
      <c r="H28" s="379">
        <v>24</v>
      </c>
      <c r="I28" s="202"/>
      <c r="J28" s="202"/>
    </row>
    <row r="29" spans="1:10" ht="14.5" thickBot="1" x14ac:dyDescent="0.35">
      <c r="A29" s="202"/>
      <c r="B29" s="389"/>
      <c r="C29" s="390"/>
      <c r="D29" s="391"/>
      <c r="E29" s="392" t="s">
        <v>848</v>
      </c>
      <c r="F29" s="391"/>
      <c r="G29" s="424">
        <v>26</v>
      </c>
      <c r="H29" s="425">
        <v>24</v>
      </c>
      <c r="I29" s="202"/>
      <c r="J29" s="202"/>
    </row>
    <row r="30" spans="1:10" ht="15" thickTop="1" thickBot="1" x14ac:dyDescent="0.35">
      <c r="A30" s="202"/>
      <c r="B30" s="375"/>
      <c r="C30" s="376"/>
      <c r="D30" s="377"/>
      <c r="E30" s="378" t="s">
        <v>849</v>
      </c>
      <c r="F30" s="377"/>
      <c r="G30" s="376">
        <f>SUM(G20:G23)</f>
        <v>88229</v>
      </c>
      <c r="H30" s="426">
        <f>SUM(H20:H23)</f>
        <v>70561</v>
      </c>
      <c r="I30" s="202"/>
      <c r="J30" s="202"/>
    </row>
    <row r="31" spans="1:10" ht="14.5" thickBot="1" x14ac:dyDescent="0.35">
      <c r="A31" s="202"/>
      <c r="B31" s="202"/>
      <c r="C31" s="19"/>
      <c r="D31" s="202"/>
      <c r="E31" s="202"/>
      <c r="F31" s="202"/>
      <c r="G31" s="202"/>
      <c r="H31" s="202"/>
      <c r="I31" s="202"/>
      <c r="J31" s="202"/>
    </row>
    <row r="32" spans="1:10" x14ac:dyDescent="0.3">
      <c r="A32" s="202"/>
      <c r="B32" s="381" t="s">
        <v>851</v>
      </c>
      <c r="C32" s="382"/>
      <c r="D32" s="383"/>
      <c r="E32" s="383"/>
      <c r="F32" s="384"/>
      <c r="G32" s="385" t="s">
        <v>807</v>
      </c>
      <c r="H32" s="386" t="s">
        <v>808</v>
      </c>
      <c r="I32" s="202"/>
      <c r="J32" s="202"/>
    </row>
    <row r="33" spans="1:10" x14ac:dyDescent="0.3">
      <c r="A33" s="202"/>
      <c r="B33" s="396" t="s">
        <v>853</v>
      </c>
      <c r="C33" s="366"/>
      <c r="D33" s="309"/>
      <c r="E33" s="309"/>
      <c r="F33" s="309"/>
      <c r="G33" s="366"/>
      <c r="H33" s="397"/>
      <c r="I33" s="202"/>
      <c r="J33" s="202"/>
    </row>
    <row r="34" spans="1:10" x14ac:dyDescent="0.3">
      <c r="A34" s="202"/>
      <c r="B34" s="371"/>
      <c r="C34" s="366"/>
      <c r="D34" s="309"/>
      <c r="E34" s="374" t="str">
        <f>B20</f>
        <v>D&amp;A testing programs</v>
      </c>
      <c r="F34" s="309"/>
      <c r="G34" s="398">
        <v>26</v>
      </c>
      <c r="H34" s="399">
        <f>Num_FFD_Prgms_Full</f>
        <v>24</v>
      </c>
      <c r="I34" s="202"/>
      <c r="J34" s="202"/>
    </row>
    <row r="35" spans="1:10" x14ac:dyDescent="0.3">
      <c r="A35" s="202"/>
      <c r="B35" s="371"/>
      <c r="C35" s="366"/>
      <c r="D35" s="309"/>
      <c r="E35" s="374" t="str">
        <f>B21</f>
        <v>Reactor construction sites D&amp;A testing programs</v>
      </c>
      <c r="F35" s="309"/>
      <c r="G35" s="398">
        <v>2</v>
      </c>
      <c r="H35" s="399">
        <f>Num_FFD_Prgms_SubK</f>
        <v>1</v>
      </c>
      <c r="I35" s="202"/>
      <c r="J35" s="202"/>
    </row>
    <row r="36" spans="1:10" x14ac:dyDescent="0.3">
      <c r="A36" s="202"/>
      <c r="B36" s="371"/>
      <c r="C36" s="366"/>
      <c r="D36" s="309"/>
      <c r="E36" s="374" t="str">
        <f>B22</f>
        <v>Fatigue management programs</v>
      </c>
      <c r="F36" s="309"/>
      <c r="G36" s="398">
        <v>21</v>
      </c>
      <c r="H36" s="399">
        <f>Num_Fatigue_Programs</f>
        <v>21</v>
      </c>
      <c r="I36" s="202"/>
      <c r="J36" s="202"/>
    </row>
    <row r="37" spans="1:10" x14ac:dyDescent="0.3">
      <c r="A37" s="202"/>
      <c r="B37" s="396" t="s">
        <v>852</v>
      </c>
      <c r="C37" s="366"/>
      <c r="D37" s="309"/>
      <c r="E37" s="309"/>
      <c r="F37" s="309"/>
      <c r="G37" s="366">
        <v>215</v>
      </c>
      <c r="H37" s="397">
        <f>T3_AnnRpting!I18</f>
        <v>298.33333333333337</v>
      </c>
      <c r="I37" s="202"/>
      <c r="J37" s="202"/>
    </row>
    <row r="38" spans="1:10" ht="14.5" thickBot="1" x14ac:dyDescent="0.35">
      <c r="A38" s="202"/>
      <c r="B38" s="400" t="s">
        <v>854</v>
      </c>
      <c r="C38" s="390"/>
      <c r="D38" s="391"/>
      <c r="E38" s="391"/>
      <c r="F38" s="391"/>
      <c r="G38" s="401">
        <v>441569</v>
      </c>
      <c r="H38" s="402">
        <f>T4_Ann_3rdParty!E109</f>
        <v>366312.27750000008</v>
      </c>
      <c r="I38" s="202"/>
      <c r="J38" s="202"/>
    </row>
    <row r="39" spans="1:10" ht="15" thickTop="1" thickBot="1" x14ac:dyDescent="0.35">
      <c r="A39" s="202"/>
      <c r="B39" s="375"/>
      <c r="C39" s="376"/>
      <c r="D39" s="377"/>
      <c r="E39" s="378" t="s">
        <v>855</v>
      </c>
      <c r="F39" s="377"/>
      <c r="G39" s="403">
        <f>SUM(G33:G38)</f>
        <v>441833</v>
      </c>
      <c r="H39" s="404">
        <f>SUM(H33:H38)</f>
        <v>366656.6108333334</v>
      </c>
      <c r="I39" s="202"/>
      <c r="J39" s="202"/>
    </row>
    <row r="40" spans="1:10" x14ac:dyDescent="0.3">
      <c r="A40" s="202"/>
      <c r="B40" s="202"/>
      <c r="C40" s="19"/>
      <c r="D40" s="202"/>
      <c r="E40" s="202"/>
      <c r="F40" s="202"/>
      <c r="G40" s="202"/>
      <c r="H40" s="202"/>
      <c r="I40" s="202"/>
      <c r="J40" s="202"/>
    </row>
  </sheetData>
  <mergeCells count="19">
    <mergeCell ref="G14:G15"/>
    <mergeCell ref="H14:H15"/>
    <mergeCell ref="I14:I15"/>
    <mergeCell ref="J14:J15"/>
    <mergeCell ref="D14:D15"/>
    <mergeCell ref="E14:E15"/>
    <mergeCell ref="A9:B9"/>
    <mergeCell ref="C3:C4"/>
    <mergeCell ref="A14:A15"/>
    <mergeCell ref="B14:B15"/>
    <mergeCell ref="C14:C15"/>
    <mergeCell ref="J3:J4"/>
    <mergeCell ref="H3:H4"/>
    <mergeCell ref="G3:G4"/>
    <mergeCell ref="I3:I4"/>
    <mergeCell ref="A3:A4"/>
    <mergeCell ref="B3:B4"/>
    <mergeCell ref="D3:D4"/>
    <mergeCell ref="E3:E4"/>
  </mergeCells>
  <pageMargins left="0.5" right="0.5" top="0.65" bottom="0.5" header="0.3" footer="0.3"/>
  <pageSetup scale="95" orientation="landscape" r:id="rId1"/>
  <headerFooter>
    <oddHeader>&amp;C&amp;"Arial,Bold"&amp;16FINAL Supporting Statement, 10 CFR Part 26</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2920-091D-475E-931E-2034B1F090D6}">
  <sheetPr codeName="Sheet2">
    <tabColor rgb="FFFF0000"/>
  </sheetPr>
  <dimension ref="A1:P128"/>
  <sheetViews>
    <sheetView view="pageBreakPreview" zoomScale="80" zoomScaleNormal="85" zoomScaleSheetLayoutView="80" workbookViewId="0">
      <pane xSplit="4" ySplit="6" topLeftCell="E7" activePane="bottomRight" state="frozen"/>
      <selection activeCell="D130" sqref="D130"/>
      <selection pane="topRight" activeCell="D130" sqref="D130"/>
      <selection pane="bottomLeft" activeCell="D130" sqref="D130"/>
      <selection pane="bottomRight" activeCell="D119" sqref="D119"/>
    </sheetView>
  </sheetViews>
  <sheetFormatPr defaultColWidth="8.4140625" defaultRowHeight="12.5" x14ac:dyDescent="0.25"/>
  <cols>
    <col min="1" max="1" width="2.9140625" style="198" customWidth="1"/>
    <col min="2" max="2" width="19" style="198" hidden="1" customWidth="1"/>
    <col min="3" max="3" width="10.4140625" style="198" customWidth="1"/>
    <col min="4" max="4" width="20.33203125" style="198" customWidth="1"/>
    <col min="5" max="5" width="30.5" style="198" customWidth="1"/>
    <col min="6" max="6" width="12.08203125" style="198" customWidth="1"/>
    <col min="7" max="7" width="10.5" style="198" customWidth="1"/>
    <col min="8" max="8" width="10.1640625" style="198" customWidth="1"/>
    <col min="9" max="9" width="9.9140625" style="198" customWidth="1"/>
    <col min="10" max="10" width="11.08203125" style="198" customWidth="1"/>
    <col min="11" max="12" width="9.08203125" style="198" bestFit="1" customWidth="1"/>
    <col min="13" max="13" width="10.9140625" style="198" customWidth="1"/>
    <col min="14" max="14" width="1.83203125" style="198" customWidth="1"/>
    <col min="15" max="15" width="11.4140625" style="198" customWidth="1"/>
    <col min="16" max="16" width="10.9140625" style="198" customWidth="1"/>
    <col min="17" max="16384" width="8.4140625" style="198"/>
  </cols>
  <sheetData>
    <row r="1" spans="1:16" ht="15.65" customHeight="1" x14ac:dyDescent="0.35">
      <c r="B1" s="199"/>
      <c r="C1" s="200" t="s">
        <v>660</v>
      </c>
      <c r="D1" s="200"/>
      <c r="E1" s="200"/>
      <c r="F1" s="201"/>
      <c r="G1" s="202"/>
      <c r="H1" s="202"/>
      <c r="I1" s="199"/>
      <c r="J1" s="199"/>
      <c r="K1" s="199"/>
      <c r="L1" s="199"/>
      <c r="M1" s="202"/>
      <c r="N1" s="202"/>
      <c r="O1" s="202"/>
      <c r="P1" s="199"/>
    </row>
    <row r="2" spans="1:16" ht="15.5" x14ac:dyDescent="0.35">
      <c r="B2" s="199"/>
      <c r="C2" s="203" t="s">
        <v>890</v>
      </c>
      <c r="D2" s="200"/>
      <c r="E2" s="204"/>
      <c r="F2" s="199"/>
      <c r="G2" s="202"/>
      <c r="H2" s="205"/>
      <c r="I2" s="206" t="s">
        <v>661</v>
      </c>
      <c r="J2" s="207" t="s">
        <v>662</v>
      </c>
      <c r="K2" s="434">
        <v>44317</v>
      </c>
      <c r="L2" s="199"/>
      <c r="M2" s="202"/>
      <c r="N2" s="202"/>
      <c r="O2" s="202"/>
      <c r="P2" s="199"/>
    </row>
    <row r="3" spans="1:16" ht="15.5" x14ac:dyDescent="0.35">
      <c r="B3" s="199"/>
      <c r="C3" s="208" t="s">
        <v>897</v>
      </c>
      <c r="D3" s="200"/>
      <c r="E3" s="204"/>
      <c r="F3" s="209"/>
      <c r="G3" s="199"/>
      <c r="H3" s="210"/>
      <c r="I3" s="211"/>
      <c r="J3" s="212" t="s">
        <v>663</v>
      </c>
      <c r="K3" s="435">
        <v>45412</v>
      </c>
      <c r="L3" s="199"/>
      <c r="M3" s="202"/>
      <c r="N3" s="202"/>
      <c r="O3" s="202"/>
      <c r="P3" s="199"/>
    </row>
    <row r="4" spans="1:16" ht="7.75" customHeight="1" thickBot="1" x14ac:dyDescent="0.4">
      <c r="B4" s="199"/>
      <c r="C4" s="199"/>
      <c r="D4" s="200"/>
      <c r="E4" s="202"/>
      <c r="F4" s="199"/>
      <c r="G4" s="199"/>
      <c r="L4" s="202"/>
      <c r="M4" s="202"/>
      <c r="N4" s="202"/>
      <c r="O4" s="202"/>
      <c r="P4" s="199"/>
    </row>
    <row r="5" spans="1:16" ht="35.4" customHeight="1" x14ac:dyDescent="0.25">
      <c r="B5" s="744" t="s">
        <v>664</v>
      </c>
      <c r="C5" s="744" t="s">
        <v>898</v>
      </c>
      <c r="D5" s="747" t="s">
        <v>899</v>
      </c>
      <c r="E5" s="749" t="s">
        <v>900</v>
      </c>
      <c r="F5" s="751" t="s">
        <v>665</v>
      </c>
      <c r="G5" s="737" t="s">
        <v>666</v>
      </c>
      <c r="H5" s="725"/>
      <c r="I5" s="724" t="s">
        <v>667</v>
      </c>
      <c r="J5" s="725"/>
      <c r="K5" s="726" t="s">
        <v>668</v>
      </c>
      <c r="L5" s="727"/>
      <c r="M5" s="728" t="s">
        <v>669</v>
      </c>
      <c r="N5" s="213"/>
      <c r="O5" s="730" t="s">
        <v>670</v>
      </c>
      <c r="P5" s="742" t="s">
        <v>935</v>
      </c>
    </row>
    <row r="6" spans="1:16" ht="15.65" customHeight="1" thickBot="1" x14ac:dyDescent="0.3">
      <c r="B6" s="745"/>
      <c r="C6" s="746"/>
      <c r="D6" s="748"/>
      <c r="E6" s="750"/>
      <c r="F6" s="752"/>
      <c r="G6" s="214" t="s">
        <v>671</v>
      </c>
      <c r="H6" s="215" t="s">
        <v>672</v>
      </c>
      <c r="I6" s="214" t="s">
        <v>671</v>
      </c>
      <c r="J6" s="216" t="s">
        <v>673</v>
      </c>
      <c r="K6" s="214" t="s">
        <v>671</v>
      </c>
      <c r="L6" s="216" t="s">
        <v>673</v>
      </c>
      <c r="M6" s="729"/>
      <c r="N6" s="217"/>
      <c r="O6" s="731"/>
      <c r="P6" s="743"/>
    </row>
    <row r="7" spans="1:16" s="218" customFormat="1" x14ac:dyDescent="0.3">
      <c r="A7" s="218">
        <v>1</v>
      </c>
      <c r="B7" s="219" t="s">
        <v>674</v>
      </c>
      <c r="C7" s="220" t="s">
        <v>675</v>
      </c>
      <c r="D7" s="221" t="s">
        <v>676</v>
      </c>
      <c r="E7" s="598" t="s">
        <v>903</v>
      </c>
      <c r="F7" s="222">
        <v>25178</v>
      </c>
      <c r="G7" s="222">
        <v>27170</v>
      </c>
      <c r="H7" s="223">
        <v>41779</v>
      </c>
      <c r="I7" s="222">
        <v>37062</v>
      </c>
      <c r="J7" s="224">
        <v>49084</v>
      </c>
      <c r="K7" s="225"/>
      <c r="L7" s="224"/>
      <c r="M7" s="223"/>
      <c r="N7" s="226"/>
      <c r="O7" s="222">
        <f t="shared" ref="O7:O70" si="0">IF(M7&gt;0,M7,IF(L7&gt;0,L7,IF(J7&gt;0,J7,H7)))</f>
        <v>49084</v>
      </c>
      <c r="P7" s="600">
        <f>IF(O7&gt;$K$3,365*3, M7-$K$2)</f>
        <v>1095</v>
      </c>
    </row>
    <row r="8" spans="1:16" s="218" customFormat="1" x14ac:dyDescent="0.3">
      <c r="A8" s="218">
        <f>A7+1</f>
        <v>2</v>
      </c>
      <c r="B8" s="219" t="s">
        <v>674</v>
      </c>
      <c r="C8" s="220" t="s">
        <v>675</v>
      </c>
      <c r="D8" s="227" t="s">
        <v>677</v>
      </c>
      <c r="E8" s="598" t="s">
        <v>903</v>
      </c>
      <c r="F8" s="222">
        <v>26639</v>
      </c>
      <c r="G8" s="222">
        <v>28734</v>
      </c>
      <c r="H8" s="223">
        <v>43298</v>
      </c>
      <c r="I8" s="222">
        <v>38533</v>
      </c>
      <c r="J8" s="224">
        <v>50603</v>
      </c>
      <c r="K8" s="225"/>
      <c r="L8" s="224"/>
      <c r="M8" s="223"/>
      <c r="N8" s="226"/>
      <c r="O8" s="222">
        <f>IF(M8&gt;0,M8,IF(L8&gt;0,L8,IF(J8&gt;0,J8,H8)))</f>
        <v>50603</v>
      </c>
      <c r="P8" s="600">
        <f t="shared" ref="P8:P71" si="1">IF(O8&gt;$K$3,365*3, M8-$K$2)</f>
        <v>1095</v>
      </c>
    </row>
    <row r="9" spans="1:16" s="218" customFormat="1" x14ac:dyDescent="0.3">
      <c r="A9" s="218">
        <f t="shared" ref="A9:A72" si="2">A8+1</f>
        <v>3</v>
      </c>
      <c r="B9" s="219" t="s">
        <v>599</v>
      </c>
      <c r="C9" s="220" t="s">
        <v>675</v>
      </c>
      <c r="D9" s="218" t="s">
        <v>678</v>
      </c>
      <c r="E9" s="587" t="s">
        <v>904</v>
      </c>
      <c r="F9" s="222">
        <v>25745</v>
      </c>
      <c r="G9" s="222">
        <v>27943</v>
      </c>
      <c r="H9" s="223">
        <v>42398</v>
      </c>
      <c r="I9" s="222">
        <v>40122</v>
      </c>
      <c r="J9" s="224">
        <v>49703</v>
      </c>
      <c r="K9" s="225"/>
      <c r="L9" s="224"/>
      <c r="M9" s="223"/>
      <c r="N9" s="226"/>
      <c r="O9" s="222">
        <f>IF(M9&gt;0,M9,IF(L9&gt;0,L9,IF(J9&gt;0,J9,H9)))</f>
        <v>49703</v>
      </c>
      <c r="P9" s="600">
        <f t="shared" si="1"/>
        <v>1095</v>
      </c>
    </row>
    <row r="10" spans="1:16" s="218" customFormat="1" ht="14.25" customHeight="1" x14ac:dyDescent="0.3">
      <c r="A10" s="218">
        <f t="shared" si="2"/>
        <v>4</v>
      </c>
      <c r="B10" s="219" t="s">
        <v>599</v>
      </c>
      <c r="C10" s="220" t="s">
        <v>675</v>
      </c>
      <c r="D10" s="218" t="s">
        <v>679</v>
      </c>
      <c r="E10" s="587" t="s">
        <v>904</v>
      </c>
      <c r="F10" s="222">
        <v>27152</v>
      </c>
      <c r="G10" s="222">
        <v>32003</v>
      </c>
      <c r="H10" s="223">
        <v>46534</v>
      </c>
      <c r="I10" s="222">
        <v>40122</v>
      </c>
      <c r="J10" s="224">
        <v>53839</v>
      </c>
      <c r="K10" s="225"/>
      <c r="L10" s="224"/>
      <c r="M10" s="223"/>
      <c r="N10" s="226"/>
      <c r="O10" s="222">
        <f>IF(M10&gt;0,M10,IF(L10&gt;0,L10,IF(J10&gt;0,J10,H10)))</f>
        <v>53839</v>
      </c>
      <c r="P10" s="600">
        <f t="shared" si="1"/>
        <v>1095</v>
      </c>
    </row>
    <row r="11" spans="1:16" s="218" customFormat="1" x14ac:dyDescent="0.3">
      <c r="A11" s="218">
        <f t="shared" si="2"/>
        <v>5</v>
      </c>
      <c r="B11" s="219" t="s">
        <v>611</v>
      </c>
      <c r="C11" s="220" t="s">
        <v>675</v>
      </c>
      <c r="D11" s="218" t="s">
        <v>680</v>
      </c>
      <c r="E11" s="228" t="s">
        <v>681</v>
      </c>
      <c r="F11" s="222">
        <v>27759</v>
      </c>
      <c r="G11" s="222">
        <v>31960</v>
      </c>
      <c r="H11" s="223">
        <v>46312</v>
      </c>
      <c r="I11" s="222">
        <v>42396</v>
      </c>
      <c r="J11" s="224">
        <v>53617</v>
      </c>
      <c r="K11" s="225"/>
      <c r="L11" s="224"/>
      <c r="M11" s="223"/>
      <c r="N11" s="226"/>
      <c r="O11" s="222">
        <f>IF(M11&gt;0,M11,IF(L11&gt;0,L11,IF(J11&gt;0,J11,H11)))</f>
        <v>53617</v>
      </c>
      <c r="P11" s="600">
        <f t="shared" si="1"/>
        <v>1095</v>
      </c>
    </row>
    <row r="12" spans="1:16" s="218" customFormat="1" x14ac:dyDescent="0.3">
      <c r="A12" s="218">
        <f>A11+1</f>
        <v>6</v>
      </c>
      <c r="B12" s="219" t="s">
        <v>611</v>
      </c>
      <c r="C12" s="220" t="s">
        <v>675</v>
      </c>
      <c r="D12" s="218" t="s">
        <v>682</v>
      </c>
      <c r="E12" s="228" t="s">
        <v>681</v>
      </c>
      <c r="F12" s="222">
        <v>27759</v>
      </c>
      <c r="G12" s="222">
        <v>32283</v>
      </c>
      <c r="H12" s="223">
        <v>46739</v>
      </c>
      <c r="I12" s="222">
        <v>42396</v>
      </c>
      <c r="J12" s="224">
        <v>54044</v>
      </c>
      <c r="K12" s="225"/>
      <c r="L12" s="224"/>
      <c r="M12" s="223"/>
      <c r="N12" s="226"/>
      <c r="O12" s="222">
        <f t="shared" si="0"/>
        <v>54044</v>
      </c>
      <c r="P12" s="600">
        <f t="shared" si="1"/>
        <v>1095</v>
      </c>
    </row>
    <row r="13" spans="1:16" s="218" customFormat="1" x14ac:dyDescent="0.3">
      <c r="A13" s="218">
        <f t="shared" si="2"/>
        <v>7</v>
      </c>
      <c r="B13" s="219" t="s">
        <v>646</v>
      </c>
      <c r="C13" s="220" t="s">
        <v>675</v>
      </c>
      <c r="D13" s="218" t="s">
        <v>683</v>
      </c>
      <c r="E13" s="228" t="s">
        <v>684</v>
      </c>
      <c r="F13" s="222">
        <v>24602</v>
      </c>
      <c r="G13" s="222">
        <v>27018</v>
      </c>
      <c r="H13" s="223">
        <v>41628</v>
      </c>
      <c r="I13" s="222">
        <v>38841</v>
      </c>
      <c r="J13" s="224">
        <v>48933</v>
      </c>
      <c r="K13" s="225"/>
      <c r="L13" s="224"/>
      <c r="M13" s="223"/>
      <c r="N13" s="226"/>
      <c r="O13" s="222">
        <f>IF(M13&gt;0,M13,IF(L13&gt;0,L13,IF(J13&gt;0,J13,H13)))</f>
        <v>48933</v>
      </c>
      <c r="P13" s="600">
        <f t="shared" si="1"/>
        <v>1095</v>
      </c>
    </row>
    <row r="14" spans="1:16" s="218" customFormat="1" x14ac:dyDescent="0.3">
      <c r="A14" s="218">
        <f t="shared" si="2"/>
        <v>8</v>
      </c>
      <c r="B14" s="219" t="s">
        <v>646</v>
      </c>
      <c r="C14" s="220" t="s">
        <v>675</v>
      </c>
      <c r="D14" s="218" t="s">
        <v>685</v>
      </c>
      <c r="E14" s="228" t="s">
        <v>684</v>
      </c>
      <c r="F14" s="222">
        <v>24602</v>
      </c>
      <c r="G14" s="222">
        <v>27208</v>
      </c>
      <c r="H14" s="223">
        <v>41818</v>
      </c>
      <c r="I14" s="222">
        <v>38841</v>
      </c>
      <c r="J14" s="224">
        <v>49123</v>
      </c>
      <c r="K14" s="225"/>
      <c r="L14" s="224"/>
      <c r="M14" s="223"/>
      <c r="N14" s="226"/>
      <c r="O14" s="222">
        <f t="shared" si="0"/>
        <v>49123</v>
      </c>
      <c r="P14" s="600">
        <f t="shared" si="1"/>
        <v>1095</v>
      </c>
    </row>
    <row r="15" spans="1:16" s="218" customFormat="1" x14ac:dyDescent="0.3">
      <c r="A15" s="218">
        <f t="shared" si="2"/>
        <v>9</v>
      </c>
      <c r="B15" s="219" t="s">
        <v>646</v>
      </c>
      <c r="C15" s="220" t="s">
        <v>675</v>
      </c>
      <c r="D15" s="218" t="s">
        <v>686</v>
      </c>
      <c r="E15" s="228" t="s">
        <v>684</v>
      </c>
      <c r="F15" s="222">
        <v>25050</v>
      </c>
      <c r="G15" s="222">
        <v>27943</v>
      </c>
      <c r="H15" s="223">
        <v>42553</v>
      </c>
      <c r="I15" s="222">
        <v>38841</v>
      </c>
      <c r="J15" s="224">
        <v>49858</v>
      </c>
      <c r="K15" s="225"/>
      <c r="L15" s="224"/>
      <c r="M15" s="223"/>
      <c r="N15" s="226"/>
      <c r="O15" s="222">
        <f t="shared" si="0"/>
        <v>49858</v>
      </c>
      <c r="P15" s="600">
        <f t="shared" si="1"/>
        <v>1095</v>
      </c>
    </row>
    <row r="16" spans="1:16" s="218" customFormat="1" x14ac:dyDescent="0.3">
      <c r="A16" s="218">
        <f t="shared" si="2"/>
        <v>10</v>
      </c>
      <c r="B16" s="219" t="s">
        <v>592</v>
      </c>
      <c r="C16" s="220" t="s">
        <v>675</v>
      </c>
      <c r="D16" s="218" t="s">
        <v>687</v>
      </c>
      <c r="E16" s="228" t="s">
        <v>591</v>
      </c>
      <c r="F16" s="222">
        <v>25606</v>
      </c>
      <c r="G16" s="222">
        <v>28011</v>
      </c>
      <c r="H16" s="223">
        <v>42621</v>
      </c>
      <c r="I16" s="222">
        <v>38894</v>
      </c>
      <c r="J16" s="224">
        <v>49926</v>
      </c>
      <c r="K16" s="225"/>
      <c r="L16" s="224"/>
      <c r="M16" s="223"/>
      <c r="N16" s="226"/>
      <c r="O16" s="222">
        <f t="shared" si="0"/>
        <v>49926</v>
      </c>
      <c r="P16" s="600">
        <f t="shared" si="1"/>
        <v>1095</v>
      </c>
    </row>
    <row r="17" spans="1:16" s="218" customFormat="1" x14ac:dyDescent="0.3">
      <c r="A17" s="218">
        <f t="shared" si="2"/>
        <v>11</v>
      </c>
      <c r="B17" s="219" t="s">
        <v>592</v>
      </c>
      <c r="C17" s="220" t="s">
        <v>675</v>
      </c>
      <c r="D17" s="218" t="s">
        <v>688</v>
      </c>
      <c r="E17" s="228" t="s">
        <v>591</v>
      </c>
      <c r="F17" s="222">
        <v>25606</v>
      </c>
      <c r="G17" s="222">
        <v>27390</v>
      </c>
      <c r="H17" s="223">
        <v>42000</v>
      </c>
      <c r="I17" s="222">
        <v>38894</v>
      </c>
      <c r="J17" s="224">
        <v>49305</v>
      </c>
      <c r="K17" s="225"/>
      <c r="L17" s="224"/>
      <c r="M17" s="223"/>
      <c r="N17" s="226"/>
      <c r="O17" s="222">
        <f t="shared" si="0"/>
        <v>49305</v>
      </c>
      <c r="P17" s="600">
        <f t="shared" si="1"/>
        <v>1095</v>
      </c>
    </row>
    <row r="18" spans="1:16" s="218" customFormat="1" x14ac:dyDescent="0.3">
      <c r="A18" s="699">
        <f t="shared" si="2"/>
        <v>12</v>
      </c>
      <c r="B18" s="700" t="s">
        <v>612</v>
      </c>
      <c r="C18" s="701" t="s">
        <v>675</v>
      </c>
      <c r="D18" s="702" t="s">
        <v>689</v>
      </c>
      <c r="E18" s="228" t="s">
        <v>681</v>
      </c>
      <c r="F18" s="222">
        <v>27759</v>
      </c>
      <c r="G18" s="222">
        <v>31092</v>
      </c>
      <c r="H18" s="223">
        <v>45596</v>
      </c>
      <c r="I18" s="222">
        <v>42327</v>
      </c>
      <c r="J18" s="224">
        <v>52901</v>
      </c>
      <c r="K18" s="225"/>
      <c r="L18" s="224"/>
      <c r="M18" s="697">
        <v>44469</v>
      </c>
      <c r="N18" s="226"/>
      <c r="O18" s="222">
        <f t="shared" si="0"/>
        <v>44469</v>
      </c>
      <c r="P18" s="601">
        <f t="shared" si="1"/>
        <v>152</v>
      </c>
    </row>
    <row r="19" spans="1:16" s="218" customFormat="1" x14ac:dyDescent="0.3">
      <c r="A19" s="699">
        <f t="shared" si="2"/>
        <v>13</v>
      </c>
      <c r="B19" s="700" t="s">
        <v>612</v>
      </c>
      <c r="C19" s="701" t="s">
        <v>675</v>
      </c>
      <c r="D19" s="702" t="s">
        <v>690</v>
      </c>
      <c r="E19" s="228" t="s">
        <v>681</v>
      </c>
      <c r="F19" s="222">
        <v>27759</v>
      </c>
      <c r="G19" s="222">
        <v>31807</v>
      </c>
      <c r="H19" s="223">
        <v>46332</v>
      </c>
      <c r="I19" s="222">
        <v>42327</v>
      </c>
      <c r="J19" s="224">
        <v>53637</v>
      </c>
      <c r="K19" s="225"/>
      <c r="L19" s="224"/>
      <c r="M19" s="697">
        <v>44469</v>
      </c>
      <c r="N19" s="226"/>
      <c r="O19" s="222">
        <f t="shared" si="0"/>
        <v>44469</v>
      </c>
      <c r="P19" s="601">
        <f t="shared" si="1"/>
        <v>152</v>
      </c>
    </row>
    <row r="20" spans="1:16" s="218" customFormat="1" x14ac:dyDescent="0.3">
      <c r="A20" s="218">
        <f t="shared" si="2"/>
        <v>14</v>
      </c>
      <c r="B20" s="219" t="s">
        <v>691</v>
      </c>
      <c r="C20" s="220" t="s">
        <v>675</v>
      </c>
      <c r="D20" s="227" t="s">
        <v>692</v>
      </c>
      <c r="E20" s="228" t="s">
        <v>577</v>
      </c>
      <c r="F20" s="222">
        <v>27866</v>
      </c>
      <c r="G20" s="222">
        <v>30973</v>
      </c>
      <c r="H20" s="223">
        <v>45583</v>
      </c>
      <c r="I20" s="222">
        <v>42069</v>
      </c>
      <c r="J20" s="224">
        <v>52888</v>
      </c>
      <c r="K20" s="225"/>
      <c r="L20" s="224"/>
      <c r="M20" s="223"/>
      <c r="N20" s="226"/>
      <c r="O20" s="222">
        <f t="shared" si="0"/>
        <v>52888</v>
      </c>
      <c r="P20" s="600">
        <f t="shared" si="1"/>
        <v>1095</v>
      </c>
    </row>
    <row r="21" spans="1:16" s="218" customFormat="1" x14ac:dyDescent="0.3">
      <c r="A21" s="218">
        <f t="shared" si="2"/>
        <v>15</v>
      </c>
      <c r="B21" s="219" t="s">
        <v>613</v>
      </c>
      <c r="C21" s="220" t="s">
        <v>675</v>
      </c>
      <c r="D21" s="218" t="s">
        <v>693</v>
      </c>
      <c r="E21" s="228" t="s">
        <v>681</v>
      </c>
      <c r="F21" s="222">
        <v>25391</v>
      </c>
      <c r="G21" s="222">
        <v>27241</v>
      </c>
      <c r="H21" s="223">
        <v>41851</v>
      </c>
      <c r="I21" s="222">
        <v>36608</v>
      </c>
      <c r="J21" s="224">
        <v>49156</v>
      </c>
      <c r="K21" s="225"/>
      <c r="L21" s="224"/>
      <c r="M21" s="223"/>
      <c r="N21" s="226"/>
      <c r="O21" s="222">
        <f t="shared" si="0"/>
        <v>49156</v>
      </c>
      <c r="P21" s="600">
        <f t="shared" si="1"/>
        <v>1095</v>
      </c>
    </row>
    <row r="22" spans="1:16" s="218" customFormat="1" x14ac:dyDescent="0.3">
      <c r="A22" s="218">
        <f t="shared" si="2"/>
        <v>16</v>
      </c>
      <c r="B22" s="219" t="s">
        <v>613</v>
      </c>
      <c r="C22" s="220" t="s">
        <v>675</v>
      </c>
      <c r="D22" s="218" t="s">
        <v>694</v>
      </c>
      <c r="E22" s="228" t="s">
        <v>681</v>
      </c>
      <c r="F22" s="222">
        <v>25391</v>
      </c>
      <c r="G22" s="222">
        <v>27985</v>
      </c>
      <c r="H22" s="223">
        <v>42613</v>
      </c>
      <c r="I22" s="222">
        <v>36608</v>
      </c>
      <c r="J22" s="224">
        <v>49900</v>
      </c>
      <c r="K22" s="225"/>
      <c r="L22" s="224"/>
      <c r="M22" s="223"/>
      <c r="N22" s="226"/>
      <c r="O22" s="222">
        <f t="shared" si="0"/>
        <v>49900</v>
      </c>
      <c r="P22" s="600">
        <f>IF(O22&gt;$K$3,365*3, M22-$K$2)</f>
        <v>1095</v>
      </c>
    </row>
    <row r="23" spans="1:16" s="218" customFormat="1" x14ac:dyDescent="0.3">
      <c r="A23" s="218">
        <f t="shared" si="2"/>
        <v>17</v>
      </c>
      <c r="B23" s="219" t="s">
        <v>593</v>
      </c>
      <c r="C23" s="220" t="s">
        <v>675</v>
      </c>
      <c r="D23" s="218" t="s">
        <v>695</v>
      </c>
      <c r="E23" s="228" t="s">
        <v>591</v>
      </c>
      <c r="F23" s="222">
        <v>27613</v>
      </c>
      <c r="G23" s="222">
        <v>31064</v>
      </c>
      <c r="H23" s="223">
        <v>45632</v>
      </c>
      <c r="I23" s="222">
        <v>37960</v>
      </c>
      <c r="J23" s="229">
        <v>52570</v>
      </c>
      <c r="K23" s="225"/>
      <c r="L23" s="224"/>
      <c r="M23" s="223"/>
      <c r="N23" s="226"/>
      <c r="O23" s="222">
        <f t="shared" si="0"/>
        <v>52570</v>
      </c>
      <c r="P23" s="600">
        <f t="shared" si="1"/>
        <v>1095</v>
      </c>
    </row>
    <row r="24" spans="1:16" s="218" customFormat="1" x14ac:dyDescent="0.3">
      <c r="A24" s="218">
        <f t="shared" si="2"/>
        <v>18</v>
      </c>
      <c r="B24" s="219" t="s">
        <v>593</v>
      </c>
      <c r="C24" s="220" t="s">
        <v>675</v>
      </c>
      <c r="D24" s="218" t="s">
        <v>696</v>
      </c>
      <c r="E24" s="228" t="s">
        <v>591</v>
      </c>
      <c r="F24" s="222">
        <v>27613</v>
      </c>
      <c r="G24" s="222">
        <v>31547</v>
      </c>
      <c r="H24" s="223">
        <v>46077</v>
      </c>
      <c r="I24" s="222">
        <v>37960</v>
      </c>
      <c r="J24" s="224">
        <v>52570</v>
      </c>
      <c r="K24" s="225"/>
      <c r="L24" s="224"/>
      <c r="M24" s="223"/>
      <c r="N24" s="226"/>
      <c r="O24" s="222">
        <f t="shared" si="0"/>
        <v>52570</v>
      </c>
      <c r="P24" s="600">
        <f t="shared" si="1"/>
        <v>1095</v>
      </c>
    </row>
    <row r="25" spans="1:16" s="218" customFormat="1" x14ac:dyDescent="0.3">
      <c r="A25" s="218">
        <f t="shared" si="2"/>
        <v>19</v>
      </c>
      <c r="B25" s="219" t="s">
        <v>614</v>
      </c>
      <c r="C25" s="220" t="s">
        <v>675</v>
      </c>
      <c r="D25" s="218" t="s">
        <v>697</v>
      </c>
      <c r="E25" s="228" t="s">
        <v>681</v>
      </c>
      <c r="F25" s="222">
        <v>27814</v>
      </c>
      <c r="G25" s="222">
        <v>31884</v>
      </c>
      <c r="H25" s="223">
        <v>46294</v>
      </c>
      <c r="I25" s="222"/>
      <c r="J25" s="224"/>
      <c r="K25" s="225"/>
      <c r="L25" s="224"/>
      <c r="M25" s="223"/>
      <c r="N25" s="226"/>
      <c r="O25" s="222">
        <f t="shared" si="0"/>
        <v>46294</v>
      </c>
      <c r="P25" s="600">
        <f t="shared" si="1"/>
        <v>1095</v>
      </c>
    </row>
    <row r="26" spans="1:16" s="218" customFormat="1" x14ac:dyDescent="0.3">
      <c r="A26" s="218">
        <f t="shared" si="2"/>
        <v>20</v>
      </c>
      <c r="B26" s="219" t="s">
        <v>603</v>
      </c>
      <c r="C26" s="220" t="s">
        <v>675</v>
      </c>
      <c r="D26" s="218" t="s">
        <v>698</v>
      </c>
      <c r="E26" s="228" t="s">
        <v>602</v>
      </c>
      <c r="F26" s="222">
        <v>26742</v>
      </c>
      <c r="G26" s="222">
        <v>30785</v>
      </c>
      <c r="H26" s="223">
        <v>45280</v>
      </c>
      <c r="I26" s="222">
        <v>41051</v>
      </c>
      <c r="J26" s="224">
        <v>52585</v>
      </c>
      <c r="K26" s="225"/>
      <c r="L26" s="224"/>
      <c r="M26" s="223"/>
      <c r="N26" s="226"/>
      <c r="O26" s="222">
        <f t="shared" si="0"/>
        <v>52585</v>
      </c>
      <c r="P26" s="600">
        <f t="shared" si="1"/>
        <v>1095</v>
      </c>
    </row>
    <row r="27" spans="1:16" s="218" customFormat="1" x14ac:dyDescent="0.3">
      <c r="A27" s="218">
        <f t="shared" si="2"/>
        <v>21</v>
      </c>
      <c r="B27" s="219" t="s">
        <v>626</v>
      </c>
      <c r="C27" s="220" t="s">
        <v>675</v>
      </c>
      <c r="D27" s="227" t="s">
        <v>699</v>
      </c>
      <c r="E27" s="587" t="s">
        <v>891</v>
      </c>
      <c r="F27" s="222">
        <v>27382</v>
      </c>
      <c r="G27" s="222">
        <v>32980</v>
      </c>
      <c r="H27" s="223">
        <v>47522</v>
      </c>
      <c r="I27" s="222"/>
      <c r="J27" s="224"/>
      <c r="K27" s="225"/>
      <c r="L27" s="224"/>
      <c r="M27" s="223"/>
      <c r="N27" s="226"/>
      <c r="O27" s="222">
        <f t="shared" si="0"/>
        <v>47522</v>
      </c>
      <c r="P27" s="600">
        <f t="shared" si="1"/>
        <v>1095</v>
      </c>
    </row>
    <row r="28" spans="1:16" s="218" customFormat="1" x14ac:dyDescent="0.3">
      <c r="A28" s="218">
        <f t="shared" si="2"/>
        <v>22</v>
      </c>
      <c r="B28" s="219" t="s">
        <v>626</v>
      </c>
      <c r="C28" s="220" t="s">
        <v>675</v>
      </c>
      <c r="D28" s="227" t="s">
        <v>700</v>
      </c>
      <c r="E28" s="587" t="s">
        <v>891</v>
      </c>
      <c r="F28" s="222">
        <v>27382</v>
      </c>
      <c r="G28" s="222">
        <v>34065</v>
      </c>
      <c r="H28" s="223">
        <v>48612</v>
      </c>
      <c r="I28" s="222"/>
      <c r="J28" s="224"/>
      <c r="K28" s="225"/>
      <c r="L28" s="224"/>
      <c r="M28" s="223"/>
      <c r="N28" s="226"/>
      <c r="O28" s="222">
        <f t="shared" si="0"/>
        <v>48612</v>
      </c>
      <c r="P28" s="600">
        <f t="shared" si="1"/>
        <v>1095</v>
      </c>
    </row>
    <row r="29" spans="1:16" s="218" customFormat="1" x14ac:dyDescent="0.3">
      <c r="A29" s="218">
        <f t="shared" si="2"/>
        <v>23</v>
      </c>
      <c r="B29" s="219" t="s">
        <v>628</v>
      </c>
      <c r="C29" s="220" t="s">
        <v>675</v>
      </c>
      <c r="D29" s="218" t="s">
        <v>701</v>
      </c>
      <c r="E29" s="587" t="s">
        <v>627</v>
      </c>
      <c r="F29" s="222">
        <v>24993</v>
      </c>
      <c r="G29" s="222">
        <v>27047</v>
      </c>
      <c r="H29" s="223">
        <v>41657</v>
      </c>
      <c r="I29" s="222">
        <v>40511</v>
      </c>
      <c r="J29" s="224">
        <v>48962</v>
      </c>
      <c r="K29" s="225"/>
      <c r="L29" s="224"/>
      <c r="M29" s="594"/>
      <c r="N29" s="226"/>
      <c r="O29" s="222">
        <f t="shared" si="0"/>
        <v>48962</v>
      </c>
      <c r="P29" s="600">
        <f t="shared" si="1"/>
        <v>1095</v>
      </c>
    </row>
    <row r="30" spans="1:16" s="218" customFormat="1" x14ac:dyDescent="0.3">
      <c r="A30" s="218">
        <f t="shared" si="2"/>
        <v>24</v>
      </c>
      <c r="B30" s="219" t="s">
        <v>702</v>
      </c>
      <c r="C30" s="220" t="s">
        <v>675</v>
      </c>
      <c r="D30" s="227" t="s">
        <v>703</v>
      </c>
      <c r="E30" s="587" t="s">
        <v>623</v>
      </c>
      <c r="F30" s="222">
        <v>25287</v>
      </c>
      <c r="G30" s="222">
        <v>27327</v>
      </c>
      <c r="H30" s="223">
        <v>41937</v>
      </c>
      <c r="I30" s="222">
        <v>38594</v>
      </c>
      <c r="J30" s="224">
        <v>49242</v>
      </c>
      <c r="K30" s="225"/>
      <c r="L30" s="224"/>
      <c r="M30" s="594"/>
      <c r="N30" s="230"/>
      <c r="O30" s="222">
        <f t="shared" si="0"/>
        <v>49242</v>
      </c>
      <c r="P30" s="600">
        <f t="shared" si="1"/>
        <v>1095</v>
      </c>
    </row>
    <row r="31" spans="1:16" s="218" customFormat="1" x14ac:dyDescent="0.3">
      <c r="A31" s="218">
        <f t="shared" si="2"/>
        <v>25</v>
      </c>
      <c r="B31" s="219" t="s">
        <v>702</v>
      </c>
      <c r="C31" s="220" t="s">
        <v>675</v>
      </c>
      <c r="D31" s="227" t="s">
        <v>704</v>
      </c>
      <c r="E31" s="587" t="s">
        <v>623</v>
      </c>
      <c r="F31" s="222">
        <v>25287</v>
      </c>
      <c r="G31" s="222">
        <v>28482</v>
      </c>
      <c r="H31" s="223">
        <v>43092</v>
      </c>
      <c r="I31" s="222">
        <v>38594</v>
      </c>
      <c r="J31" s="224">
        <v>50397</v>
      </c>
      <c r="K31" s="225"/>
      <c r="L31" s="224"/>
      <c r="M31" s="594"/>
      <c r="N31" s="230"/>
      <c r="O31" s="222">
        <f t="shared" si="0"/>
        <v>50397</v>
      </c>
      <c r="P31" s="600">
        <f t="shared" si="1"/>
        <v>1095</v>
      </c>
    </row>
    <row r="32" spans="1:16" s="218" customFormat="1" x14ac:dyDescent="0.3">
      <c r="A32" s="218">
        <f t="shared" si="2"/>
        <v>26</v>
      </c>
      <c r="B32" s="219" t="s">
        <v>600</v>
      </c>
      <c r="C32" s="220" t="s">
        <v>675</v>
      </c>
      <c r="D32" s="227" t="s">
        <v>600</v>
      </c>
      <c r="E32" s="587" t="s">
        <v>904</v>
      </c>
      <c r="F32" s="222">
        <v>26016</v>
      </c>
      <c r="G32" s="222">
        <v>28237</v>
      </c>
      <c r="H32" s="223">
        <v>42847</v>
      </c>
      <c r="I32" s="222">
        <v>42346</v>
      </c>
      <c r="J32" s="224">
        <v>50152</v>
      </c>
      <c r="K32" s="225"/>
      <c r="L32" s="224"/>
      <c r="M32" s="594"/>
      <c r="N32" s="230"/>
      <c r="O32" s="222">
        <f t="shared" si="0"/>
        <v>50152</v>
      </c>
      <c r="P32" s="600">
        <f t="shared" si="1"/>
        <v>1095</v>
      </c>
    </row>
    <row r="33" spans="1:16" s="218" customFormat="1" x14ac:dyDescent="0.3">
      <c r="A33" s="218">
        <f t="shared" si="2"/>
        <v>27</v>
      </c>
      <c r="B33" s="219" t="s">
        <v>634</v>
      </c>
      <c r="C33" s="220" t="s">
        <v>675</v>
      </c>
      <c r="D33" s="218" t="s">
        <v>705</v>
      </c>
      <c r="E33" s="587" t="s">
        <v>633</v>
      </c>
      <c r="F33" s="222">
        <v>24951</v>
      </c>
      <c r="G33" s="222">
        <v>30988</v>
      </c>
      <c r="H33" s="223">
        <v>45598</v>
      </c>
      <c r="I33" s="222"/>
      <c r="J33" s="224"/>
      <c r="K33" s="225"/>
      <c r="L33" s="224"/>
      <c r="M33" s="594"/>
      <c r="N33" s="230"/>
      <c r="O33" s="222">
        <f t="shared" si="0"/>
        <v>45598</v>
      </c>
      <c r="P33" s="600">
        <f t="shared" si="1"/>
        <v>1095</v>
      </c>
    </row>
    <row r="34" spans="1:16" s="218" customFormat="1" x14ac:dyDescent="0.3">
      <c r="A34" s="703">
        <f t="shared" si="2"/>
        <v>28</v>
      </c>
      <c r="B34" s="704" t="s">
        <v>634</v>
      </c>
      <c r="C34" s="705" t="s">
        <v>675</v>
      </c>
      <c r="D34" s="703" t="s">
        <v>706</v>
      </c>
      <c r="E34" s="587" t="s">
        <v>633</v>
      </c>
      <c r="F34" s="222">
        <v>25911</v>
      </c>
      <c r="G34" s="222">
        <v>31285</v>
      </c>
      <c r="H34" s="223">
        <v>45895</v>
      </c>
      <c r="I34" s="222"/>
      <c r="J34" s="224"/>
      <c r="K34" s="225"/>
      <c r="L34" s="224"/>
      <c r="M34" s="594"/>
      <c r="N34" s="230"/>
      <c r="O34" s="222">
        <f t="shared" si="0"/>
        <v>45895</v>
      </c>
      <c r="P34" s="600">
        <f t="shared" si="1"/>
        <v>1095</v>
      </c>
    </row>
    <row r="35" spans="1:16" s="218" customFormat="1" x14ac:dyDescent="0.3">
      <c r="A35" s="699">
        <f t="shared" si="2"/>
        <v>29</v>
      </c>
      <c r="B35" s="700" t="s">
        <v>615</v>
      </c>
      <c r="C35" s="701" t="s">
        <v>675</v>
      </c>
      <c r="D35" s="702" t="s">
        <v>707</v>
      </c>
      <c r="E35" s="587" t="s">
        <v>681</v>
      </c>
      <c r="F35" s="222">
        <v>24117</v>
      </c>
      <c r="G35" s="222">
        <v>33289</v>
      </c>
      <c r="H35" s="223">
        <v>40169</v>
      </c>
      <c r="I35" s="222">
        <v>38288</v>
      </c>
      <c r="J35" s="224">
        <v>47474</v>
      </c>
      <c r="K35" s="225"/>
      <c r="L35" s="224"/>
      <c r="M35" s="697">
        <v>44530</v>
      </c>
      <c r="N35" s="230"/>
      <c r="O35" s="222">
        <f t="shared" si="0"/>
        <v>44530</v>
      </c>
      <c r="P35" s="601">
        <f t="shared" si="1"/>
        <v>213</v>
      </c>
    </row>
    <row r="36" spans="1:16" s="218" customFormat="1" x14ac:dyDescent="0.3">
      <c r="A36" s="699">
        <f t="shared" si="2"/>
        <v>30</v>
      </c>
      <c r="B36" s="700" t="s">
        <v>615</v>
      </c>
      <c r="C36" s="701" t="s">
        <v>675</v>
      </c>
      <c r="D36" s="702" t="s">
        <v>708</v>
      </c>
      <c r="E36" s="587" t="s">
        <v>681</v>
      </c>
      <c r="F36" s="222">
        <v>24394</v>
      </c>
      <c r="G36" s="222">
        <v>25945</v>
      </c>
      <c r="H36" s="223">
        <v>40555</v>
      </c>
      <c r="I36" s="222">
        <v>38288</v>
      </c>
      <c r="J36" s="224">
        <v>47860</v>
      </c>
      <c r="K36" s="225"/>
      <c r="L36" s="224"/>
      <c r="M36" s="697">
        <v>44530</v>
      </c>
      <c r="N36" s="230"/>
      <c r="O36" s="222">
        <f t="shared" si="0"/>
        <v>44530</v>
      </c>
      <c r="P36" s="601">
        <f t="shared" si="1"/>
        <v>213</v>
      </c>
    </row>
    <row r="37" spans="1:16" s="218" customFormat="1" x14ac:dyDescent="0.3">
      <c r="A37" s="218">
        <f t="shared" si="2"/>
        <v>31</v>
      </c>
      <c r="B37" s="219" t="s">
        <v>709</v>
      </c>
      <c r="C37" s="220" t="s">
        <v>675</v>
      </c>
      <c r="D37" s="227" t="s">
        <v>710</v>
      </c>
      <c r="E37" s="587" t="s">
        <v>639</v>
      </c>
      <c r="F37" s="222">
        <v>25476</v>
      </c>
      <c r="G37" s="222">
        <v>27315</v>
      </c>
      <c r="H37" s="223">
        <v>41857</v>
      </c>
      <c r="I37" s="222">
        <v>37271</v>
      </c>
      <c r="J37" s="224">
        <v>49162</v>
      </c>
      <c r="K37" s="225"/>
      <c r="L37" s="224"/>
      <c r="M37" s="594"/>
      <c r="N37" s="230"/>
      <c r="O37" s="222">
        <f t="shared" si="0"/>
        <v>49162</v>
      </c>
      <c r="P37" s="600">
        <f t="shared" si="1"/>
        <v>1095</v>
      </c>
    </row>
    <row r="38" spans="1:16" s="218" customFormat="1" x14ac:dyDescent="0.3">
      <c r="A38" s="218">
        <f t="shared" si="2"/>
        <v>32</v>
      </c>
      <c r="B38" s="219" t="s">
        <v>709</v>
      </c>
      <c r="C38" s="220" t="s">
        <v>675</v>
      </c>
      <c r="D38" s="227" t="s">
        <v>711</v>
      </c>
      <c r="E38" s="587" t="s">
        <v>639</v>
      </c>
      <c r="F38" s="222">
        <v>26660</v>
      </c>
      <c r="G38" s="222">
        <v>28654</v>
      </c>
      <c r="H38" s="223">
        <v>43264</v>
      </c>
      <c r="I38" s="222">
        <v>37271</v>
      </c>
      <c r="J38" s="224">
        <v>50569</v>
      </c>
      <c r="K38" s="225"/>
      <c r="L38" s="224"/>
      <c r="M38" s="223"/>
      <c r="N38" s="230"/>
      <c r="O38" s="222">
        <f t="shared" si="0"/>
        <v>50569</v>
      </c>
      <c r="P38" s="600">
        <f t="shared" si="1"/>
        <v>1095</v>
      </c>
    </row>
    <row r="39" spans="1:16" s="218" customFormat="1" x14ac:dyDescent="0.3">
      <c r="A39" s="218">
        <f t="shared" si="2"/>
        <v>33</v>
      </c>
      <c r="B39" s="219" t="s">
        <v>712</v>
      </c>
      <c r="C39" s="220" t="s">
        <v>675</v>
      </c>
      <c r="D39" s="218" t="s">
        <v>590</v>
      </c>
      <c r="E39" s="587" t="s">
        <v>589</v>
      </c>
      <c r="F39" s="222">
        <v>26568</v>
      </c>
      <c r="G39" s="588">
        <v>31243</v>
      </c>
      <c r="H39" s="223">
        <v>45736</v>
      </c>
      <c r="I39" s="222">
        <v>42719</v>
      </c>
      <c r="J39" s="224">
        <v>53041</v>
      </c>
      <c r="K39" s="225"/>
      <c r="L39" s="224"/>
      <c r="M39" s="231"/>
      <c r="N39" s="230"/>
      <c r="O39" s="222">
        <f t="shared" si="0"/>
        <v>53041</v>
      </c>
      <c r="P39" s="600">
        <f t="shared" si="1"/>
        <v>1095</v>
      </c>
    </row>
    <row r="40" spans="1:16" s="218" customFormat="1" x14ac:dyDescent="0.3">
      <c r="A40" s="218">
        <f t="shared" si="2"/>
        <v>34</v>
      </c>
      <c r="B40" s="219" t="s">
        <v>606</v>
      </c>
      <c r="C40" s="220" t="s">
        <v>675</v>
      </c>
      <c r="D40" s="218" t="s">
        <v>713</v>
      </c>
      <c r="E40" s="598" t="s">
        <v>903</v>
      </c>
      <c r="F40" s="222">
        <v>27276</v>
      </c>
      <c r="G40" s="222">
        <v>30987</v>
      </c>
      <c r="H40" s="223">
        <v>45597</v>
      </c>
      <c r="I40" s="222">
        <v>42705</v>
      </c>
      <c r="J40" s="224">
        <v>52902</v>
      </c>
      <c r="K40" s="225"/>
      <c r="L40" s="224"/>
      <c r="M40" s="223"/>
      <c r="N40" s="230"/>
      <c r="O40" s="222">
        <f t="shared" si="0"/>
        <v>52902</v>
      </c>
      <c r="P40" s="600">
        <f t="shared" si="1"/>
        <v>1095</v>
      </c>
    </row>
    <row r="41" spans="1:16" s="218" customFormat="1" x14ac:dyDescent="0.3">
      <c r="A41" s="218">
        <f t="shared" si="2"/>
        <v>35</v>
      </c>
      <c r="B41" s="219" t="s">
        <v>594</v>
      </c>
      <c r="C41" s="220" t="s">
        <v>675</v>
      </c>
      <c r="D41" s="218" t="s">
        <v>714</v>
      </c>
      <c r="E41" s="228" t="s">
        <v>591</v>
      </c>
      <c r="F41" s="222">
        <v>24575</v>
      </c>
      <c r="G41" s="222">
        <v>25780</v>
      </c>
      <c r="H41" s="223">
        <v>40390</v>
      </c>
      <c r="I41" s="222">
        <v>38096</v>
      </c>
      <c r="J41" s="224">
        <v>47695</v>
      </c>
      <c r="K41" s="225"/>
      <c r="L41" s="224"/>
      <c r="M41" s="231"/>
      <c r="N41" s="230"/>
      <c r="O41" s="222">
        <f t="shared" si="0"/>
        <v>47695</v>
      </c>
      <c r="P41" s="600">
        <f t="shared" si="1"/>
        <v>1095</v>
      </c>
    </row>
    <row r="42" spans="1:16" s="218" customFormat="1" x14ac:dyDescent="0.3">
      <c r="A42" s="218">
        <f t="shared" si="2"/>
        <v>36</v>
      </c>
      <c r="B42" s="219" t="s">
        <v>715</v>
      </c>
      <c r="C42" s="220" t="s">
        <v>675</v>
      </c>
      <c r="D42" s="218" t="s">
        <v>716</v>
      </c>
      <c r="E42" s="232" t="s">
        <v>717</v>
      </c>
      <c r="F42" s="222">
        <v>27337</v>
      </c>
      <c r="G42" s="222">
        <v>31618</v>
      </c>
      <c r="H42" s="223">
        <v>46123</v>
      </c>
      <c r="I42" s="222">
        <v>40744</v>
      </c>
      <c r="J42" s="224">
        <v>53428</v>
      </c>
      <c r="K42" s="225"/>
      <c r="L42" s="224"/>
      <c r="M42" s="223"/>
      <c r="N42" s="230"/>
      <c r="O42" s="222">
        <f t="shared" si="0"/>
        <v>53428</v>
      </c>
      <c r="P42" s="600">
        <f t="shared" si="1"/>
        <v>1095</v>
      </c>
    </row>
    <row r="43" spans="1:16" s="218" customFormat="1" x14ac:dyDescent="0.3">
      <c r="A43" s="218">
        <f t="shared" si="2"/>
        <v>37</v>
      </c>
      <c r="B43" s="219" t="s">
        <v>616</v>
      </c>
      <c r="C43" s="220" t="s">
        <v>675</v>
      </c>
      <c r="D43" s="227" t="s">
        <v>616</v>
      </c>
      <c r="E43" s="228" t="s">
        <v>681</v>
      </c>
      <c r="F43" s="222">
        <v>25708</v>
      </c>
      <c r="G43" s="222">
        <v>27319</v>
      </c>
      <c r="H43" s="223">
        <v>41929</v>
      </c>
      <c r="I43" s="222">
        <v>39699</v>
      </c>
      <c r="J43" s="224">
        <v>49234</v>
      </c>
      <c r="K43" s="225"/>
      <c r="L43" s="224"/>
      <c r="M43" s="223"/>
      <c r="N43" s="231"/>
      <c r="O43" s="222">
        <f t="shared" si="0"/>
        <v>49234</v>
      </c>
      <c r="P43" s="600">
        <f t="shared" si="1"/>
        <v>1095</v>
      </c>
    </row>
    <row r="44" spans="1:16" s="218" customFormat="1" x14ac:dyDescent="0.3">
      <c r="A44" s="218">
        <f t="shared" si="2"/>
        <v>38</v>
      </c>
      <c r="B44" s="219" t="s">
        <v>641</v>
      </c>
      <c r="C44" s="220" t="s">
        <v>675</v>
      </c>
      <c r="D44" s="218" t="s">
        <v>718</v>
      </c>
      <c r="E44" s="586" t="s">
        <v>892</v>
      </c>
      <c r="F44" s="222">
        <v>26527</v>
      </c>
      <c r="G44" s="222">
        <v>28301</v>
      </c>
      <c r="H44" s="223">
        <v>42911</v>
      </c>
      <c r="I44" s="222">
        <v>38484</v>
      </c>
      <c r="J44" s="224">
        <v>50216</v>
      </c>
      <c r="K44" s="225"/>
      <c r="L44" s="224"/>
      <c r="M44" s="231"/>
      <c r="N44" s="230"/>
      <c r="O44" s="222">
        <f t="shared" si="0"/>
        <v>50216</v>
      </c>
      <c r="P44" s="600">
        <f t="shared" si="1"/>
        <v>1095</v>
      </c>
    </row>
    <row r="45" spans="1:16" s="218" customFormat="1" x14ac:dyDescent="0.3">
      <c r="A45" s="218">
        <f t="shared" si="2"/>
        <v>39</v>
      </c>
      <c r="B45" s="219" t="s">
        <v>641</v>
      </c>
      <c r="C45" s="220" t="s">
        <v>675</v>
      </c>
      <c r="D45" s="218" t="s">
        <v>719</v>
      </c>
      <c r="E45" s="586" t="s">
        <v>892</v>
      </c>
      <c r="F45" s="222">
        <v>26527</v>
      </c>
      <c r="G45" s="222">
        <v>29676</v>
      </c>
      <c r="H45" s="223">
        <v>44286</v>
      </c>
      <c r="I45" s="222">
        <v>38484</v>
      </c>
      <c r="J45" s="224">
        <v>51591</v>
      </c>
      <c r="K45" s="225"/>
      <c r="L45" s="224"/>
      <c r="M45" s="223"/>
      <c r="N45" s="230"/>
      <c r="O45" s="222">
        <f t="shared" si="0"/>
        <v>51591</v>
      </c>
      <c r="P45" s="600">
        <f t="shared" si="1"/>
        <v>1095</v>
      </c>
    </row>
    <row r="46" spans="1:16" s="218" customFormat="1" x14ac:dyDescent="0.3">
      <c r="A46" s="218">
        <f t="shared" si="2"/>
        <v>40</v>
      </c>
      <c r="B46" s="219" t="s">
        <v>617</v>
      </c>
      <c r="C46" s="220" t="s">
        <v>675</v>
      </c>
      <c r="D46" s="227" t="s">
        <v>720</v>
      </c>
      <c r="E46" s="228" t="s">
        <v>681</v>
      </c>
      <c r="F46" s="222">
        <v>26917</v>
      </c>
      <c r="G46" s="222">
        <v>30058</v>
      </c>
      <c r="H46" s="223">
        <v>44668</v>
      </c>
      <c r="I46" s="222">
        <v>42662</v>
      </c>
      <c r="J46" s="224">
        <v>51973</v>
      </c>
      <c r="K46" s="225"/>
      <c r="L46" s="224"/>
      <c r="M46" s="223"/>
      <c r="N46" s="230"/>
      <c r="O46" s="222">
        <f t="shared" si="0"/>
        <v>51973</v>
      </c>
      <c r="P46" s="600">
        <f t="shared" si="1"/>
        <v>1095</v>
      </c>
    </row>
    <row r="47" spans="1:16" s="218" customFormat="1" x14ac:dyDescent="0.3">
      <c r="A47" s="218">
        <f t="shared" si="2"/>
        <v>41</v>
      </c>
      <c r="B47" s="219" t="s">
        <v>617</v>
      </c>
      <c r="C47" s="220" t="s">
        <v>675</v>
      </c>
      <c r="D47" s="227" t="s">
        <v>721</v>
      </c>
      <c r="E47" s="228" t="s">
        <v>681</v>
      </c>
      <c r="F47" s="222">
        <v>26917</v>
      </c>
      <c r="G47" s="222">
        <v>30666</v>
      </c>
      <c r="H47" s="223">
        <v>45276</v>
      </c>
      <c r="I47" s="222">
        <v>42662</v>
      </c>
      <c r="J47" s="224">
        <v>52581</v>
      </c>
      <c r="K47" s="225"/>
      <c r="L47" s="224"/>
      <c r="M47" s="223"/>
      <c r="N47" s="230"/>
      <c r="O47" s="222">
        <f t="shared" si="0"/>
        <v>52581</v>
      </c>
      <c r="P47" s="600">
        <f t="shared" si="1"/>
        <v>1095</v>
      </c>
    </row>
    <row r="48" spans="1:16" s="218" customFormat="1" x14ac:dyDescent="0.3">
      <c r="A48" s="218">
        <f t="shared" si="2"/>
        <v>42</v>
      </c>
      <c r="B48" s="219" t="s">
        <v>618</v>
      </c>
      <c r="C48" s="220" t="s">
        <v>675</v>
      </c>
      <c r="D48" s="218" t="s">
        <v>722</v>
      </c>
      <c r="E48" s="228" t="s">
        <v>681</v>
      </c>
      <c r="F48" s="222">
        <v>27199</v>
      </c>
      <c r="G48" s="222">
        <v>31267</v>
      </c>
      <c r="H48" s="223">
        <v>45591</v>
      </c>
      <c r="I48" s="222">
        <v>41932</v>
      </c>
      <c r="J48" s="669">
        <v>52896</v>
      </c>
      <c r="K48" s="225"/>
      <c r="L48" s="224"/>
      <c r="M48" s="223"/>
      <c r="N48" s="230"/>
      <c r="O48" s="222">
        <f t="shared" si="0"/>
        <v>52896</v>
      </c>
      <c r="P48" s="600">
        <f t="shared" si="1"/>
        <v>1095</v>
      </c>
    </row>
    <row r="49" spans="1:16" s="218" customFormat="1" x14ac:dyDescent="0.3">
      <c r="A49" s="218">
        <f t="shared" si="2"/>
        <v>43</v>
      </c>
      <c r="B49" s="219" t="s">
        <v>618</v>
      </c>
      <c r="C49" s="220" t="s">
        <v>675</v>
      </c>
      <c r="D49" s="218" t="s">
        <v>723</v>
      </c>
      <c r="E49" s="228" t="s">
        <v>681</v>
      </c>
      <c r="F49" s="222">
        <v>27199</v>
      </c>
      <c r="G49" s="222">
        <v>32745</v>
      </c>
      <c r="H49" s="223">
        <v>47291</v>
      </c>
      <c r="I49" s="222">
        <v>41932</v>
      </c>
      <c r="J49" s="669">
        <v>54596</v>
      </c>
      <c r="K49" s="225"/>
      <c r="L49" s="224"/>
      <c r="M49" s="223"/>
      <c r="N49" s="230"/>
      <c r="O49" s="222">
        <f t="shared" si="0"/>
        <v>54596</v>
      </c>
      <c r="P49" s="600">
        <f t="shared" si="1"/>
        <v>1095</v>
      </c>
    </row>
    <row r="50" spans="1:16" s="218" customFormat="1" x14ac:dyDescent="0.3">
      <c r="A50" s="218">
        <f t="shared" si="2"/>
        <v>44</v>
      </c>
      <c r="B50" s="219" t="s">
        <v>595</v>
      </c>
      <c r="C50" s="220" t="s">
        <v>675</v>
      </c>
      <c r="D50" s="218" t="s">
        <v>724</v>
      </c>
      <c r="E50" s="228" t="s">
        <v>591</v>
      </c>
      <c r="F50" s="222">
        <v>26718</v>
      </c>
      <c r="G50" s="222">
        <v>29775</v>
      </c>
      <c r="H50" s="223">
        <v>44359</v>
      </c>
      <c r="I50" s="222">
        <v>37960</v>
      </c>
      <c r="J50" s="669">
        <v>51664</v>
      </c>
      <c r="K50" s="225"/>
      <c r="L50" s="224"/>
      <c r="M50" s="223"/>
      <c r="N50" s="230"/>
      <c r="O50" s="222">
        <f t="shared" si="0"/>
        <v>51664</v>
      </c>
      <c r="P50" s="600">
        <f t="shared" si="1"/>
        <v>1095</v>
      </c>
    </row>
    <row r="51" spans="1:16" s="218" customFormat="1" x14ac:dyDescent="0.3">
      <c r="A51" s="218">
        <f t="shared" si="2"/>
        <v>45</v>
      </c>
      <c r="B51" s="219" t="s">
        <v>595</v>
      </c>
      <c r="C51" s="220" t="s">
        <v>675</v>
      </c>
      <c r="D51" s="218" t="s">
        <v>725</v>
      </c>
      <c r="E51" s="228" t="s">
        <v>591</v>
      </c>
      <c r="F51" s="222">
        <v>26718</v>
      </c>
      <c r="G51" s="222">
        <v>30463</v>
      </c>
      <c r="H51" s="223">
        <v>44988</v>
      </c>
      <c r="I51" s="222">
        <v>37960</v>
      </c>
      <c r="J51" s="669">
        <v>52293</v>
      </c>
      <c r="K51" s="225"/>
      <c r="L51" s="224"/>
      <c r="M51" s="223"/>
      <c r="N51" s="230"/>
      <c r="O51" s="222">
        <f t="shared" si="0"/>
        <v>52293</v>
      </c>
      <c r="P51" s="600">
        <f t="shared" si="1"/>
        <v>1095</v>
      </c>
    </row>
    <row r="52" spans="1:16" s="218" customFormat="1" x14ac:dyDescent="0.3">
      <c r="A52" s="218">
        <f t="shared" si="2"/>
        <v>46</v>
      </c>
      <c r="B52" s="219" t="s">
        <v>585</v>
      </c>
      <c r="C52" s="220" t="s">
        <v>675</v>
      </c>
      <c r="D52" s="218" t="s">
        <v>726</v>
      </c>
      <c r="E52" s="228" t="s">
        <v>584</v>
      </c>
      <c r="F52" s="222">
        <v>25913</v>
      </c>
      <c r="G52" s="222">
        <v>27663</v>
      </c>
      <c r="H52" s="223">
        <v>42216</v>
      </c>
      <c r="I52" s="222">
        <v>38684</v>
      </c>
      <c r="J52" s="669">
        <v>49521</v>
      </c>
      <c r="K52" s="225"/>
      <c r="L52" s="224"/>
      <c r="M52" s="223"/>
      <c r="N52" s="230"/>
      <c r="O52" s="222">
        <f t="shared" si="0"/>
        <v>49521</v>
      </c>
      <c r="P52" s="600">
        <f t="shared" si="1"/>
        <v>1095</v>
      </c>
    </row>
    <row r="53" spans="1:16" s="218" customFormat="1" x14ac:dyDescent="0.3">
      <c r="A53" s="218">
        <f t="shared" si="2"/>
        <v>47</v>
      </c>
      <c r="B53" s="219" t="s">
        <v>585</v>
      </c>
      <c r="C53" s="220" t="s">
        <v>675</v>
      </c>
      <c r="D53" s="218" t="s">
        <v>727</v>
      </c>
      <c r="E53" s="228" t="s">
        <v>584</v>
      </c>
      <c r="F53" s="222">
        <v>27250</v>
      </c>
      <c r="G53" s="222">
        <v>31443</v>
      </c>
      <c r="H53" s="223">
        <v>45986</v>
      </c>
      <c r="I53" s="222">
        <v>38684</v>
      </c>
      <c r="J53" s="669">
        <v>53291</v>
      </c>
      <c r="K53" s="225"/>
      <c r="L53" s="224"/>
      <c r="M53" s="223"/>
      <c r="N53" s="230"/>
      <c r="O53" s="222">
        <f t="shared" si="0"/>
        <v>53291</v>
      </c>
      <c r="P53" s="600">
        <f t="shared" si="1"/>
        <v>1095</v>
      </c>
    </row>
    <row r="54" spans="1:16" s="218" customFormat="1" x14ac:dyDescent="0.3">
      <c r="A54" s="218">
        <f t="shared" si="2"/>
        <v>48</v>
      </c>
      <c r="B54" s="219" t="s">
        <v>652</v>
      </c>
      <c r="C54" s="220" t="s">
        <v>675</v>
      </c>
      <c r="D54" s="218" t="s">
        <v>652</v>
      </c>
      <c r="E54" s="228" t="s">
        <v>651</v>
      </c>
      <c r="F54" s="222">
        <v>24642</v>
      </c>
      <c r="G54" s="222">
        <v>29595</v>
      </c>
      <c r="H54" s="223">
        <v>40429</v>
      </c>
      <c r="I54" s="222">
        <v>39029</v>
      </c>
      <c r="J54" s="669">
        <v>47734</v>
      </c>
      <c r="K54" s="225"/>
      <c r="L54" s="224"/>
      <c r="M54" s="223"/>
      <c r="N54" s="230"/>
      <c r="O54" s="222">
        <f t="shared" si="0"/>
        <v>47734</v>
      </c>
      <c r="P54" s="600">
        <f t="shared" si="1"/>
        <v>1095</v>
      </c>
    </row>
    <row r="55" spans="1:16" s="218" customFormat="1" x14ac:dyDescent="0.3">
      <c r="A55" s="218">
        <f t="shared" si="2"/>
        <v>49</v>
      </c>
      <c r="B55" s="219" t="s">
        <v>619</v>
      </c>
      <c r="C55" s="220" t="s">
        <v>675</v>
      </c>
      <c r="D55" s="218" t="s">
        <v>728</v>
      </c>
      <c r="E55" s="228" t="s">
        <v>681</v>
      </c>
      <c r="F55" s="222">
        <v>23844</v>
      </c>
      <c r="G55" s="222">
        <v>27389</v>
      </c>
      <c r="H55" s="223">
        <v>40047</v>
      </c>
      <c r="I55" s="222">
        <v>39021</v>
      </c>
      <c r="J55" s="669">
        <v>47352</v>
      </c>
      <c r="K55" s="225"/>
      <c r="L55" s="224"/>
      <c r="M55" s="223"/>
      <c r="N55" s="230"/>
      <c r="O55" s="222">
        <f t="shared" si="0"/>
        <v>47352</v>
      </c>
      <c r="P55" s="600">
        <f t="shared" si="1"/>
        <v>1095</v>
      </c>
    </row>
    <row r="56" spans="1:16" s="218" customFormat="1" x14ac:dyDescent="0.3">
      <c r="A56" s="218">
        <f t="shared" si="2"/>
        <v>50</v>
      </c>
      <c r="B56" s="219" t="s">
        <v>619</v>
      </c>
      <c r="C56" s="220" t="s">
        <v>675</v>
      </c>
      <c r="D56" s="218" t="s">
        <v>729</v>
      </c>
      <c r="E56" s="228" t="s">
        <v>681</v>
      </c>
      <c r="F56" s="222">
        <v>27204</v>
      </c>
      <c r="G56" s="222">
        <v>31960</v>
      </c>
      <c r="H56" s="223">
        <v>46326</v>
      </c>
      <c r="I56" s="222">
        <v>39021</v>
      </c>
      <c r="J56" s="669">
        <v>53631</v>
      </c>
      <c r="K56" s="225"/>
      <c r="L56" s="224"/>
      <c r="M56" s="223"/>
      <c r="N56" s="230"/>
      <c r="O56" s="222">
        <f t="shared" si="0"/>
        <v>53631</v>
      </c>
      <c r="P56" s="600">
        <f t="shared" si="1"/>
        <v>1095</v>
      </c>
    </row>
    <row r="57" spans="1:16" s="218" customFormat="1" x14ac:dyDescent="0.3">
      <c r="A57" s="218">
        <f t="shared" si="2"/>
        <v>51</v>
      </c>
      <c r="B57" s="219" t="s">
        <v>587</v>
      </c>
      <c r="C57" s="220" t="s">
        <v>675</v>
      </c>
      <c r="D57" s="218" t="s">
        <v>730</v>
      </c>
      <c r="E57" s="228" t="s">
        <v>584</v>
      </c>
      <c r="F57" s="222">
        <v>25983</v>
      </c>
      <c r="G57" s="222">
        <v>28581</v>
      </c>
      <c r="H57" s="223">
        <v>43191</v>
      </c>
      <c r="I57" s="222">
        <v>37700</v>
      </c>
      <c r="J57" s="669">
        <v>50496</v>
      </c>
      <c r="K57" s="225"/>
      <c r="L57" s="224"/>
      <c r="M57" s="223"/>
      <c r="N57" s="230"/>
      <c r="O57" s="222">
        <f t="shared" si="0"/>
        <v>50496</v>
      </c>
      <c r="P57" s="600">
        <f t="shared" si="1"/>
        <v>1095</v>
      </c>
    </row>
    <row r="58" spans="1:16" s="218" customFormat="1" x14ac:dyDescent="0.3">
      <c r="A58" s="218">
        <f t="shared" si="2"/>
        <v>52</v>
      </c>
      <c r="B58" s="219" t="s">
        <v>587</v>
      </c>
      <c r="C58" s="220" t="s">
        <v>675</v>
      </c>
      <c r="D58" s="218" t="s">
        <v>731</v>
      </c>
      <c r="E58" s="228" t="s">
        <v>584</v>
      </c>
      <c r="F58" s="222">
        <v>25983</v>
      </c>
      <c r="G58" s="222">
        <v>29454</v>
      </c>
      <c r="H58" s="223">
        <v>44064</v>
      </c>
      <c r="I58" s="222">
        <v>37700</v>
      </c>
      <c r="J58" s="669">
        <v>51369</v>
      </c>
      <c r="K58" s="225"/>
      <c r="L58" s="224"/>
      <c r="M58" s="223"/>
      <c r="N58" s="230"/>
      <c r="O58" s="222">
        <f t="shared" si="0"/>
        <v>51369</v>
      </c>
      <c r="P58" s="600">
        <f t="shared" si="1"/>
        <v>1095</v>
      </c>
    </row>
    <row r="59" spans="1:16" s="218" customFormat="1" x14ac:dyDescent="0.3">
      <c r="A59" s="218">
        <f t="shared" si="2"/>
        <v>53</v>
      </c>
      <c r="B59" s="219" t="s">
        <v>596</v>
      </c>
      <c r="C59" s="220" t="s">
        <v>675</v>
      </c>
      <c r="D59" s="218" t="s">
        <v>732</v>
      </c>
      <c r="E59" s="228" t="s">
        <v>591</v>
      </c>
      <c r="F59" s="222">
        <v>24782</v>
      </c>
      <c r="G59" s="222">
        <v>26701</v>
      </c>
      <c r="H59" s="223">
        <v>41311</v>
      </c>
      <c r="I59" s="222">
        <v>36669</v>
      </c>
      <c r="J59" s="669">
        <v>48616</v>
      </c>
      <c r="K59" s="225"/>
      <c r="L59" s="224"/>
      <c r="M59" s="223"/>
      <c r="N59" s="230"/>
      <c r="O59" s="222">
        <f t="shared" si="0"/>
        <v>48616</v>
      </c>
      <c r="P59" s="600">
        <f t="shared" si="1"/>
        <v>1095</v>
      </c>
    </row>
    <row r="60" spans="1:16" s="218" customFormat="1" x14ac:dyDescent="0.3">
      <c r="A60" s="218">
        <f t="shared" si="2"/>
        <v>54</v>
      </c>
      <c r="B60" s="219" t="s">
        <v>596</v>
      </c>
      <c r="C60" s="220" t="s">
        <v>675</v>
      </c>
      <c r="D60" s="218" t="s">
        <v>733</v>
      </c>
      <c r="E60" s="228" t="s">
        <v>591</v>
      </c>
      <c r="F60" s="589">
        <v>24782</v>
      </c>
      <c r="G60" s="589">
        <v>26943</v>
      </c>
      <c r="H60" s="594">
        <v>41553</v>
      </c>
      <c r="I60" s="589">
        <v>36669</v>
      </c>
      <c r="J60" s="595">
        <v>48858</v>
      </c>
      <c r="K60" s="585"/>
      <c r="L60" s="595"/>
      <c r="M60" s="223"/>
      <c r="N60" s="230"/>
      <c r="O60" s="222">
        <f t="shared" si="0"/>
        <v>48858</v>
      </c>
      <c r="P60" s="600">
        <f t="shared" si="1"/>
        <v>1095</v>
      </c>
    </row>
    <row r="61" spans="1:16" s="218" customFormat="1" x14ac:dyDescent="0.3">
      <c r="A61" s="218">
        <f t="shared" si="2"/>
        <v>55</v>
      </c>
      <c r="B61" s="219" t="s">
        <v>596</v>
      </c>
      <c r="C61" s="220" t="s">
        <v>675</v>
      </c>
      <c r="D61" s="218" t="s">
        <v>734</v>
      </c>
      <c r="E61" s="587" t="s">
        <v>591</v>
      </c>
      <c r="F61" s="589">
        <v>24782</v>
      </c>
      <c r="G61" s="589">
        <v>27229</v>
      </c>
      <c r="H61" s="594">
        <v>41839</v>
      </c>
      <c r="I61" s="589">
        <v>36669</v>
      </c>
      <c r="J61" s="595">
        <v>49144</v>
      </c>
      <c r="K61" s="585"/>
      <c r="L61" s="595"/>
      <c r="M61" s="223"/>
      <c r="N61" s="230"/>
      <c r="O61" s="222">
        <f t="shared" si="0"/>
        <v>49144</v>
      </c>
      <c r="P61" s="600">
        <f t="shared" si="1"/>
        <v>1095</v>
      </c>
    </row>
    <row r="62" spans="1:16" s="218" customFormat="1" ht="13" x14ac:dyDescent="0.3">
      <c r="A62" s="699">
        <f t="shared" si="2"/>
        <v>56</v>
      </c>
      <c r="B62" s="700" t="s">
        <v>607</v>
      </c>
      <c r="C62" s="701" t="s">
        <v>675</v>
      </c>
      <c r="D62" s="699" t="s">
        <v>607</v>
      </c>
      <c r="E62" s="598" t="s">
        <v>903</v>
      </c>
      <c r="F62" s="589">
        <v>24545</v>
      </c>
      <c r="G62" s="589">
        <v>26016</v>
      </c>
      <c r="H62" s="594">
        <v>40626</v>
      </c>
      <c r="I62" s="589">
        <v>39099</v>
      </c>
      <c r="J62" s="595">
        <v>47931</v>
      </c>
      <c r="K62" s="585"/>
      <c r="L62" s="595"/>
      <c r="M62" s="698">
        <v>44682</v>
      </c>
      <c r="N62" s="230"/>
      <c r="O62" s="222">
        <f t="shared" si="0"/>
        <v>44682</v>
      </c>
      <c r="P62" s="601">
        <f t="shared" si="1"/>
        <v>365</v>
      </c>
    </row>
    <row r="63" spans="1:16" s="218" customFormat="1" x14ac:dyDescent="0.3">
      <c r="A63" s="218">
        <f t="shared" si="2"/>
        <v>57</v>
      </c>
      <c r="B63" s="219" t="s">
        <v>582</v>
      </c>
      <c r="C63" s="220" t="s">
        <v>675</v>
      </c>
      <c r="D63" s="218" t="s">
        <v>735</v>
      </c>
      <c r="E63" s="587" t="s">
        <v>893</v>
      </c>
      <c r="F63" s="589">
        <v>27905</v>
      </c>
      <c r="G63" s="589">
        <v>31199</v>
      </c>
      <c r="H63" s="594">
        <v>45657</v>
      </c>
      <c r="I63" s="589">
        <v>40654</v>
      </c>
      <c r="J63" s="595">
        <v>53114</v>
      </c>
      <c r="K63" s="585"/>
      <c r="L63" s="595"/>
      <c r="M63" s="223"/>
      <c r="N63" s="230"/>
      <c r="O63" s="222">
        <f t="shared" si="0"/>
        <v>53114</v>
      </c>
      <c r="P63" s="600">
        <f t="shared" si="1"/>
        <v>1095</v>
      </c>
    </row>
    <row r="64" spans="1:16" s="218" customFormat="1" x14ac:dyDescent="0.3">
      <c r="A64" s="218">
        <f t="shared" si="2"/>
        <v>58</v>
      </c>
      <c r="B64" s="219" t="s">
        <v>582</v>
      </c>
      <c r="C64" s="220" t="s">
        <v>675</v>
      </c>
      <c r="D64" s="218" t="s">
        <v>736</v>
      </c>
      <c r="E64" s="587" t="s">
        <v>893</v>
      </c>
      <c r="F64" s="589">
        <v>27905</v>
      </c>
      <c r="G64" s="589">
        <v>31526</v>
      </c>
      <c r="H64" s="594">
        <v>46000</v>
      </c>
      <c r="I64" s="589">
        <v>40654</v>
      </c>
      <c r="J64" s="595">
        <v>53441</v>
      </c>
      <c r="K64" s="585"/>
      <c r="L64" s="595"/>
      <c r="M64" s="223"/>
      <c r="N64" s="230"/>
      <c r="O64" s="222">
        <f t="shared" si="0"/>
        <v>53441</v>
      </c>
      <c r="P64" s="600">
        <f t="shared" si="1"/>
        <v>1095</v>
      </c>
    </row>
    <row r="65" spans="1:16" s="218" customFormat="1" x14ac:dyDescent="0.3">
      <c r="A65" s="218">
        <f t="shared" si="2"/>
        <v>59</v>
      </c>
      <c r="B65" s="219" t="s">
        <v>582</v>
      </c>
      <c r="C65" s="220" t="s">
        <v>675</v>
      </c>
      <c r="D65" s="218" t="s">
        <v>737</v>
      </c>
      <c r="E65" s="587" t="s">
        <v>893</v>
      </c>
      <c r="F65" s="222">
        <v>27905</v>
      </c>
      <c r="G65" s="222">
        <v>32106</v>
      </c>
      <c r="H65" s="223">
        <v>46471</v>
      </c>
      <c r="I65" s="222">
        <v>40654</v>
      </c>
      <c r="J65" s="224">
        <v>54021</v>
      </c>
      <c r="K65" s="225"/>
      <c r="L65" s="224"/>
      <c r="M65" s="223"/>
      <c r="N65" s="230"/>
      <c r="O65" s="222">
        <f t="shared" si="0"/>
        <v>54021</v>
      </c>
      <c r="P65" s="600">
        <f t="shared" si="1"/>
        <v>1095</v>
      </c>
    </row>
    <row r="66" spans="1:16" s="218" customFormat="1" x14ac:dyDescent="0.3">
      <c r="A66" s="218">
        <f t="shared" si="2"/>
        <v>60</v>
      </c>
      <c r="B66" s="219" t="s">
        <v>738</v>
      </c>
      <c r="C66" s="220" t="s">
        <v>675</v>
      </c>
      <c r="D66" s="218" t="s">
        <v>739</v>
      </c>
      <c r="E66" s="587" t="s">
        <v>681</v>
      </c>
      <c r="F66" s="222">
        <v>24868</v>
      </c>
      <c r="G66" s="222">
        <v>26962</v>
      </c>
      <c r="H66" s="223">
        <v>41494</v>
      </c>
      <c r="I66" s="222">
        <v>37748</v>
      </c>
      <c r="J66" s="224">
        <v>48799</v>
      </c>
      <c r="K66" s="234">
        <v>43895</v>
      </c>
      <c r="L66" s="224">
        <v>56104</v>
      </c>
      <c r="M66" s="223"/>
      <c r="N66" s="230"/>
      <c r="O66" s="222">
        <f t="shared" si="0"/>
        <v>56104</v>
      </c>
      <c r="P66" s="600">
        <f t="shared" si="1"/>
        <v>1095</v>
      </c>
    </row>
    <row r="67" spans="1:16" s="218" customFormat="1" x14ac:dyDescent="0.3">
      <c r="A67" s="218">
        <f t="shared" si="2"/>
        <v>61</v>
      </c>
      <c r="B67" s="219" t="s">
        <v>738</v>
      </c>
      <c r="C67" s="220" t="s">
        <v>675</v>
      </c>
      <c r="D67" s="218" t="s">
        <v>740</v>
      </c>
      <c r="E67" s="587" t="s">
        <v>681</v>
      </c>
      <c r="F67" s="222">
        <v>24868</v>
      </c>
      <c r="G67" s="222">
        <v>27212</v>
      </c>
      <c r="H67" s="223">
        <v>41822</v>
      </c>
      <c r="I67" s="222">
        <v>37748</v>
      </c>
      <c r="J67" s="234">
        <v>49127</v>
      </c>
      <c r="K67" s="225">
        <v>43895</v>
      </c>
      <c r="L67" s="224">
        <v>56432</v>
      </c>
      <c r="M67" s="223"/>
      <c r="N67" s="230"/>
      <c r="O67" s="222">
        <f t="shared" si="0"/>
        <v>56432</v>
      </c>
      <c r="P67" s="600">
        <f t="shared" si="1"/>
        <v>1095</v>
      </c>
    </row>
    <row r="68" spans="1:16" s="218" customFormat="1" x14ac:dyDescent="0.3">
      <c r="A68" s="218">
        <f t="shared" si="2"/>
        <v>62</v>
      </c>
      <c r="B68" s="219" t="s">
        <v>601</v>
      </c>
      <c r="C68" s="220" t="s">
        <v>675</v>
      </c>
      <c r="D68" s="218" t="s">
        <v>741</v>
      </c>
      <c r="E68" s="587" t="s">
        <v>904</v>
      </c>
      <c r="F68" s="222">
        <v>28248</v>
      </c>
      <c r="G68" s="222">
        <v>31729</v>
      </c>
      <c r="H68" s="223">
        <v>46099</v>
      </c>
      <c r="I68" s="222"/>
      <c r="J68" s="224"/>
      <c r="K68" s="225"/>
      <c r="L68" s="224"/>
      <c r="M68" s="223"/>
      <c r="N68" s="230"/>
      <c r="O68" s="222">
        <f t="shared" si="0"/>
        <v>46099</v>
      </c>
      <c r="P68" s="600">
        <f t="shared" si="1"/>
        <v>1095</v>
      </c>
    </row>
    <row r="69" spans="1:16" s="218" customFormat="1" x14ac:dyDescent="0.3">
      <c r="A69" s="218">
        <f t="shared" si="2"/>
        <v>63</v>
      </c>
      <c r="B69" s="219" t="s">
        <v>629</v>
      </c>
      <c r="C69" s="220" t="s">
        <v>675</v>
      </c>
      <c r="D69" s="218" t="s">
        <v>742</v>
      </c>
      <c r="E69" s="587" t="s">
        <v>905</v>
      </c>
      <c r="F69" s="222">
        <v>24672</v>
      </c>
      <c r="G69" s="222">
        <v>25846</v>
      </c>
      <c r="H69" s="223">
        <v>40456</v>
      </c>
      <c r="I69" s="222">
        <v>38708</v>
      </c>
      <c r="J69" s="224">
        <v>47761</v>
      </c>
      <c r="K69" s="225"/>
      <c r="L69" s="224"/>
      <c r="M69" s="231"/>
      <c r="N69" s="230"/>
      <c r="O69" s="222">
        <f t="shared" si="0"/>
        <v>47761</v>
      </c>
      <c r="P69" s="600">
        <f t="shared" si="1"/>
        <v>1095</v>
      </c>
    </row>
    <row r="70" spans="1:16" s="218" customFormat="1" x14ac:dyDescent="0.3">
      <c r="A70" s="218">
        <f t="shared" si="2"/>
        <v>64</v>
      </c>
      <c r="B70" s="219" t="s">
        <v>629</v>
      </c>
      <c r="C70" s="220" t="s">
        <v>675</v>
      </c>
      <c r="D70" s="218" t="s">
        <v>743</v>
      </c>
      <c r="E70" s="587" t="s">
        <v>905</v>
      </c>
      <c r="F70" s="222">
        <v>25044</v>
      </c>
      <c r="G70" s="222">
        <v>26731</v>
      </c>
      <c r="H70" s="223">
        <v>41341</v>
      </c>
      <c r="I70" s="222">
        <v>38708</v>
      </c>
      <c r="J70" s="224">
        <v>48646</v>
      </c>
      <c r="K70" s="225"/>
      <c r="L70" s="224"/>
      <c r="M70" s="223"/>
      <c r="N70" s="230"/>
      <c r="O70" s="222">
        <f t="shared" si="0"/>
        <v>48646</v>
      </c>
      <c r="P70" s="600">
        <f t="shared" si="1"/>
        <v>1095</v>
      </c>
    </row>
    <row r="71" spans="1:16" s="218" customFormat="1" x14ac:dyDescent="0.3">
      <c r="A71" s="218">
        <f t="shared" si="2"/>
        <v>65</v>
      </c>
      <c r="B71" s="219" t="s">
        <v>653</v>
      </c>
      <c r="C71" s="220" t="s">
        <v>675</v>
      </c>
      <c r="D71" s="218" t="s">
        <v>745</v>
      </c>
      <c r="E71" s="587" t="s">
        <v>651</v>
      </c>
      <c r="F71" s="222">
        <v>25014</v>
      </c>
      <c r="G71" s="222">
        <v>27124</v>
      </c>
      <c r="H71" s="223">
        <v>41495</v>
      </c>
      <c r="I71" s="222">
        <v>40721</v>
      </c>
      <c r="J71" s="224">
        <v>48800</v>
      </c>
      <c r="K71" s="225"/>
      <c r="L71" s="224"/>
      <c r="M71" s="223"/>
      <c r="N71" s="230"/>
      <c r="O71" s="222">
        <f t="shared" ref="O71:O101" si="3">IF(M71&gt;0,M71,IF(L71&gt;0,L71,IF(J71&gt;0,J71,H71)))</f>
        <v>48800</v>
      </c>
      <c r="P71" s="600">
        <f t="shared" si="1"/>
        <v>1095</v>
      </c>
    </row>
    <row r="72" spans="1:16" s="218" customFormat="1" x14ac:dyDescent="0.3">
      <c r="A72" s="218">
        <f t="shared" si="2"/>
        <v>66</v>
      </c>
      <c r="B72" s="219" t="s">
        <v>744</v>
      </c>
      <c r="C72" s="220" t="s">
        <v>675</v>
      </c>
      <c r="D72" s="218" t="s">
        <v>746</v>
      </c>
      <c r="E72" s="587" t="s">
        <v>651</v>
      </c>
      <c r="F72" s="222">
        <v>25014</v>
      </c>
      <c r="G72" s="222">
        <v>27331</v>
      </c>
      <c r="H72" s="223">
        <v>41941</v>
      </c>
      <c r="I72" s="222">
        <v>40721</v>
      </c>
      <c r="J72" s="224">
        <v>49246</v>
      </c>
      <c r="K72" s="225"/>
      <c r="L72" s="224"/>
      <c r="M72" s="223"/>
      <c r="N72" s="230"/>
      <c r="O72" s="222">
        <f t="shared" si="3"/>
        <v>49246</v>
      </c>
      <c r="P72" s="600">
        <f t="shared" ref="P72:P101" si="4">IF(O72&gt;$K$3,365*3, M72-$K$2)</f>
        <v>1095</v>
      </c>
    </row>
    <row r="73" spans="1:16" s="218" customFormat="1" x14ac:dyDescent="0.3">
      <c r="A73" s="218">
        <f t="shared" ref="A73:A101" si="5">A72+1</f>
        <v>67</v>
      </c>
      <c r="B73" s="219" t="s">
        <v>621</v>
      </c>
      <c r="C73" s="220" t="s">
        <v>675</v>
      </c>
      <c r="D73" s="218" t="s">
        <v>747</v>
      </c>
      <c r="E73" s="587" t="s">
        <v>681</v>
      </c>
      <c r="F73" s="222">
        <v>24518</v>
      </c>
      <c r="G73" s="222">
        <v>26647</v>
      </c>
      <c r="H73" s="223">
        <v>41257</v>
      </c>
      <c r="I73" s="222">
        <v>38288</v>
      </c>
      <c r="J73" s="224">
        <v>48562</v>
      </c>
      <c r="K73" s="225"/>
      <c r="L73" s="224"/>
      <c r="M73" s="223"/>
      <c r="N73" s="230"/>
      <c r="O73" s="222">
        <f t="shared" si="3"/>
        <v>48562</v>
      </c>
      <c r="P73" s="600">
        <f t="shared" si="4"/>
        <v>1095</v>
      </c>
    </row>
    <row r="74" spans="1:16" s="218" customFormat="1" x14ac:dyDescent="0.3">
      <c r="A74" s="218">
        <f t="shared" si="5"/>
        <v>68</v>
      </c>
      <c r="B74" s="219" t="s">
        <v>621</v>
      </c>
      <c r="C74" s="220" t="s">
        <v>675</v>
      </c>
      <c r="D74" s="218" t="s">
        <v>748</v>
      </c>
      <c r="E74" s="587" t="s">
        <v>681</v>
      </c>
      <c r="F74" s="222">
        <v>24518</v>
      </c>
      <c r="G74" s="222">
        <v>26647</v>
      </c>
      <c r="H74" s="223">
        <v>41257</v>
      </c>
      <c r="I74" s="222">
        <v>38288</v>
      </c>
      <c r="J74" s="224">
        <v>48562</v>
      </c>
      <c r="K74" s="225"/>
      <c r="L74" s="224"/>
      <c r="M74" s="223"/>
      <c r="N74" s="230"/>
      <c r="O74" s="222">
        <f t="shared" si="3"/>
        <v>48562</v>
      </c>
      <c r="P74" s="600">
        <f t="shared" si="4"/>
        <v>1095</v>
      </c>
    </row>
    <row r="75" spans="1:16" s="218" customFormat="1" x14ac:dyDescent="0.3">
      <c r="A75" s="218">
        <f t="shared" si="5"/>
        <v>69</v>
      </c>
      <c r="B75" s="219" t="s">
        <v>622</v>
      </c>
      <c r="C75" s="220" t="s">
        <v>675</v>
      </c>
      <c r="D75" s="227" t="s">
        <v>622</v>
      </c>
      <c r="E75" s="587" t="s">
        <v>681</v>
      </c>
      <c r="F75" s="222">
        <v>24222</v>
      </c>
      <c r="G75" s="222">
        <v>25465</v>
      </c>
      <c r="H75" s="223">
        <v>40074</v>
      </c>
      <c r="I75" s="222">
        <v>38126</v>
      </c>
      <c r="J75" s="224">
        <v>47379</v>
      </c>
      <c r="K75" s="225"/>
      <c r="L75" s="224"/>
      <c r="M75" s="223"/>
      <c r="N75" s="230"/>
      <c r="O75" s="222">
        <f t="shared" si="3"/>
        <v>47379</v>
      </c>
      <c r="P75" s="600">
        <f t="shared" si="4"/>
        <v>1095</v>
      </c>
    </row>
    <row r="76" spans="1:16" s="218" customFormat="1" x14ac:dyDescent="0.3">
      <c r="A76" s="218">
        <f t="shared" si="5"/>
        <v>70</v>
      </c>
      <c r="B76" s="219" t="s">
        <v>608</v>
      </c>
      <c r="C76" s="220" t="s">
        <v>675</v>
      </c>
      <c r="D76" s="218" t="s">
        <v>749</v>
      </c>
      <c r="E76" s="598" t="s">
        <v>903</v>
      </c>
      <c r="F76" s="222">
        <v>28209</v>
      </c>
      <c r="G76" s="222">
        <v>31371</v>
      </c>
      <c r="H76" s="223">
        <v>45898</v>
      </c>
      <c r="I76" s="222">
        <v>43454</v>
      </c>
      <c r="J76" s="224">
        <v>53203</v>
      </c>
      <c r="K76" s="225"/>
      <c r="L76" s="224"/>
      <c r="M76" s="223"/>
      <c r="N76" s="230"/>
      <c r="O76" s="222">
        <f t="shared" si="3"/>
        <v>53203</v>
      </c>
      <c r="P76" s="600">
        <f t="shared" si="4"/>
        <v>1095</v>
      </c>
    </row>
    <row r="77" spans="1:16" s="218" customFormat="1" x14ac:dyDescent="0.3">
      <c r="A77" s="218">
        <f t="shared" si="5"/>
        <v>71</v>
      </c>
      <c r="B77" s="219" t="s">
        <v>750</v>
      </c>
      <c r="C77" s="220" t="s">
        <v>675</v>
      </c>
      <c r="D77" s="218" t="s">
        <v>751</v>
      </c>
      <c r="E77" s="587" t="s">
        <v>717</v>
      </c>
      <c r="F77" s="222">
        <v>25106</v>
      </c>
      <c r="G77" s="222">
        <v>28095</v>
      </c>
      <c r="H77" s="223">
        <v>42595</v>
      </c>
      <c r="I77" s="222">
        <v>40724</v>
      </c>
      <c r="J77" s="224">
        <v>49900</v>
      </c>
      <c r="K77" s="225"/>
      <c r="L77" s="224"/>
      <c r="M77" s="223"/>
      <c r="N77" s="230"/>
      <c r="O77" s="222">
        <f t="shared" si="3"/>
        <v>49900</v>
      </c>
      <c r="P77" s="600">
        <f t="shared" si="4"/>
        <v>1095</v>
      </c>
    </row>
    <row r="78" spans="1:16" s="218" customFormat="1" x14ac:dyDescent="0.3">
      <c r="A78" s="218">
        <f t="shared" si="5"/>
        <v>72</v>
      </c>
      <c r="B78" s="219" t="s">
        <v>750</v>
      </c>
      <c r="C78" s="220" t="s">
        <v>675</v>
      </c>
      <c r="D78" s="218" t="s">
        <v>752</v>
      </c>
      <c r="E78" s="587" t="s">
        <v>717</v>
      </c>
      <c r="F78" s="222">
        <v>25106</v>
      </c>
      <c r="G78" s="222">
        <v>29726</v>
      </c>
      <c r="H78" s="223">
        <v>43939</v>
      </c>
      <c r="I78" s="222">
        <v>40724</v>
      </c>
      <c r="J78" s="224">
        <v>51244</v>
      </c>
      <c r="K78" s="225"/>
      <c r="L78" s="224"/>
      <c r="M78" s="223"/>
      <c r="N78" s="230"/>
      <c r="O78" s="222">
        <f t="shared" si="3"/>
        <v>51244</v>
      </c>
      <c r="P78" s="600">
        <f t="shared" si="4"/>
        <v>1095</v>
      </c>
    </row>
    <row r="79" spans="1:16" s="218" customFormat="1" x14ac:dyDescent="0.3">
      <c r="A79" s="218">
        <f t="shared" si="5"/>
        <v>73</v>
      </c>
      <c r="B79" s="219" t="s">
        <v>630</v>
      </c>
      <c r="C79" s="220" t="s">
        <v>675</v>
      </c>
      <c r="D79" s="218" t="s">
        <v>753</v>
      </c>
      <c r="E79" s="587" t="s">
        <v>905</v>
      </c>
      <c r="F79" s="222">
        <v>27948</v>
      </c>
      <c r="G79" s="222">
        <v>32947</v>
      </c>
      <c r="H79" s="223">
        <v>47557</v>
      </c>
      <c r="I79" s="222">
        <v>43536</v>
      </c>
      <c r="J79" s="224">
        <v>54862</v>
      </c>
      <c r="K79" s="225"/>
      <c r="L79" s="224"/>
      <c r="M79" s="223"/>
      <c r="N79" s="230"/>
      <c r="O79" s="222">
        <f t="shared" si="3"/>
        <v>54862</v>
      </c>
      <c r="P79" s="600">
        <f t="shared" si="4"/>
        <v>1095</v>
      </c>
    </row>
    <row r="80" spans="1:16" s="218" customFormat="1" x14ac:dyDescent="0.3">
      <c r="A80" s="218">
        <f t="shared" si="5"/>
        <v>74</v>
      </c>
      <c r="B80" s="219" t="s">
        <v>647</v>
      </c>
      <c r="C80" s="220" t="s">
        <v>675</v>
      </c>
      <c r="D80" s="218" t="s">
        <v>754</v>
      </c>
      <c r="E80" s="587" t="s">
        <v>684</v>
      </c>
      <c r="F80" s="222">
        <v>25715</v>
      </c>
      <c r="G80" s="222">
        <v>29481</v>
      </c>
      <c r="H80" s="223">
        <v>44091</v>
      </c>
      <c r="I80" s="222">
        <v>42271</v>
      </c>
      <c r="J80" s="590">
        <v>51396</v>
      </c>
      <c r="K80" s="225"/>
      <c r="L80" s="224"/>
      <c r="M80" s="223"/>
      <c r="N80" s="230"/>
      <c r="O80" s="222">
        <f t="shared" si="3"/>
        <v>51396</v>
      </c>
      <c r="P80" s="600">
        <f t="shared" si="4"/>
        <v>1095</v>
      </c>
    </row>
    <row r="81" spans="1:16" s="218" customFormat="1" x14ac:dyDescent="0.3">
      <c r="A81" s="218">
        <f t="shared" si="5"/>
        <v>75</v>
      </c>
      <c r="B81" s="219" t="s">
        <v>647</v>
      </c>
      <c r="C81" s="220" t="s">
        <v>675</v>
      </c>
      <c r="D81" s="218" t="s">
        <v>755</v>
      </c>
      <c r="E81" s="587" t="s">
        <v>684</v>
      </c>
      <c r="F81" s="222">
        <v>25715</v>
      </c>
      <c r="G81" s="222">
        <v>29844</v>
      </c>
      <c r="H81" s="223">
        <v>44454</v>
      </c>
      <c r="I81" s="222">
        <v>42272</v>
      </c>
      <c r="J81" s="224">
        <v>51759</v>
      </c>
      <c r="K81" s="225"/>
      <c r="L81" s="224"/>
      <c r="M81" s="223"/>
      <c r="N81" s="230"/>
      <c r="O81" s="222">
        <f t="shared" si="3"/>
        <v>51759</v>
      </c>
      <c r="P81" s="600">
        <f t="shared" si="4"/>
        <v>1095</v>
      </c>
    </row>
    <row r="82" spans="1:16" s="218" customFormat="1" x14ac:dyDescent="0.3">
      <c r="A82" s="218">
        <f t="shared" si="5"/>
        <v>76</v>
      </c>
      <c r="B82" s="219" t="s">
        <v>597</v>
      </c>
      <c r="C82" s="220" t="s">
        <v>675</v>
      </c>
      <c r="D82" s="218" t="s">
        <v>756</v>
      </c>
      <c r="E82" s="587" t="s">
        <v>591</v>
      </c>
      <c r="F82" s="222">
        <v>28517</v>
      </c>
      <c r="G82" s="222">
        <v>31709</v>
      </c>
      <c r="H82" s="223">
        <v>46319</v>
      </c>
      <c r="I82" s="222">
        <v>39799</v>
      </c>
      <c r="J82" s="234">
        <v>53624</v>
      </c>
      <c r="K82" s="225"/>
      <c r="L82" s="224"/>
      <c r="M82" s="223"/>
      <c r="N82" s="230"/>
      <c r="O82" s="222">
        <f t="shared" si="3"/>
        <v>53624</v>
      </c>
      <c r="P82" s="600">
        <f t="shared" si="4"/>
        <v>1095</v>
      </c>
    </row>
    <row r="83" spans="1:16" s="218" customFormat="1" x14ac:dyDescent="0.3">
      <c r="A83" s="218">
        <f t="shared" si="5"/>
        <v>77</v>
      </c>
      <c r="B83" s="219" t="s">
        <v>638</v>
      </c>
      <c r="C83" s="220" t="s">
        <v>675</v>
      </c>
      <c r="D83" s="227" t="s">
        <v>757</v>
      </c>
      <c r="E83" s="587" t="s">
        <v>637</v>
      </c>
      <c r="F83" s="222">
        <v>27750</v>
      </c>
      <c r="G83" s="222">
        <v>32224</v>
      </c>
      <c r="H83" s="223">
        <v>46619</v>
      </c>
      <c r="I83" s="222">
        <v>43006</v>
      </c>
      <c r="J83" s="224">
        <v>53924</v>
      </c>
      <c r="K83" s="225"/>
      <c r="L83" s="224"/>
      <c r="M83" s="223"/>
      <c r="N83" s="230"/>
      <c r="O83" s="222">
        <f t="shared" si="3"/>
        <v>53924</v>
      </c>
      <c r="P83" s="600">
        <f t="shared" si="4"/>
        <v>1095</v>
      </c>
    </row>
    <row r="84" spans="1:16" s="218" customFormat="1" x14ac:dyDescent="0.3">
      <c r="A84" s="218">
        <f t="shared" si="5"/>
        <v>78</v>
      </c>
      <c r="B84" s="219" t="s">
        <v>638</v>
      </c>
      <c r="C84" s="220" t="s">
        <v>675</v>
      </c>
      <c r="D84" s="227" t="s">
        <v>758</v>
      </c>
      <c r="E84" s="587" t="s">
        <v>637</v>
      </c>
      <c r="F84" s="222">
        <v>27750</v>
      </c>
      <c r="G84" s="222">
        <v>32595</v>
      </c>
      <c r="H84" s="223">
        <v>47102</v>
      </c>
      <c r="I84" s="222">
        <v>43006</v>
      </c>
      <c r="J84" s="224">
        <v>54407</v>
      </c>
      <c r="K84" s="225"/>
      <c r="L84" s="224"/>
      <c r="M84" s="223"/>
      <c r="N84" s="230"/>
      <c r="O84" s="222">
        <f t="shared" si="3"/>
        <v>54407</v>
      </c>
      <c r="P84" s="600">
        <f t="shared" si="4"/>
        <v>1095</v>
      </c>
    </row>
    <row r="85" spans="1:16" s="218" customFormat="1" x14ac:dyDescent="0.3">
      <c r="A85" s="218">
        <f t="shared" si="5"/>
        <v>79</v>
      </c>
      <c r="B85" s="219" t="s">
        <v>631</v>
      </c>
      <c r="C85" s="220" t="s">
        <v>675</v>
      </c>
      <c r="D85" s="218" t="s">
        <v>759</v>
      </c>
      <c r="E85" s="587" t="s">
        <v>905</v>
      </c>
      <c r="F85" s="222">
        <v>25750</v>
      </c>
      <c r="G85" s="222">
        <v>27820</v>
      </c>
      <c r="H85" s="223">
        <v>42430</v>
      </c>
      <c r="I85" s="222">
        <v>37896</v>
      </c>
      <c r="J85" s="224">
        <v>49735</v>
      </c>
      <c r="K85" s="225"/>
      <c r="L85" s="224"/>
      <c r="M85" s="223"/>
      <c r="N85" s="230"/>
      <c r="O85" s="222">
        <f t="shared" si="3"/>
        <v>49735</v>
      </c>
      <c r="P85" s="600">
        <f t="shared" si="4"/>
        <v>1095</v>
      </c>
    </row>
    <row r="86" spans="1:16" s="218" customFormat="1" x14ac:dyDescent="0.3">
      <c r="A86" s="218">
        <f t="shared" si="5"/>
        <v>80</v>
      </c>
      <c r="B86" s="219" t="s">
        <v>631</v>
      </c>
      <c r="C86" s="220" t="s">
        <v>675</v>
      </c>
      <c r="D86" s="218" t="s">
        <v>760</v>
      </c>
      <c r="E86" s="587" t="s">
        <v>905</v>
      </c>
      <c r="F86" s="222">
        <v>28247</v>
      </c>
      <c r="G86" s="222">
        <v>30477</v>
      </c>
      <c r="H86" s="223">
        <v>45022</v>
      </c>
      <c r="I86" s="222">
        <v>37896</v>
      </c>
      <c r="J86" s="224">
        <v>52327</v>
      </c>
      <c r="K86" s="225"/>
      <c r="L86" s="224"/>
      <c r="M86" s="223"/>
      <c r="N86" s="230"/>
      <c r="O86" s="222">
        <f t="shared" si="3"/>
        <v>52327</v>
      </c>
      <c r="P86" s="600">
        <f t="shared" si="4"/>
        <v>1095</v>
      </c>
    </row>
    <row r="87" spans="1:16" s="218" customFormat="1" x14ac:dyDescent="0.3">
      <c r="A87" s="218">
        <f t="shared" si="5"/>
        <v>81</v>
      </c>
      <c r="B87" s="219" t="s">
        <v>588</v>
      </c>
      <c r="C87" s="220" t="s">
        <v>675</v>
      </c>
      <c r="D87" s="218" t="s">
        <v>761</v>
      </c>
      <c r="E87" s="587" t="s">
        <v>584</v>
      </c>
      <c r="F87" s="222">
        <v>25014</v>
      </c>
      <c r="G87" s="222">
        <v>26444</v>
      </c>
      <c r="H87" s="223">
        <v>41054</v>
      </c>
      <c r="I87" s="222">
        <v>37700</v>
      </c>
      <c r="J87" s="224">
        <v>48359</v>
      </c>
      <c r="K87" s="225"/>
      <c r="L87" s="224"/>
      <c r="M87" s="231"/>
      <c r="N87" s="230"/>
      <c r="O87" s="222">
        <f t="shared" si="3"/>
        <v>48359</v>
      </c>
      <c r="P87" s="600">
        <f t="shared" si="4"/>
        <v>1095</v>
      </c>
    </row>
    <row r="88" spans="1:16" s="218" customFormat="1" x14ac:dyDescent="0.3">
      <c r="A88" s="218">
        <f t="shared" si="5"/>
        <v>82</v>
      </c>
      <c r="B88" s="219" t="s">
        <v>588</v>
      </c>
      <c r="C88" s="220" t="s">
        <v>675</v>
      </c>
      <c r="D88" s="218" t="s">
        <v>762</v>
      </c>
      <c r="E88" s="587" t="s">
        <v>584</v>
      </c>
      <c r="F88" s="222">
        <v>25014</v>
      </c>
      <c r="G88" s="222">
        <v>26693</v>
      </c>
      <c r="H88" s="223">
        <v>41303</v>
      </c>
      <c r="I88" s="222">
        <v>37700</v>
      </c>
      <c r="J88" s="224">
        <v>48608</v>
      </c>
      <c r="K88" s="225"/>
      <c r="L88" s="224"/>
      <c r="M88" s="223"/>
      <c r="N88" s="230"/>
      <c r="O88" s="222">
        <f t="shared" si="3"/>
        <v>48608</v>
      </c>
      <c r="P88" s="600">
        <f t="shared" si="4"/>
        <v>1095</v>
      </c>
    </row>
    <row r="89" spans="1:16" s="218" customFormat="1" x14ac:dyDescent="0.3">
      <c r="A89" s="218">
        <f t="shared" si="5"/>
        <v>83</v>
      </c>
      <c r="B89" s="219" t="s">
        <v>644</v>
      </c>
      <c r="C89" s="220" t="s">
        <v>675</v>
      </c>
      <c r="D89" s="218" t="s">
        <v>763</v>
      </c>
      <c r="E89" s="587" t="s">
        <v>906</v>
      </c>
      <c r="F89" s="222">
        <v>26970</v>
      </c>
      <c r="G89" s="222">
        <v>30149</v>
      </c>
      <c r="H89" s="223">
        <v>44759</v>
      </c>
      <c r="I89" s="222">
        <v>40141</v>
      </c>
      <c r="J89" s="224">
        <v>52064</v>
      </c>
      <c r="K89" s="225"/>
      <c r="L89" s="224"/>
      <c r="M89" s="223"/>
      <c r="N89" s="230"/>
      <c r="O89" s="222">
        <f t="shared" si="3"/>
        <v>52064</v>
      </c>
      <c r="P89" s="600">
        <f t="shared" si="4"/>
        <v>1095</v>
      </c>
    </row>
    <row r="90" spans="1:16" s="218" customFormat="1" x14ac:dyDescent="0.3">
      <c r="A90" s="218">
        <f t="shared" si="5"/>
        <v>84</v>
      </c>
      <c r="B90" s="219" t="s">
        <v>644</v>
      </c>
      <c r="C90" s="220" t="s">
        <v>675</v>
      </c>
      <c r="D90" s="218" t="s">
        <v>764</v>
      </c>
      <c r="E90" s="587" t="s">
        <v>906</v>
      </c>
      <c r="F90" s="222">
        <v>26970</v>
      </c>
      <c r="G90" s="222">
        <v>30764</v>
      </c>
      <c r="H90" s="223">
        <v>45374</v>
      </c>
      <c r="I90" s="222">
        <v>40141</v>
      </c>
      <c r="J90" s="224">
        <v>52679</v>
      </c>
      <c r="K90" s="225"/>
      <c r="L90" s="224"/>
      <c r="M90" s="231"/>
      <c r="N90" s="230"/>
      <c r="O90" s="222">
        <f t="shared" si="3"/>
        <v>52679</v>
      </c>
      <c r="P90" s="600">
        <f t="shared" si="4"/>
        <v>1095</v>
      </c>
    </row>
    <row r="91" spans="1:16" s="218" customFormat="1" x14ac:dyDescent="0.3">
      <c r="A91" s="218">
        <f t="shared" si="5"/>
        <v>85</v>
      </c>
      <c r="B91" s="235" t="s">
        <v>765</v>
      </c>
      <c r="C91" s="220" t="s">
        <v>675</v>
      </c>
      <c r="D91" s="218" t="s">
        <v>766</v>
      </c>
      <c r="E91" s="587" t="s">
        <v>905</v>
      </c>
      <c r="F91" s="222">
        <v>24589</v>
      </c>
      <c r="G91" s="222">
        <v>26499</v>
      </c>
      <c r="H91" s="223">
        <v>41109</v>
      </c>
      <c r="I91" s="222">
        <v>37413</v>
      </c>
      <c r="J91" s="224">
        <v>48414</v>
      </c>
      <c r="K91" s="584">
        <v>43803</v>
      </c>
      <c r="L91" s="590">
        <v>55719</v>
      </c>
      <c r="M91" s="231"/>
      <c r="N91" s="230"/>
      <c r="O91" s="222">
        <f t="shared" si="3"/>
        <v>55719</v>
      </c>
      <c r="P91" s="600">
        <f t="shared" si="4"/>
        <v>1095</v>
      </c>
    </row>
    <row r="92" spans="1:16" s="218" customFormat="1" x14ac:dyDescent="0.3">
      <c r="A92" s="218">
        <f t="shared" si="5"/>
        <v>86</v>
      </c>
      <c r="B92" s="219" t="s">
        <v>765</v>
      </c>
      <c r="C92" s="220" t="s">
        <v>675</v>
      </c>
      <c r="D92" s="218" t="s">
        <v>767</v>
      </c>
      <c r="E92" s="587" t="s">
        <v>905</v>
      </c>
      <c r="F92" s="222">
        <v>24589</v>
      </c>
      <c r="G92" s="222">
        <v>26764</v>
      </c>
      <c r="H92" s="223">
        <v>41374</v>
      </c>
      <c r="I92" s="222">
        <v>37413</v>
      </c>
      <c r="J92" s="224">
        <v>48679</v>
      </c>
      <c r="K92" s="585">
        <v>43803</v>
      </c>
      <c r="L92" s="590">
        <v>55984</v>
      </c>
      <c r="M92" s="223"/>
      <c r="N92" s="230"/>
      <c r="O92" s="222">
        <f t="shared" si="3"/>
        <v>55984</v>
      </c>
      <c r="P92" s="600">
        <f t="shared" si="4"/>
        <v>1095</v>
      </c>
    </row>
    <row r="93" spans="1:16" s="218" customFormat="1" x14ac:dyDescent="0.3">
      <c r="A93" s="218">
        <f t="shared" si="5"/>
        <v>87</v>
      </c>
      <c r="B93" s="219" t="s">
        <v>768</v>
      </c>
      <c r="C93" s="220" t="s">
        <v>675</v>
      </c>
      <c r="D93" s="218" t="s">
        <v>769</v>
      </c>
      <c r="E93" s="587" t="s">
        <v>584</v>
      </c>
      <c r="F93" s="222">
        <v>26744</v>
      </c>
      <c r="G93" s="222">
        <v>30267</v>
      </c>
      <c r="H93" s="223">
        <v>44779</v>
      </c>
      <c r="I93" s="222">
        <v>38100</v>
      </c>
      <c r="J93" s="224">
        <v>52084</v>
      </c>
      <c r="K93" s="225"/>
      <c r="L93" s="224"/>
      <c r="M93" s="223"/>
      <c r="N93" s="230"/>
      <c r="O93" s="222">
        <f t="shared" si="3"/>
        <v>52084</v>
      </c>
      <c r="P93" s="600">
        <f t="shared" si="4"/>
        <v>1095</v>
      </c>
    </row>
    <row r="94" spans="1:16" s="218" customFormat="1" x14ac:dyDescent="0.3">
      <c r="A94" s="218">
        <f t="shared" si="5"/>
        <v>88</v>
      </c>
      <c r="B94" s="219" t="s">
        <v>770</v>
      </c>
      <c r="C94" s="220" t="s">
        <v>675</v>
      </c>
      <c r="D94" s="218" t="s">
        <v>771</v>
      </c>
      <c r="E94" s="587" t="s">
        <v>639</v>
      </c>
      <c r="F94" s="222">
        <v>27208</v>
      </c>
      <c r="G94" s="222">
        <v>31852</v>
      </c>
      <c r="H94" s="223">
        <v>46403</v>
      </c>
      <c r="I94" s="222">
        <v>39967</v>
      </c>
      <c r="J94" s="224">
        <v>53708</v>
      </c>
      <c r="K94" s="225"/>
      <c r="L94" s="224"/>
      <c r="M94" s="223"/>
      <c r="N94" s="230"/>
      <c r="O94" s="222">
        <f t="shared" si="3"/>
        <v>53708</v>
      </c>
      <c r="P94" s="600">
        <f t="shared" si="4"/>
        <v>1095</v>
      </c>
    </row>
    <row r="95" spans="1:16" s="218" customFormat="1" x14ac:dyDescent="0.3">
      <c r="A95" s="218">
        <f t="shared" si="5"/>
        <v>89</v>
      </c>
      <c r="B95" s="219" t="s">
        <v>770</v>
      </c>
      <c r="C95" s="220" t="s">
        <v>675</v>
      </c>
      <c r="D95" s="218" t="s">
        <v>772</v>
      </c>
      <c r="E95" s="587" t="s">
        <v>639</v>
      </c>
      <c r="F95" s="222">
        <v>27208</v>
      </c>
      <c r="G95" s="222">
        <v>32598</v>
      </c>
      <c r="H95" s="236">
        <v>47158</v>
      </c>
      <c r="I95" s="222">
        <v>39967</v>
      </c>
      <c r="J95" s="224">
        <v>54463</v>
      </c>
      <c r="K95" s="225"/>
      <c r="L95" s="224"/>
      <c r="M95" s="223"/>
      <c r="N95" s="230"/>
      <c r="O95" s="222">
        <f t="shared" si="3"/>
        <v>54463</v>
      </c>
      <c r="P95" s="600">
        <f t="shared" si="4"/>
        <v>1095</v>
      </c>
    </row>
    <row r="96" spans="1:16" s="218" customFormat="1" x14ac:dyDescent="0.3">
      <c r="A96" s="218">
        <f t="shared" si="5"/>
        <v>90</v>
      </c>
      <c r="B96" s="219" t="s">
        <v>770</v>
      </c>
      <c r="C96" s="237" t="s">
        <v>675</v>
      </c>
      <c r="D96" s="238" t="s">
        <v>773</v>
      </c>
      <c r="E96" s="587" t="s">
        <v>639</v>
      </c>
      <c r="F96" s="222">
        <v>40949</v>
      </c>
      <c r="G96" s="239">
        <v>44158</v>
      </c>
      <c r="H96" s="240" t="str">
        <f>MONTH(G96) &amp; "/" &amp; DAY(G96) &amp;"/" &amp; (YEAR(G96) + 40)</f>
        <v>11/23/2060</v>
      </c>
      <c r="I96" s="222"/>
      <c r="J96" s="224"/>
      <c r="K96" s="225"/>
      <c r="L96" s="224"/>
      <c r="M96" s="223"/>
      <c r="N96" s="231"/>
      <c r="O96" s="222" t="str">
        <f t="shared" si="3"/>
        <v>11/23/2060</v>
      </c>
      <c r="P96" s="600">
        <f t="shared" si="4"/>
        <v>1095</v>
      </c>
    </row>
    <row r="97" spans="1:16" s="218" customFormat="1" x14ac:dyDescent="0.3">
      <c r="A97" s="218">
        <f t="shared" si="5"/>
        <v>91</v>
      </c>
      <c r="B97" s="219" t="s">
        <v>770</v>
      </c>
      <c r="C97" s="237" t="s">
        <v>675</v>
      </c>
      <c r="D97" s="238" t="s">
        <v>774</v>
      </c>
      <c r="E97" s="587" t="s">
        <v>639</v>
      </c>
      <c r="F97" s="222">
        <v>40949</v>
      </c>
      <c r="G97" s="239">
        <v>44523</v>
      </c>
      <c r="H97" s="240" t="str">
        <f>MONTH(G97) &amp; "/" &amp; DAY(G97) &amp;"/" &amp; (YEAR(G97) + 40)</f>
        <v>11/23/2061</v>
      </c>
      <c r="I97" s="222"/>
      <c r="J97" s="224"/>
      <c r="K97" s="225"/>
      <c r="L97" s="224"/>
      <c r="M97" s="223"/>
      <c r="N97" s="231"/>
      <c r="O97" s="222" t="str">
        <f t="shared" si="3"/>
        <v>11/23/2061</v>
      </c>
      <c r="P97" s="600">
        <f t="shared" si="4"/>
        <v>1095</v>
      </c>
    </row>
    <row r="98" spans="1:16" s="218" customFormat="1" x14ac:dyDescent="0.3">
      <c r="A98" s="218">
        <f t="shared" si="5"/>
        <v>92</v>
      </c>
      <c r="B98" s="219" t="s">
        <v>609</v>
      </c>
      <c r="C98" s="220" t="s">
        <v>675</v>
      </c>
      <c r="D98" s="227" t="s">
        <v>775</v>
      </c>
      <c r="E98" s="598" t="s">
        <v>903</v>
      </c>
      <c r="F98" s="222">
        <v>27347</v>
      </c>
      <c r="G98" s="222">
        <v>31122</v>
      </c>
      <c r="H98" s="223">
        <v>45644</v>
      </c>
      <c r="I98" s="222">
        <v>43461</v>
      </c>
      <c r="J98" s="224">
        <v>52949</v>
      </c>
      <c r="K98" s="225"/>
      <c r="L98" s="224"/>
      <c r="M98" s="223"/>
      <c r="N98" s="230"/>
      <c r="O98" s="222">
        <f t="shared" si="3"/>
        <v>52949</v>
      </c>
      <c r="P98" s="600">
        <f t="shared" si="4"/>
        <v>1095</v>
      </c>
    </row>
    <row r="99" spans="1:16" s="218" customFormat="1" x14ac:dyDescent="0.3">
      <c r="A99" s="218">
        <f t="shared" si="5"/>
        <v>93</v>
      </c>
      <c r="B99" s="219" t="s">
        <v>776</v>
      </c>
      <c r="C99" s="220" t="s">
        <v>675</v>
      </c>
      <c r="D99" s="218" t="s">
        <v>777</v>
      </c>
      <c r="E99" s="587" t="s">
        <v>684</v>
      </c>
      <c r="F99" s="222">
        <v>26687</v>
      </c>
      <c r="G99" s="222">
        <v>35102</v>
      </c>
      <c r="H99" s="223">
        <v>49622</v>
      </c>
      <c r="I99" s="222"/>
      <c r="J99" s="224"/>
      <c r="K99" s="225"/>
      <c r="L99" s="224"/>
      <c r="M99" s="223"/>
      <c r="N99" s="230"/>
      <c r="O99" s="222">
        <f t="shared" si="3"/>
        <v>49622</v>
      </c>
      <c r="P99" s="600">
        <f t="shared" si="4"/>
        <v>1095</v>
      </c>
    </row>
    <row r="100" spans="1:16" s="218" customFormat="1" x14ac:dyDescent="0.3">
      <c r="A100" s="218">
        <f t="shared" si="5"/>
        <v>94</v>
      </c>
      <c r="B100" s="219" t="s">
        <v>776</v>
      </c>
      <c r="C100" s="220" t="s">
        <v>675</v>
      </c>
      <c r="D100" s="218" t="s">
        <v>778</v>
      </c>
      <c r="E100" s="587" t="s">
        <v>684</v>
      </c>
      <c r="F100" s="589">
        <v>26687</v>
      </c>
      <c r="G100" s="589">
        <v>42299</v>
      </c>
      <c r="H100" s="594">
        <v>56908</v>
      </c>
      <c r="I100" s="222"/>
      <c r="J100" s="224"/>
      <c r="K100" s="225"/>
      <c r="L100" s="224"/>
      <c r="M100" s="223"/>
      <c r="N100" s="231"/>
      <c r="O100" s="222">
        <f t="shared" si="3"/>
        <v>56908</v>
      </c>
      <c r="P100" s="600">
        <f t="shared" si="4"/>
        <v>1095</v>
      </c>
    </row>
    <row r="101" spans="1:16" s="218" customFormat="1" ht="13" thickBot="1" x14ac:dyDescent="0.35">
      <c r="A101" s="241">
        <f t="shared" si="5"/>
        <v>95</v>
      </c>
      <c r="B101" s="242" t="s">
        <v>650</v>
      </c>
      <c r="C101" s="243" t="s">
        <v>675</v>
      </c>
      <c r="D101" s="244" t="s">
        <v>779</v>
      </c>
      <c r="E101" s="599" t="s">
        <v>649</v>
      </c>
      <c r="F101" s="222">
        <v>28276</v>
      </c>
      <c r="G101" s="222">
        <v>31202</v>
      </c>
      <c r="H101" s="223">
        <v>45727</v>
      </c>
      <c r="I101" s="222">
        <v>39772</v>
      </c>
      <c r="J101" s="224">
        <v>53032</v>
      </c>
      <c r="K101" s="225"/>
      <c r="L101" s="224"/>
      <c r="M101" s="223"/>
      <c r="N101" s="230"/>
      <c r="O101" s="222">
        <f t="shared" si="3"/>
        <v>53032</v>
      </c>
      <c r="P101" s="600">
        <f t="shared" si="4"/>
        <v>1095</v>
      </c>
    </row>
    <row r="102" spans="1:16" ht="7.25" customHeight="1" thickBot="1" x14ac:dyDescent="0.3">
      <c r="B102" s="245"/>
      <c r="C102" s="245"/>
      <c r="D102" s="246"/>
      <c r="E102" s="247"/>
      <c r="F102" s="246"/>
      <c r="G102" s="246"/>
      <c r="H102" s="247"/>
      <c r="I102" s="246"/>
      <c r="J102" s="246"/>
      <c r="K102" s="246"/>
      <c r="L102" s="246"/>
      <c r="M102" s="247"/>
      <c r="N102" s="248"/>
      <c r="O102" s="246"/>
      <c r="P102" s="246"/>
    </row>
    <row r="103" spans="1:16" ht="9.65" customHeight="1" thickBot="1" x14ac:dyDescent="0.35">
      <c r="A103" s="249"/>
      <c r="B103" s="249"/>
      <c r="C103" s="250"/>
      <c r="D103" s="250"/>
      <c r="E103" s="251"/>
      <c r="F103" s="250"/>
      <c r="G103" s="250"/>
      <c r="H103" s="250"/>
      <c r="I103" s="250"/>
      <c r="J103" s="249"/>
      <c r="K103" s="249"/>
      <c r="L103" s="249"/>
      <c r="M103" s="252"/>
      <c r="N103" s="252"/>
      <c r="O103" s="252"/>
    </row>
    <row r="104" spans="1:16" ht="18.649999999999999" customHeight="1" thickBot="1" x14ac:dyDescent="0.35">
      <c r="A104" s="253"/>
      <c r="B104" s="253"/>
      <c r="C104" s="254" t="s">
        <v>780</v>
      </c>
      <c r="D104" s="255"/>
      <c r="E104" s="256"/>
      <c r="F104" s="255"/>
      <c r="G104" s="255"/>
      <c r="H104" s="255"/>
      <c r="I104" s="255"/>
      <c r="J104" s="257"/>
      <c r="K104" s="257"/>
      <c r="L104" s="257"/>
      <c r="M104" s="257"/>
      <c r="N104" s="258"/>
      <c r="O104" s="258"/>
    </row>
    <row r="105" spans="1:16" ht="14" x14ac:dyDescent="0.3">
      <c r="A105" s="198">
        <v>1</v>
      </c>
      <c r="B105" s="259" t="s">
        <v>140</v>
      </c>
      <c r="C105" s="220" t="s">
        <v>675</v>
      </c>
      <c r="D105" s="357" t="s">
        <v>781</v>
      </c>
      <c r="E105" s="228" t="s">
        <v>591</v>
      </c>
      <c r="F105" s="222">
        <v>25106</v>
      </c>
      <c r="G105" s="222">
        <v>28097</v>
      </c>
      <c r="H105" s="223">
        <v>42707</v>
      </c>
      <c r="I105" s="222"/>
      <c r="J105" s="224"/>
      <c r="K105" s="225"/>
      <c r="L105" s="224"/>
      <c r="M105" s="223">
        <v>41325</v>
      </c>
      <c r="N105"/>
      <c r="O105"/>
    </row>
    <row r="106" spans="1:16" ht="14" x14ac:dyDescent="0.3">
      <c r="A106" s="198">
        <v>2</v>
      </c>
      <c r="B106" s="259" t="s">
        <v>142</v>
      </c>
      <c r="C106" s="220" t="s">
        <v>675</v>
      </c>
      <c r="D106" s="357" t="s">
        <v>142</v>
      </c>
      <c r="E106" s="228" t="s">
        <v>584</v>
      </c>
      <c r="F106" s="222">
        <v>25056</v>
      </c>
      <c r="G106" s="222">
        <v>27019</v>
      </c>
      <c r="H106" s="223">
        <v>41629</v>
      </c>
      <c r="I106" s="222"/>
      <c r="J106" s="224"/>
      <c r="K106" s="225"/>
      <c r="L106" s="224"/>
      <c r="M106" s="223">
        <v>41401</v>
      </c>
      <c r="N106"/>
      <c r="O106"/>
    </row>
    <row r="107" spans="1:16" ht="14" x14ac:dyDescent="0.3">
      <c r="A107" s="198">
        <v>3</v>
      </c>
      <c r="B107" s="259" t="s">
        <v>143</v>
      </c>
      <c r="C107" s="220" t="s">
        <v>675</v>
      </c>
      <c r="D107" s="357" t="s">
        <v>782</v>
      </c>
      <c r="E107" s="233" t="s">
        <v>783</v>
      </c>
      <c r="F107" s="222">
        <v>26955</v>
      </c>
      <c r="G107" s="222">
        <v>29998</v>
      </c>
      <c r="H107" s="223">
        <v>44608</v>
      </c>
      <c r="I107" s="222"/>
      <c r="J107" s="224"/>
      <c r="K107" s="225"/>
      <c r="L107" s="224"/>
      <c r="M107" s="223">
        <v>41437</v>
      </c>
      <c r="N107"/>
      <c r="O107"/>
    </row>
    <row r="108" spans="1:16" ht="14" x14ac:dyDescent="0.3">
      <c r="A108" s="198">
        <v>4</v>
      </c>
      <c r="B108" s="259" t="s">
        <v>143</v>
      </c>
      <c r="C108" s="220" t="s">
        <v>675</v>
      </c>
      <c r="D108" s="357" t="s">
        <v>784</v>
      </c>
      <c r="E108" s="233" t="s">
        <v>783</v>
      </c>
      <c r="F108" s="222">
        <v>26955</v>
      </c>
      <c r="G108" s="222">
        <v>30270</v>
      </c>
      <c r="H108" s="223">
        <v>44880</v>
      </c>
      <c r="I108" s="222"/>
      <c r="J108" s="224"/>
      <c r="K108" s="225"/>
      <c r="L108" s="224"/>
      <c r="M108" s="223">
        <v>41437</v>
      </c>
      <c r="N108"/>
      <c r="O108"/>
    </row>
    <row r="109" spans="1:16" ht="14" x14ac:dyDescent="0.3">
      <c r="A109" s="198">
        <v>5</v>
      </c>
      <c r="B109" s="259" t="s">
        <v>144</v>
      </c>
      <c r="C109" s="220" t="s">
        <v>675</v>
      </c>
      <c r="D109" s="227" t="s">
        <v>144</v>
      </c>
      <c r="E109" s="228" t="s">
        <v>785</v>
      </c>
      <c r="F109" s="222">
        <v>24817</v>
      </c>
      <c r="G109" s="222">
        <v>26379</v>
      </c>
      <c r="H109" s="223">
        <v>40989</v>
      </c>
      <c r="I109" s="222">
        <v>40623</v>
      </c>
      <c r="J109" s="224">
        <v>48294</v>
      </c>
      <c r="K109" s="225"/>
      <c r="L109" s="224"/>
      <c r="M109" s="223">
        <v>42002</v>
      </c>
      <c r="N109"/>
      <c r="O109"/>
    </row>
    <row r="110" spans="1:16" ht="14.5" thickBot="1" x14ac:dyDescent="0.35">
      <c r="A110" s="260">
        <v>6</v>
      </c>
      <c r="B110" s="261" t="s">
        <v>141</v>
      </c>
      <c r="C110" s="262" t="s">
        <v>675</v>
      </c>
      <c r="D110" s="263" t="s">
        <v>141</v>
      </c>
      <c r="E110" s="264" t="s">
        <v>786</v>
      </c>
      <c r="F110" s="265">
        <v>24996</v>
      </c>
      <c r="G110" s="265">
        <v>26885</v>
      </c>
      <c r="H110" s="266">
        <v>41495</v>
      </c>
      <c r="I110" s="265">
        <v>37929</v>
      </c>
      <c r="J110" s="267">
        <v>48800</v>
      </c>
      <c r="K110" s="268"/>
      <c r="L110" s="267"/>
      <c r="M110" s="266">
        <v>42667</v>
      </c>
      <c r="N110" s="269"/>
      <c r="O110" s="269"/>
    </row>
    <row r="111" spans="1:16" ht="14.5" thickTop="1" x14ac:dyDescent="0.3">
      <c r="A111" s="270">
        <v>7</v>
      </c>
      <c r="B111" s="271" t="s">
        <v>517</v>
      </c>
      <c r="C111" s="272" t="s">
        <v>675</v>
      </c>
      <c r="D111" s="273" t="s">
        <v>517</v>
      </c>
      <c r="E111" s="274" t="s">
        <v>787</v>
      </c>
      <c r="F111" s="275">
        <v>23726</v>
      </c>
      <c r="G111" s="275">
        <v>33421</v>
      </c>
      <c r="H111" s="276">
        <v>39912</v>
      </c>
      <c r="I111" s="275">
        <v>39911</v>
      </c>
      <c r="J111" s="277">
        <v>47217</v>
      </c>
      <c r="K111" s="278"/>
      <c r="L111" s="279"/>
      <c r="M111" s="280">
        <v>43360</v>
      </c>
      <c r="N111" s="281"/>
      <c r="O111" s="732" t="s">
        <v>788</v>
      </c>
    </row>
    <row r="112" spans="1:16" ht="14" x14ac:dyDescent="0.3">
      <c r="A112" s="198">
        <v>8</v>
      </c>
      <c r="B112" s="259" t="s">
        <v>554</v>
      </c>
      <c r="C112" s="220" t="s">
        <v>675</v>
      </c>
      <c r="D112" s="218" t="s">
        <v>789</v>
      </c>
      <c r="E112" s="228" t="s">
        <v>787</v>
      </c>
      <c r="F112" s="222">
        <v>25076</v>
      </c>
      <c r="G112" s="222">
        <v>26458</v>
      </c>
      <c r="H112" s="223">
        <v>41068</v>
      </c>
      <c r="I112" s="222">
        <v>41058</v>
      </c>
      <c r="J112" s="224">
        <v>48373</v>
      </c>
      <c r="K112" s="225"/>
      <c r="L112" s="224"/>
      <c r="M112" s="231">
        <v>43616</v>
      </c>
      <c r="N112"/>
      <c r="O112" s="733"/>
    </row>
    <row r="113" spans="1:15" ht="14" x14ac:dyDescent="0.3">
      <c r="A113" s="198">
        <v>9</v>
      </c>
      <c r="B113" s="282" t="s">
        <v>518</v>
      </c>
      <c r="C113" s="220" t="s">
        <v>675</v>
      </c>
      <c r="D113" s="218" t="s">
        <v>790</v>
      </c>
      <c r="E113" s="228" t="s">
        <v>681</v>
      </c>
      <c r="F113" s="222">
        <v>24976</v>
      </c>
      <c r="G113" s="222">
        <v>27138</v>
      </c>
      <c r="H113" s="223">
        <v>41748</v>
      </c>
      <c r="I113" s="222">
        <v>40108</v>
      </c>
      <c r="J113" s="224">
        <v>49053</v>
      </c>
      <c r="K113" s="225"/>
      <c r="L113" s="224"/>
      <c r="M113" s="223">
        <v>43734</v>
      </c>
      <c r="N113"/>
      <c r="O113" s="733"/>
    </row>
    <row r="114" spans="1:15" ht="14" x14ac:dyDescent="0.3">
      <c r="A114" s="198">
        <v>10</v>
      </c>
      <c r="B114" s="259" t="s">
        <v>553</v>
      </c>
      <c r="C114" s="220" t="s">
        <v>675</v>
      </c>
      <c r="D114" s="218" t="s">
        <v>791</v>
      </c>
      <c r="E114" s="598" t="s">
        <v>903</v>
      </c>
      <c r="F114" s="222">
        <v>24394</v>
      </c>
      <c r="G114" s="222">
        <v>26935</v>
      </c>
      <c r="H114" s="223">
        <v>41545</v>
      </c>
      <c r="I114" s="222">
        <v>43360</v>
      </c>
      <c r="J114" s="224">
        <v>45412</v>
      </c>
      <c r="K114" s="225"/>
      <c r="L114" s="224"/>
      <c r="M114" s="223">
        <v>43951</v>
      </c>
      <c r="N114"/>
      <c r="O114" s="733"/>
    </row>
    <row r="115" spans="1:15" ht="14" x14ac:dyDescent="0.3">
      <c r="A115" s="198">
        <v>11</v>
      </c>
      <c r="B115" s="283" t="s">
        <v>553</v>
      </c>
      <c r="C115" s="687" t="s">
        <v>675</v>
      </c>
      <c r="D115" s="688" t="s">
        <v>792</v>
      </c>
      <c r="E115" s="598" t="s">
        <v>903</v>
      </c>
      <c r="F115" s="589">
        <v>25428</v>
      </c>
      <c r="G115" s="589">
        <v>27740</v>
      </c>
      <c r="H115" s="594">
        <v>42353</v>
      </c>
      <c r="I115" s="589">
        <v>43360</v>
      </c>
      <c r="J115" s="595">
        <v>45777</v>
      </c>
      <c r="K115" s="585"/>
      <c r="L115" s="595"/>
      <c r="M115" s="594">
        <v>44316</v>
      </c>
      <c r="N115"/>
      <c r="O115" s="733"/>
    </row>
    <row r="116" spans="1:15" ht="14.5" thickBot="1" x14ac:dyDescent="0.35">
      <c r="A116" s="260">
        <v>12</v>
      </c>
      <c r="B116" s="284" t="s">
        <v>526</v>
      </c>
      <c r="C116" s="689" t="s">
        <v>675</v>
      </c>
      <c r="D116" s="690" t="s">
        <v>526</v>
      </c>
      <c r="E116" s="691" t="s">
        <v>905</v>
      </c>
      <c r="F116" s="692">
        <v>25741</v>
      </c>
      <c r="G116" s="692">
        <v>27082</v>
      </c>
      <c r="H116" s="693">
        <v>41691</v>
      </c>
      <c r="I116" s="692">
        <v>40528</v>
      </c>
      <c r="J116" s="694">
        <v>48996</v>
      </c>
      <c r="K116" s="695"/>
      <c r="L116" s="694"/>
      <c r="M116" s="696">
        <v>44053</v>
      </c>
      <c r="N116" s="269"/>
      <c r="O116" s="734"/>
    </row>
    <row r="117" spans="1:15" ht="13" thickTop="1" x14ac:dyDescent="0.25">
      <c r="C117" s="285">
        <f>COUNTIF(C105:C116,"reactor")</f>
        <v>12</v>
      </c>
    </row>
    <row r="118" spans="1:15" ht="14" x14ac:dyDescent="0.3">
      <c r="C118"/>
      <c r="D118" s="286" t="s">
        <v>796</v>
      </c>
      <c r="E118" s="287"/>
    </row>
    <row r="119" spans="1:15" ht="14" x14ac:dyDescent="0.3">
      <c r="C119"/>
      <c r="D119" s="436" t="s">
        <v>793</v>
      </c>
      <c r="E119" s="735" t="s">
        <v>862</v>
      </c>
      <c r="F119" s="736"/>
      <c r="G119" s="736"/>
      <c r="H119" s="736"/>
      <c r="I119" s="736"/>
      <c r="J119" s="736"/>
      <c r="K119" s="736"/>
      <c r="L119" s="736"/>
      <c r="M119" s="736"/>
      <c r="N119" s="736"/>
      <c r="O119" s="736"/>
    </row>
    <row r="120" spans="1:15" ht="14" x14ac:dyDescent="0.3">
      <c r="C120"/>
      <c r="D120" s="668" t="s">
        <v>612</v>
      </c>
      <c r="E120" s="738" t="s">
        <v>896</v>
      </c>
      <c r="F120" s="738"/>
      <c r="G120" s="738"/>
      <c r="H120" s="738"/>
      <c r="I120" s="738"/>
      <c r="J120" s="738"/>
      <c r="K120" s="738"/>
      <c r="L120" s="738"/>
      <c r="M120" s="738"/>
      <c r="N120" s="738"/>
      <c r="O120" s="738"/>
    </row>
    <row r="121" spans="1:15" ht="14" x14ac:dyDescent="0.3">
      <c r="C121"/>
      <c r="D121" s="668" t="s">
        <v>615</v>
      </c>
      <c r="E121" s="741" t="s">
        <v>936</v>
      </c>
      <c r="F121" s="741"/>
      <c r="G121" s="741"/>
      <c r="H121" s="741"/>
      <c r="I121" s="741"/>
      <c r="J121" s="741"/>
      <c r="K121" s="741"/>
      <c r="L121" s="741"/>
      <c r="M121" s="741"/>
      <c r="N121" s="741"/>
      <c r="O121" s="741"/>
    </row>
    <row r="122" spans="1:15" ht="46.25" customHeight="1" x14ac:dyDescent="0.3">
      <c r="C122"/>
      <c r="D122" s="685" t="s">
        <v>526</v>
      </c>
      <c r="E122" s="738" t="s">
        <v>884</v>
      </c>
      <c r="F122" s="738"/>
      <c r="G122" s="738"/>
      <c r="H122" s="738"/>
      <c r="I122" s="738"/>
      <c r="J122" s="738"/>
      <c r="K122" s="738"/>
      <c r="L122" s="738"/>
      <c r="M122" s="738"/>
      <c r="N122" s="738"/>
      <c r="O122" s="738"/>
    </row>
    <row r="123" spans="1:15" ht="48" customHeight="1" x14ac:dyDescent="0.3">
      <c r="C123"/>
      <c r="D123" s="686" t="s">
        <v>553</v>
      </c>
      <c r="E123" s="738" t="s">
        <v>863</v>
      </c>
      <c r="F123" s="738"/>
      <c r="G123" s="738"/>
      <c r="H123" s="738"/>
      <c r="I123" s="738"/>
      <c r="J123" s="738"/>
      <c r="K123" s="738"/>
      <c r="L123" s="738"/>
      <c r="M123" s="738"/>
      <c r="N123" s="738"/>
      <c r="O123" s="738"/>
    </row>
    <row r="124" spans="1:15" ht="45" customHeight="1" x14ac:dyDescent="0.3">
      <c r="C124"/>
      <c r="D124" s="288" t="s">
        <v>517</v>
      </c>
      <c r="E124" s="739" t="s">
        <v>864</v>
      </c>
      <c r="F124" s="739"/>
      <c r="G124" s="739"/>
      <c r="H124" s="739"/>
      <c r="I124" s="739"/>
      <c r="J124" s="739"/>
      <c r="K124" s="739"/>
      <c r="L124" s="739"/>
      <c r="M124" s="739"/>
      <c r="N124" s="739"/>
      <c r="O124" s="739"/>
    </row>
    <row r="125" spans="1:15" ht="30.65" customHeight="1" x14ac:dyDescent="0.3">
      <c r="C125"/>
      <c r="D125" s="668" t="s">
        <v>607</v>
      </c>
      <c r="E125" s="741" t="s">
        <v>895</v>
      </c>
      <c r="F125" s="741"/>
      <c r="G125" s="741"/>
      <c r="H125" s="741"/>
      <c r="I125" s="741"/>
      <c r="J125" s="741"/>
      <c r="K125" s="741"/>
      <c r="L125" s="741"/>
      <c r="M125" s="741"/>
      <c r="N125" s="741"/>
      <c r="O125" s="741"/>
    </row>
    <row r="126" spans="1:15" ht="43.75" customHeight="1" x14ac:dyDescent="0.3">
      <c r="C126"/>
      <c r="D126" s="289" t="s">
        <v>554</v>
      </c>
      <c r="E126" s="739" t="s">
        <v>885</v>
      </c>
      <c r="F126" s="739"/>
      <c r="G126" s="739"/>
      <c r="H126" s="739"/>
      <c r="I126" s="739"/>
      <c r="J126" s="739"/>
      <c r="K126" s="739"/>
      <c r="L126" s="739"/>
      <c r="M126" s="739"/>
      <c r="N126" s="739"/>
      <c r="O126" s="739"/>
    </row>
    <row r="127" spans="1:15" ht="14" x14ac:dyDescent="0.3">
      <c r="C127"/>
      <c r="D127" s="289" t="s">
        <v>518</v>
      </c>
      <c r="E127" s="740" t="s">
        <v>886</v>
      </c>
      <c r="F127" s="740"/>
      <c r="G127" s="740"/>
      <c r="H127" s="740"/>
      <c r="I127" s="740"/>
      <c r="J127" s="740"/>
      <c r="K127" s="740"/>
      <c r="L127" s="740"/>
      <c r="M127" s="740"/>
      <c r="N127" s="740"/>
      <c r="O127" s="740"/>
    </row>
    <row r="128" spans="1:15" ht="45" customHeight="1" x14ac:dyDescent="0.3">
      <c r="C128"/>
      <c r="D128" s="289" t="s">
        <v>144</v>
      </c>
      <c r="E128" s="723" t="s">
        <v>865</v>
      </c>
      <c r="F128" s="723"/>
      <c r="G128" s="723"/>
      <c r="H128" s="723"/>
      <c r="I128" s="723"/>
      <c r="J128" s="723"/>
      <c r="K128" s="723"/>
      <c r="L128" s="723"/>
      <c r="M128" s="723"/>
      <c r="N128" s="723"/>
      <c r="O128" s="723"/>
    </row>
  </sheetData>
  <autoFilter ref="C5:O101" xr:uid="{F8715366-D1D4-4401-A7F1-66E123033DB1}">
    <filterColumn colId="4" showButton="0"/>
    <filterColumn colId="6" showButton="0"/>
    <filterColumn colId="8" showButton="0"/>
  </autoFilter>
  <mergeCells count="22">
    <mergeCell ref="P5:P6"/>
    <mergeCell ref="B5:B6"/>
    <mergeCell ref="C5:C6"/>
    <mergeCell ref="D5:D6"/>
    <mergeCell ref="E5:E6"/>
    <mergeCell ref="F5:F6"/>
    <mergeCell ref="E128:O128"/>
    <mergeCell ref="I5:J5"/>
    <mergeCell ref="K5:L5"/>
    <mergeCell ref="M5:M6"/>
    <mergeCell ref="O5:O6"/>
    <mergeCell ref="O111:O116"/>
    <mergeCell ref="E119:O119"/>
    <mergeCell ref="G5:H5"/>
    <mergeCell ref="E122:O122"/>
    <mergeCell ref="E123:O123"/>
    <mergeCell ref="E124:O124"/>
    <mergeCell ref="E126:O126"/>
    <mergeCell ref="E127:O127"/>
    <mergeCell ref="E125:O125"/>
    <mergeCell ref="E120:O120"/>
    <mergeCell ref="E121:O121"/>
  </mergeCells>
  <pageMargins left="0.5" right="0.5" top="0.5" bottom="0.5" header="0.5" footer="0.5"/>
  <pageSetup paperSize="17" scale="35" fitToWidth="2" orientation="landscape" r:id="rId1"/>
  <headerFooter alignWithMargins="0"/>
  <rowBreaks count="1" manualBreakCount="1">
    <brk id="102"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W128"/>
  <sheetViews>
    <sheetView view="pageBreakPreview" zoomScale="70" zoomScaleNormal="80" zoomScaleSheetLayoutView="70" workbookViewId="0">
      <pane xSplit="2" ySplit="1" topLeftCell="C98" activePane="bottomRight" state="frozen"/>
      <selection activeCell="D130" sqref="D130"/>
      <selection pane="topRight" activeCell="D130" sqref="D130"/>
      <selection pane="bottomLeft" activeCell="D130" sqref="D130"/>
      <selection pane="bottomRight" activeCell="B136" sqref="B136"/>
    </sheetView>
  </sheetViews>
  <sheetFormatPr defaultRowHeight="14" x14ac:dyDescent="0.3"/>
  <cols>
    <col min="1" max="1" width="2.83203125" customWidth="1"/>
    <col min="2" max="2" width="53.9140625" customWidth="1"/>
    <col min="3" max="3" width="8.83203125" customWidth="1"/>
    <col min="4" max="4" width="8.9140625" customWidth="1"/>
    <col min="5" max="5" width="9.5" customWidth="1"/>
    <col min="6" max="6" width="6.83203125" bestFit="1" customWidth="1"/>
    <col min="7" max="7" width="8.6640625" customWidth="1"/>
    <col min="8" max="8" width="6.83203125" bestFit="1" customWidth="1"/>
    <col min="9" max="9" width="7.6640625" customWidth="1"/>
    <col min="10" max="10" width="7.5" customWidth="1"/>
    <col min="11" max="11" width="6.9140625" bestFit="1" customWidth="1"/>
    <col min="12" max="12" width="7.08203125" customWidth="1"/>
    <col min="13" max="13" width="11.1640625" customWidth="1"/>
    <col min="14" max="14" width="7" bestFit="1" customWidth="1"/>
    <col min="15" max="15" width="8.08203125" customWidth="1"/>
    <col min="16" max="16" width="1.6640625" customWidth="1"/>
    <col min="17" max="17" width="11.9140625" style="9" bestFit="1" customWidth="1"/>
    <col min="18" max="18" width="10.5" customWidth="1"/>
    <col min="19" max="19" width="10.08203125" customWidth="1"/>
    <col min="20" max="20" width="6.33203125" customWidth="1"/>
    <col min="21" max="21" width="66.58203125" customWidth="1"/>
    <col min="22" max="22" width="3.6640625" customWidth="1"/>
    <col min="23" max="23" width="8.33203125" customWidth="1"/>
  </cols>
  <sheetData>
    <row r="1" spans="1:21" ht="17.5" customHeight="1" x14ac:dyDescent="0.3">
      <c r="A1" s="771" t="s">
        <v>816</v>
      </c>
      <c r="B1" s="771"/>
      <c r="C1" s="771"/>
      <c r="D1" s="771"/>
      <c r="E1" s="771"/>
      <c r="F1" s="771"/>
      <c r="G1" s="771"/>
      <c r="H1" s="771"/>
      <c r="I1" s="771"/>
      <c r="J1" s="771"/>
      <c r="K1" s="771"/>
      <c r="L1" s="771"/>
      <c r="M1" s="771"/>
      <c r="N1" s="771"/>
      <c r="O1" s="771"/>
      <c r="P1" s="771"/>
      <c r="Q1" s="771"/>
    </row>
    <row r="2" spans="1:21" x14ac:dyDescent="0.3">
      <c r="A2" s="767" t="s">
        <v>523</v>
      </c>
      <c r="B2" s="768"/>
      <c r="C2" s="772" t="s">
        <v>87</v>
      </c>
      <c r="D2" s="773"/>
      <c r="E2" s="772" t="s">
        <v>80</v>
      </c>
      <c r="F2" s="753"/>
      <c r="G2" s="773" t="s">
        <v>81</v>
      </c>
      <c r="H2" s="753"/>
      <c r="I2" s="773" t="s">
        <v>100</v>
      </c>
      <c r="J2" s="753"/>
      <c r="K2" s="773" t="s">
        <v>519</v>
      </c>
      <c r="L2" s="753"/>
      <c r="M2" s="759" t="s">
        <v>815</v>
      </c>
      <c r="N2" s="753" t="s">
        <v>103</v>
      </c>
      <c r="O2" s="755" t="s">
        <v>375</v>
      </c>
      <c r="P2" s="309"/>
      <c r="Q2" s="766" t="s">
        <v>376</v>
      </c>
    </row>
    <row r="3" spans="1:21" x14ac:dyDescent="0.3">
      <c r="A3" s="769"/>
      <c r="B3" s="770"/>
      <c r="C3" s="408" t="s">
        <v>101</v>
      </c>
      <c r="D3" s="359" t="s">
        <v>102</v>
      </c>
      <c r="E3" s="408" t="s">
        <v>101</v>
      </c>
      <c r="F3" s="312" t="s">
        <v>102</v>
      </c>
      <c r="G3" s="359" t="s">
        <v>101</v>
      </c>
      <c r="H3" s="312" t="s">
        <v>102</v>
      </c>
      <c r="I3" s="359" t="s">
        <v>101</v>
      </c>
      <c r="J3" s="312" t="s">
        <v>102</v>
      </c>
      <c r="K3" s="359" t="s">
        <v>101</v>
      </c>
      <c r="L3" s="312" t="s">
        <v>102</v>
      </c>
      <c r="M3" s="756"/>
      <c r="N3" s="754"/>
      <c r="O3" s="756"/>
      <c r="P3" s="310"/>
      <c r="Q3" s="765"/>
    </row>
    <row r="4" spans="1:21" x14ac:dyDescent="0.3">
      <c r="A4" s="88"/>
      <c r="B4" s="144" t="s">
        <v>104</v>
      </c>
      <c r="C4" s="673">
        <f>AVERAGE(C57,C35,C11)</f>
        <v>83861.166666666672</v>
      </c>
      <c r="D4" s="380">
        <f t="shared" ref="D4:O4" si="0">AVERAGE(D57,D35,D11)</f>
        <v>798.83333333333337</v>
      </c>
      <c r="E4" s="673">
        <f t="shared" si="0"/>
        <v>59979.5</v>
      </c>
      <c r="F4" s="380">
        <f t="shared" si="0"/>
        <v>248.33333333333334</v>
      </c>
      <c r="G4" s="673">
        <f t="shared" si="0"/>
        <v>814.33333333333337</v>
      </c>
      <c r="H4" s="380">
        <f t="shared" si="0"/>
        <v>77.166666666666671</v>
      </c>
      <c r="I4" s="673">
        <f t="shared" si="0"/>
        <v>796.16666666666663</v>
      </c>
      <c r="J4" s="380">
        <f t="shared" si="0"/>
        <v>8.8333333333333339</v>
      </c>
      <c r="K4" s="673">
        <f t="shared" si="0"/>
        <v>7233.666666666667</v>
      </c>
      <c r="L4" s="674">
        <f t="shared" si="0"/>
        <v>68.166666666666671</v>
      </c>
      <c r="M4" s="380">
        <f t="shared" si="0"/>
        <v>153647.66666666666</v>
      </c>
      <c r="N4" s="674">
        <f t="shared" si="0"/>
        <v>1207.3333333333333</v>
      </c>
      <c r="O4" s="380">
        <f t="shared" si="0"/>
        <v>229.33333333333334</v>
      </c>
      <c r="P4" s="413"/>
      <c r="Q4" s="414"/>
      <c r="R4" s="461" t="s">
        <v>920</v>
      </c>
      <c r="S4" s="461"/>
      <c r="T4" s="461"/>
      <c r="U4" s="461"/>
    </row>
    <row r="5" spans="1:21" x14ac:dyDescent="0.3">
      <c r="A5" s="88"/>
      <c r="B5" s="337" t="s">
        <v>814</v>
      </c>
      <c r="C5" s="675">
        <f>AVERAGE(C60,C38,C17)</f>
        <v>6513.666666666667</v>
      </c>
      <c r="D5" s="380">
        <f t="shared" ref="D5:O5" si="1">AVERAGE(D60,D38,D17)</f>
        <v>159</v>
      </c>
      <c r="E5" s="675">
        <f t="shared" si="1"/>
        <v>5861</v>
      </c>
      <c r="F5" s="380">
        <f t="shared" si="1"/>
        <v>74.333333333333329</v>
      </c>
      <c r="G5" s="675">
        <f t="shared" si="1"/>
        <v>224.33333333333334</v>
      </c>
      <c r="H5" s="380">
        <f t="shared" si="1"/>
        <v>28.666666666666668</v>
      </c>
      <c r="I5" s="675">
        <f t="shared" si="1"/>
        <v>307</v>
      </c>
      <c r="J5" s="380">
        <f t="shared" si="1"/>
        <v>1.6666666666666667</v>
      </c>
      <c r="K5" s="675">
        <f t="shared" si="1"/>
        <v>482</v>
      </c>
      <c r="L5" s="676">
        <f t="shared" si="1"/>
        <v>9.3333333333333339</v>
      </c>
      <c r="M5" s="380">
        <f t="shared" si="1"/>
        <v>13388</v>
      </c>
      <c r="N5" s="676">
        <f t="shared" si="1"/>
        <v>273</v>
      </c>
      <c r="O5" s="380">
        <f t="shared" si="1"/>
        <v>34</v>
      </c>
      <c r="P5" s="415"/>
      <c r="Q5" s="416">
        <f>N5-O5</f>
        <v>239</v>
      </c>
    </row>
    <row r="6" spans="1:21" x14ac:dyDescent="0.3">
      <c r="A6" s="88"/>
      <c r="B6" s="411" t="s">
        <v>105</v>
      </c>
      <c r="C6" s="677">
        <f>AVERAGE(C61,C39,C18)</f>
        <v>9062.3333333333339</v>
      </c>
      <c r="D6" s="678">
        <f t="shared" ref="D6:O6" si="2">AVERAGE(D61,D39,D18)</f>
        <v>134.33333333333334</v>
      </c>
      <c r="E6" s="677">
        <f t="shared" si="2"/>
        <v>6572.666666666667</v>
      </c>
      <c r="F6" s="678">
        <f t="shared" si="2"/>
        <v>51.333333333333336</v>
      </c>
      <c r="G6" s="677">
        <f t="shared" si="2"/>
        <v>329.66666666666669</v>
      </c>
      <c r="H6" s="678">
        <f t="shared" si="2"/>
        <v>13.666666666666666</v>
      </c>
      <c r="I6" s="677">
        <f t="shared" si="2"/>
        <v>157.33333333333334</v>
      </c>
      <c r="J6" s="678">
        <f t="shared" si="2"/>
        <v>4.333333333333333</v>
      </c>
      <c r="K6" s="677">
        <f t="shared" si="2"/>
        <v>1158.6666666666667</v>
      </c>
      <c r="L6" s="412">
        <f t="shared" si="2"/>
        <v>10</v>
      </c>
      <c r="M6" s="678">
        <f t="shared" si="2"/>
        <v>17280.666666666668</v>
      </c>
      <c r="N6" s="412">
        <f t="shared" si="2"/>
        <v>213.66666666666666</v>
      </c>
      <c r="O6" s="677">
        <f t="shared" si="2"/>
        <v>33.666666666666664</v>
      </c>
      <c r="P6" s="417"/>
      <c r="Q6" s="418"/>
    </row>
    <row r="7" spans="1:21" x14ac:dyDescent="0.3">
      <c r="A7" s="88"/>
      <c r="B7" s="338" t="s">
        <v>471</v>
      </c>
      <c r="C7" s="409">
        <f>AVERAGE(C75,C53,C31)</f>
        <v>68285.166666666672</v>
      </c>
      <c r="D7" s="345">
        <f t="shared" ref="D7:O7" si="3">AVERAGE(D75,D53,D31)</f>
        <v>505.5</v>
      </c>
      <c r="E7" s="410">
        <f t="shared" si="3"/>
        <v>47545.833333333336</v>
      </c>
      <c r="F7" s="345">
        <f t="shared" si="3"/>
        <v>122.66666666666667</v>
      </c>
      <c r="G7" s="410">
        <f t="shared" si="3"/>
        <v>260.33333333333331</v>
      </c>
      <c r="H7" s="345">
        <f t="shared" si="3"/>
        <v>34.833333333333336</v>
      </c>
      <c r="I7" s="410">
        <f t="shared" si="3"/>
        <v>331.83333333333331</v>
      </c>
      <c r="J7" s="345">
        <f t="shared" si="3"/>
        <v>2.8333333333333335</v>
      </c>
      <c r="K7" s="410">
        <f t="shared" si="3"/>
        <v>5593</v>
      </c>
      <c r="L7" s="346">
        <f t="shared" si="3"/>
        <v>48.833333333333336</v>
      </c>
      <c r="M7" s="380">
        <f t="shared" si="3"/>
        <v>122979</v>
      </c>
      <c r="N7" s="412">
        <f t="shared" si="3"/>
        <v>720.66666666666663</v>
      </c>
      <c r="O7" s="380">
        <f t="shared" si="3"/>
        <v>161.66666666666666</v>
      </c>
      <c r="P7" s="417"/>
      <c r="Q7" s="419">
        <f>N7-O7</f>
        <v>559</v>
      </c>
    </row>
    <row r="8" spans="1:21" ht="14.4" customHeight="1" x14ac:dyDescent="0.3">
      <c r="A8" s="126" t="s">
        <v>424</v>
      </c>
      <c r="B8" s="125"/>
      <c r="C8" s="355"/>
      <c r="D8" s="61"/>
      <c r="E8" s="61"/>
      <c r="F8" s="61"/>
      <c r="G8" s="61"/>
      <c r="H8" s="61"/>
      <c r="I8" s="61"/>
      <c r="J8" s="61"/>
      <c r="K8" s="61"/>
      <c r="L8" s="61"/>
      <c r="M8" s="61"/>
      <c r="N8" s="61"/>
      <c r="O8" s="61"/>
      <c r="P8" s="61"/>
      <c r="Q8" s="62"/>
    </row>
    <row r="9" spans="1:21" x14ac:dyDescent="0.3">
      <c r="A9" s="87"/>
      <c r="B9" s="776" t="s">
        <v>557</v>
      </c>
      <c r="C9" s="757" t="s">
        <v>87</v>
      </c>
      <c r="D9" s="757"/>
      <c r="E9" s="757" t="s">
        <v>80</v>
      </c>
      <c r="F9" s="757"/>
      <c r="G9" s="757" t="s">
        <v>81</v>
      </c>
      <c r="H9" s="757"/>
      <c r="I9" s="757" t="s">
        <v>100</v>
      </c>
      <c r="J9" s="757"/>
      <c r="K9" s="757" t="s">
        <v>519</v>
      </c>
      <c r="L9" s="758"/>
      <c r="M9" s="759" t="s">
        <v>815</v>
      </c>
      <c r="N9" s="753" t="s">
        <v>103</v>
      </c>
      <c r="O9" s="764" t="s">
        <v>375</v>
      </c>
      <c r="P9" s="309"/>
      <c r="Q9" s="764" t="s">
        <v>376</v>
      </c>
    </row>
    <row r="10" spans="1:21" x14ac:dyDescent="0.3">
      <c r="A10" s="87"/>
      <c r="B10" s="777"/>
      <c r="C10" s="307" t="s">
        <v>101</v>
      </c>
      <c r="D10" s="307" t="s">
        <v>102</v>
      </c>
      <c r="E10" s="307" t="s">
        <v>101</v>
      </c>
      <c r="F10" s="307" t="s">
        <v>102</v>
      </c>
      <c r="G10" s="307" t="s">
        <v>101</v>
      </c>
      <c r="H10" s="307" t="s">
        <v>102</v>
      </c>
      <c r="I10" s="307" t="s">
        <v>101</v>
      </c>
      <c r="J10" s="307" t="s">
        <v>102</v>
      </c>
      <c r="K10" s="307" t="s">
        <v>101</v>
      </c>
      <c r="L10" s="308" t="s">
        <v>102</v>
      </c>
      <c r="M10" s="756"/>
      <c r="N10" s="754"/>
      <c r="O10" s="765"/>
      <c r="P10" s="310"/>
      <c r="Q10" s="765"/>
    </row>
    <row r="11" spans="1:21" x14ac:dyDescent="0.3">
      <c r="A11" s="87"/>
      <c r="B11" s="132" t="s">
        <v>927</v>
      </c>
      <c r="C11" s="123">
        <f>SUM(C12:C15)</f>
        <v>84241</v>
      </c>
      <c r="D11" s="123">
        <f>SUM(D12:D15)</f>
        <v>860</v>
      </c>
      <c r="E11" s="123">
        <f t="shared" ref="E11:N11" si="4">SUM(E12:E15)</f>
        <v>58258</v>
      </c>
      <c r="F11" s="123">
        <f t="shared" si="4"/>
        <v>216</v>
      </c>
      <c r="G11" s="123">
        <f t="shared" si="4"/>
        <v>451</v>
      </c>
      <c r="H11" s="123">
        <f t="shared" si="4"/>
        <v>77</v>
      </c>
      <c r="I11" s="123">
        <f t="shared" si="4"/>
        <v>502</v>
      </c>
      <c r="J11" s="123">
        <f t="shared" si="4"/>
        <v>2</v>
      </c>
      <c r="K11" s="123">
        <f t="shared" si="4"/>
        <v>6960</v>
      </c>
      <c r="L11" s="123">
        <f t="shared" si="4"/>
        <v>75</v>
      </c>
      <c r="M11" s="123">
        <f t="shared" si="4"/>
        <v>153300.5</v>
      </c>
      <c r="N11" s="123">
        <f t="shared" si="4"/>
        <v>1248</v>
      </c>
      <c r="O11" s="123">
        <f>SUM(O12:O15)</f>
        <v>233</v>
      </c>
      <c r="P11" s="114"/>
      <c r="Q11" s="347"/>
    </row>
    <row r="12" spans="1:21" x14ac:dyDescent="0.3">
      <c r="A12" s="87"/>
      <c r="B12" s="613" t="s">
        <v>104</v>
      </c>
      <c r="C12" s="438">
        <v>81226</v>
      </c>
      <c r="D12" s="439">
        <v>826</v>
      </c>
      <c r="E12" s="439">
        <v>56897</v>
      </c>
      <c r="F12" s="439">
        <v>211</v>
      </c>
      <c r="G12" s="439">
        <v>435</v>
      </c>
      <c r="H12" s="439">
        <v>76</v>
      </c>
      <c r="I12" s="439">
        <v>496</v>
      </c>
      <c r="J12" s="439">
        <v>2</v>
      </c>
      <c r="K12" s="439">
        <v>6744</v>
      </c>
      <c r="L12" s="440">
        <v>72</v>
      </c>
      <c r="M12" s="441">
        <f t="shared" ref="M12" si="5">SUM(C12,E12,G12,I12,K12)</f>
        <v>145798</v>
      </c>
      <c r="N12" s="442">
        <f t="shared" ref="N12" si="6">SUM(D12,F12,H12,J12,L12)</f>
        <v>1187</v>
      </c>
      <c r="O12" s="443">
        <v>225</v>
      </c>
      <c r="P12" s="116"/>
      <c r="Q12" s="356"/>
    </row>
    <row r="13" spans="1:21" x14ac:dyDescent="0.3">
      <c r="A13" s="87"/>
      <c r="B13" s="337" t="s">
        <v>925</v>
      </c>
      <c r="C13" s="150">
        <f>C79</f>
        <v>1699</v>
      </c>
      <c r="D13" s="150">
        <f t="shared" ref="D13:N15" si="7">D79</f>
        <v>27</v>
      </c>
      <c r="E13" s="150">
        <f t="shared" si="7"/>
        <v>763</v>
      </c>
      <c r="F13" s="150">
        <f t="shared" si="7"/>
        <v>4</v>
      </c>
      <c r="G13" s="150">
        <f t="shared" si="7"/>
        <v>13</v>
      </c>
      <c r="H13" s="150">
        <f t="shared" si="7"/>
        <v>0</v>
      </c>
      <c r="I13" s="150">
        <f t="shared" si="7"/>
        <v>3</v>
      </c>
      <c r="J13" s="150">
        <f t="shared" si="7"/>
        <v>0</v>
      </c>
      <c r="K13" s="150">
        <f t="shared" si="7"/>
        <v>74</v>
      </c>
      <c r="L13" s="150">
        <f t="shared" si="7"/>
        <v>1</v>
      </c>
      <c r="M13" s="136">
        <f t="shared" si="7"/>
        <v>2552</v>
      </c>
      <c r="N13" s="133">
        <f t="shared" si="7"/>
        <v>32</v>
      </c>
      <c r="O13" s="150">
        <f>O79</f>
        <v>4</v>
      </c>
      <c r="P13" s="116"/>
      <c r="Q13" s="356"/>
      <c r="T13" s="617">
        <f>T14/365</f>
        <v>0.41643835616438357</v>
      </c>
    </row>
    <row r="14" spans="1:21" x14ac:dyDescent="0.3">
      <c r="A14" s="87"/>
      <c r="B14" s="337" t="s">
        <v>913</v>
      </c>
      <c r="C14" s="150">
        <f>ROUNDUP(C19*($T14/365),0)</f>
        <v>857</v>
      </c>
      <c r="D14" s="150">
        <f>ROUNDUP(D19*($T14/365),0)</f>
        <v>4</v>
      </c>
      <c r="E14" s="150">
        <f>ROUNDUP(E19*($T14/365),0)</f>
        <v>225</v>
      </c>
      <c r="F14" s="150">
        <f>ROUNDUP(F19*($T14/365),0)</f>
        <v>1</v>
      </c>
      <c r="G14" s="150">
        <f t="shared" ref="G14:L14" si="8">ROUNDUP(G19*($T14/365),0)</f>
        <v>1</v>
      </c>
      <c r="H14" s="150">
        <f t="shared" si="8"/>
        <v>0</v>
      </c>
      <c r="I14" s="150">
        <f t="shared" si="8"/>
        <v>0</v>
      </c>
      <c r="J14" s="150">
        <f t="shared" si="8"/>
        <v>0</v>
      </c>
      <c r="K14" s="150">
        <f t="shared" si="8"/>
        <v>59</v>
      </c>
      <c r="L14" s="150">
        <f t="shared" si="8"/>
        <v>1</v>
      </c>
      <c r="M14" s="136">
        <f t="shared" si="7"/>
        <v>3625</v>
      </c>
      <c r="N14" s="133">
        <f t="shared" si="7"/>
        <v>15</v>
      </c>
      <c r="O14" s="150">
        <f t="shared" ref="O14" si="9">ROUNDUP(O19*($T14/365),0)</f>
        <v>2</v>
      </c>
      <c r="P14" s="116"/>
      <c r="Q14" s="356"/>
      <c r="R14" s="609"/>
      <c r="S14" s="611" t="s">
        <v>921</v>
      </c>
      <c r="T14" s="612">
        <f>'Reactor Info'!P18</f>
        <v>152</v>
      </c>
      <c r="U14" s="609" t="s">
        <v>922</v>
      </c>
    </row>
    <row r="15" spans="1:21" x14ac:dyDescent="0.3">
      <c r="A15" s="87"/>
      <c r="B15" s="337" t="s">
        <v>914</v>
      </c>
      <c r="C15" s="150">
        <f>ROUNDUP(C21*($T15/365),0)</f>
        <v>459</v>
      </c>
      <c r="D15" s="150">
        <f t="shared" ref="D15:L15" si="10">ROUNDUP(D21*($T15/365),0)</f>
        <v>3</v>
      </c>
      <c r="E15" s="150">
        <f t="shared" si="10"/>
        <v>373</v>
      </c>
      <c r="F15" s="150">
        <f t="shared" si="10"/>
        <v>0</v>
      </c>
      <c r="G15" s="150">
        <f t="shared" si="10"/>
        <v>2</v>
      </c>
      <c r="H15" s="150">
        <f t="shared" si="10"/>
        <v>1</v>
      </c>
      <c r="I15" s="150">
        <f t="shared" si="10"/>
        <v>3</v>
      </c>
      <c r="J15" s="150">
        <f t="shared" si="10"/>
        <v>0</v>
      </c>
      <c r="K15" s="150">
        <f t="shared" si="10"/>
        <v>83</v>
      </c>
      <c r="L15" s="150">
        <f t="shared" si="10"/>
        <v>1</v>
      </c>
      <c r="M15" s="136">
        <f t="shared" si="7"/>
        <v>1325.5</v>
      </c>
      <c r="N15" s="133">
        <f t="shared" si="7"/>
        <v>14</v>
      </c>
      <c r="O15" s="150">
        <f t="shared" ref="O15" si="11">ROUNDUP(O21*($T15/365),0)</f>
        <v>2</v>
      </c>
      <c r="P15" s="116"/>
      <c r="Q15" s="356"/>
      <c r="R15" s="609"/>
      <c r="S15" s="611" t="s">
        <v>921</v>
      </c>
      <c r="T15" s="612">
        <f>'Reactor Info'!P35</f>
        <v>213</v>
      </c>
      <c r="U15" s="609" t="s">
        <v>922</v>
      </c>
    </row>
    <row r="16" spans="1:21" x14ac:dyDescent="0.3">
      <c r="A16" s="87"/>
      <c r="B16" s="138"/>
      <c r="C16" s="150"/>
      <c r="D16" s="150"/>
      <c r="E16" s="150"/>
      <c r="F16" s="150"/>
      <c r="G16" s="150"/>
      <c r="H16" s="150"/>
      <c r="I16" s="150"/>
      <c r="J16" s="150"/>
      <c r="K16" s="150"/>
      <c r="L16" s="133"/>
      <c r="M16" s="150"/>
      <c r="N16" s="133"/>
      <c r="O16" s="150"/>
      <c r="P16" s="116"/>
      <c r="Q16" s="356"/>
      <c r="T16" s="617">
        <f>T15/365</f>
        <v>0.58356164383561648</v>
      </c>
    </row>
    <row r="17" spans="1:18" x14ac:dyDescent="0.3">
      <c r="A17" s="87"/>
      <c r="B17" s="131" t="s">
        <v>556</v>
      </c>
      <c r="C17" s="121">
        <v>7489</v>
      </c>
      <c r="D17" s="121">
        <v>207</v>
      </c>
      <c r="E17" s="121">
        <v>7123</v>
      </c>
      <c r="F17" s="121">
        <v>79</v>
      </c>
      <c r="G17" s="121">
        <v>179</v>
      </c>
      <c r="H17" s="121">
        <v>40</v>
      </c>
      <c r="I17" s="121">
        <v>171</v>
      </c>
      <c r="J17" s="121">
        <v>0</v>
      </c>
      <c r="K17" s="121">
        <v>867</v>
      </c>
      <c r="L17" s="134">
        <v>18</v>
      </c>
      <c r="M17" s="120">
        <f t="shared" ref="M17:N19" si="12">SUM(C17,E17,G17,I17,K17)</f>
        <v>15829</v>
      </c>
      <c r="N17" s="141">
        <f t="shared" si="12"/>
        <v>344</v>
      </c>
      <c r="O17" s="130">
        <v>49</v>
      </c>
      <c r="P17" s="116"/>
      <c r="Q17" s="416">
        <f>N17-O17</f>
        <v>295</v>
      </c>
    </row>
    <row r="18" spans="1:18" x14ac:dyDescent="0.3">
      <c r="A18" s="87"/>
      <c r="B18" s="131" t="s">
        <v>561</v>
      </c>
      <c r="C18" s="119">
        <f>SUM(C19:C30)</f>
        <v>6064</v>
      </c>
      <c r="D18" s="119">
        <f>SUM(D19:D30)</f>
        <v>32</v>
      </c>
      <c r="E18" s="119">
        <f>SUM(E19:E30)</f>
        <v>4094</v>
      </c>
      <c r="F18" s="119">
        <f>SUM(F19:F30)</f>
        <v>15</v>
      </c>
      <c r="G18" s="119">
        <f t="shared" ref="G18:L18" si="13">SUM(G19:G30)</f>
        <v>13</v>
      </c>
      <c r="H18" s="119">
        <f t="shared" si="13"/>
        <v>1</v>
      </c>
      <c r="I18" s="119">
        <f t="shared" si="13"/>
        <v>15</v>
      </c>
      <c r="J18" s="119">
        <f t="shared" si="13"/>
        <v>0</v>
      </c>
      <c r="K18" s="119">
        <f t="shared" si="13"/>
        <v>648</v>
      </c>
      <c r="L18" s="119">
        <f t="shared" si="13"/>
        <v>5</v>
      </c>
      <c r="M18" s="156">
        <f t="shared" si="12"/>
        <v>10834</v>
      </c>
      <c r="N18" s="141">
        <f>SUM(D18,F18,H18,J18,L18)</f>
        <v>53</v>
      </c>
      <c r="O18" s="130">
        <f>SUM(O20:O30)</f>
        <v>12</v>
      </c>
      <c r="P18" s="116"/>
      <c r="Q18" s="115"/>
    </row>
    <row r="19" spans="1:18" x14ac:dyDescent="0.3">
      <c r="A19" s="87"/>
      <c r="B19" s="618" t="s">
        <v>612</v>
      </c>
      <c r="C19" s="619">
        <v>2057</v>
      </c>
      <c r="D19" s="619">
        <v>9</v>
      </c>
      <c r="E19" s="619">
        <v>540</v>
      </c>
      <c r="F19" s="619">
        <v>2</v>
      </c>
      <c r="G19" s="619">
        <v>2</v>
      </c>
      <c r="H19" s="619">
        <v>0</v>
      </c>
      <c r="I19" s="619">
        <v>0</v>
      </c>
      <c r="J19" s="619">
        <v>0</v>
      </c>
      <c r="K19" s="619">
        <v>141</v>
      </c>
      <c r="L19" s="620">
        <v>1</v>
      </c>
      <c r="M19" s="621">
        <f t="shared" si="12"/>
        <v>2740</v>
      </c>
      <c r="N19" s="622">
        <f t="shared" si="12"/>
        <v>12</v>
      </c>
      <c r="O19" s="623">
        <v>3</v>
      </c>
      <c r="P19" s="358"/>
      <c r="Q19" s="624"/>
      <c r="R19" s="96" t="s">
        <v>923</v>
      </c>
    </row>
    <row r="20" spans="1:18" x14ac:dyDescent="0.3">
      <c r="A20" s="87"/>
      <c r="B20" s="138" t="s">
        <v>140</v>
      </c>
      <c r="C20" s="20">
        <v>14</v>
      </c>
      <c r="D20" s="20">
        <v>0</v>
      </c>
      <c r="E20" s="20">
        <v>101</v>
      </c>
      <c r="F20" s="20">
        <v>0</v>
      </c>
      <c r="G20" s="20">
        <v>0</v>
      </c>
      <c r="H20" s="20">
        <v>0</v>
      </c>
      <c r="I20" s="20">
        <v>0</v>
      </c>
      <c r="J20" s="20">
        <v>0</v>
      </c>
      <c r="K20" s="150">
        <v>0</v>
      </c>
      <c r="L20" s="133">
        <v>0</v>
      </c>
      <c r="M20" s="112">
        <f t="shared" ref="M20:M28" si="14">SUM(C20,E20,G20,I20,K20)</f>
        <v>115</v>
      </c>
      <c r="N20" s="140">
        <f t="shared" ref="N20:N28" si="15">SUM(D20,F20,H20,J20,L20)</f>
        <v>0</v>
      </c>
      <c r="O20" s="591">
        <v>0</v>
      </c>
      <c r="P20" s="116"/>
      <c r="Q20" s="115"/>
      <c r="R20" s="8"/>
    </row>
    <row r="21" spans="1:18" x14ac:dyDescent="0.3">
      <c r="A21" s="87"/>
      <c r="B21" s="618" t="s">
        <v>615</v>
      </c>
      <c r="C21" s="619">
        <v>786</v>
      </c>
      <c r="D21" s="619">
        <v>5</v>
      </c>
      <c r="E21" s="619">
        <v>638</v>
      </c>
      <c r="F21" s="619">
        <v>0</v>
      </c>
      <c r="G21" s="619">
        <v>2</v>
      </c>
      <c r="H21" s="619">
        <v>1</v>
      </c>
      <c r="I21" s="619">
        <v>4</v>
      </c>
      <c r="J21" s="619">
        <v>0</v>
      </c>
      <c r="K21" s="619">
        <v>142</v>
      </c>
      <c r="L21" s="620">
        <v>1</v>
      </c>
      <c r="M21" s="621">
        <f>SUM(C21,E21,G21,I21,K21)</f>
        <v>1572</v>
      </c>
      <c r="N21" s="622">
        <f>SUM(D21,F21,H21,J21,L21)</f>
        <v>7</v>
      </c>
      <c r="O21" s="623">
        <v>2</v>
      </c>
      <c r="P21" s="358"/>
      <c r="Q21" s="624"/>
      <c r="R21" s="96" t="s">
        <v>924</v>
      </c>
    </row>
    <row r="22" spans="1:18" x14ac:dyDescent="0.3">
      <c r="A22" s="87"/>
      <c r="B22" s="138" t="s">
        <v>526</v>
      </c>
      <c r="C22" s="20">
        <v>681</v>
      </c>
      <c r="D22" s="20">
        <v>1</v>
      </c>
      <c r="E22" s="20">
        <v>392</v>
      </c>
      <c r="F22" s="20">
        <v>1</v>
      </c>
      <c r="G22" s="20">
        <v>0</v>
      </c>
      <c r="H22" s="20">
        <v>0</v>
      </c>
      <c r="I22" s="20">
        <v>2</v>
      </c>
      <c r="J22" s="20">
        <v>0</v>
      </c>
      <c r="K22" s="20">
        <v>28</v>
      </c>
      <c r="L22" s="133">
        <v>0</v>
      </c>
      <c r="M22" s="112">
        <f t="shared" si="14"/>
        <v>1103</v>
      </c>
      <c r="N22" s="140">
        <f t="shared" si="15"/>
        <v>2</v>
      </c>
      <c r="O22" s="591">
        <v>1</v>
      </c>
      <c r="P22" s="11"/>
      <c r="Q22" s="41"/>
    </row>
    <row r="23" spans="1:18" x14ac:dyDescent="0.3">
      <c r="A23" s="87"/>
      <c r="B23" s="138" t="s">
        <v>563</v>
      </c>
      <c r="C23" s="145"/>
      <c r="D23" s="145"/>
      <c r="E23" s="145"/>
      <c r="F23" s="145"/>
      <c r="G23" s="145"/>
      <c r="H23" s="145"/>
      <c r="I23" s="145"/>
      <c r="J23" s="145"/>
      <c r="K23" s="145"/>
      <c r="L23" s="146"/>
      <c r="M23" s="147"/>
      <c r="N23" s="148"/>
      <c r="O23" s="149"/>
      <c r="P23" s="11"/>
      <c r="Q23" s="41"/>
    </row>
    <row r="24" spans="1:18" x14ac:dyDescent="0.3">
      <c r="A24" s="87"/>
      <c r="B24" s="157" t="s">
        <v>553</v>
      </c>
      <c r="C24" s="158">
        <v>1287</v>
      </c>
      <c r="D24" s="158">
        <v>9</v>
      </c>
      <c r="E24" s="158">
        <v>812</v>
      </c>
      <c r="F24" s="158">
        <v>4</v>
      </c>
      <c r="G24" s="158">
        <v>1</v>
      </c>
      <c r="H24" s="158">
        <v>0</v>
      </c>
      <c r="I24" s="158">
        <v>5</v>
      </c>
      <c r="J24" s="158">
        <v>0</v>
      </c>
      <c r="K24" s="158">
        <v>151</v>
      </c>
      <c r="L24" s="159">
        <v>0</v>
      </c>
      <c r="M24" s="160">
        <f t="shared" si="14"/>
        <v>2256</v>
      </c>
      <c r="N24" s="161">
        <f t="shared" si="15"/>
        <v>13</v>
      </c>
      <c r="O24" s="592">
        <v>0</v>
      </c>
      <c r="P24" s="11"/>
      <c r="Q24" s="41"/>
    </row>
    <row r="25" spans="1:18" x14ac:dyDescent="0.3">
      <c r="A25" s="87"/>
      <c r="B25" s="138" t="s">
        <v>142</v>
      </c>
      <c r="C25" s="20">
        <v>2</v>
      </c>
      <c r="D25" s="20">
        <v>0</v>
      </c>
      <c r="E25" s="20">
        <v>78</v>
      </c>
      <c r="F25" s="20">
        <v>1</v>
      </c>
      <c r="G25" s="20">
        <v>0</v>
      </c>
      <c r="H25" s="20">
        <v>0</v>
      </c>
      <c r="I25" s="20">
        <v>3</v>
      </c>
      <c r="J25" s="20">
        <v>0</v>
      </c>
      <c r="K25" s="20">
        <v>9</v>
      </c>
      <c r="L25" s="133">
        <v>0</v>
      </c>
      <c r="M25" s="112">
        <f t="shared" si="14"/>
        <v>92</v>
      </c>
      <c r="N25" s="140">
        <f t="shared" si="15"/>
        <v>1</v>
      </c>
      <c r="O25" s="591">
        <v>1</v>
      </c>
      <c r="P25" s="11"/>
      <c r="Q25" s="41"/>
    </row>
    <row r="26" spans="1:18" x14ac:dyDescent="0.3">
      <c r="A26" s="87"/>
      <c r="B26" s="138" t="s">
        <v>517</v>
      </c>
      <c r="C26" s="20">
        <v>219</v>
      </c>
      <c r="D26" s="20">
        <v>2</v>
      </c>
      <c r="E26" s="20">
        <v>299</v>
      </c>
      <c r="F26" s="20">
        <v>1</v>
      </c>
      <c r="G26" s="20">
        <v>1</v>
      </c>
      <c r="H26" s="20">
        <v>0</v>
      </c>
      <c r="I26" s="20">
        <v>1</v>
      </c>
      <c r="J26" s="20">
        <v>0</v>
      </c>
      <c r="K26" s="20">
        <v>72</v>
      </c>
      <c r="L26" s="133">
        <v>1</v>
      </c>
      <c r="M26" s="112">
        <f t="shared" si="14"/>
        <v>592</v>
      </c>
      <c r="N26" s="140">
        <f t="shared" si="15"/>
        <v>4</v>
      </c>
      <c r="O26" s="591">
        <v>2</v>
      </c>
      <c r="P26" s="11"/>
      <c r="Q26" s="41"/>
    </row>
    <row r="27" spans="1:18" x14ac:dyDescent="0.3">
      <c r="A27" s="87"/>
      <c r="B27" s="138" t="s">
        <v>554</v>
      </c>
      <c r="C27" s="20">
        <v>339</v>
      </c>
      <c r="D27" s="20">
        <v>5</v>
      </c>
      <c r="E27" s="20">
        <v>535</v>
      </c>
      <c r="F27" s="20">
        <v>4</v>
      </c>
      <c r="G27" s="20">
        <v>3</v>
      </c>
      <c r="H27" s="20">
        <v>0</v>
      </c>
      <c r="I27" s="20">
        <v>0</v>
      </c>
      <c r="J27" s="20">
        <v>0</v>
      </c>
      <c r="K27" s="20">
        <v>37</v>
      </c>
      <c r="L27" s="133">
        <v>1</v>
      </c>
      <c r="M27" s="112">
        <f t="shared" si="14"/>
        <v>914</v>
      </c>
      <c r="N27" s="140">
        <f t="shared" si="15"/>
        <v>10</v>
      </c>
      <c r="O27" s="591">
        <v>5</v>
      </c>
      <c r="P27" s="11"/>
      <c r="Q27" s="41"/>
    </row>
    <row r="28" spans="1:18" x14ac:dyDescent="0.3">
      <c r="A28" s="87"/>
      <c r="B28" s="138" t="s">
        <v>143</v>
      </c>
      <c r="C28" s="20">
        <v>445</v>
      </c>
      <c r="D28" s="20">
        <v>1</v>
      </c>
      <c r="E28" s="20">
        <v>332</v>
      </c>
      <c r="F28" s="20">
        <v>1</v>
      </c>
      <c r="G28" s="20">
        <v>2</v>
      </c>
      <c r="H28" s="20">
        <v>0</v>
      </c>
      <c r="I28" s="20">
        <v>0</v>
      </c>
      <c r="J28" s="20">
        <v>0</v>
      </c>
      <c r="K28" s="20">
        <v>9</v>
      </c>
      <c r="L28" s="133">
        <v>0</v>
      </c>
      <c r="M28" s="112">
        <f t="shared" si="14"/>
        <v>788</v>
      </c>
      <c r="N28" s="140">
        <f t="shared" si="15"/>
        <v>2</v>
      </c>
      <c r="O28" s="591">
        <v>1</v>
      </c>
      <c r="P28" s="11"/>
      <c r="Q28" s="41"/>
    </row>
    <row r="29" spans="1:18" x14ac:dyDescent="0.3">
      <c r="A29" s="87"/>
      <c r="B29" s="138" t="s">
        <v>518</v>
      </c>
      <c r="C29" s="150">
        <v>234</v>
      </c>
      <c r="D29" s="150">
        <v>0</v>
      </c>
      <c r="E29" s="150">
        <v>367</v>
      </c>
      <c r="F29" s="150">
        <v>1</v>
      </c>
      <c r="G29" s="150">
        <v>2</v>
      </c>
      <c r="H29" s="150">
        <v>0</v>
      </c>
      <c r="I29" s="150">
        <v>0</v>
      </c>
      <c r="J29" s="150">
        <v>0</v>
      </c>
      <c r="K29" s="150">
        <v>59</v>
      </c>
      <c r="L29" s="133">
        <v>1</v>
      </c>
      <c r="M29" s="112">
        <f>SUM(C29,E29,G29,I29,K29)</f>
        <v>662</v>
      </c>
      <c r="N29" s="140">
        <f>SUM(D29,F29,H29,J29,L29)</f>
        <v>2</v>
      </c>
      <c r="O29" s="593">
        <v>0</v>
      </c>
      <c r="P29" s="116"/>
      <c r="Q29" s="115"/>
    </row>
    <row r="30" spans="1:18" x14ac:dyDescent="0.3">
      <c r="A30" s="87"/>
      <c r="B30" s="138" t="s">
        <v>928</v>
      </c>
      <c r="C30" s="137"/>
      <c r="D30" s="137"/>
      <c r="E30" s="137"/>
      <c r="F30" s="137"/>
      <c r="G30" s="137"/>
      <c r="H30" s="137"/>
      <c r="I30" s="137"/>
      <c r="J30" s="137"/>
      <c r="K30" s="137"/>
      <c r="L30" s="142"/>
      <c r="M30" s="137"/>
      <c r="N30" s="142"/>
      <c r="O30" s="137"/>
      <c r="P30" s="49"/>
      <c r="Q30" s="51"/>
    </row>
    <row r="31" spans="1:18" x14ac:dyDescent="0.3">
      <c r="A31" s="87"/>
      <c r="B31" s="132" t="s">
        <v>471</v>
      </c>
      <c r="C31" s="123">
        <f>C11-SUM(C17,C18)</f>
        <v>70688</v>
      </c>
      <c r="D31" s="123">
        <f t="shared" ref="D31:O31" si="16">D11-SUM(D17,D18)</f>
        <v>621</v>
      </c>
      <c r="E31" s="123">
        <f t="shared" si="16"/>
        <v>47041</v>
      </c>
      <c r="F31" s="123">
        <f t="shared" si="16"/>
        <v>122</v>
      </c>
      <c r="G31" s="123">
        <f t="shared" si="16"/>
        <v>259</v>
      </c>
      <c r="H31" s="123">
        <f t="shared" si="16"/>
        <v>36</v>
      </c>
      <c r="I31" s="123">
        <f t="shared" si="16"/>
        <v>316</v>
      </c>
      <c r="J31" s="123">
        <f t="shared" si="16"/>
        <v>2</v>
      </c>
      <c r="K31" s="123">
        <f t="shared" si="16"/>
        <v>5445</v>
      </c>
      <c r="L31" s="135">
        <f t="shared" si="16"/>
        <v>52</v>
      </c>
      <c r="M31" s="123">
        <f t="shared" si="16"/>
        <v>126637.5</v>
      </c>
      <c r="N31" s="135">
        <f t="shared" si="16"/>
        <v>851</v>
      </c>
      <c r="O31" s="123">
        <f t="shared" si="16"/>
        <v>172</v>
      </c>
      <c r="P31" s="114"/>
      <c r="Q31" s="420">
        <f>N31-O31</f>
        <v>679</v>
      </c>
    </row>
    <row r="32" spans="1:18" ht="7.25" customHeight="1" x14ac:dyDescent="0.3">
      <c r="A32" s="87"/>
      <c r="B32" s="88"/>
      <c r="C32" s="88"/>
      <c r="D32" s="124"/>
      <c r="E32" s="124"/>
      <c r="F32" s="88"/>
      <c r="G32" s="88"/>
      <c r="H32" s="88"/>
      <c r="I32" s="61"/>
      <c r="J32" s="61"/>
      <c r="K32" s="88"/>
      <c r="L32" s="88"/>
      <c r="M32" s="88"/>
      <c r="N32" s="88"/>
      <c r="O32" s="88"/>
      <c r="P32" s="88"/>
      <c r="Q32" s="89"/>
    </row>
    <row r="33" spans="1:18" x14ac:dyDescent="0.3">
      <c r="A33" s="87"/>
      <c r="B33" s="776" t="s">
        <v>558</v>
      </c>
      <c r="C33" s="773" t="s">
        <v>87</v>
      </c>
      <c r="D33" s="773"/>
      <c r="E33" s="773" t="s">
        <v>80</v>
      </c>
      <c r="F33" s="773"/>
      <c r="G33" s="773" t="s">
        <v>81</v>
      </c>
      <c r="H33" s="773"/>
      <c r="I33" s="757" t="s">
        <v>100</v>
      </c>
      <c r="J33" s="757"/>
      <c r="K33" s="773" t="s">
        <v>519</v>
      </c>
      <c r="L33" s="753"/>
      <c r="M33" s="759" t="s">
        <v>815</v>
      </c>
      <c r="N33" s="753" t="s">
        <v>103</v>
      </c>
      <c r="O33" s="766" t="s">
        <v>375</v>
      </c>
      <c r="P33" s="313"/>
      <c r="Q33" s="766" t="s">
        <v>376</v>
      </c>
    </row>
    <row r="34" spans="1:18" x14ac:dyDescent="0.3">
      <c r="A34" s="87"/>
      <c r="B34" s="777">
        <v>2017</v>
      </c>
      <c r="C34" s="307" t="s">
        <v>101</v>
      </c>
      <c r="D34" s="307" t="s">
        <v>102</v>
      </c>
      <c r="E34" s="307" t="s">
        <v>101</v>
      </c>
      <c r="F34" s="307" t="s">
        <v>102</v>
      </c>
      <c r="G34" s="307" t="s">
        <v>101</v>
      </c>
      <c r="H34" s="307" t="s">
        <v>102</v>
      </c>
      <c r="I34" s="307" t="s">
        <v>101</v>
      </c>
      <c r="J34" s="307" t="s">
        <v>102</v>
      </c>
      <c r="K34" s="307" t="s">
        <v>101</v>
      </c>
      <c r="L34" s="308" t="s">
        <v>102</v>
      </c>
      <c r="M34" s="756"/>
      <c r="N34" s="754"/>
      <c r="O34" s="765"/>
      <c r="P34" s="310"/>
      <c r="Q34" s="765"/>
      <c r="R34" s="10"/>
    </row>
    <row r="35" spans="1:18" x14ac:dyDescent="0.3">
      <c r="A35" s="87"/>
      <c r="B35" s="331" t="s">
        <v>104</v>
      </c>
      <c r="C35" s="332">
        <f>SUM(C36:C37)</f>
        <v>83577</v>
      </c>
      <c r="D35" s="333">
        <f t="shared" ref="D35:O35" si="17">SUM(D36:D37)</f>
        <v>771</v>
      </c>
      <c r="E35" s="333">
        <f t="shared" si="17"/>
        <v>60037</v>
      </c>
      <c r="F35" s="333">
        <f t="shared" si="17"/>
        <v>266</v>
      </c>
      <c r="G35" s="333">
        <f t="shared" si="17"/>
        <v>879</v>
      </c>
      <c r="H35" s="333">
        <f t="shared" si="17"/>
        <v>79</v>
      </c>
      <c r="I35" s="333">
        <f t="shared" si="17"/>
        <v>632</v>
      </c>
      <c r="J35" s="333">
        <f t="shared" si="17"/>
        <v>11</v>
      </c>
      <c r="K35" s="333">
        <f t="shared" si="17"/>
        <v>7241</v>
      </c>
      <c r="L35" s="334">
        <f t="shared" si="17"/>
        <v>64</v>
      </c>
      <c r="M35" s="335">
        <f t="shared" si="17"/>
        <v>152366</v>
      </c>
      <c r="N35" s="336">
        <f t="shared" si="17"/>
        <v>1191</v>
      </c>
      <c r="O35" s="155">
        <f t="shared" si="17"/>
        <v>224</v>
      </c>
      <c r="P35" s="153"/>
      <c r="Q35" s="152"/>
      <c r="R35" s="10"/>
    </row>
    <row r="36" spans="1:18" x14ac:dyDescent="0.3">
      <c r="A36" s="87"/>
      <c r="B36" s="437" t="s">
        <v>104</v>
      </c>
      <c r="C36" s="438">
        <v>80965</v>
      </c>
      <c r="D36" s="439">
        <v>757</v>
      </c>
      <c r="E36" s="439">
        <v>59159</v>
      </c>
      <c r="F36" s="439">
        <v>265</v>
      </c>
      <c r="G36" s="439">
        <v>868</v>
      </c>
      <c r="H36" s="439">
        <v>79</v>
      </c>
      <c r="I36" s="439">
        <v>629</v>
      </c>
      <c r="J36" s="439">
        <v>11</v>
      </c>
      <c r="K36" s="439">
        <v>7120</v>
      </c>
      <c r="L36" s="440">
        <v>64</v>
      </c>
      <c r="M36" s="441">
        <f t="shared" ref="M36" si="18">SUM(C36,E36,G36,I36,K36)</f>
        <v>148741</v>
      </c>
      <c r="N36" s="442">
        <f t="shared" ref="N36" si="19">SUM(D36,F36,H36,J36,L36)</f>
        <v>1176</v>
      </c>
      <c r="O36" s="444">
        <v>220</v>
      </c>
      <c r="P36" s="116"/>
      <c r="Q36" s="115"/>
      <c r="R36" s="10"/>
    </row>
    <row r="37" spans="1:18" x14ac:dyDescent="0.3">
      <c r="A37" s="87"/>
      <c r="B37" s="138" t="s">
        <v>925</v>
      </c>
      <c r="C37" s="150">
        <f>C80</f>
        <v>2612</v>
      </c>
      <c r="D37" s="150">
        <f t="shared" ref="D37:O37" si="20">D80</f>
        <v>14</v>
      </c>
      <c r="E37" s="150">
        <f t="shared" si="20"/>
        <v>878</v>
      </c>
      <c r="F37" s="150">
        <f t="shared" si="20"/>
        <v>1</v>
      </c>
      <c r="G37" s="150">
        <f t="shared" si="20"/>
        <v>11</v>
      </c>
      <c r="H37" s="150">
        <f t="shared" si="20"/>
        <v>0</v>
      </c>
      <c r="I37" s="150">
        <f t="shared" si="20"/>
        <v>3</v>
      </c>
      <c r="J37" s="150">
        <f t="shared" si="20"/>
        <v>0</v>
      </c>
      <c r="K37" s="150">
        <f t="shared" si="20"/>
        <v>121</v>
      </c>
      <c r="L37" s="150">
        <f t="shared" si="20"/>
        <v>0</v>
      </c>
      <c r="M37" s="136">
        <f t="shared" si="20"/>
        <v>3625</v>
      </c>
      <c r="N37" s="150">
        <f t="shared" si="20"/>
        <v>15</v>
      </c>
      <c r="O37" s="136">
        <f t="shared" si="20"/>
        <v>4</v>
      </c>
      <c r="Q37" s="115"/>
      <c r="R37" s="10"/>
    </row>
    <row r="38" spans="1:18" x14ac:dyDescent="0.3">
      <c r="A38" s="87"/>
      <c r="B38" s="131" t="s">
        <v>556</v>
      </c>
      <c r="C38" s="121">
        <v>5832</v>
      </c>
      <c r="D38" s="119">
        <v>133</v>
      </c>
      <c r="E38" s="119">
        <v>5926</v>
      </c>
      <c r="F38" s="119">
        <v>81</v>
      </c>
      <c r="G38" s="119">
        <v>250</v>
      </c>
      <c r="H38" s="119">
        <v>27</v>
      </c>
      <c r="I38" s="119">
        <v>170</v>
      </c>
      <c r="J38" s="119">
        <v>2</v>
      </c>
      <c r="K38" s="119">
        <v>78</v>
      </c>
      <c r="L38" s="134">
        <v>4</v>
      </c>
      <c r="M38" s="156">
        <f>SUM(C38,E38,G38,I38,K38)</f>
        <v>12256</v>
      </c>
      <c r="N38" s="141">
        <f t="shared" ref="N38" si="21">SUM(D38,F38,H38,J38,L38)</f>
        <v>247</v>
      </c>
      <c r="O38" s="151">
        <v>34</v>
      </c>
      <c r="P38" s="116"/>
      <c r="Q38" s="503">
        <f>N38-O38</f>
        <v>213</v>
      </c>
      <c r="R38" s="10"/>
    </row>
    <row r="39" spans="1:18" x14ac:dyDescent="0.3">
      <c r="A39" s="87"/>
      <c r="B39" s="131" t="s">
        <v>561</v>
      </c>
      <c r="C39" s="119">
        <f>SUM(C40:C52)</f>
        <v>8948</v>
      </c>
      <c r="D39" s="119">
        <f>SUM(D40:D52)</f>
        <v>154</v>
      </c>
      <c r="E39" s="119">
        <f t="shared" ref="E39:J39" si="22">SUM(E40:E52)</f>
        <v>6666</v>
      </c>
      <c r="F39" s="119">
        <f t="shared" si="22"/>
        <v>68</v>
      </c>
      <c r="G39" s="119">
        <f t="shared" si="22"/>
        <v>377</v>
      </c>
      <c r="H39" s="119">
        <f t="shared" si="22"/>
        <v>16</v>
      </c>
      <c r="I39" s="119">
        <f t="shared" si="22"/>
        <v>163</v>
      </c>
      <c r="J39" s="119">
        <f t="shared" si="22"/>
        <v>5</v>
      </c>
      <c r="K39" s="119">
        <f t="shared" ref="K39" si="23">SUM(K40:K52)</f>
        <v>1508</v>
      </c>
      <c r="L39" s="119">
        <f t="shared" ref="L39" si="24">SUM(L40:L52)</f>
        <v>13</v>
      </c>
      <c r="M39" s="156">
        <f>SUM(C39,E39,G39,I39,K39)</f>
        <v>17662</v>
      </c>
      <c r="N39" s="141">
        <f>SUM(D39,F39,H39,J39,L39)</f>
        <v>256</v>
      </c>
      <c r="O39" s="130">
        <f>SUM(O41:O52)</f>
        <v>35</v>
      </c>
      <c r="P39" s="117"/>
      <c r="Q39" s="118"/>
      <c r="R39" s="10"/>
    </row>
    <row r="40" spans="1:18" x14ac:dyDescent="0.3">
      <c r="A40" s="87"/>
      <c r="B40" s="618" t="s">
        <v>612</v>
      </c>
      <c r="C40" s="619">
        <v>1812</v>
      </c>
      <c r="D40" s="619">
        <v>19</v>
      </c>
      <c r="E40" s="619">
        <v>658</v>
      </c>
      <c r="F40" s="619">
        <v>2</v>
      </c>
      <c r="G40" s="619">
        <v>2</v>
      </c>
      <c r="H40" s="619">
        <v>1</v>
      </c>
      <c r="I40" s="619">
        <v>3</v>
      </c>
      <c r="J40" s="619">
        <v>0</v>
      </c>
      <c r="K40" s="619">
        <v>217</v>
      </c>
      <c r="L40" s="620">
        <v>2</v>
      </c>
      <c r="M40" s="621">
        <f>SUM(C40,E40,G40,I40,K40)</f>
        <v>2692</v>
      </c>
      <c r="N40" s="622">
        <f>SUM(D40,F40,H40,J40,L40)</f>
        <v>24</v>
      </c>
      <c r="O40" s="623">
        <v>6</v>
      </c>
      <c r="P40" s="358"/>
      <c r="Q40" s="624"/>
      <c r="R40" s="609" t="s">
        <v>915</v>
      </c>
    </row>
    <row r="41" spans="1:18" x14ac:dyDescent="0.3">
      <c r="A41" s="87"/>
      <c r="B41" s="138" t="s">
        <v>140</v>
      </c>
      <c r="C41" s="20">
        <v>186</v>
      </c>
      <c r="D41" s="20">
        <v>4</v>
      </c>
      <c r="E41" s="20">
        <v>235</v>
      </c>
      <c r="F41" s="20">
        <v>2</v>
      </c>
      <c r="G41" s="20">
        <v>0</v>
      </c>
      <c r="H41" s="20">
        <v>0</v>
      </c>
      <c r="I41" s="20">
        <v>3</v>
      </c>
      <c r="J41" s="20">
        <v>0</v>
      </c>
      <c r="K41" s="20">
        <v>11</v>
      </c>
      <c r="L41" s="133">
        <v>0</v>
      </c>
      <c r="M41" s="112">
        <f t="shared" ref="M41:M50" si="25">SUM(C41,E41,G41,I41,K41)</f>
        <v>435</v>
      </c>
      <c r="N41" s="140">
        <f t="shared" ref="N41:N50" si="26">SUM(D41,F41,H41,J41,L41)</f>
        <v>6</v>
      </c>
      <c r="O41" s="591">
        <v>1</v>
      </c>
      <c r="P41" s="11"/>
      <c r="Q41" s="115"/>
      <c r="R41" s="10"/>
    </row>
    <row r="42" spans="1:18" x14ac:dyDescent="0.3">
      <c r="A42" s="87"/>
      <c r="B42" s="618" t="s">
        <v>615</v>
      </c>
      <c r="C42" s="619">
        <v>615</v>
      </c>
      <c r="D42" s="619">
        <v>6</v>
      </c>
      <c r="E42" s="619">
        <v>671</v>
      </c>
      <c r="F42" s="619">
        <v>3</v>
      </c>
      <c r="G42" s="619">
        <v>0</v>
      </c>
      <c r="H42" s="619">
        <v>0</v>
      </c>
      <c r="I42" s="619">
        <v>8</v>
      </c>
      <c r="J42" s="619">
        <v>0</v>
      </c>
      <c r="K42" s="619">
        <v>145</v>
      </c>
      <c r="L42" s="620">
        <v>2</v>
      </c>
      <c r="M42" s="621">
        <f>SUM(C42,E42,G42,I42,K42)</f>
        <v>1439</v>
      </c>
      <c r="N42" s="622">
        <f>SUM(D42,F42,H42,J42,L42)</f>
        <v>11</v>
      </c>
      <c r="O42" s="623">
        <v>5</v>
      </c>
      <c r="P42" s="358"/>
      <c r="Q42" s="624"/>
      <c r="R42" s="609" t="s">
        <v>915</v>
      </c>
    </row>
    <row r="43" spans="1:18" x14ac:dyDescent="0.3">
      <c r="A43" s="87"/>
      <c r="B43" s="138" t="s">
        <v>526</v>
      </c>
      <c r="C43" s="20">
        <v>153</v>
      </c>
      <c r="D43" s="20">
        <v>3</v>
      </c>
      <c r="E43" s="20">
        <v>385</v>
      </c>
      <c r="F43" s="20">
        <v>1</v>
      </c>
      <c r="G43" s="20">
        <v>2</v>
      </c>
      <c r="H43" s="20">
        <v>0</v>
      </c>
      <c r="I43" s="20">
        <v>2</v>
      </c>
      <c r="J43" s="20">
        <v>0</v>
      </c>
      <c r="K43" s="20">
        <v>12</v>
      </c>
      <c r="L43" s="133">
        <v>0</v>
      </c>
      <c r="M43" s="112">
        <f t="shared" si="25"/>
        <v>554</v>
      </c>
      <c r="N43" s="140">
        <f t="shared" si="26"/>
        <v>4</v>
      </c>
      <c r="O43" s="591">
        <v>2</v>
      </c>
      <c r="P43" s="11"/>
      <c r="Q43" s="115"/>
      <c r="R43" s="10"/>
    </row>
    <row r="44" spans="1:18" x14ac:dyDescent="0.3">
      <c r="A44" s="87"/>
      <c r="B44" s="138" t="s">
        <v>562</v>
      </c>
      <c r="C44" s="145"/>
      <c r="D44" s="145"/>
      <c r="E44" s="145"/>
      <c r="F44" s="145"/>
      <c r="G44" s="145"/>
      <c r="H44" s="145"/>
      <c r="I44" s="145"/>
      <c r="J44" s="145"/>
      <c r="K44" s="145"/>
      <c r="L44" s="146"/>
      <c r="M44" s="147"/>
      <c r="N44" s="148"/>
      <c r="O44" s="149"/>
      <c r="P44" s="11"/>
      <c r="Q44" s="115"/>
      <c r="R44" s="10"/>
    </row>
    <row r="45" spans="1:18" x14ac:dyDescent="0.3">
      <c r="A45" s="87"/>
      <c r="B45" s="157" t="s">
        <v>553</v>
      </c>
      <c r="C45" s="158">
        <v>1246</v>
      </c>
      <c r="D45" s="158">
        <v>8</v>
      </c>
      <c r="E45" s="158">
        <v>830</v>
      </c>
      <c r="F45" s="158">
        <v>2</v>
      </c>
      <c r="G45" s="158">
        <v>3</v>
      </c>
      <c r="H45" s="158">
        <v>2</v>
      </c>
      <c r="I45" s="158">
        <v>3</v>
      </c>
      <c r="J45" s="158">
        <v>0</v>
      </c>
      <c r="K45" s="158">
        <v>196</v>
      </c>
      <c r="L45" s="159">
        <v>0</v>
      </c>
      <c r="M45" s="160">
        <f t="shared" si="25"/>
        <v>2278</v>
      </c>
      <c r="N45" s="161">
        <f t="shared" si="26"/>
        <v>12</v>
      </c>
      <c r="O45" s="592">
        <v>1</v>
      </c>
      <c r="P45" s="11"/>
      <c r="Q45" s="115"/>
      <c r="R45" s="10"/>
    </row>
    <row r="46" spans="1:18" x14ac:dyDescent="0.3">
      <c r="A46" s="87"/>
      <c r="B46" s="138" t="s">
        <v>142</v>
      </c>
      <c r="C46" s="20">
        <v>96</v>
      </c>
      <c r="D46" s="20">
        <v>0</v>
      </c>
      <c r="E46" s="20">
        <v>123</v>
      </c>
      <c r="F46" s="20">
        <v>2</v>
      </c>
      <c r="G46" s="20">
        <v>0</v>
      </c>
      <c r="H46" s="20">
        <v>0</v>
      </c>
      <c r="I46" s="20">
        <v>3</v>
      </c>
      <c r="J46" s="20">
        <v>0</v>
      </c>
      <c r="K46" s="20">
        <v>25</v>
      </c>
      <c r="L46" s="133">
        <v>0</v>
      </c>
      <c r="M46" s="112">
        <f t="shared" si="25"/>
        <v>247</v>
      </c>
      <c r="N46" s="140">
        <f t="shared" si="26"/>
        <v>2</v>
      </c>
      <c r="O46" s="591">
        <v>0</v>
      </c>
      <c r="P46" s="11"/>
      <c r="Q46" s="115"/>
      <c r="R46" s="10"/>
    </row>
    <row r="47" spans="1:18" x14ac:dyDescent="0.3">
      <c r="A47" s="87"/>
      <c r="B47" s="138" t="s">
        <v>517</v>
      </c>
      <c r="C47" s="20">
        <v>229</v>
      </c>
      <c r="D47" s="20">
        <v>0</v>
      </c>
      <c r="E47" s="20">
        <v>359</v>
      </c>
      <c r="F47" s="20">
        <v>1</v>
      </c>
      <c r="G47" s="20">
        <v>1</v>
      </c>
      <c r="H47" s="20">
        <v>0</v>
      </c>
      <c r="I47" s="20">
        <v>1</v>
      </c>
      <c r="J47" s="20">
        <v>0</v>
      </c>
      <c r="K47" s="20">
        <v>51</v>
      </c>
      <c r="L47" s="133">
        <v>0</v>
      </c>
      <c r="M47" s="112">
        <f t="shared" si="25"/>
        <v>641</v>
      </c>
      <c r="N47" s="140">
        <f t="shared" si="26"/>
        <v>1</v>
      </c>
      <c r="O47" s="591">
        <v>0</v>
      </c>
      <c r="P47" s="11"/>
      <c r="Q47" s="115"/>
      <c r="R47" s="10"/>
    </row>
    <row r="48" spans="1:18" x14ac:dyDescent="0.3">
      <c r="A48" s="87"/>
      <c r="B48" s="618" t="s">
        <v>607</v>
      </c>
      <c r="C48" s="619">
        <v>762</v>
      </c>
      <c r="D48" s="619">
        <v>10</v>
      </c>
      <c r="E48" s="619">
        <v>553</v>
      </c>
      <c r="F48" s="619">
        <v>1</v>
      </c>
      <c r="G48" s="619">
        <v>2</v>
      </c>
      <c r="H48" s="619">
        <v>0</v>
      </c>
      <c r="I48" s="619">
        <v>1</v>
      </c>
      <c r="J48" s="619">
        <v>0</v>
      </c>
      <c r="K48" s="619">
        <v>69</v>
      </c>
      <c r="L48" s="620">
        <v>1</v>
      </c>
      <c r="M48" s="621">
        <f>SUM(C48,E48,G48,I48,K48)</f>
        <v>1387</v>
      </c>
      <c r="N48" s="622">
        <f>SUM(D48,F48,H48,J48,L48)</f>
        <v>12</v>
      </c>
      <c r="O48" s="623">
        <v>1</v>
      </c>
      <c r="P48" s="358"/>
      <c r="Q48" s="624"/>
      <c r="R48" s="609" t="s">
        <v>917</v>
      </c>
    </row>
    <row r="49" spans="1:18" x14ac:dyDescent="0.3">
      <c r="A49" s="87"/>
      <c r="B49" s="138" t="s">
        <v>554</v>
      </c>
      <c r="C49" s="20">
        <v>627</v>
      </c>
      <c r="D49" s="20">
        <v>9</v>
      </c>
      <c r="E49" s="20">
        <v>586</v>
      </c>
      <c r="F49" s="20">
        <v>1</v>
      </c>
      <c r="G49" s="20">
        <v>5</v>
      </c>
      <c r="H49" s="20">
        <v>1</v>
      </c>
      <c r="I49" s="20">
        <v>8</v>
      </c>
      <c r="J49" s="20">
        <v>0</v>
      </c>
      <c r="K49" s="20">
        <v>49</v>
      </c>
      <c r="L49" s="133">
        <v>1</v>
      </c>
      <c r="M49" s="112">
        <f t="shared" si="25"/>
        <v>1275</v>
      </c>
      <c r="N49" s="140">
        <f t="shared" si="26"/>
        <v>12</v>
      </c>
      <c r="O49" s="591">
        <v>2</v>
      </c>
      <c r="P49" s="11"/>
      <c r="Q49" s="115"/>
      <c r="R49" s="10"/>
    </row>
    <row r="50" spans="1:18" x14ac:dyDescent="0.3">
      <c r="A50" s="87"/>
      <c r="B50" s="138" t="s">
        <v>143</v>
      </c>
      <c r="C50" s="20">
        <v>330</v>
      </c>
      <c r="D50" s="20">
        <v>1</v>
      </c>
      <c r="E50" s="20">
        <v>262</v>
      </c>
      <c r="F50" s="20">
        <v>0</v>
      </c>
      <c r="G50" s="20">
        <v>1</v>
      </c>
      <c r="H50" s="20">
        <v>0</v>
      </c>
      <c r="I50" s="20">
        <v>0</v>
      </c>
      <c r="J50" s="20">
        <v>0</v>
      </c>
      <c r="K50" s="20">
        <v>7</v>
      </c>
      <c r="L50" s="133">
        <v>0</v>
      </c>
      <c r="M50" s="112">
        <f t="shared" si="25"/>
        <v>600</v>
      </c>
      <c r="N50" s="140">
        <f t="shared" si="26"/>
        <v>1</v>
      </c>
      <c r="O50" s="591">
        <v>0</v>
      </c>
      <c r="P50" s="11"/>
      <c r="Q50" s="115"/>
      <c r="R50" s="10"/>
    </row>
    <row r="51" spans="1:18" x14ac:dyDescent="0.3">
      <c r="A51" s="87"/>
      <c r="B51" s="138" t="s">
        <v>518</v>
      </c>
      <c r="C51" s="136">
        <v>693</v>
      </c>
      <c r="D51" s="150">
        <v>9</v>
      </c>
      <c r="E51" s="150">
        <v>512</v>
      </c>
      <c r="F51" s="150">
        <v>2</v>
      </c>
      <c r="G51" s="150">
        <v>2</v>
      </c>
      <c r="H51" s="150">
        <v>0</v>
      </c>
      <c r="I51" s="150">
        <v>4</v>
      </c>
      <c r="J51" s="150">
        <v>0</v>
      </c>
      <c r="K51" s="150">
        <v>122</v>
      </c>
      <c r="L51" s="133">
        <v>1</v>
      </c>
      <c r="M51" s="112">
        <f t="shared" ref="M51:N51" si="27">SUM(C51,E51,G51,I51,K51)</f>
        <v>1333</v>
      </c>
      <c r="N51" s="140">
        <f t="shared" si="27"/>
        <v>12</v>
      </c>
      <c r="O51" s="593">
        <v>1</v>
      </c>
      <c r="P51" s="116"/>
      <c r="Q51" s="115"/>
      <c r="R51" s="10"/>
    </row>
    <row r="52" spans="1:18" x14ac:dyDescent="0.3">
      <c r="A52" s="87"/>
      <c r="B52" s="138" t="s">
        <v>928</v>
      </c>
      <c r="C52" s="545">
        <v>2199</v>
      </c>
      <c r="D52" s="546">
        <v>85</v>
      </c>
      <c r="E52" s="546">
        <v>1492</v>
      </c>
      <c r="F52" s="546">
        <v>51</v>
      </c>
      <c r="G52" s="546">
        <v>359</v>
      </c>
      <c r="H52" s="546">
        <v>12</v>
      </c>
      <c r="I52" s="546">
        <v>127</v>
      </c>
      <c r="J52" s="150">
        <v>5</v>
      </c>
      <c r="K52" s="150">
        <v>604</v>
      </c>
      <c r="L52" s="133">
        <v>6</v>
      </c>
      <c r="M52" s="112">
        <f>SUM(C52,E52,G52,I52,K52)</f>
        <v>4781</v>
      </c>
      <c r="N52" s="140">
        <f>SUM(D52,F52,H52,J52,L52)</f>
        <v>159</v>
      </c>
      <c r="O52" s="593">
        <v>22</v>
      </c>
      <c r="P52" s="116"/>
      <c r="Q52" s="115"/>
      <c r="R52" s="10"/>
    </row>
    <row r="53" spans="1:18" x14ac:dyDescent="0.3">
      <c r="A53" s="87"/>
      <c r="B53" s="154" t="s">
        <v>471</v>
      </c>
      <c r="C53" s="122">
        <f t="shared" ref="C53:N53" si="28">C35-SUM(C38,C39)</f>
        <v>68797</v>
      </c>
      <c r="D53" s="122">
        <f t="shared" si="28"/>
        <v>484</v>
      </c>
      <c r="E53" s="122">
        <f t="shared" si="28"/>
        <v>47445</v>
      </c>
      <c r="F53" s="122">
        <f t="shared" si="28"/>
        <v>117</v>
      </c>
      <c r="G53" s="122">
        <f t="shared" si="28"/>
        <v>252</v>
      </c>
      <c r="H53" s="122">
        <f t="shared" si="28"/>
        <v>36</v>
      </c>
      <c r="I53" s="122">
        <f t="shared" si="28"/>
        <v>299</v>
      </c>
      <c r="J53" s="122">
        <f t="shared" si="28"/>
        <v>4</v>
      </c>
      <c r="K53" s="122">
        <f t="shared" si="28"/>
        <v>5655</v>
      </c>
      <c r="L53" s="139">
        <f t="shared" si="28"/>
        <v>47</v>
      </c>
      <c r="M53" s="122">
        <f t="shared" si="28"/>
        <v>122448</v>
      </c>
      <c r="N53" s="139">
        <f t="shared" si="28"/>
        <v>688</v>
      </c>
      <c r="O53" s="122">
        <f>O35-SUM(O38,O39)</f>
        <v>155</v>
      </c>
      <c r="P53" s="49"/>
      <c r="Q53" s="348">
        <f>N53-O53</f>
        <v>533</v>
      </c>
      <c r="R53" s="10"/>
    </row>
    <row r="54" spans="1:18" ht="7.25" customHeight="1" x14ac:dyDescent="0.3">
      <c r="A54" s="87"/>
      <c r="B54" s="88"/>
      <c r="C54" s="88"/>
      <c r="D54" s="124"/>
      <c r="E54" s="61"/>
      <c r="F54" s="61"/>
      <c r="G54" s="61"/>
      <c r="H54" s="61"/>
      <c r="I54" s="61"/>
      <c r="J54" s="61"/>
      <c r="K54" s="61"/>
      <c r="L54" s="61"/>
      <c r="M54" s="61"/>
      <c r="N54" s="88"/>
      <c r="O54" s="88"/>
      <c r="P54" s="88"/>
      <c r="Q54" s="89"/>
      <c r="R54" s="10"/>
    </row>
    <row r="55" spans="1:18" ht="13.75" customHeight="1" x14ac:dyDescent="0.3">
      <c r="A55" s="87"/>
      <c r="B55" s="776" t="s">
        <v>559</v>
      </c>
      <c r="C55" s="772" t="s">
        <v>87</v>
      </c>
      <c r="D55" s="773"/>
      <c r="E55" s="757" t="s">
        <v>80</v>
      </c>
      <c r="F55" s="757"/>
      <c r="G55" s="757" t="s">
        <v>81</v>
      </c>
      <c r="H55" s="757"/>
      <c r="I55" s="757" t="s">
        <v>100</v>
      </c>
      <c r="J55" s="757"/>
      <c r="K55" s="757" t="s">
        <v>519</v>
      </c>
      <c r="L55" s="758"/>
      <c r="M55" s="755" t="s">
        <v>815</v>
      </c>
      <c r="N55" s="753" t="s">
        <v>103</v>
      </c>
      <c r="O55" s="766" t="s">
        <v>375</v>
      </c>
      <c r="P55" s="313"/>
      <c r="Q55" s="766" t="s">
        <v>376</v>
      </c>
    </row>
    <row r="56" spans="1:18" x14ac:dyDescent="0.3">
      <c r="A56" s="87"/>
      <c r="B56" s="777">
        <v>2017</v>
      </c>
      <c r="C56" s="307" t="s">
        <v>101</v>
      </c>
      <c r="D56" s="307" t="s">
        <v>102</v>
      </c>
      <c r="E56" s="307" t="s">
        <v>101</v>
      </c>
      <c r="F56" s="307" t="s">
        <v>102</v>
      </c>
      <c r="G56" s="307" t="s">
        <v>101</v>
      </c>
      <c r="H56" s="307" t="s">
        <v>102</v>
      </c>
      <c r="I56" s="307" t="s">
        <v>101</v>
      </c>
      <c r="J56" s="307" t="s">
        <v>102</v>
      </c>
      <c r="K56" s="307" t="s">
        <v>101</v>
      </c>
      <c r="L56" s="308" t="s">
        <v>102</v>
      </c>
      <c r="M56" s="756"/>
      <c r="N56" s="754"/>
      <c r="O56" s="765"/>
      <c r="P56" s="310"/>
      <c r="Q56" s="765"/>
    </row>
    <row r="57" spans="1:18" x14ac:dyDescent="0.3">
      <c r="A57" s="87"/>
      <c r="B57" s="331" t="s">
        <v>104</v>
      </c>
      <c r="C57" s="332">
        <f>SUM(C58:C59)</f>
        <v>83765.5</v>
      </c>
      <c r="D57" s="333">
        <f t="shared" ref="D57" si="29">SUM(D58:D59)</f>
        <v>765.5</v>
      </c>
      <c r="E57" s="333">
        <f t="shared" ref="E57" si="30">SUM(E58:E59)</f>
        <v>61643.5</v>
      </c>
      <c r="F57" s="333">
        <f t="shared" ref="F57" si="31">SUM(F58:F59)</f>
        <v>263</v>
      </c>
      <c r="G57" s="333">
        <f t="shared" ref="G57" si="32">SUM(G58:G59)</f>
        <v>1113</v>
      </c>
      <c r="H57" s="333">
        <f t="shared" ref="H57" si="33">SUM(H58:H59)</f>
        <v>75.5</v>
      </c>
      <c r="I57" s="333">
        <f t="shared" ref="I57" si="34">SUM(I58:I59)</f>
        <v>1254.5</v>
      </c>
      <c r="J57" s="333">
        <f t="shared" ref="J57" si="35">SUM(J58:J59)</f>
        <v>13.5</v>
      </c>
      <c r="K57" s="333">
        <f t="shared" ref="K57" si="36">SUM(K58:K59)</f>
        <v>7500</v>
      </c>
      <c r="L57" s="334">
        <f t="shared" ref="L57" si="37">SUM(L58:L59)</f>
        <v>65.5</v>
      </c>
      <c r="M57" s="335">
        <f t="shared" ref="M57" si="38">SUM(M58:M59)</f>
        <v>155276.5</v>
      </c>
      <c r="N57" s="336">
        <f t="shared" ref="N57" si="39">SUM(N58:N59)</f>
        <v>1183</v>
      </c>
      <c r="O57" s="155">
        <f t="shared" ref="O57" si="40">SUM(O58:O59)</f>
        <v>231</v>
      </c>
      <c r="P57" s="114"/>
      <c r="Q57" s="127"/>
    </row>
    <row r="58" spans="1:18" x14ac:dyDescent="0.3">
      <c r="A58" s="87"/>
      <c r="B58" s="437" t="s">
        <v>104</v>
      </c>
      <c r="C58" s="438">
        <v>82990</v>
      </c>
      <c r="D58" s="439">
        <v>756</v>
      </c>
      <c r="E58" s="439">
        <v>61180</v>
      </c>
      <c r="F58" s="439">
        <v>260</v>
      </c>
      <c r="G58" s="439">
        <v>1104</v>
      </c>
      <c r="H58" s="439">
        <v>75</v>
      </c>
      <c r="I58" s="439">
        <v>1252</v>
      </c>
      <c r="J58" s="439">
        <v>13</v>
      </c>
      <c r="K58" s="439">
        <v>7425</v>
      </c>
      <c r="L58" s="440">
        <v>65</v>
      </c>
      <c r="M58" s="441">
        <f t="shared" ref="M58" si="41">SUM(C58,E58,G58,I58,K58)</f>
        <v>153951</v>
      </c>
      <c r="N58" s="442">
        <f t="shared" ref="N58" si="42">SUM(D58,F58,H58,J58,L58)</f>
        <v>1169</v>
      </c>
      <c r="O58" s="444">
        <v>228</v>
      </c>
      <c r="P58" s="116"/>
      <c r="Q58" s="115"/>
    </row>
    <row r="59" spans="1:18" x14ac:dyDescent="0.3">
      <c r="A59" s="87"/>
      <c r="B59" s="138" t="s">
        <v>925</v>
      </c>
      <c r="C59" s="150">
        <f>C81</f>
        <v>775.5</v>
      </c>
      <c r="D59" s="150">
        <f t="shared" ref="D59:O59" si="43">D81</f>
        <v>9.5</v>
      </c>
      <c r="E59" s="150">
        <f t="shared" si="43"/>
        <v>463.5</v>
      </c>
      <c r="F59" s="150">
        <f t="shared" si="43"/>
        <v>3</v>
      </c>
      <c r="G59" s="150">
        <f t="shared" si="43"/>
        <v>9</v>
      </c>
      <c r="H59" s="150">
        <f t="shared" si="43"/>
        <v>0.5</v>
      </c>
      <c r="I59" s="150">
        <f t="shared" si="43"/>
        <v>2.5</v>
      </c>
      <c r="J59" s="150">
        <f t="shared" si="43"/>
        <v>0.5</v>
      </c>
      <c r="K59" s="150">
        <f t="shared" si="43"/>
        <v>75</v>
      </c>
      <c r="L59" s="150">
        <f t="shared" si="43"/>
        <v>0.5</v>
      </c>
      <c r="M59" s="136">
        <f t="shared" si="43"/>
        <v>1325.5</v>
      </c>
      <c r="N59" s="150">
        <f t="shared" si="43"/>
        <v>14</v>
      </c>
      <c r="O59" s="136">
        <f t="shared" si="43"/>
        <v>3</v>
      </c>
      <c r="P59" s="116"/>
      <c r="Q59" s="115"/>
    </row>
    <row r="60" spans="1:18" x14ac:dyDescent="0.3">
      <c r="A60" s="87"/>
      <c r="B60" s="131" t="s">
        <v>556</v>
      </c>
      <c r="C60" s="121">
        <v>6220</v>
      </c>
      <c r="D60" s="121">
        <v>137</v>
      </c>
      <c r="E60" s="121">
        <v>4534</v>
      </c>
      <c r="F60" s="121">
        <v>63</v>
      </c>
      <c r="G60" s="121">
        <v>244</v>
      </c>
      <c r="H60" s="121">
        <v>19</v>
      </c>
      <c r="I60" s="121">
        <v>580</v>
      </c>
      <c r="J60" s="121">
        <v>3</v>
      </c>
      <c r="K60" s="121">
        <v>501</v>
      </c>
      <c r="L60" s="134">
        <v>6</v>
      </c>
      <c r="M60" s="120">
        <f t="shared" ref="M60:N60" si="44">SUM(C60,E60,G60,I60,K60)</f>
        <v>12079</v>
      </c>
      <c r="N60" s="141">
        <f t="shared" si="44"/>
        <v>228</v>
      </c>
      <c r="O60" s="129">
        <v>19</v>
      </c>
      <c r="P60" s="11"/>
      <c r="Q60" s="503">
        <f>N60-O60</f>
        <v>209</v>
      </c>
    </row>
    <row r="61" spans="1:18" x14ac:dyDescent="0.3">
      <c r="A61" s="87"/>
      <c r="B61" s="131" t="s">
        <v>561</v>
      </c>
      <c r="C61" s="121">
        <f>SUM(C62:C74)</f>
        <v>12175</v>
      </c>
      <c r="D61" s="121">
        <f t="shared" ref="D61:L61" si="45">SUM(D62:D74)</f>
        <v>217</v>
      </c>
      <c r="E61" s="121">
        <f t="shared" si="45"/>
        <v>8958</v>
      </c>
      <c r="F61" s="121">
        <f t="shared" si="45"/>
        <v>71</v>
      </c>
      <c r="G61" s="121">
        <f t="shared" si="45"/>
        <v>599</v>
      </c>
      <c r="H61" s="121">
        <f t="shared" si="45"/>
        <v>24</v>
      </c>
      <c r="I61" s="121">
        <f t="shared" si="45"/>
        <v>294</v>
      </c>
      <c r="J61" s="121">
        <f t="shared" si="45"/>
        <v>8</v>
      </c>
      <c r="K61" s="121">
        <f t="shared" si="45"/>
        <v>1320</v>
      </c>
      <c r="L61" s="121">
        <f t="shared" si="45"/>
        <v>12</v>
      </c>
      <c r="M61" s="156">
        <f t="shared" ref="M61" si="46">SUM(C61,E61,G61,I61,K61)</f>
        <v>23346</v>
      </c>
      <c r="N61" s="141">
        <f>SUM(D61,F61,H61,J61,L61)</f>
        <v>332</v>
      </c>
      <c r="O61" s="130">
        <f>SUM(O63:O74)</f>
        <v>54</v>
      </c>
      <c r="P61" s="11"/>
      <c r="Q61" s="115"/>
    </row>
    <row r="62" spans="1:18" x14ac:dyDescent="0.3">
      <c r="A62" s="87"/>
      <c r="B62" s="618" t="s">
        <v>612</v>
      </c>
      <c r="C62" s="619">
        <v>879</v>
      </c>
      <c r="D62" s="619">
        <v>5</v>
      </c>
      <c r="E62" s="619">
        <v>607</v>
      </c>
      <c r="F62" s="619">
        <v>3</v>
      </c>
      <c r="G62" s="619">
        <v>5</v>
      </c>
      <c r="H62" s="619">
        <v>1</v>
      </c>
      <c r="I62" s="619">
        <v>4</v>
      </c>
      <c r="J62" s="619">
        <v>0</v>
      </c>
      <c r="K62" s="619">
        <v>134</v>
      </c>
      <c r="L62" s="620">
        <v>1</v>
      </c>
      <c r="M62" s="621">
        <f>SUM(C62,E62,G62,I62,K62)</f>
        <v>1629</v>
      </c>
      <c r="N62" s="622">
        <f>SUM(D62,F62,H62,J62,L62)</f>
        <v>10</v>
      </c>
      <c r="O62" s="623">
        <v>4</v>
      </c>
      <c r="P62" s="358"/>
      <c r="Q62" s="624"/>
      <c r="R62" s="609" t="s">
        <v>915</v>
      </c>
    </row>
    <row r="63" spans="1:18" x14ac:dyDescent="0.3">
      <c r="A63" s="87"/>
      <c r="B63" s="138" t="s">
        <v>140</v>
      </c>
      <c r="C63" s="20">
        <v>235</v>
      </c>
      <c r="D63" s="20">
        <v>2</v>
      </c>
      <c r="E63" s="20">
        <v>219</v>
      </c>
      <c r="F63" s="20">
        <v>1</v>
      </c>
      <c r="G63" s="20">
        <v>3</v>
      </c>
      <c r="H63" s="20">
        <v>0</v>
      </c>
      <c r="I63" s="20">
        <v>3</v>
      </c>
      <c r="J63" s="20">
        <v>0</v>
      </c>
      <c r="K63" s="20">
        <v>8</v>
      </c>
      <c r="L63" s="133">
        <v>0</v>
      </c>
      <c r="M63" s="112">
        <f t="shared" ref="M63:M72" si="47">SUM(C63,E63,G63,I63,K63)</f>
        <v>468</v>
      </c>
      <c r="N63" s="140">
        <f t="shared" ref="N63:N72" si="48">SUM(D63,F63,H63,J63,L63)</f>
        <v>3</v>
      </c>
      <c r="O63" s="591">
        <v>1</v>
      </c>
      <c r="P63" s="11"/>
      <c r="Q63" s="115"/>
    </row>
    <row r="64" spans="1:18" x14ac:dyDescent="0.3">
      <c r="A64" s="625"/>
      <c r="B64" s="618" t="s">
        <v>615</v>
      </c>
      <c r="C64" s="619">
        <v>786</v>
      </c>
      <c r="D64" s="619">
        <v>5</v>
      </c>
      <c r="E64" s="619">
        <v>638</v>
      </c>
      <c r="F64" s="619">
        <v>0</v>
      </c>
      <c r="G64" s="619">
        <v>2</v>
      </c>
      <c r="H64" s="619">
        <v>1</v>
      </c>
      <c r="I64" s="619">
        <v>4</v>
      </c>
      <c r="J64" s="619">
        <v>0</v>
      </c>
      <c r="K64" s="619">
        <v>142</v>
      </c>
      <c r="L64" s="620">
        <v>1</v>
      </c>
      <c r="M64" s="621">
        <f>SUM(C64,E64,G64,I64,K64)</f>
        <v>1572</v>
      </c>
      <c r="N64" s="622">
        <f>SUM(D64,F64,H64,J64,L64)</f>
        <v>7</v>
      </c>
      <c r="O64" s="623">
        <v>4</v>
      </c>
      <c r="P64" s="358"/>
      <c r="Q64" s="624"/>
      <c r="R64" s="609" t="s">
        <v>915</v>
      </c>
    </row>
    <row r="65" spans="1:23" x14ac:dyDescent="0.3">
      <c r="A65" s="87"/>
      <c r="B65" s="138" t="s">
        <v>526</v>
      </c>
      <c r="C65" s="20">
        <v>892</v>
      </c>
      <c r="D65" s="20">
        <v>5</v>
      </c>
      <c r="E65" s="20">
        <v>441</v>
      </c>
      <c r="F65" s="20">
        <v>1</v>
      </c>
      <c r="G65" s="20">
        <v>2</v>
      </c>
      <c r="H65" s="20">
        <v>1</v>
      </c>
      <c r="I65" s="20">
        <v>3</v>
      </c>
      <c r="J65" s="20">
        <v>0</v>
      </c>
      <c r="K65" s="20">
        <v>60</v>
      </c>
      <c r="L65" s="133">
        <v>1</v>
      </c>
      <c r="M65" s="112">
        <f t="shared" si="47"/>
        <v>1398</v>
      </c>
      <c r="N65" s="140">
        <f t="shared" si="48"/>
        <v>8</v>
      </c>
      <c r="O65" s="591">
        <v>2</v>
      </c>
      <c r="P65" s="11"/>
      <c r="Q65" s="115"/>
    </row>
    <row r="66" spans="1:23" x14ac:dyDescent="0.3">
      <c r="A66" s="87"/>
      <c r="B66" s="138" t="s">
        <v>141</v>
      </c>
      <c r="C66" s="20">
        <v>224</v>
      </c>
      <c r="D66" s="20">
        <v>2</v>
      </c>
      <c r="E66" s="20">
        <v>564</v>
      </c>
      <c r="F66" s="20">
        <v>4</v>
      </c>
      <c r="G66" s="20">
        <v>1</v>
      </c>
      <c r="H66" s="20">
        <v>0</v>
      </c>
      <c r="I66" s="20">
        <v>2</v>
      </c>
      <c r="J66" s="20">
        <v>0</v>
      </c>
      <c r="K66" s="20">
        <v>29</v>
      </c>
      <c r="L66" s="133">
        <v>0</v>
      </c>
      <c r="M66" s="112">
        <f t="shared" si="47"/>
        <v>820</v>
      </c>
      <c r="N66" s="140">
        <f t="shared" si="48"/>
        <v>6</v>
      </c>
      <c r="O66" s="591">
        <v>0</v>
      </c>
      <c r="P66" s="11"/>
      <c r="Q66" s="115"/>
    </row>
    <row r="67" spans="1:23" x14ac:dyDescent="0.3">
      <c r="A67" s="87"/>
      <c r="B67" s="157" t="s">
        <v>553</v>
      </c>
      <c r="C67" s="158">
        <v>1274</v>
      </c>
      <c r="D67" s="158">
        <v>9</v>
      </c>
      <c r="E67" s="158">
        <v>824</v>
      </c>
      <c r="F67" s="158">
        <v>2</v>
      </c>
      <c r="G67" s="158">
        <v>3</v>
      </c>
      <c r="H67" s="158">
        <v>1</v>
      </c>
      <c r="I67" s="158">
        <v>0</v>
      </c>
      <c r="J67" s="158">
        <v>0</v>
      </c>
      <c r="K67" s="158">
        <v>162</v>
      </c>
      <c r="L67" s="159">
        <v>2</v>
      </c>
      <c r="M67" s="160">
        <f t="shared" si="47"/>
        <v>2263</v>
      </c>
      <c r="N67" s="161">
        <f t="shared" si="48"/>
        <v>14</v>
      </c>
      <c r="O67" s="592">
        <v>4</v>
      </c>
      <c r="P67" s="11"/>
      <c r="Q67" s="115"/>
    </row>
    <row r="68" spans="1:23" x14ac:dyDescent="0.3">
      <c r="A68" s="87"/>
      <c r="B68" s="138" t="s">
        <v>142</v>
      </c>
      <c r="C68" s="20">
        <v>81</v>
      </c>
      <c r="D68" s="20">
        <v>0</v>
      </c>
      <c r="E68" s="20">
        <v>137</v>
      </c>
      <c r="F68" s="20">
        <v>1</v>
      </c>
      <c r="G68" s="20">
        <v>0</v>
      </c>
      <c r="H68" s="20">
        <v>0</v>
      </c>
      <c r="I68" s="20">
        <v>0</v>
      </c>
      <c r="J68" s="20">
        <v>0</v>
      </c>
      <c r="K68" s="20">
        <v>12</v>
      </c>
      <c r="L68" s="133">
        <v>0</v>
      </c>
      <c r="M68" s="112">
        <f t="shared" si="47"/>
        <v>230</v>
      </c>
      <c r="N68" s="140">
        <f t="shared" si="48"/>
        <v>1</v>
      </c>
      <c r="O68" s="591">
        <v>1</v>
      </c>
      <c r="P68" s="11"/>
      <c r="Q68" s="115"/>
    </row>
    <row r="69" spans="1:23" x14ac:dyDescent="0.3">
      <c r="A69" s="87"/>
      <c r="B69" s="138" t="s">
        <v>517</v>
      </c>
      <c r="C69" s="20">
        <v>1207</v>
      </c>
      <c r="D69" s="20">
        <v>8</v>
      </c>
      <c r="E69" s="20">
        <v>421</v>
      </c>
      <c r="F69" s="20">
        <v>0</v>
      </c>
      <c r="G69" s="20">
        <v>1</v>
      </c>
      <c r="H69" s="20">
        <v>0</v>
      </c>
      <c r="I69" s="20">
        <v>1</v>
      </c>
      <c r="J69" s="20">
        <v>0</v>
      </c>
      <c r="K69" s="20">
        <v>63</v>
      </c>
      <c r="L69" s="133">
        <v>0</v>
      </c>
      <c r="M69" s="112">
        <f t="shared" si="47"/>
        <v>1693</v>
      </c>
      <c r="N69" s="140">
        <f t="shared" si="48"/>
        <v>8</v>
      </c>
      <c r="O69" s="591">
        <v>1</v>
      </c>
      <c r="P69" s="11"/>
      <c r="Q69" s="115"/>
    </row>
    <row r="70" spans="1:23" x14ac:dyDescent="0.3">
      <c r="A70" s="87"/>
      <c r="B70" s="618" t="s">
        <v>607</v>
      </c>
      <c r="C70" s="619">
        <v>243</v>
      </c>
      <c r="D70" s="619">
        <v>8</v>
      </c>
      <c r="E70" s="619">
        <v>527</v>
      </c>
      <c r="F70" s="619">
        <v>1</v>
      </c>
      <c r="G70" s="619">
        <v>0</v>
      </c>
      <c r="H70" s="619">
        <v>0</v>
      </c>
      <c r="I70" s="619">
        <v>3</v>
      </c>
      <c r="J70" s="619">
        <v>0</v>
      </c>
      <c r="K70" s="619">
        <v>30</v>
      </c>
      <c r="L70" s="620">
        <v>1</v>
      </c>
      <c r="M70" s="621">
        <f>SUM(C70,E70,G70,I70,K70)</f>
        <v>803</v>
      </c>
      <c r="N70" s="622">
        <f>SUM(D70,F70,H70,J70,L70)</f>
        <v>10</v>
      </c>
      <c r="O70" s="623">
        <v>3</v>
      </c>
      <c r="P70" s="358"/>
      <c r="Q70" s="624"/>
      <c r="R70" s="609" t="s">
        <v>916</v>
      </c>
    </row>
    <row r="71" spans="1:23" x14ac:dyDescent="0.3">
      <c r="A71" s="87"/>
      <c r="B71" s="138" t="s">
        <v>554</v>
      </c>
      <c r="C71" s="20">
        <v>425</v>
      </c>
      <c r="D71" s="20">
        <v>3</v>
      </c>
      <c r="E71" s="20">
        <v>528</v>
      </c>
      <c r="F71" s="20">
        <v>1</v>
      </c>
      <c r="G71" s="20">
        <v>3</v>
      </c>
      <c r="H71" s="20">
        <v>0</v>
      </c>
      <c r="I71" s="20">
        <v>1</v>
      </c>
      <c r="J71" s="20">
        <v>0</v>
      </c>
      <c r="K71" s="20">
        <v>84</v>
      </c>
      <c r="L71" s="133">
        <v>0</v>
      </c>
      <c r="M71" s="112">
        <f t="shared" si="47"/>
        <v>1041</v>
      </c>
      <c r="N71" s="140">
        <f t="shared" si="48"/>
        <v>4</v>
      </c>
      <c r="O71" s="591">
        <v>1</v>
      </c>
      <c r="P71" s="11"/>
      <c r="Q71" s="115"/>
    </row>
    <row r="72" spans="1:23" x14ac:dyDescent="0.3">
      <c r="A72" s="87"/>
      <c r="B72" s="138" t="s">
        <v>143</v>
      </c>
      <c r="C72" s="20">
        <v>319</v>
      </c>
      <c r="D72" s="20">
        <v>1</v>
      </c>
      <c r="E72" s="20">
        <v>399</v>
      </c>
      <c r="F72" s="20">
        <v>3</v>
      </c>
      <c r="G72" s="20">
        <v>2</v>
      </c>
      <c r="H72" s="20">
        <v>1</v>
      </c>
      <c r="I72" s="20">
        <v>1</v>
      </c>
      <c r="J72" s="20">
        <v>0</v>
      </c>
      <c r="K72" s="20">
        <v>4</v>
      </c>
      <c r="L72" s="133">
        <v>0</v>
      </c>
      <c r="M72" s="112">
        <f t="shared" si="47"/>
        <v>725</v>
      </c>
      <c r="N72" s="140">
        <f t="shared" si="48"/>
        <v>5</v>
      </c>
      <c r="O72" s="591">
        <v>2</v>
      </c>
      <c r="P72" s="11"/>
      <c r="Q72" s="115"/>
    </row>
    <row r="73" spans="1:23" x14ac:dyDescent="0.3">
      <c r="A73" s="87"/>
      <c r="B73" s="138" t="s">
        <v>518</v>
      </c>
      <c r="C73" s="150">
        <v>271</v>
      </c>
      <c r="D73" s="150">
        <v>1</v>
      </c>
      <c r="E73" s="150">
        <v>392</v>
      </c>
      <c r="F73" s="150">
        <v>1</v>
      </c>
      <c r="G73" s="150">
        <v>0</v>
      </c>
      <c r="H73" s="150">
        <v>0</v>
      </c>
      <c r="I73" s="150">
        <v>2</v>
      </c>
      <c r="J73" s="150">
        <v>0</v>
      </c>
      <c r="K73" s="150">
        <v>67</v>
      </c>
      <c r="L73" s="133">
        <v>2</v>
      </c>
      <c r="M73" s="112">
        <f t="shared" ref="M73:N74" si="49">SUM(C73,E73,G73,I73,K73)</f>
        <v>732</v>
      </c>
      <c r="N73" s="140">
        <f t="shared" si="49"/>
        <v>4</v>
      </c>
      <c r="O73" s="593">
        <v>2</v>
      </c>
      <c r="P73" s="116"/>
      <c r="Q73" s="115"/>
    </row>
    <row r="74" spans="1:23" x14ac:dyDescent="0.3">
      <c r="A74" s="87"/>
      <c r="B74" s="138" t="s">
        <v>928</v>
      </c>
      <c r="C74" s="150">
        <v>5339</v>
      </c>
      <c r="D74" s="150">
        <v>168</v>
      </c>
      <c r="E74" s="150">
        <v>3261</v>
      </c>
      <c r="F74" s="150">
        <v>53</v>
      </c>
      <c r="G74" s="150">
        <v>577</v>
      </c>
      <c r="H74" s="150">
        <v>19</v>
      </c>
      <c r="I74" s="150">
        <v>270</v>
      </c>
      <c r="J74" s="150">
        <v>8</v>
      </c>
      <c r="K74" s="150">
        <v>525</v>
      </c>
      <c r="L74" s="133">
        <v>4</v>
      </c>
      <c r="M74" s="112">
        <f t="shared" si="49"/>
        <v>9972</v>
      </c>
      <c r="N74" s="140">
        <f>SUM(D74,F74,H74,J74,L74)</f>
        <v>252</v>
      </c>
      <c r="O74" s="593">
        <v>33</v>
      </c>
      <c r="P74" s="116"/>
      <c r="Q74" s="115"/>
    </row>
    <row r="75" spans="1:23" x14ac:dyDescent="0.3">
      <c r="A75" s="87"/>
      <c r="B75" s="154" t="s">
        <v>471</v>
      </c>
      <c r="C75" s="122">
        <f>C57-SUM(C60:C61)</f>
        <v>65370.5</v>
      </c>
      <c r="D75" s="122">
        <f t="shared" ref="D75:N75" si="50">D57-SUM(D60:D61)</f>
        <v>411.5</v>
      </c>
      <c r="E75" s="122">
        <f t="shared" si="50"/>
        <v>48151.5</v>
      </c>
      <c r="F75" s="122">
        <f t="shared" si="50"/>
        <v>129</v>
      </c>
      <c r="G75" s="122">
        <f t="shared" si="50"/>
        <v>270</v>
      </c>
      <c r="H75" s="122">
        <f t="shared" si="50"/>
        <v>32.5</v>
      </c>
      <c r="I75" s="122">
        <f t="shared" si="50"/>
        <v>380.5</v>
      </c>
      <c r="J75" s="122">
        <f t="shared" si="50"/>
        <v>2.5</v>
      </c>
      <c r="K75" s="122">
        <f t="shared" si="50"/>
        <v>5679</v>
      </c>
      <c r="L75" s="139">
        <f t="shared" si="50"/>
        <v>47.5</v>
      </c>
      <c r="M75" s="122">
        <f t="shared" si="50"/>
        <v>119851.5</v>
      </c>
      <c r="N75" s="122">
        <f t="shared" si="50"/>
        <v>623</v>
      </c>
      <c r="O75" s="122">
        <f>O57-SUM(O60,O61)</f>
        <v>158</v>
      </c>
      <c r="P75" s="49"/>
      <c r="Q75" s="421">
        <f>N75-O75</f>
        <v>465</v>
      </c>
    </row>
    <row r="76" spans="1:23" x14ac:dyDescent="0.3">
      <c r="A76" s="87"/>
      <c r="B76" s="61"/>
      <c r="C76" s="61"/>
      <c r="D76" s="61"/>
      <c r="E76" s="61"/>
      <c r="F76" s="61"/>
      <c r="G76" s="61"/>
      <c r="H76" s="61"/>
      <c r="I76" s="61"/>
      <c r="J76" s="61"/>
      <c r="K76" s="61"/>
      <c r="L76" s="61"/>
      <c r="M76" s="61"/>
      <c r="N76" s="61"/>
      <c r="O76" s="61"/>
      <c r="P76" s="61"/>
      <c r="Q76" s="62"/>
    </row>
    <row r="77" spans="1:23" ht="21" customHeight="1" x14ac:dyDescent="0.3">
      <c r="A77" s="760" t="s">
        <v>830</v>
      </c>
      <c r="B77" s="761"/>
      <c r="C77" s="757" t="s">
        <v>87</v>
      </c>
      <c r="D77" s="757"/>
      <c r="E77" s="757" t="s">
        <v>80</v>
      </c>
      <c r="F77" s="757"/>
      <c r="G77" s="757" t="s">
        <v>81</v>
      </c>
      <c r="H77" s="757"/>
      <c r="I77" s="757" t="s">
        <v>100</v>
      </c>
      <c r="J77" s="757"/>
      <c r="K77" s="757" t="s">
        <v>519</v>
      </c>
      <c r="L77" s="758"/>
      <c r="M77" s="755" t="s">
        <v>815</v>
      </c>
      <c r="N77" s="753" t="s">
        <v>103</v>
      </c>
      <c r="O77" s="755" t="s">
        <v>375</v>
      </c>
      <c r="P77" s="318"/>
      <c r="Q77" s="759" t="s">
        <v>376</v>
      </c>
    </row>
    <row r="78" spans="1:23" ht="19.25" customHeight="1" x14ac:dyDescent="0.3">
      <c r="A78" s="762"/>
      <c r="B78" s="763"/>
      <c r="C78" s="311" t="s">
        <v>101</v>
      </c>
      <c r="D78" s="311" t="s">
        <v>102</v>
      </c>
      <c r="E78" s="311" t="s">
        <v>101</v>
      </c>
      <c r="F78" s="311" t="s">
        <v>102</v>
      </c>
      <c r="G78" s="311" t="s">
        <v>101</v>
      </c>
      <c r="H78" s="311" t="s">
        <v>102</v>
      </c>
      <c r="I78" s="311" t="s">
        <v>101</v>
      </c>
      <c r="J78" s="311" t="s">
        <v>102</v>
      </c>
      <c r="K78" s="311" t="s">
        <v>101</v>
      </c>
      <c r="L78" s="312" t="s">
        <v>102</v>
      </c>
      <c r="M78" s="756"/>
      <c r="N78" s="754"/>
      <c r="O78" s="756"/>
      <c r="P78" s="211"/>
      <c r="Q78" s="756"/>
    </row>
    <row r="79" spans="1:23" x14ac:dyDescent="0.3">
      <c r="B79" s="341" t="s">
        <v>825</v>
      </c>
      <c r="C79" s="20">
        <v>1699</v>
      </c>
      <c r="D79" s="20">
        <v>27</v>
      </c>
      <c r="E79" s="20">
        <v>763</v>
      </c>
      <c r="F79" s="20">
        <v>4</v>
      </c>
      <c r="G79" s="20">
        <v>13</v>
      </c>
      <c r="H79" s="20">
        <v>0</v>
      </c>
      <c r="I79" s="20">
        <v>3</v>
      </c>
      <c r="J79" s="20">
        <v>0</v>
      </c>
      <c r="K79" s="150">
        <v>74</v>
      </c>
      <c r="L79" s="133">
        <v>1</v>
      </c>
      <c r="M79" s="113">
        <f>SUM(C79,E79,G79,I79,K79)</f>
        <v>2552</v>
      </c>
      <c r="N79" s="340">
        <f>SUM(D79,F79,H79,J79,L79)</f>
        <v>32</v>
      </c>
      <c r="O79" s="150">
        <v>4</v>
      </c>
      <c r="P79" s="8"/>
      <c r="Q79" s="349">
        <f t="shared" ref="Q79:Q81" si="51">N79-O79</f>
        <v>28</v>
      </c>
      <c r="R79" s="8" t="s">
        <v>836</v>
      </c>
      <c r="S79" s="8"/>
      <c r="T79" s="8"/>
      <c r="U79" s="8"/>
      <c r="V79" s="8"/>
      <c r="W79" s="8"/>
    </row>
    <row r="80" spans="1:23" x14ac:dyDescent="0.3">
      <c r="B80" s="343" t="s">
        <v>824</v>
      </c>
      <c r="C80" s="20">
        <v>2612</v>
      </c>
      <c r="D80" s="20">
        <v>14</v>
      </c>
      <c r="E80" s="20">
        <v>878</v>
      </c>
      <c r="F80" s="20">
        <v>1</v>
      </c>
      <c r="G80" s="20">
        <v>11</v>
      </c>
      <c r="H80" s="20">
        <v>0</v>
      </c>
      <c r="I80" s="20">
        <v>3</v>
      </c>
      <c r="J80" s="20">
        <v>0</v>
      </c>
      <c r="K80" s="150">
        <v>121</v>
      </c>
      <c r="L80" s="133">
        <v>0</v>
      </c>
      <c r="M80" s="113">
        <f t="shared" ref="M80" si="52">SUM(C80,E80,G80,I80,K80)</f>
        <v>3625</v>
      </c>
      <c r="N80" s="143">
        <f t="shared" ref="N80" si="53">SUM(D80,F80,H80,J80,L80)</f>
        <v>15</v>
      </c>
      <c r="O80" s="150">
        <v>4</v>
      </c>
      <c r="P80" s="8"/>
      <c r="Q80" s="350">
        <f t="shared" si="51"/>
        <v>11</v>
      </c>
      <c r="R80" s="8" t="s">
        <v>835</v>
      </c>
      <c r="S80" s="8"/>
      <c r="T80" s="8"/>
      <c r="U80" s="8"/>
      <c r="V80" s="8"/>
      <c r="W80" s="8"/>
    </row>
    <row r="81" spans="1:23" x14ac:dyDescent="0.3">
      <c r="A81" s="50"/>
      <c r="B81" s="342" t="s">
        <v>823</v>
      </c>
      <c r="C81" s="60">
        <f>1551/2</f>
        <v>775.5</v>
      </c>
      <c r="D81" s="60">
        <f>19/2</f>
        <v>9.5</v>
      </c>
      <c r="E81" s="60">
        <f>927/2</f>
        <v>463.5</v>
      </c>
      <c r="F81" s="60">
        <f>6/2</f>
        <v>3</v>
      </c>
      <c r="G81" s="60">
        <f>18/2</f>
        <v>9</v>
      </c>
      <c r="H81" s="60">
        <f>1/2</f>
        <v>0.5</v>
      </c>
      <c r="I81" s="60">
        <f>5/2</f>
        <v>2.5</v>
      </c>
      <c r="J81" s="60">
        <f>1/2</f>
        <v>0.5</v>
      </c>
      <c r="K81" s="60">
        <f>150/2</f>
        <v>75</v>
      </c>
      <c r="L81" s="344">
        <f>1/2</f>
        <v>0.5</v>
      </c>
      <c r="M81" s="345">
        <f>SUM(C81,E81,G81,I81,K81)</f>
        <v>1325.5</v>
      </c>
      <c r="N81" s="346">
        <f>SUM(D81,F81,H81,J81,L81)</f>
        <v>14</v>
      </c>
      <c r="O81" s="34">
        <f>6/2</f>
        <v>3</v>
      </c>
      <c r="P81" s="34"/>
      <c r="Q81" s="128">
        <f t="shared" si="51"/>
        <v>11</v>
      </c>
      <c r="R81" s="8" t="s">
        <v>834</v>
      </c>
      <c r="S81" s="8"/>
      <c r="T81" s="8"/>
      <c r="U81" s="8"/>
      <c r="V81" s="8"/>
      <c r="W81" s="8"/>
    </row>
    <row r="82" spans="1:23" ht="6.65" customHeight="1" x14ac:dyDescent="0.3">
      <c r="A82" s="63"/>
      <c r="B82" s="63"/>
      <c r="C82" s="63"/>
      <c r="D82" s="63"/>
      <c r="E82" s="63"/>
      <c r="F82" s="63"/>
      <c r="G82" s="63"/>
      <c r="H82" s="63"/>
      <c r="I82" s="63"/>
      <c r="J82" s="63"/>
      <c r="K82" s="63"/>
      <c r="L82" s="63"/>
      <c r="M82" s="63"/>
      <c r="N82" s="63"/>
      <c r="O82" s="63"/>
      <c r="P82" s="63"/>
      <c r="Q82" s="64"/>
    </row>
    <row r="83" spans="1:23" ht="27.65" customHeight="1" x14ac:dyDescent="0.3">
      <c r="A83" s="774" t="s">
        <v>837</v>
      </c>
      <c r="B83" s="775"/>
      <c r="C83" s="98">
        <v>2016</v>
      </c>
      <c r="D83" s="98">
        <v>2017</v>
      </c>
      <c r="E83" s="98">
        <v>2018</v>
      </c>
      <c r="F83" s="8"/>
      <c r="G83" s="305" t="s">
        <v>560</v>
      </c>
      <c r="H83" s="352" t="s">
        <v>524</v>
      </c>
      <c r="N83" s="97"/>
      <c r="O83" s="97"/>
      <c r="P83" s="97"/>
      <c r="Q83" s="351"/>
    </row>
    <row r="84" spans="1:23" x14ac:dyDescent="0.3">
      <c r="B84" s="24" t="s">
        <v>831</v>
      </c>
      <c r="C84" s="354">
        <f>108732 + C91</f>
        <v>109543.5</v>
      </c>
      <c r="D84" s="354">
        <f>106975+D91</f>
        <v>108462</v>
      </c>
      <c r="E84" s="354">
        <f>99569 +E91</f>
        <v>100870</v>
      </c>
      <c r="F84" s="8"/>
      <c r="G84" s="306">
        <f>AVERAGE(C84:E84)</f>
        <v>106291.83333333333</v>
      </c>
    </row>
    <row r="85" spans="1:23" x14ac:dyDescent="0.3">
      <c r="A85" s="50"/>
      <c r="B85" s="57" t="s">
        <v>473</v>
      </c>
      <c r="C85" s="100">
        <f>C84-(C94+C111)</f>
        <v>87224.5</v>
      </c>
      <c r="D85" s="100">
        <f>D84-(D94+D111)</f>
        <v>85284</v>
      </c>
      <c r="E85" s="100">
        <f>E84-(E94+E111)</f>
        <v>85240</v>
      </c>
      <c r="F85" s="8"/>
      <c r="G85" s="103">
        <f>AVERAGE(C85:E85)</f>
        <v>85916.166666666672</v>
      </c>
    </row>
    <row r="86" spans="1:23" ht="7.75" customHeight="1" thickBot="1" x14ac:dyDescent="0.35">
      <c r="A86" s="10"/>
      <c r="B86" s="163"/>
      <c r="F86" s="8"/>
    </row>
    <row r="87" spans="1:23" x14ac:dyDescent="0.3">
      <c r="A87" s="10"/>
      <c r="B87" s="450" t="s">
        <v>867</v>
      </c>
      <c r="C87" s="451">
        <v>2016</v>
      </c>
      <c r="D87" s="451">
        <v>2017</v>
      </c>
      <c r="E87" s="452">
        <v>2018</v>
      </c>
      <c r="F87" s="8"/>
    </row>
    <row r="88" spans="1:23" ht="14.5" thickBot="1" x14ac:dyDescent="0.35">
      <c r="A88" s="10"/>
      <c r="B88" s="456" t="s">
        <v>827</v>
      </c>
      <c r="C88" s="453">
        <v>1623</v>
      </c>
      <c r="D88" s="453">
        <v>1487</v>
      </c>
      <c r="E88" s="454">
        <v>1301</v>
      </c>
      <c r="F88" s="8"/>
    </row>
    <row r="89" spans="1:23" ht="14.5" thickTop="1" x14ac:dyDescent="0.3">
      <c r="A89" s="10"/>
      <c r="B89" s="457" t="s">
        <v>828</v>
      </c>
      <c r="C89" s="165">
        <f>C88/2</f>
        <v>811.5</v>
      </c>
      <c r="D89" s="165">
        <f>D88/2</f>
        <v>743.5</v>
      </c>
      <c r="E89" s="455">
        <f>E88/2</f>
        <v>650.5</v>
      </c>
      <c r="F89" s="8" t="s">
        <v>833</v>
      </c>
      <c r="P89" s="339"/>
    </row>
    <row r="90" spans="1:23" ht="14.5" thickBot="1" x14ac:dyDescent="0.35">
      <c r="A90" s="10"/>
      <c r="B90" s="456" t="s">
        <v>829</v>
      </c>
      <c r="C90" s="453"/>
      <c r="D90" s="453">
        <f>D89</f>
        <v>743.5</v>
      </c>
      <c r="E90" s="454">
        <f>E89</f>
        <v>650.5</v>
      </c>
      <c r="F90" s="8" t="s">
        <v>832</v>
      </c>
    </row>
    <row r="91" spans="1:23" ht="15.65" customHeight="1" thickTop="1" thickBot="1" x14ac:dyDescent="0.35">
      <c r="A91" s="10"/>
      <c r="B91" s="458" t="s">
        <v>866</v>
      </c>
      <c r="C91" s="459">
        <f>SUM(C89:C90)</f>
        <v>811.5</v>
      </c>
      <c r="D91" s="459">
        <f>SUM(D89:D90)</f>
        <v>1487</v>
      </c>
      <c r="E91" s="460">
        <f>SUM(E89:E90)</f>
        <v>1301</v>
      </c>
      <c r="F91" s="8"/>
      <c r="G91" s="165"/>
      <c r="K91" s="165"/>
    </row>
    <row r="92" spans="1:23" ht="4.75" customHeight="1" x14ac:dyDescent="0.3">
      <c r="A92" s="50"/>
      <c r="B92" s="57"/>
      <c r="C92" s="53"/>
      <c r="D92" s="53"/>
      <c r="E92" s="53"/>
      <c r="F92" s="164"/>
      <c r="G92" s="164"/>
      <c r="H92" s="164"/>
      <c r="I92" s="8"/>
      <c r="J92" s="165"/>
      <c r="K92" s="165"/>
    </row>
    <row r="93" spans="1:23" x14ac:dyDescent="0.3">
      <c r="B93" s="21" t="s">
        <v>423</v>
      </c>
      <c r="C93" s="22"/>
      <c r="D93" s="22"/>
      <c r="G93" s="50"/>
      <c r="I93" s="8"/>
      <c r="J93" s="43"/>
      <c r="K93" s="43"/>
    </row>
    <row r="94" spans="1:23" x14ac:dyDescent="0.3">
      <c r="A94" s="50"/>
      <c r="B94" s="58" t="s">
        <v>555</v>
      </c>
      <c r="C94" s="103">
        <v>6776</v>
      </c>
      <c r="D94" s="103">
        <v>8060</v>
      </c>
      <c r="E94" s="103">
        <v>9294</v>
      </c>
      <c r="G94" s="166">
        <f>AVERAGE(C94:E94)</f>
        <v>8043.333333333333</v>
      </c>
    </row>
    <row r="95" spans="1:23" ht="4.75" customHeight="1" x14ac:dyDescent="0.3"/>
    <row r="96" spans="1:23" x14ac:dyDescent="0.3">
      <c r="B96" s="52" t="s">
        <v>839</v>
      </c>
      <c r="C96" s="52"/>
      <c r="D96" s="52"/>
      <c r="E96" s="52"/>
      <c r="F96" s="96"/>
      <c r="G96" s="96"/>
      <c r="H96" s="96"/>
      <c r="I96" s="8"/>
      <c r="J96" s="42"/>
    </row>
    <row r="97" spans="1:21" x14ac:dyDescent="0.3">
      <c r="B97" s="445" t="s">
        <v>612</v>
      </c>
      <c r="C97" s="291">
        <v>1175</v>
      </c>
      <c r="D97" s="291">
        <v>1295</v>
      </c>
      <c r="E97" s="291">
        <f>ROUNDUP(1082*((365-T14)/365),0)</f>
        <v>632</v>
      </c>
      <c r="F97" s="614" t="s">
        <v>930</v>
      </c>
      <c r="G97" s="101"/>
      <c r="H97" s="101"/>
      <c r="I97" s="616"/>
      <c r="J97" s="616"/>
      <c r="K97" s="616"/>
      <c r="L97" s="616"/>
      <c r="M97" s="614"/>
      <c r="N97" s="615"/>
      <c r="O97" s="615"/>
      <c r="P97" s="11"/>
      <c r="Q97" s="41"/>
      <c r="R97" s="11"/>
      <c r="S97" s="11"/>
      <c r="T97" s="11"/>
      <c r="U97" s="11"/>
    </row>
    <row r="98" spans="1:21" x14ac:dyDescent="0.3">
      <c r="B98" s="23" t="s">
        <v>140</v>
      </c>
      <c r="C98" s="168">
        <v>391</v>
      </c>
      <c r="D98" s="168">
        <v>423</v>
      </c>
      <c r="E98" s="168">
        <v>139</v>
      </c>
      <c r="F98" s="8"/>
      <c r="G98" s="42"/>
      <c r="H98" s="42"/>
      <c r="M98" s="614"/>
      <c r="N98" s="11"/>
      <c r="O98" s="11"/>
      <c r="P98" s="11"/>
      <c r="Q98" s="41"/>
      <c r="R98" s="11"/>
      <c r="S98" s="11"/>
      <c r="T98" s="11"/>
      <c r="U98" s="11"/>
    </row>
    <row r="99" spans="1:21" x14ac:dyDescent="0.3">
      <c r="B99" s="445" t="s">
        <v>615</v>
      </c>
      <c r="C99" s="291">
        <v>1230</v>
      </c>
      <c r="D99" s="291">
        <v>1186</v>
      </c>
      <c r="E99" s="291">
        <f>ROUNDUP(1094*((365-T15)/365),0)</f>
        <v>456</v>
      </c>
      <c r="F99" s="614" t="s">
        <v>931</v>
      </c>
      <c r="G99" s="101"/>
      <c r="H99" s="101"/>
      <c r="I99" s="616"/>
      <c r="J99" s="616"/>
      <c r="K99" s="616"/>
      <c r="L99" s="616"/>
      <c r="M99" s="614"/>
      <c r="N99" s="615"/>
      <c r="O99" s="615"/>
      <c r="P99" s="11"/>
      <c r="Q99" s="41"/>
      <c r="R99" s="11"/>
      <c r="S99" s="11"/>
      <c r="T99" s="11"/>
      <c r="U99" s="11"/>
    </row>
    <row r="100" spans="1:21" x14ac:dyDescent="0.3">
      <c r="B100" s="445" t="s">
        <v>526</v>
      </c>
      <c r="C100" s="168">
        <v>810</v>
      </c>
      <c r="D100" s="168">
        <v>705</v>
      </c>
      <c r="E100" s="168">
        <v>712</v>
      </c>
      <c r="F100" s="96" t="s">
        <v>926</v>
      </c>
      <c r="G100" s="101"/>
      <c r="H100" s="101"/>
      <c r="L100" s="102"/>
      <c r="M100" s="102"/>
    </row>
    <row r="101" spans="1:21" x14ac:dyDescent="0.3">
      <c r="B101" s="446" t="s">
        <v>141</v>
      </c>
      <c r="C101" s="168">
        <v>1026</v>
      </c>
      <c r="D101" s="162"/>
      <c r="E101" s="162"/>
      <c r="F101" s="33" t="s">
        <v>525</v>
      </c>
      <c r="G101" s="42"/>
      <c r="H101" s="42"/>
    </row>
    <row r="102" spans="1:21" x14ac:dyDescent="0.3">
      <c r="B102" s="445" t="s">
        <v>553</v>
      </c>
      <c r="C102" s="168">
        <v>1536</v>
      </c>
      <c r="D102" s="168">
        <v>1560</v>
      </c>
      <c r="E102" s="168">
        <v>1523</v>
      </c>
      <c r="F102" s="96" t="s">
        <v>926</v>
      </c>
      <c r="G102" s="42"/>
      <c r="H102" s="42"/>
      <c r="Q102"/>
    </row>
    <row r="103" spans="1:21" x14ac:dyDescent="0.3">
      <c r="B103" s="446" t="s">
        <v>142</v>
      </c>
      <c r="C103" s="168">
        <v>211</v>
      </c>
      <c r="D103" s="168">
        <v>190</v>
      </c>
      <c r="E103" s="168">
        <v>65</v>
      </c>
      <c r="F103" s="8"/>
      <c r="G103" s="42"/>
      <c r="H103" s="42"/>
      <c r="Q103"/>
    </row>
    <row r="104" spans="1:21" x14ac:dyDescent="0.3">
      <c r="B104" s="445" t="s">
        <v>517</v>
      </c>
      <c r="C104" s="168">
        <v>809</v>
      </c>
      <c r="D104" s="168">
        <v>621</v>
      </c>
      <c r="E104" s="168">
        <v>535</v>
      </c>
      <c r="F104" s="96" t="s">
        <v>926</v>
      </c>
      <c r="G104" s="291"/>
      <c r="H104" s="291"/>
      <c r="Q104"/>
    </row>
    <row r="105" spans="1:21" x14ac:dyDescent="0.3">
      <c r="B105" s="445" t="s">
        <v>607</v>
      </c>
      <c r="C105" s="291">
        <v>997</v>
      </c>
      <c r="D105" s="291">
        <v>1040</v>
      </c>
      <c r="E105" s="291"/>
      <c r="F105" s="614" t="s">
        <v>929</v>
      </c>
      <c r="G105" s="101"/>
      <c r="H105" s="101"/>
      <c r="I105" s="616"/>
      <c r="J105" s="616"/>
      <c r="K105" s="616"/>
      <c r="L105" s="616"/>
      <c r="M105" s="614"/>
      <c r="N105" s="615"/>
      <c r="O105" s="615"/>
      <c r="P105" s="11"/>
      <c r="Q105" s="11"/>
      <c r="R105" s="11"/>
      <c r="S105" s="11"/>
      <c r="T105" s="11"/>
      <c r="U105" s="11"/>
    </row>
    <row r="106" spans="1:21" x14ac:dyDescent="0.3">
      <c r="B106" s="445" t="s">
        <v>554</v>
      </c>
      <c r="C106" s="168">
        <v>992</v>
      </c>
      <c r="D106" s="168">
        <v>1099</v>
      </c>
      <c r="E106" s="168">
        <v>997</v>
      </c>
      <c r="F106" s="96" t="s">
        <v>926</v>
      </c>
      <c r="G106" s="42"/>
      <c r="H106" s="42"/>
      <c r="Q106"/>
    </row>
    <row r="107" spans="1:21" x14ac:dyDescent="0.3">
      <c r="B107" s="446" t="s">
        <v>143</v>
      </c>
      <c r="C107" s="168">
        <v>698</v>
      </c>
      <c r="D107" s="168">
        <v>523</v>
      </c>
      <c r="E107" s="168">
        <v>627</v>
      </c>
      <c r="F107" s="8"/>
      <c r="G107" s="42"/>
      <c r="H107" s="42"/>
      <c r="Q107"/>
    </row>
    <row r="108" spans="1:21" x14ac:dyDescent="0.3">
      <c r="B108" s="445" t="s">
        <v>518</v>
      </c>
      <c r="C108" s="168">
        <v>756</v>
      </c>
      <c r="D108" s="168">
        <v>831</v>
      </c>
      <c r="E108" s="168">
        <v>650</v>
      </c>
      <c r="F108" s="96" t="s">
        <v>926</v>
      </c>
      <c r="G108" s="168"/>
      <c r="H108" s="168"/>
      <c r="Q108"/>
    </row>
    <row r="109" spans="1:21" x14ac:dyDescent="0.3">
      <c r="B109" s="447" t="s">
        <v>144</v>
      </c>
      <c r="C109" s="353"/>
      <c r="D109" s="353"/>
      <c r="E109" s="353"/>
      <c r="F109" s="33" t="s">
        <v>516</v>
      </c>
      <c r="M109" s="9"/>
      <c r="Q109"/>
    </row>
    <row r="110" spans="1:21" ht="14.5" thickBot="1" x14ac:dyDescent="0.35">
      <c r="A110" s="10"/>
      <c r="B110" s="448" t="s">
        <v>798</v>
      </c>
      <c r="C110" s="449">
        <v>4912</v>
      </c>
      <c r="D110" s="449">
        <v>5645</v>
      </c>
      <c r="E110" s="449">
        <v>0</v>
      </c>
      <c r="F110" s="167" t="s">
        <v>838</v>
      </c>
      <c r="M110" s="9"/>
      <c r="Q110"/>
    </row>
    <row r="111" spans="1:21" ht="14.5" thickTop="1" x14ac:dyDescent="0.3">
      <c r="B111" s="65" t="s">
        <v>422</v>
      </c>
      <c r="C111" s="99">
        <f>SUM(C97:C110)</f>
        <v>15543</v>
      </c>
      <c r="D111" s="99">
        <f t="shared" ref="D111:E111" si="54">SUM(D97:D110)</f>
        <v>15118</v>
      </c>
      <c r="E111" s="99">
        <f t="shared" si="54"/>
        <v>6336</v>
      </c>
      <c r="F111" s="33"/>
      <c r="G111" s="66">
        <f>AVERAGE(C111:E111)</f>
        <v>12332.333333333334</v>
      </c>
      <c r="Q111"/>
    </row>
    <row r="112" spans="1:21" ht="4.75" customHeight="1" x14ac:dyDescent="0.3">
      <c r="A112" s="50"/>
      <c r="B112" s="52"/>
      <c r="C112" s="53"/>
      <c r="D112" s="53"/>
      <c r="E112" s="53"/>
      <c r="F112" s="95"/>
      <c r="G112" s="94"/>
      <c r="H112" s="95"/>
      <c r="I112" s="34"/>
      <c r="J112" s="59"/>
      <c r="K112" s="50"/>
      <c r="L112" s="50"/>
      <c r="M112" s="50"/>
      <c r="N112" s="50"/>
      <c r="O112" s="50"/>
      <c r="P112" s="50"/>
      <c r="Q112"/>
    </row>
    <row r="113" spans="1:17" x14ac:dyDescent="0.3">
      <c r="A113" s="54" t="s">
        <v>470</v>
      </c>
      <c r="B113" s="55"/>
      <c r="C113" s="56"/>
      <c r="D113" s="56"/>
      <c r="E113" s="56"/>
      <c r="F113" s="56"/>
      <c r="G113" s="55"/>
      <c r="H113" s="56"/>
      <c r="I113" s="54"/>
      <c r="J113" s="54"/>
      <c r="K113" s="54"/>
      <c r="L113" s="54"/>
      <c r="M113" s="54"/>
      <c r="N113" s="54"/>
      <c r="O113" s="54"/>
      <c r="Q113"/>
    </row>
    <row r="114" spans="1:17" x14ac:dyDescent="0.3">
      <c r="A114" s="202"/>
      <c r="B114" s="314" t="s">
        <v>802</v>
      </c>
      <c r="C114" s="297" t="s">
        <v>799</v>
      </c>
      <c r="D114" s="297" t="s">
        <v>800</v>
      </c>
      <c r="E114" s="202"/>
      <c r="F114" s="300" t="s">
        <v>803</v>
      </c>
      <c r="G114" s="301"/>
      <c r="H114" s="301"/>
      <c r="I114" s="301"/>
      <c r="J114" s="301"/>
      <c r="K114" s="301"/>
      <c r="L114" s="301"/>
      <c r="M114" s="301"/>
      <c r="N114" s="302" t="s">
        <v>799</v>
      </c>
      <c r="O114" s="302" t="s">
        <v>800</v>
      </c>
      <c r="Q114"/>
    </row>
    <row r="115" spans="1:17" x14ac:dyDescent="0.3">
      <c r="A115" s="29">
        <v>1</v>
      </c>
      <c r="B115" s="29" t="s">
        <v>95</v>
      </c>
      <c r="C115" s="315">
        <v>1</v>
      </c>
      <c r="D115" s="315">
        <v>6</v>
      </c>
      <c r="E115" s="202"/>
      <c r="F115" s="319">
        <v>1</v>
      </c>
      <c r="G115" s="293" t="s">
        <v>95</v>
      </c>
      <c r="H115" s="29"/>
      <c r="I115" s="29"/>
      <c r="J115" s="29"/>
      <c r="K115" s="29"/>
      <c r="L115" s="29"/>
      <c r="M115" s="29"/>
      <c r="N115" s="294"/>
      <c r="O115" s="294">
        <v>2</v>
      </c>
      <c r="Q115"/>
    </row>
    <row r="116" spans="1:17" x14ac:dyDescent="0.3">
      <c r="A116" s="29">
        <v>2</v>
      </c>
      <c r="B116" s="29" t="s">
        <v>88</v>
      </c>
      <c r="C116" s="315">
        <v>9</v>
      </c>
      <c r="D116" s="315">
        <v>1</v>
      </c>
      <c r="E116" s="202"/>
      <c r="F116" s="319">
        <v>2</v>
      </c>
      <c r="G116" s="295" t="s">
        <v>527</v>
      </c>
      <c r="H116" s="29"/>
      <c r="I116" s="29"/>
      <c r="J116" s="29"/>
      <c r="K116" s="29"/>
      <c r="L116" s="29"/>
      <c r="M116" s="29"/>
      <c r="N116" s="294">
        <v>8</v>
      </c>
      <c r="O116" s="294">
        <v>1</v>
      </c>
      <c r="Q116"/>
    </row>
    <row r="117" spans="1:17" x14ac:dyDescent="0.3">
      <c r="A117" s="29">
        <v>3</v>
      </c>
      <c r="B117" s="29" t="s">
        <v>89</v>
      </c>
      <c r="C117" s="315">
        <v>1</v>
      </c>
      <c r="D117" s="315"/>
      <c r="E117" s="202"/>
      <c r="F117" s="319">
        <v>3</v>
      </c>
      <c r="G117" s="295" t="s">
        <v>801</v>
      </c>
      <c r="H117" s="29"/>
      <c r="I117" s="29"/>
      <c r="J117" s="29"/>
      <c r="K117" s="29"/>
      <c r="L117" s="29"/>
      <c r="M117" s="29"/>
      <c r="N117" s="294">
        <v>1</v>
      </c>
      <c r="O117" s="294"/>
      <c r="Q117"/>
    </row>
    <row r="118" spans="1:17" x14ac:dyDescent="0.3">
      <c r="A118" s="29">
        <v>4</v>
      </c>
      <c r="B118" s="29" t="s">
        <v>472</v>
      </c>
      <c r="C118" s="315">
        <v>5</v>
      </c>
      <c r="D118" s="315">
        <v>2</v>
      </c>
      <c r="E118" s="202"/>
      <c r="F118" s="319">
        <v>4</v>
      </c>
      <c r="G118" s="296" t="s">
        <v>528</v>
      </c>
      <c r="H118" s="29"/>
      <c r="I118" s="29"/>
      <c r="J118" s="29"/>
      <c r="K118" s="29"/>
      <c r="L118" s="29"/>
      <c r="M118" s="29"/>
      <c r="N118" s="294"/>
      <c r="O118" s="294">
        <v>16</v>
      </c>
      <c r="Q118"/>
    </row>
    <row r="119" spans="1:17" x14ac:dyDescent="0.3">
      <c r="A119" s="29">
        <v>5</v>
      </c>
      <c r="B119" s="29" t="s">
        <v>90</v>
      </c>
      <c r="C119" s="315">
        <v>11</v>
      </c>
      <c r="D119" s="315"/>
      <c r="E119" s="202"/>
      <c r="F119" s="319">
        <v>5</v>
      </c>
      <c r="G119" s="295" t="s">
        <v>472</v>
      </c>
      <c r="H119" s="29"/>
      <c r="I119" s="29"/>
      <c r="J119" s="29"/>
      <c r="K119" s="29"/>
      <c r="L119" s="29"/>
      <c r="M119" s="29"/>
      <c r="N119" s="294">
        <v>12</v>
      </c>
      <c r="O119" s="294">
        <v>6</v>
      </c>
      <c r="Q119"/>
    </row>
    <row r="120" spans="1:17" x14ac:dyDescent="0.3">
      <c r="A120" s="29">
        <v>6</v>
      </c>
      <c r="B120" s="29" t="s">
        <v>91</v>
      </c>
      <c r="C120" s="315">
        <v>24</v>
      </c>
      <c r="D120" s="315">
        <v>1</v>
      </c>
      <c r="E120" s="202"/>
      <c r="F120" s="319">
        <v>6</v>
      </c>
      <c r="G120" s="296" t="s">
        <v>529</v>
      </c>
      <c r="H120" s="170"/>
      <c r="I120" s="170"/>
      <c r="J120" s="170"/>
      <c r="K120" s="170"/>
      <c r="L120" s="170"/>
      <c r="M120" s="170"/>
      <c r="N120" s="294"/>
      <c r="O120" s="294">
        <v>1</v>
      </c>
      <c r="Q120"/>
    </row>
    <row r="121" spans="1:17" x14ac:dyDescent="0.3">
      <c r="A121" s="29">
        <v>7</v>
      </c>
      <c r="B121" s="29" t="s">
        <v>92</v>
      </c>
      <c r="C121" s="315">
        <v>8</v>
      </c>
      <c r="D121" s="315"/>
      <c r="E121" s="202"/>
      <c r="F121" s="319">
        <v>7</v>
      </c>
      <c r="G121" s="295" t="s">
        <v>901</v>
      </c>
      <c r="H121" s="29"/>
      <c r="I121" s="29"/>
      <c r="J121" s="29"/>
      <c r="K121" s="29"/>
      <c r="L121" s="29"/>
      <c r="M121" s="29"/>
      <c r="N121" s="294">
        <v>22</v>
      </c>
      <c r="O121" s="294"/>
      <c r="Q121"/>
    </row>
    <row r="122" spans="1:17" x14ac:dyDescent="0.3">
      <c r="A122" s="29">
        <v>8</v>
      </c>
      <c r="B122" s="29" t="s">
        <v>93</v>
      </c>
      <c r="C122" s="315">
        <v>4</v>
      </c>
      <c r="D122" s="315">
        <v>14</v>
      </c>
      <c r="E122" s="202"/>
      <c r="F122" s="319">
        <v>8</v>
      </c>
      <c r="G122" s="295" t="s">
        <v>91</v>
      </c>
      <c r="H122" s="29"/>
      <c r="I122" s="29"/>
      <c r="J122" s="29"/>
      <c r="K122" s="29"/>
      <c r="L122" s="29"/>
      <c r="M122" s="29"/>
      <c r="N122" s="294">
        <v>10</v>
      </c>
      <c r="O122" s="294">
        <v>7</v>
      </c>
      <c r="Q122"/>
    </row>
    <row r="123" spans="1:17" x14ac:dyDescent="0.3">
      <c r="A123" s="211">
        <v>9</v>
      </c>
      <c r="B123" s="316" t="s">
        <v>94</v>
      </c>
      <c r="C123" s="317">
        <v>3</v>
      </c>
      <c r="D123" s="317">
        <v>1</v>
      </c>
      <c r="E123" s="202"/>
      <c r="F123" s="319">
        <v>9</v>
      </c>
      <c r="G123" s="295" t="s">
        <v>92</v>
      </c>
      <c r="H123" s="29"/>
      <c r="I123" s="29"/>
      <c r="J123" s="29"/>
      <c r="K123" s="29"/>
      <c r="L123" s="29"/>
      <c r="M123" s="29"/>
      <c r="N123" s="294">
        <v>5</v>
      </c>
      <c r="O123" s="294">
        <v>6</v>
      </c>
      <c r="Q123"/>
    </row>
    <row r="124" spans="1:17" x14ac:dyDescent="0.3">
      <c r="A124" s="318"/>
      <c r="B124" s="318"/>
      <c r="C124" s="202"/>
      <c r="D124" s="202"/>
      <c r="E124" s="202"/>
      <c r="F124" s="670">
        <v>10</v>
      </c>
      <c r="G124" s="671" t="s">
        <v>93</v>
      </c>
      <c r="H124" s="672"/>
      <c r="I124" s="672"/>
      <c r="J124" s="672"/>
      <c r="K124" s="672"/>
      <c r="L124" s="672"/>
      <c r="M124" s="672"/>
      <c r="N124" s="670">
        <v>6</v>
      </c>
      <c r="O124" s="670">
        <v>20</v>
      </c>
      <c r="Q124" s="609" t="s">
        <v>937</v>
      </c>
    </row>
    <row r="125" spans="1:17" x14ac:dyDescent="0.3">
      <c r="A125" s="202"/>
      <c r="B125" s="202"/>
      <c r="C125" s="309"/>
      <c r="D125" s="309"/>
      <c r="E125" s="309"/>
      <c r="F125" s="320"/>
      <c r="G125" s="596" t="s">
        <v>902</v>
      </c>
      <c r="H125" s="211"/>
      <c r="I125" s="211"/>
      <c r="J125" s="211"/>
      <c r="K125" s="211"/>
      <c r="L125" s="211"/>
      <c r="M125" s="211"/>
      <c r="N125" s="211"/>
      <c r="O125" s="211"/>
      <c r="Q125"/>
    </row>
    <row r="126" spans="1:17" x14ac:dyDescent="0.3">
      <c r="A126" s="116"/>
      <c r="B126" s="597" t="s">
        <v>810</v>
      </c>
      <c r="C126" s="298"/>
      <c r="D126" s="298"/>
      <c r="E126" s="298"/>
      <c r="F126" s="298"/>
      <c r="G126" s="299"/>
      <c r="H126" s="298"/>
      <c r="I126" s="36"/>
      <c r="J126" s="36"/>
      <c r="K126" s="36"/>
      <c r="L126" s="36"/>
      <c r="M126" s="36"/>
      <c r="N126" s="36"/>
      <c r="O126" s="36"/>
      <c r="P126" s="116"/>
      <c r="Q126" s="11"/>
    </row>
    <row r="127" spans="1:17" x14ac:dyDescent="0.3">
      <c r="A127" s="11"/>
      <c r="B127" s="36" t="s">
        <v>811</v>
      </c>
      <c r="C127" s="298"/>
      <c r="D127" s="298"/>
      <c r="E127" s="298"/>
      <c r="F127" s="298"/>
      <c r="G127" s="298"/>
      <c r="H127" s="11"/>
      <c r="I127" s="11"/>
      <c r="J127" s="11"/>
      <c r="K127" s="11"/>
      <c r="L127" s="11"/>
      <c r="M127" s="11"/>
      <c r="N127" s="11"/>
      <c r="O127" s="11"/>
      <c r="P127" s="11"/>
      <c r="Q127" s="41"/>
    </row>
    <row r="128" spans="1:17" x14ac:dyDescent="0.3">
      <c r="A128" s="11"/>
      <c r="B128" s="11"/>
      <c r="C128" s="11"/>
      <c r="D128" s="11"/>
      <c r="E128" s="11"/>
      <c r="F128" s="11"/>
      <c r="G128" s="11"/>
      <c r="H128" s="11"/>
      <c r="I128" s="11"/>
    </row>
  </sheetData>
  <mergeCells count="52">
    <mergeCell ref="A83:B83"/>
    <mergeCell ref="M9:M10"/>
    <mergeCell ref="N9:N10"/>
    <mergeCell ref="M33:M34"/>
    <mergeCell ref="N33:N34"/>
    <mergeCell ref="M55:M56"/>
    <mergeCell ref="N55:N56"/>
    <mergeCell ref="B9:B10"/>
    <mergeCell ref="B33:B34"/>
    <mergeCell ref="B55:B56"/>
    <mergeCell ref="C55:D55"/>
    <mergeCell ref="E55:F55"/>
    <mergeCell ref="G55:H55"/>
    <mergeCell ref="I55:J55"/>
    <mergeCell ref="K55:L55"/>
    <mergeCell ref="C33:D33"/>
    <mergeCell ref="E33:F33"/>
    <mergeCell ref="G33:H33"/>
    <mergeCell ref="I33:J33"/>
    <mergeCell ref="K33:L33"/>
    <mergeCell ref="C9:D9"/>
    <mergeCell ref="E9:F9"/>
    <mergeCell ref="G9:H9"/>
    <mergeCell ref="I9:J9"/>
    <mergeCell ref="K9:L9"/>
    <mergeCell ref="A2:B3"/>
    <mergeCell ref="A1:Q1"/>
    <mergeCell ref="C2:D2"/>
    <mergeCell ref="E2:F2"/>
    <mergeCell ref="G2:H2"/>
    <mergeCell ref="I2:J2"/>
    <mergeCell ref="K2:L2"/>
    <mergeCell ref="Q2:Q3"/>
    <mergeCell ref="O2:O3"/>
    <mergeCell ref="M2:M3"/>
    <mergeCell ref="N2:N3"/>
    <mergeCell ref="O9:O10"/>
    <mergeCell ref="Q9:Q10"/>
    <mergeCell ref="O33:O34"/>
    <mergeCell ref="Q33:Q34"/>
    <mergeCell ref="O55:O56"/>
    <mergeCell ref="Q55:Q56"/>
    <mergeCell ref="A77:B78"/>
    <mergeCell ref="C77:D77"/>
    <mergeCell ref="E77:F77"/>
    <mergeCell ref="G77:H77"/>
    <mergeCell ref="I77:J77"/>
    <mergeCell ref="N77:N78"/>
    <mergeCell ref="O77:O78"/>
    <mergeCell ref="K77:L77"/>
    <mergeCell ref="M77:M78"/>
    <mergeCell ref="Q77:Q78"/>
  </mergeCells>
  <phoneticPr fontId="34" type="noConversion"/>
  <pageMargins left="0.5" right="0.5" top="0.75" bottom="0.5" header="0.3" footer="0.3"/>
  <pageSetup scale="44" fitToHeight="0" orientation="landscape" r:id="rId1"/>
  <headerFooter>
    <oddHeader>&amp;C&amp;"Arial,Bold"&amp;16FINAL Supporting Statement, 10 CFR Part 26</oddHeader>
    <oddFooter>Page &amp;P of &amp;N</oddFooter>
  </headerFooter>
  <rowBreaks count="3" manualBreakCount="3">
    <brk id="53" max="20" man="1"/>
    <brk id="81" max="20" man="1"/>
    <brk id="112"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J51"/>
  <sheetViews>
    <sheetView view="pageBreakPreview" zoomScale="75" zoomScaleNormal="80" zoomScaleSheetLayoutView="75" workbookViewId="0">
      <pane xSplit="2" ySplit="2" topLeftCell="C3" activePane="bottomRight" state="frozen"/>
      <selection activeCell="C10" sqref="C10"/>
      <selection pane="topRight" activeCell="C10" sqref="C10"/>
      <selection pane="bottomLeft" activeCell="C10" sqref="C10"/>
      <selection pane="bottomRight" activeCell="J10" sqref="J10"/>
    </sheetView>
  </sheetViews>
  <sheetFormatPr defaultRowHeight="14" x14ac:dyDescent="0.3"/>
  <cols>
    <col min="1" max="1" width="1.1640625" customWidth="1"/>
    <col min="2" max="2" width="45.58203125" customWidth="1"/>
    <col min="3" max="3" width="12.5" style="9" customWidth="1"/>
    <col min="4" max="4" width="11.83203125" customWidth="1"/>
    <col min="5" max="5" width="1.6640625" customWidth="1"/>
    <col min="6" max="6" width="36.08203125" customWidth="1"/>
    <col min="7" max="7" width="6" customWidth="1"/>
    <col min="8" max="8" width="5.1640625" customWidth="1"/>
    <col min="9" max="9" width="5.5" customWidth="1"/>
    <col min="10" max="10" width="11.6640625" customWidth="1"/>
  </cols>
  <sheetData>
    <row r="1" spans="1:10" ht="18" x14ac:dyDescent="0.4">
      <c r="A1" s="322"/>
      <c r="B1" s="529" t="s">
        <v>809</v>
      </c>
      <c r="C1" s="530"/>
      <c r="D1" s="531"/>
      <c r="E1" s="531"/>
      <c r="F1" s="531"/>
      <c r="G1" s="531"/>
      <c r="H1" s="531"/>
      <c r="I1" s="531"/>
      <c r="J1" s="322"/>
    </row>
    <row r="2" spans="1:10" x14ac:dyDescent="0.3">
      <c r="A2" s="309"/>
      <c r="B2" s="527" t="s">
        <v>447</v>
      </c>
      <c r="C2" s="528" t="s">
        <v>72</v>
      </c>
      <c r="D2" s="528" t="s">
        <v>71</v>
      </c>
      <c r="E2" s="528"/>
      <c r="F2" s="783" t="s">
        <v>418</v>
      </c>
      <c r="G2" s="783"/>
      <c r="H2" s="783"/>
      <c r="I2" s="783"/>
      <c r="J2" s="202"/>
    </row>
    <row r="3" spans="1:10" x14ac:dyDescent="0.3">
      <c r="A3" s="309"/>
      <c r="B3" s="504" t="s">
        <v>96</v>
      </c>
      <c r="C3" s="505">
        <f>SUM(C4,C8)</f>
        <v>25</v>
      </c>
      <c r="D3" s="506" t="s">
        <v>822</v>
      </c>
      <c r="E3" s="325"/>
      <c r="F3" s="784" t="s">
        <v>545</v>
      </c>
      <c r="G3" s="784"/>
      <c r="H3" s="784"/>
      <c r="I3" s="784"/>
    </row>
    <row r="4" spans="1:10" x14ac:dyDescent="0.3">
      <c r="A4" s="309"/>
      <c r="B4" s="507" t="s">
        <v>414</v>
      </c>
      <c r="C4" s="508">
        <v>24</v>
      </c>
      <c r="D4" s="509" t="s">
        <v>822</v>
      </c>
      <c r="E4" s="325"/>
      <c r="F4" s="784"/>
      <c r="G4" s="784"/>
      <c r="H4" s="784"/>
      <c r="I4" s="784"/>
    </row>
    <row r="5" spans="1:10" x14ac:dyDescent="0.3">
      <c r="A5" s="309"/>
      <c r="B5" s="549" t="s">
        <v>856</v>
      </c>
      <c r="C5" s="326">
        <v>21</v>
      </c>
      <c r="D5" s="510"/>
      <c r="E5" s="325"/>
      <c r="F5" s="784"/>
      <c r="G5" s="784"/>
      <c r="H5" s="784"/>
      <c r="I5" s="784"/>
    </row>
    <row r="6" spans="1:10" x14ac:dyDescent="0.3">
      <c r="A6" s="309"/>
      <c r="B6" s="549" t="s">
        <v>857</v>
      </c>
      <c r="C6" s="326">
        <v>2</v>
      </c>
      <c r="D6" s="510"/>
      <c r="E6" s="325"/>
      <c r="F6" s="784"/>
      <c r="G6" s="784"/>
      <c r="H6" s="784"/>
      <c r="I6" s="784"/>
    </row>
    <row r="7" spans="1:10" x14ac:dyDescent="0.3">
      <c r="A7" s="309"/>
      <c r="B7" s="547" t="s">
        <v>858</v>
      </c>
      <c r="C7" s="506">
        <v>1</v>
      </c>
      <c r="D7" s="506"/>
      <c r="E7" s="325"/>
      <c r="F7" s="784"/>
      <c r="G7" s="784"/>
      <c r="H7" s="784"/>
      <c r="I7" s="784"/>
    </row>
    <row r="8" spans="1:10" x14ac:dyDescent="0.3">
      <c r="A8" s="309"/>
      <c r="B8" s="512" t="s">
        <v>415</v>
      </c>
      <c r="C8" s="505">
        <v>1</v>
      </c>
      <c r="D8" s="506" t="s">
        <v>822</v>
      </c>
      <c r="E8" s="328"/>
      <c r="F8" s="782"/>
      <c r="G8" s="782"/>
      <c r="H8" s="782"/>
      <c r="I8" s="782"/>
    </row>
    <row r="9" spans="1:10" ht="14.4" customHeight="1" x14ac:dyDescent="0.3">
      <c r="A9" s="309"/>
      <c r="B9" s="513" t="s">
        <v>860</v>
      </c>
      <c r="C9" s="508">
        <f>SUM(C10:C14)</f>
        <v>63</v>
      </c>
      <c r="D9" s="509" t="s">
        <v>74</v>
      </c>
      <c r="E9" s="329"/>
      <c r="F9" s="785" t="s">
        <v>570</v>
      </c>
      <c r="G9" s="785"/>
      <c r="H9" s="785"/>
      <c r="I9" s="785"/>
    </row>
    <row r="10" spans="1:10" ht="75" customHeight="1" x14ac:dyDescent="0.3">
      <c r="A10" s="309"/>
      <c r="B10" s="550" t="s">
        <v>69</v>
      </c>
      <c r="C10" s="603">
        <v>54</v>
      </c>
      <c r="D10" s="362" t="s">
        <v>74</v>
      </c>
      <c r="E10" s="330"/>
      <c r="F10" s="786" t="s">
        <v>932</v>
      </c>
      <c r="G10" s="786"/>
      <c r="H10" s="786"/>
      <c r="I10" s="786"/>
    </row>
    <row r="11" spans="1:10" x14ac:dyDescent="0.3">
      <c r="A11" s="309"/>
      <c r="B11" s="548" t="s">
        <v>468</v>
      </c>
      <c r="C11" s="510">
        <v>1</v>
      </c>
      <c r="D11" s="510" t="s">
        <v>74</v>
      </c>
      <c r="E11" s="324"/>
      <c r="F11" s="787" t="s">
        <v>569</v>
      </c>
      <c r="G11" s="787"/>
      <c r="H11" s="787"/>
      <c r="I11" s="787"/>
      <c r="J11" s="358"/>
    </row>
    <row r="12" spans="1:10" x14ac:dyDescent="0.3">
      <c r="A12" s="309"/>
      <c r="B12" s="548" t="s">
        <v>70</v>
      </c>
      <c r="C12" s="510">
        <v>5</v>
      </c>
      <c r="D12" s="510" t="s">
        <v>74</v>
      </c>
      <c r="E12" s="324"/>
      <c r="F12" s="476" t="s">
        <v>99</v>
      </c>
      <c r="G12" s="29"/>
      <c r="H12" s="29"/>
      <c r="I12" s="29"/>
      <c r="J12" s="358"/>
    </row>
    <row r="13" spans="1:10" x14ac:dyDescent="0.3">
      <c r="A13" s="309"/>
      <c r="B13" s="548" t="s">
        <v>474</v>
      </c>
      <c r="C13" s="510">
        <v>2</v>
      </c>
      <c r="D13" s="510" t="s">
        <v>74</v>
      </c>
      <c r="E13" s="202"/>
      <c r="F13" s="476" t="s">
        <v>475</v>
      </c>
      <c r="G13" s="29"/>
      <c r="H13" s="29"/>
      <c r="I13" s="29"/>
      <c r="J13" s="358"/>
    </row>
    <row r="14" spans="1:10" x14ac:dyDescent="0.3">
      <c r="A14" s="309"/>
      <c r="B14" s="547" t="s">
        <v>859</v>
      </c>
      <c r="C14" s="506">
        <v>1</v>
      </c>
      <c r="D14" s="506" t="s">
        <v>74</v>
      </c>
      <c r="E14" s="310"/>
      <c r="F14" s="477" t="s">
        <v>98</v>
      </c>
      <c r="G14" s="211"/>
      <c r="H14" s="211"/>
      <c r="I14" s="211"/>
      <c r="J14" s="358"/>
    </row>
    <row r="15" spans="1:10" x14ac:dyDescent="0.3">
      <c r="A15" s="309"/>
      <c r="B15" s="515" t="s">
        <v>97</v>
      </c>
      <c r="C15" s="516"/>
      <c r="D15" s="516"/>
      <c r="E15" s="202"/>
      <c r="F15" s="781" t="s">
        <v>545</v>
      </c>
      <c r="G15" s="781"/>
      <c r="H15" s="781"/>
      <c r="I15" s="781"/>
      <c r="J15" s="358"/>
    </row>
    <row r="16" spans="1:10" x14ac:dyDescent="0.3">
      <c r="A16" s="309"/>
      <c r="B16" s="514" t="s">
        <v>458</v>
      </c>
      <c r="C16" s="510">
        <v>3</v>
      </c>
      <c r="D16" s="510" t="s">
        <v>73</v>
      </c>
      <c r="E16" s="202"/>
      <c r="F16" s="784"/>
      <c r="G16" s="784"/>
      <c r="H16" s="784"/>
      <c r="I16" s="784"/>
      <c r="J16" s="358"/>
    </row>
    <row r="17" spans="1:10" x14ac:dyDescent="0.3">
      <c r="A17" s="309"/>
      <c r="B17" s="511" t="s">
        <v>459</v>
      </c>
      <c r="C17" s="506">
        <v>9</v>
      </c>
      <c r="D17" s="506" t="s">
        <v>804</v>
      </c>
      <c r="E17" s="310"/>
      <c r="F17" s="782"/>
      <c r="G17" s="782"/>
      <c r="H17" s="782"/>
      <c r="I17" s="782"/>
      <c r="J17" s="358"/>
    </row>
    <row r="18" spans="1:10" x14ac:dyDescent="0.3">
      <c r="A18" s="309"/>
      <c r="B18" s="504" t="s">
        <v>806</v>
      </c>
      <c r="C18" s="505">
        <f>SUM(C19:C20)</f>
        <v>64</v>
      </c>
      <c r="D18" s="506" t="s">
        <v>74</v>
      </c>
      <c r="E18" s="202"/>
      <c r="F18" s="784" t="s">
        <v>545</v>
      </c>
      <c r="G18" s="784"/>
      <c r="H18" s="784"/>
      <c r="I18" s="784"/>
      <c r="J18" s="11"/>
    </row>
    <row r="19" spans="1:10" x14ac:dyDescent="0.3">
      <c r="A19" s="309"/>
      <c r="B19" s="548" t="s">
        <v>465</v>
      </c>
      <c r="C19" s="510">
        <v>3</v>
      </c>
      <c r="D19" s="510" t="s">
        <v>74</v>
      </c>
      <c r="E19" s="202"/>
      <c r="F19" s="784"/>
      <c r="G19" s="784"/>
      <c r="H19" s="784"/>
      <c r="I19" s="784"/>
      <c r="J19" s="358"/>
    </row>
    <row r="20" spans="1:10" x14ac:dyDescent="0.3">
      <c r="A20" s="309"/>
      <c r="B20" s="547" t="s">
        <v>466</v>
      </c>
      <c r="C20" s="506">
        <v>61</v>
      </c>
      <c r="D20" s="506" t="s">
        <v>74</v>
      </c>
      <c r="E20" s="310"/>
      <c r="F20" s="782"/>
      <c r="G20" s="782"/>
      <c r="H20" s="782"/>
      <c r="I20" s="782"/>
    </row>
    <row r="21" spans="1:10" ht="7.75" customHeight="1" x14ac:dyDescent="0.3">
      <c r="A21" s="309"/>
      <c r="B21" s="518"/>
      <c r="C21" s="326"/>
      <c r="D21" s="325"/>
      <c r="E21" s="202"/>
      <c r="F21" s="327"/>
      <c r="G21" s="202"/>
      <c r="H21" s="202"/>
      <c r="I21" s="202"/>
      <c r="J21" s="202"/>
    </row>
    <row r="22" spans="1:10" x14ac:dyDescent="0.3">
      <c r="A22" s="309"/>
      <c r="B22" s="519" t="s">
        <v>467</v>
      </c>
      <c r="C22" s="405" t="s">
        <v>820</v>
      </c>
      <c r="D22" s="405" t="s">
        <v>416</v>
      </c>
      <c r="E22" s="202"/>
      <c r="F22" s="310"/>
      <c r="G22" s="310"/>
      <c r="H22" s="310"/>
      <c r="I22" s="310"/>
    </row>
    <row r="23" spans="1:10" x14ac:dyDescent="0.3">
      <c r="A23" s="309"/>
      <c r="B23" s="475" t="s">
        <v>186</v>
      </c>
      <c r="C23" s="520">
        <f>SUM(C24:C28)</f>
        <v>122016.16666666666</v>
      </c>
      <c r="D23" s="520">
        <f>SUM(D24:D28)</f>
        <v>13388.000000000002</v>
      </c>
      <c r="E23" s="202"/>
      <c r="F23" s="784" t="s">
        <v>826</v>
      </c>
      <c r="G23" s="784"/>
      <c r="H23" s="784"/>
      <c r="I23" s="784"/>
    </row>
    <row r="24" spans="1:10" x14ac:dyDescent="0.3">
      <c r="A24" s="309"/>
      <c r="B24" s="548" t="s">
        <v>296</v>
      </c>
      <c r="C24" s="521">
        <f>'Test Results'!C7</f>
        <v>68285.166666666672</v>
      </c>
      <c r="D24" s="521">
        <f>'Test Results'!C5</f>
        <v>6513.666666666667</v>
      </c>
      <c r="E24" s="202"/>
      <c r="F24" s="784"/>
      <c r="G24" s="784"/>
      <c r="H24" s="784"/>
      <c r="I24" s="784"/>
    </row>
    <row r="25" spans="1:10" x14ac:dyDescent="0.3">
      <c r="A25" s="309"/>
      <c r="B25" s="548" t="s">
        <v>80</v>
      </c>
      <c r="C25" s="521">
        <f>'Test Results'!E7</f>
        <v>47545.833333333336</v>
      </c>
      <c r="D25" s="521">
        <f>'Test Results'!E5</f>
        <v>5861</v>
      </c>
      <c r="E25" s="202"/>
      <c r="F25" s="784"/>
      <c r="G25" s="784"/>
      <c r="H25" s="784"/>
      <c r="I25" s="784"/>
    </row>
    <row r="26" spans="1:10" x14ac:dyDescent="0.3">
      <c r="A26" s="309"/>
      <c r="B26" s="548" t="s">
        <v>81</v>
      </c>
      <c r="C26" s="521">
        <f>'Test Results'!G7</f>
        <v>260.33333333333331</v>
      </c>
      <c r="D26" s="521">
        <f>'Test Results'!G5</f>
        <v>224.33333333333334</v>
      </c>
      <c r="E26" s="202"/>
      <c r="F26" s="784"/>
      <c r="G26" s="784"/>
      <c r="H26" s="784"/>
      <c r="I26" s="784"/>
    </row>
    <row r="27" spans="1:10" x14ac:dyDescent="0.3">
      <c r="A27" s="309"/>
      <c r="B27" s="548" t="s">
        <v>297</v>
      </c>
      <c r="C27" s="521">
        <f>'Test Results'!I7</f>
        <v>331.83333333333331</v>
      </c>
      <c r="D27" s="521">
        <f>'Test Results'!I5</f>
        <v>307</v>
      </c>
      <c r="E27" s="202"/>
      <c r="F27" s="784"/>
      <c r="G27" s="784"/>
      <c r="H27" s="784"/>
      <c r="I27" s="784"/>
    </row>
    <row r="28" spans="1:10" x14ac:dyDescent="0.3">
      <c r="A28" s="309"/>
      <c r="B28" s="547" t="s">
        <v>519</v>
      </c>
      <c r="C28" s="406">
        <f>'Test Results'!K7</f>
        <v>5593</v>
      </c>
      <c r="D28" s="406">
        <f>'Test Results'!K5</f>
        <v>482</v>
      </c>
      <c r="E28" s="202"/>
      <c r="F28" s="782"/>
      <c r="G28" s="782"/>
      <c r="H28" s="782"/>
      <c r="I28" s="782"/>
    </row>
    <row r="29" spans="1:10" ht="25" x14ac:dyDescent="0.3">
      <c r="A29" s="309"/>
      <c r="B29" s="475" t="s">
        <v>417</v>
      </c>
      <c r="C29" s="520">
        <f>SUM(C30:C34)</f>
        <v>714.66666666666674</v>
      </c>
      <c r="D29" s="522">
        <f>SUM(D30:D34)</f>
        <v>275</v>
      </c>
      <c r="E29" s="202"/>
      <c r="F29" s="784" t="s">
        <v>826</v>
      </c>
      <c r="G29" s="784"/>
      <c r="H29" s="784"/>
      <c r="I29" s="784"/>
    </row>
    <row r="30" spans="1:10" x14ac:dyDescent="0.3">
      <c r="A30" s="309"/>
      <c r="B30" s="549" t="s">
        <v>296</v>
      </c>
      <c r="C30" s="523">
        <f>'Test Results'!D7</f>
        <v>505.5</v>
      </c>
      <c r="D30" s="524">
        <f>ROUNDUP('Test Results'!D5,0)</f>
        <v>159</v>
      </c>
      <c r="E30" s="202"/>
      <c r="F30" s="784"/>
      <c r="G30" s="784"/>
      <c r="H30" s="784"/>
      <c r="I30" s="784"/>
    </row>
    <row r="31" spans="1:10" x14ac:dyDescent="0.3">
      <c r="A31" s="309"/>
      <c r="B31" s="549" t="s">
        <v>80</v>
      </c>
      <c r="C31" s="523">
        <f>'Test Results'!F7</f>
        <v>122.66666666666667</v>
      </c>
      <c r="D31" s="524">
        <f>ROUNDUP('Test Results'!F5,0)</f>
        <v>75</v>
      </c>
      <c r="E31" s="202"/>
      <c r="F31" s="784"/>
      <c r="G31" s="784"/>
      <c r="H31" s="784"/>
      <c r="I31" s="784"/>
    </row>
    <row r="32" spans="1:10" x14ac:dyDescent="0.3">
      <c r="A32" s="309"/>
      <c r="B32" s="549" t="s">
        <v>81</v>
      </c>
      <c r="C32" s="523">
        <f>'Test Results'!H7</f>
        <v>34.833333333333336</v>
      </c>
      <c r="D32" s="524">
        <f>ROUNDUP('Test Results'!H5,0)</f>
        <v>29</v>
      </c>
      <c r="E32" s="202"/>
      <c r="F32" s="784"/>
      <c r="G32" s="784"/>
      <c r="H32" s="784"/>
      <c r="I32" s="784"/>
    </row>
    <row r="33" spans="1:9" x14ac:dyDescent="0.3">
      <c r="A33" s="309"/>
      <c r="B33" s="548" t="s">
        <v>297</v>
      </c>
      <c r="C33" s="521">
        <f>'Test Results'!J7</f>
        <v>2.8333333333333335</v>
      </c>
      <c r="D33" s="525">
        <f>ROUNDUP('Test Results'!J5,0)</f>
        <v>2</v>
      </c>
      <c r="E33" s="202"/>
      <c r="F33" s="784"/>
      <c r="G33" s="784"/>
      <c r="H33" s="784"/>
      <c r="I33" s="784"/>
    </row>
    <row r="34" spans="1:9" x14ac:dyDescent="0.3">
      <c r="A34" s="309"/>
      <c r="B34" s="547" t="s">
        <v>519</v>
      </c>
      <c r="C34" s="406">
        <f>'Test Results'!L7</f>
        <v>48.833333333333336</v>
      </c>
      <c r="D34" s="526">
        <f>ROUNDUP('Test Results'!L5,0)</f>
        <v>10</v>
      </c>
      <c r="E34" s="202"/>
      <c r="F34" s="782"/>
      <c r="G34" s="782"/>
      <c r="H34" s="782"/>
      <c r="I34" s="782"/>
    </row>
    <row r="35" spans="1:9" x14ac:dyDescent="0.3">
      <c r="A35" s="309"/>
      <c r="B35" s="475" t="s">
        <v>374</v>
      </c>
      <c r="C35" s="407" t="s">
        <v>820</v>
      </c>
      <c r="D35" s="407" t="s">
        <v>416</v>
      </c>
      <c r="E35" s="202"/>
      <c r="F35" s="784" t="s">
        <v>826</v>
      </c>
      <c r="G35" s="784"/>
      <c r="H35" s="784"/>
      <c r="I35" s="784"/>
    </row>
    <row r="36" spans="1:9" ht="30.65" customHeight="1" x14ac:dyDescent="0.3">
      <c r="A36" s="309"/>
      <c r="B36" s="428" t="s">
        <v>819</v>
      </c>
      <c r="C36" s="521">
        <f>'Test Results'!N7</f>
        <v>720.66666666666663</v>
      </c>
      <c r="D36" s="521">
        <f>'Test Results'!N5</f>
        <v>273</v>
      </c>
      <c r="E36" s="202"/>
      <c r="F36" s="784"/>
      <c r="G36" s="784"/>
      <c r="H36" s="784"/>
      <c r="I36" s="784"/>
    </row>
    <row r="37" spans="1:9" ht="30.65" customHeight="1" x14ac:dyDescent="0.3">
      <c r="A37" s="309"/>
      <c r="B37" s="427" t="s">
        <v>821</v>
      </c>
      <c r="C37" s="406">
        <f>'Test Results'!Q7</f>
        <v>559</v>
      </c>
      <c r="D37" s="406">
        <f>'Test Results'!Q5</f>
        <v>239</v>
      </c>
      <c r="E37" s="202"/>
      <c r="F37" s="782"/>
      <c r="G37" s="782"/>
      <c r="H37" s="782"/>
      <c r="I37" s="782"/>
    </row>
    <row r="38" spans="1:9" x14ac:dyDescent="0.3">
      <c r="A38" s="309"/>
      <c r="B38" s="779" t="s">
        <v>365</v>
      </c>
      <c r="C38" s="468" t="s">
        <v>820</v>
      </c>
      <c r="D38" s="463" t="s">
        <v>416</v>
      </c>
      <c r="E38" s="202"/>
      <c r="F38" s="781" t="s">
        <v>816</v>
      </c>
      <c r="G38" s="781"/>
      <c r="H38" s="781"/>
      <c r="I38" s="781"/>
    </row>
    <row r="39" spans="1:9" x14ac:dyDescent="0.3">
      <c r="A39" s="309"/>
      <c r="B39" s="780"/>
      <c r="C39" s="406">
        <f>'Test Results'!G85</f>
        <v>85916.166666666672</v>
      </c>
      <c r="D39" s="406">
        <f>'Test Results'!G94</f>
        <v>8043.333333333333</v>
      </c>
      <c r="E39" s="202"/>
      <c r="F39" s="782"/>
      <c r="G39" s="782"/>
      <c r="H39" s="782"/>
      <c r="I39" s="782"/>
    </row>
    <row r="40" spans="1:9" x14ac:dyDescent="0.3">
      <c r="A40" s="309"/>
      <c r="B40" s="469" t="s">
        <v>813</v>
      </c>
      <c r="C40" s="326"/>
      <c r="D40" s="326"/>
      <c r="E40" s="202"/>
      <c r="F40" s="462"/>
      <c r="G40" s="407">
        <v>2016</v>
      </c>
      <c r="H40" s="407">
        <v>2017</v>
      </c>
      <c r="I40" s="407">
        <v>2018</v>
      </c>
    </row>
    <row r="41" spans="1:9" x14ac:dyDescent="0.3">
      <c r="A41" s="309"/>
      <c r="B41" s="548" t="s">
        <v>84</v>
      </c>
      <c r="C41" s="532">
        <f>AVERAGE(G41:I41)</f>
        <v>36</v>
      </c>
      <c r="D41" s="470" t="s">
        <v>419</v>
      </c>
      <c r="E41" s="202"/>
      <c r="F41" s="514" t="s">
        <v>464</v>
      </c>
      <c r="G41" s="463">
        <v>32</v>
      </c>
      <c r="H41" s="463">
        <v>31</v>
      </c>
      <c r="I41" s="464">
        <v>45</v>
      </c>
    </row>
    <row r="42" spans="1:9" x14ac:dyDescent="0.3">
      <c r="A42" s="309"/>
      <c r="B42" s="547" t="s">
        <v>85</v>
      </c>
      <c r="C42" s="533">
        <f>ROUND(AVERAGE(G42:I42),0)</f>
        <v>6</v>
      </c>
      <c r="D42" s="471" t="s">
        <v>419</v>
      </c>
      <c r="E42" s="202"/>
      <c r="F42" s="511" t="s">
        <v>463</v>
      </c>
      <c r="G42" s="405">
        <v>3</v>
      </c>
      <c r="H42" s="405">
        <v>12</v>
      </c>
      <c r="I42" s="405">
        <v>4</v>
      </c>
    </row>
    <row r="43" spans="1:9" x14ac:dyDescent="0.3">
      <c r="A43" s="309"/>
      <c r="B43" s="551" t="s">
        <v>879</v>
      </c>
      <c r="C43" s="533"/>
      <c r="D43" s="471"/>
      <c r="E43" s="202"/>
      <c r="F43" s="465"/>
      <c r="G43" s="405"/>
      <c r="H43" s="405"/>
      <c r="I43" s="405"/>
    </row>
    <row r="44" spans="1:9" x14ac:dyDescent="0.3">
      <c r="A44" s="309"/>
      <c r="B44" s="548">
        <v>2016</v>
      </c>
      <c r="C44" s="532">
        <v>98</v>
      </c>
      <c r="D44" s="470" t="s">
        <v>878</v>
      </c>
      <c r="E44" s="202"/>
      <c r="F44" s="788" t="s">
        <v>816</v>
      </c>
      <c r="G44" s="788"/>
      <c r="H44" s="788"/>
      <c r="I44" s="788"/>
    </row>
    <row r="45" spans="1:9" x14ac:dyDescent="0.3">
      <c r="A45" s="309"/>
      <c r="B45" s="548">
        <v>2017</v>
      </c>
      <c r="C45" s="532">
        <v>133</v>
      </c>
      <c r="D45" s="470" t="s">
        <v>878</v>
      </c>
      <c r="E45" s="202"/>
      <c r="F45" s="789"/>
      <c r="G45" s="789"/>
      <c r="H45" s="789"/>
      <c r="I45" s="789"/>
    </row>
    <row r="46" spans="1:9" x14ac:dyDescent="0.3">
      <c r="A46" s="309"/>
      <c r="B46" s="547">
        <v>2018</v>
      </c>
      <c r="C46" s="533">
        <v>152</v>
      </c>
      <c r="D46" s="471" t="s">
        <v>878</v>
      </c>
      <c r="E46" s="202"/>
      <c r="F46" s="790"/>
      <c r="G46" s="790"/>
      <c r="H46" s="790"/>
      <c r="I46" s="790"/>
    </row>
    <row r="47" spans="1:9" x14ac:dyDescent="0.3">
      <c r="A47" s="309"/>
      <c r="B47" s="547" t="s">
        <v>881</v>
      </c>
      <c r="C47" s="553">
        <f>AVERAGE(C44:C46)</f>
        <v>127.66666666666667</v>
      </c>
      <c r="D47" s="471"/>
      <c r="E47" s="202"/>
      <c r="F47" s="552"/>
      <c r="G47" s="552"/>
      <c r="H47" s="552"/>
      <c r="I47" s="552"/>
    </row>
    <row r="48" spans="1:9" ht="26.4" customHeight="1" x14ac:dyDescent="0.3">
      <c r="A48" s="309"/>
      <c r="B48" s="472" t="s">
        <v>547</v>
      </c>
      <c r="C48" s="534">
        <v>279</v>
      </c>
      <c r="D48" s="473" t="s">
        <v>469</v>
      </c>
      <c r="E48" s="202"/>
      <c r="F48" s="778" t="s">
        <v>548</v>
      </c>
      <c r="G48" s="778"/>
      <c r="H48" s="778"/>
      <c r="I48" s="778"/>
    </row>
    <row r="49" spans="1:9" s="321" customFormat="1" ht="21" customHeight="1" x14ac:dyDescent="0.3">
      <c r="A49" s="323"/>
      <c r="B49" s="474" t="s">
        <v>421</v>
      </c>
      <c r="C49" s="535">
        <f>'FFD pgm &amp; sites'!A56</f>
        <v>21</v>
      </c>
      <c r="D49" s="361" t="s">
        <v>420</v>
      </c>
      <c r="E49" s="202"/>
      <c r="F49" s="466" t="s">
        <v>545</v>
      </c>
      <c r="G49" s="467"/>
      <c r="H49" s="467"/>
      <c r="I49" s="467"/>
    </row>
    <row r="50" spans="1:9" x14ac:dyDescent="0.3">
      <c r="B50" s="36"/>
      <c r="C50" s="35"/>
      <c r="D50" s="36"/>
      <c r="F50" s="36"/>
      <c r="G50" s="11"/>
      <c r="H50" s="11"/>
      <c r="I50" s="11"/>
    </row>
    <row r="51" spans="1:9" x14ac:dyDescent="0.3">
      <c r="B51" s="33"/>
      <c r="C51" s="37"/>
      <c r="D51" s="33"/>
      <c r="E51" s="33"/>
      <c r="F51" s="33"/>
    </row>
  </sheetData>
  <mergeCells count="14">
    <mergeCell ref="F48:I48"/>
    <mergeCell ref="B38:B39"/>
    <mergeCell ref="F38:I39"/>
    <mergeCell ref="F2:I2"/>
    <mergeCell ref="F15:I17"/>
    <mergeCell ref="F9:I9"/>
    <mergeCell ref="F10:I10"/>
    <mergeCell ref="F3:I8"/>
    <mergeCell ref="F18:I20"/>
    <mergeCell ref="F35:I37"/>
    <mergeCell ref="F23:I28"/>
    <mergeCell ref="F29:I34"/>
    <mergeCell ref="F11:I11"/>
    <mergeCell ref="F44:I46"/>
  </mergeCells>
  <pageMargins left="0.5" right="0.5" top="0.75" bottom="0.5" header="0.3" footer="0.3"/>
  <pageSetup scale="69" orientation="portrait" r:id="rId1"/>
  <headerFooter>
    <oddHeader>&amp;C&amp;"Arial,Bold"&amp;16FINAL Supporting Statement, 10 CFR Part 26</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L41"/>
  <sheetViews>
    <sheetView view="pageBreakPreview" zoomScale="80" zoomScaleNormal="70" zoomScaleSheetLayoutView="80" workbookViewId="0">
      <pane xSplit="1" ySplit="2" topLeftCell="B3" activePane="bottomRight" state="frozen"/>
      <selection activeCell="A48" sqref="A48"/>
      <selection pane="topRight" activeCell="A48" sqref="A48"/>
      <selection pane="bottomLeft" activeCell="A48" sqref="A48"/>
      <selection pane="bottomRight" activeCell="D2" sqref="D2"/>
    </sheetView>
  </sheetViews>
  <sheetFormatPr defaultColWidth="9" defaultRowHeight="14" x14ac:dyDescent="0.3"/>
  <cols>
    <col min="1" max="1" width="44.4140625" style="2" customWidth="1"/>
    <col min="2" max="2" width="12.1640625" style="2" customWidth="1"/>
    <col min="3" max="3" width="14.83203125" style="2" customWidth="1"/>
    <col min="4" max="4" width="12.58203125" style="2" customWidth="1"/>
    <col min="5" max="5" width="10.6640625" style="4" customWidth="1"/>
    <col min="6" max="6" width="17.33203125" style="4" customWidth="1"/>
    <col min="7" max="7" width="13.58203125" style="4" customWidth="1"/>
    <col min="8" max="8" width="10.1640625" customWidth="1"/>
    <col min="9" max="16384" width="9" style="2"/>
  </cols>
  <sheetData>
    <row r="1" spans="1:12" ht="29.5" customHeight="1" x14ac:dyDescent="0.3">
      <c r="A1" s="628" t="s">
        <v>4</v>
      </c>
      <c r="B1" s="792" t="s">
        <v>550</v>
      </c>
      <c r="C1" s="792"/>
      <c r="D1" s="792"/>
      <c r="E1" s="791" t="s">
        <v>568</v>
      </c>
      <c r="F1" s="791"/>
      <c r="G1" s="791"/>
      <c r="H1" s="791" t="s">
        <v>377</v>
      </c>
    </row>
    <row r="2" spans="1:12" s="3" customFormat="1" ht="70.25" customHeight="1" x14ac:dyDescent="0.3">
      <c r="A2" s="39" t="s">
        <v>0</v>
      </c>
      <c r="B2" s="40" t="s">
        <v>210</v>
      </c>
      <c r="C2" s="40" t="s">
        <v>564</v>
      </c>
      <c r="D2" s="40" t="s">
        <v>565</v>
      </c>
      <c r="E2" s="104" t="s">
        <v>210</v>
      </c>
      <c r="F2" s="40" t="s">
        <v>564</v>
      </c>
      <c r="G2" s="40" t="s">
        <v>565</v>
      </c>
      <c r="H2" s="791"/>
      <c r="J2"/>
      <c r="K2"/>
      <c r="L2"/>
    </row>
    <row r="3" spans="1:12" ht="13.75" customHeight="1" x14ac:dyDescent="0.3">
      <c r="A3" s="67" t="s">
        <v>193</v>
      </c>
      <c r="B3" s="481">
        <v>0</v>
      </c>
      <c r="C3" s="481">
        <f>336/3</f>
        <v>112</v>
      </c>
      <c r="D3" s="481">
        <f>B3*C3</f>
        <v>0</v>
      </c>
      <c r="E3" s="481">
        <v>0</v>
      </c>
      <c r="F3" s="481">
        <f>336/3</f>
        <v>112</v>
      </c>
      <c r="G3" s="481">
        <f>F3*E3</f>
        <v>0</v>
      </c>
      <c r="H3" s="106">
        <f>G3-D3</f>
        <v>0</v>
      </c>
      <c r="J3"/>
      <c r="K3"/>
      <c r="L3"/>
    </row>
    <row r="4" spans="1:12" ht="13.75" customHeight="1" x14ac:dyDescent="0.3">
      <c r="A4" s="27" t="s">
        <v>194</v>
      </c>
      <c r="B4" s="481">
        <v>0</v>
      </c>
      <c r="C4" s="481">
        <f>636/3</f>
        <v>212</v>
      </c>
      <c r="D4" s="481">
        <f>B4*C4</f>
        <v>0</v>
      </c>
      <c r="E4" s="481">
        <v>0</v>
      </c>
      <c r="F4" s="481">
        <f>636/3</f>
        <v>212</v>
      </c>
      <c r="G4" s="481">
        <f>F4*E4</f>
        <v>0</v>
      </c>
      <c r="H4" s="106">
        <f t="shared" ref="H4:H37" si="0">G4-D4</f>
        <v>0</v>
      </c>
      <c r="J4"/>
      <c r="K4"/>
      <c r="L4"/>
    </row>
    <row r="5" spans="1:12" x14ac:dyDescent="0.3">
      <c r="A5" s="27" t="s">
        <v>204</v>
      </c>
      <c r="B5" s="481">
        <v>0</v>
      </c>
      <c r="C5" s="481">
        <f>300/3</f>
        <v>100</v>
      </c>
      <c r="D5" s="481">
        <f>B5*C5</f>
        <v>0</v>
      </c>
      <c r="E5" s="481">
        <v>0</v>
      </c>
      <c r="F5" s="481">
        <f>300/3</f>
        <v>100</v>
      </c>
      <c r="G5" s="481">
        <f>F5*E5</f>
        <v>0</v>
      </c>
      <c r="H5" s="106">
        <f t="shared" si="0"/>
        <v>0</v>
      </c>
      <c r="J5"/>
      <c r="K5"/>
      <c r="L5"/>
    </row>
    <row r="6" spans="1:12" ht="25" x14ac:dyDescent="0.3">
      <c r="A6" s="27" t="s">
        <v>208</v>
      </c>
      <c r="B6" s="495" t="s">
        <v>439</v>
      </c>
      <c r="C6" s="496"/>
      <c r="D6" s="496"/>
      <c r="E6" s="495" t="s">
        <v>439</v>
      </c>
      <c r="F6" s="496"/>
      <c r="G6" s="496"/>
      <c r="H6" s="106">
        <f t="shared" si="0"/>
        <v>0</v>
      </c>
    </row>
    <row r="7" spans="1:12" ht="50" x14ac:dyDescent="0.3">
      <c r="A7" s="27" t="s">
        <v>440</v>
      </c>
      <c r="B7" s="495" t="s">
        <v>439</v>
      </c>
      <c r="C7" s="496"/>
      <c r="D7" s="496"/>
      <c r="E7" s="495" t="s">
        <v>439</v>
      </c>
      <c r="F7" s="496"/>
      <c r="G7" s="496"/>
      <c r="H7" s="106">
        <f t="shared" si="0"/>
        <v>0</v>
      </c>
    </row>
    <row r="8" spans="1:12" ht="58.75" customHeight="1" x14ac:dyDescent="0.3">
      <c r="A8" s="70" t="s">
        <v>323</v>
      </c>
      <c r="B8" s="481">
        <v>3</v>
      </c>
      <c r="C8" s="481">
        <f>16/3</f>
        <v>5.333333333333333</v>
      </c>
      <c r="D8" s="481">
        <f>B8*C8</f>
        <v>16</v>
      </c>
      <c r="E8" s="432">
        <v>1</v>
      </c>
      <c r="F8" s="481">
        <f>16/3</f>
        <v>5.333333333333333</v>
      </c>
      <c r="G8" s="481">
        <f>E8*F8</f>
        <v>5.333333333333333</v>
      </c>
      <c r="H8" s="68">
        <f t="shared" si="0"/>
        <v>-10.666666666666668</v>
      </c>
    </row>
    <row r="9" spans="1:12" ht="26.4" customHeight="1" x14ac:dyDescent="0.3">
      <c r="A9" s="27" t="s">
        <v>138</v>
      </c>
      <c r="B9" s="497" t="s">
        <v>291</v>
      </c>
      <c r="C9" s="496"/>
      <c r="D9" s="496"/>
      <c r="E9" s="497" t="s">
        <v>291</v>
      </c>
      <c r="F9" s="496"/>
      <c r="G9" s="496"/>
      <c r="H9" s="68">
        <f t="shared" si="0"/>
        <v>0</v>
      </c>
    </row>
    <row r="10" spans="1:12" ht="61.75" customHeight="1" x14ac:dyDescent="0.3">
      <c r="A10" s="70" t="s">
        <v>433</v>
      </c>
      <c r="B10" s="481">
        <v>3</v>
      </c>
      <c r="C10" s="481">
        <f>16/3</f>
        <v>5.333333333333333</v>
      </c>
      <c r="D10" s="481">
        <f>B10*C10</f>
        <v>16</v>
      </c>
      <c r="E10" s="432">
        <v>1</v>
      </c>
      <c r="F10" s="481">
        <f>16/3</f>
        <v>5.333333333333333</v>
      </c>
      <c r="G10" s="481">
        <f t="shared" ref="G10" si="1">E10*F10</f>
        <v>5.333333333333333</v>
      </c>
      <c r="H10" s="106">
        <f t="shared" si="0"/>
        <v>-10.666666666666668</v>
      </c>
    </row>
    <row r="11" spans="1:12" ht="25" x14ac:dyDescent="0.3">
      <c r="A11" s="27" t="s">
        <v>350</v>
      </c>
      <c r="B11" s="481">
        <v>0</v>
      </c>
      <c r="C11" s="481">
        <v>24</v>
      </c>
      <c r="D11" s="481">
        <f>B11*C11</f>
        <v>0</v>
      </c>
      <c r="E11" s="432">
        <v>0</v>
      </c>
      <c r="F11" s="481">
        <v>24</v>
      </c>
      <c r="G11" s="481">
        <f t="shared" ref="G11:G35" si="2">F11*E11</f>
        <v>0</v>
      </c>
      <c r="H11" s="106">
        <f t="shared" si="0"/>
        <v>0</v>
      </c>
    </row>
    <row r="12" spans="1:12" ht="25" x14ac:dyDescent="0.3">
      <c r="A12" s="27" t="s">
        <v>370</v>
      </c>
      <c r="B12" s="481">
        <v>0</v>
      </c>
      <c r="C12" s="481">
        <v>120</v>
      </c>
      <c r="D12" s="481">
        <f>B12*C12</f>
        <v>0</v>
      </c>
      <c r="E12" s="432">
        <v>0</v>
      </c>
      <c r="F12" s="481">
        <v>120</v>
      </c>
      <c r="G12" s="481">
        <f t="shared" si="2"/>
        <v>0</v>
      </c>
      <c r="H12" s="106">
        <f t="shared" si="0"/>
        <v>0</v>
      </c>
    </row>
    <row r="13" spans="1:12" x14ac:dyDescent="0.3">
      <c r="A13" s="27" t="s">
        <v>206</v>
      </c>
      <c r="B13" s="481">
        <v>0</v>
      </c>
      <c r="C13" s="481">
        <f>40/3</f>
        <v>13.333333333333334</v>
      </c>
      <c r="D13" s="481">
        <f t="shared" ref="D13:D18" si="3">B13*C13</f>
        <v>0</v>
      </c>
      <c r="E13" s="432">
        <v>0</v>
      </c>
      <c r="F13" s="481">
        <f>40/3</f>
        <v>13.333333333333334</v>
      </c>
      <c r="G13" s="481">
        <f t="shared" si="2"/>
        <v>0</v>
      </c>
      <c r="H13" s="68">
        <f t="shared" si="0"/>
        <v>0</v>
      </c>
    </row>
    <row r="14" spans="1:12" ht="22.25" customHeight="1" x14ac:dyDescent="0.3">
      <c r="A14" s="27" t="s">
        <v>207</v>
      </c>
      <c r="B14" s="481">
        <v>0</v>
      </c>
      <c r="C14" s="481">
        <v>5.333333333333333</v>
      </c>
      <c r="D14" s="481">
        <f t="shared" si="3"/>
        <v>0</v>
      </c>
      <c r="E14" s="432">
        <v>0</v>
      </c>
      <c r="F14" s="481">
        <f>16/3</f>
        <v>5.333333333333333</v>
      </c>
      <c r="G14" s="481">
        <f t="shared" si="2"/>
        <v>0</v>
      </c>
      <c r="H14" s="68">
        <f t="shared" si="0"/>
        <v>0</v>
      </c>
    </row>
    <row r="15" spans="1:12" ht="50" x14ac:dyDescent="0.3">
      <c r="A15" s="27" t="s">
        <v>476</v>
      </c>
      <c r="B15" s="481">
        <v>0</v>
      </c>
      <c r="C15" s="481">
        <f xml:space="preserve"> (40 * 6)/3</f>
        <v>80</v>
      </c>
      <c r="D15" s="481">
        <f t="shared" si="3"/>
        <v>0</v>
      </c>
      <c r="E15" s="432">
        <v>0</v>
      </c>
      <c r="F15" s="481">
        <f xml:space="preserve"> (40*6)/3</f>
        <v>80</v>
      </c>
      <c r="G15" s="481">
        <f t="shared" si="2"/>
        <v>0</v>
      </c>
      <c r="H15" s="68">
        <f t="shared" si="0"/>
        <v>0</v>
      </c>
    </row>
    <row r="16" spans="1:12" ht="25" x14ac:dyDescent="0.3">
      <c r="A16" s="27" t="s">
        <v>488</v>
      </c>
      <c r="B16" s="481">
        <v>0</v>
      </c>
      <c r="C16" s="481">
        <v>13.3</v>
      </c>
      <c r="D16" s="481">
        <f t="shared" si="3"/>
        <v>0</v>
      </c>
      <c r="E16" s="432">
        <v>0</v>
      </c>
      <c r="F16" s="481">
        <f t="shared" ref="F16:F17" si="4">(40/3)</f>
        <v>13.333333333333334</v>
      </c>
      <c r="G16" s="481">
        <f t="shared" si="2"/>
        <v>0</v>
      </c>
      <c r="H16" s="68">
        <f t="shared" si="0"/>
        <v>0</v>
      </c>
    </row>
    <row r="17" spans="1:9" ht="37.5" x14ac:dyDescent="0.3">
      <c r="A17" s="70" t="s">
        <v>125</v>
      </c>
      <c r="B17" s="481">
        <v>3</v>
      </c>
      <c r="C17" s="481">
        <f>(40/3)</f>
        <v>13.333333333333334</v>
      </c>
      <c r="D17" s="481">
        <f t="shared" si="3"/>
        <v>40</v>
      </c>
      <c r="E17" s="432">
        <v>3</v>
      </c>
      <c r="F17" s="481">
        <f t="shared" si="4"/>
        <v>13.333333333333334</v>
      </c>
      <c r="G17" s="481">
        <f t="shared" si="2"/>
        <v>40</v>
      </c>
      <c r="H17" s="68">
        <f t="shared" si="0"/>
        <v>0</v>
      </c>
      <c r="I17" s="26"/>
    </row>
    <row r="18" spans="1:9" ht="37.5" x14ac:dyDescent="0.3">
      <c r="A18" s="70" t="s">
        <v>216</v>
      </c>
      <c r="B18" s="481">
        <v>3</v>
      </c>
      <c r="C18" s="481">
        <f>40/3</f>
        <v>13.333333333333334</v>
      </c>
      <c r="D18" s="481">
        <f t="shared" si="3"/>
        <v>40</v>
      </c>
      <c r="E18" s="432">
        <v>3</v>
      </c>
      <c r="F18" s="481">
        <f>(40/3)</f>
        <v>13.333333333333334</v>
      </c>
      <c r="G18" s="481">
        <f t="shared" si="2"/>
        <v>40</v>
      </c>
      <c r="H18" s="68">
        <f t="shared" si="0"/>
        <v>0</v>
      </c>
      <c r="I18" s="26"/>
    </row>
    <row r="19" spans="1:9" ht="50" x14ac:dyDescent="0.3">
      <c r="A19" s="27" t="s">
        <v>477</v>
      </c>
      <c r="B19" s="497" t="s">
        <v>168</v>
      </c>
      <c r="C19" s="498"/>
      <c r="D19" s="431"/>
      <c r="E19" s="497" t="s">
        <v>168</v>
      </c>
      <c r="F19" s="498"/>
      <c r="G19" s="431"/>
      <c r="H19" s="68">
        <f t="shared" si="0"/>
        <v>0</v>
      </c>
    </row>
    <row r="20" spans="1:9" ht="50" x14ac:dyDescent="0.3">
      <c r="A20" s="27" t="s">
        <v>515</v>
      </c>
      <c r="B20" s="497" t="s">
        <v>168</v>
      </c>
      <c r="C20" s="498"/>
      <c r="D20" s="431"/>
      <c r="E20" s="497" t="s">
        <v>168</v>
      </c>
      <c r="F20" s="498"/>
      <c r="G20" s="431"/>
      <c r="H20" s="68">
        <f t="shared" si="0"/>
        <v>0</v>
      </c>
    </row>
    <row r="21" spans="1:9" ht="62.5" x14ac:dyDescent="0.3">
      <c r="A21" s="27" t="s">
        <v>169</v>
      </c>
      <c r="B21" s="497" t="s">
        <v>168</v>
      </c>
      <c r="C21" s="498"/>
      <c r="D21" s="431"/>
      <c r="E21" s="497" t="s">
        <v>168</v>
      </c>
      <c r="F21" s="498"/>
      <c r="G21" s="431"/>
      <c r="H21" s="68">
        <f t="shared" si="0"/>
        <v>0</v>
      </c>
    </row>
    <row r="22" spans="1:9" ht="25" x14ac:dyDescent="0.3">
      <c r="A22" s="27" t="s">
        <v>552</v>
      </c>
      <c r="B22" s="481">
        <v>0</v>
      </c>
      <c r="C22" s="481">
        <v>7.3</v>
      </c>
      <c r="D22" s="481">
        <f t="shared" ref="D22:D29" si="5">B22*C22</f>
        <v>0</v>
      </c>
      <c r="E22" s="481">
        <v>0</v>
      </c>
      <c r="F22" s="90">
        <v>7.3</v>
      </c>
      <c r="G22" s="481">
        <f t="shared" si="2"/>
        <v>0</v>
      </c>
      <c r="H22" s="68">
        <f t="shared" si="0"/>
        <v>0</v>
      </c>
    </row>
    <row r="23" spans="1:9" ht="25" x14ac:dyDescent="0.3">
      <c r="A23" s="27" t="s">
        <v>875</v>
      </c>
      <c r="B23" s="481">
        <v>0</v>
      </c>
      <c r="C23" s="481">
        <v>1.7</v>
      </c>
      <c r="D23" s="481">
        <f t="shared" si="5"/>
        <v>0</v>
      </c>
      <c r="E23" s="481">
        <v>0</v>
      </c>
      <c r="F23" s="90">
        <v>1.7</v>
      </c>
      <c r="G23" s="481">
        <f t="shared" si="2"/>
        <v>0</v>
      </c>
      <c r="H23" s="68">
        <f t="shared" si="0"/>
        <v>0</v>
      </c>
    </row>
    <row r="24" spans="1:9" x14ac:dyDescent="0.3">
      <c r="A24" s="27" t="s">
        <v>1</v>
      </c>
      <c r="B24" s="481">
        <v>0</v>
      </c>
      <c r="C24" s="481">
        <v>2</v>
      </c>
      <c r="D24" s="481">
        <f t="shared" si="5"/>
        <v>0</v>
      </c>
      <c r="E24" s="481">
        <v>0</v>
      </c>
      <c r="F24" s="90">
        <v>2</v>
      </c>
      <c r="G24" s="481">
        <f t="shared" si="2"/>
        <v>0</v>
      </c>
      <c r="H24" s="68">
        <f t="shared" si="0"/>
        <v>0</v>
      </c>
    </row>
    <row r="25" spans="1:9" x14ac:dyDescent="0.3">
      <c r="A25" s="27" t="s">
        <v>2</v>
      </c>
      <c r="B25" s="481">
        <v>0</v>
      </c>
      <c r="C25" s="481">
        <v>7.7</v>
      </c>
      <c r="D25" s="481">
        <f t="shared" si="5"/>
        <v>0</v>
      </c>
      <c r="E25" s="481">
        <v>0</v>
      </c>
      <c r="F25" s="90">
        <v>7.7</v>
      </c>
      <c r="G25" s="481">
        <f t="shared" si="2"/>
        <v>0</v>
      </c>
      <c r="H25" s="68">
        <f t="shared" si="0"/>
        <v>0</v>
      </c>
    </row>
    <row r="26" spans="1:9" x14ac:dyDescent="0.3">
      <c r="A26" s="27" t="s">
        <v>3</v>
      </c>
      <c r="B26" s="481">
        <v>0</v>
      </c>
      <c r="C26" s="481">
        <v>2</v>
      </c>
      <c r="D26" s="481">
        <f t="shared" si="5"/>
        <v>0</v>
      </c>
      <c r="E26" s="481">
        <v>0</v>
      </c>
      <c r="F26" s="90">
        <v>2</v>
      </c>
      <c r="G26" s="481">
        <f t="shared" si="2"/>
        <v>0</v>
      </c>
      <c r="H26" s="68">
        <f t="shared" si="0"/>
        <v>0</v>
      </c>
    </row>
    <row r="27" spans="1:9" ht="26.4" customHeight="1" x14ac:dyDescent="0.3">
      <c r="A27" s="27" t="s">
        <v>139</v>
      </c>
      <c r="B27" s="497" t="s">
        <v>452</v>
      </c>
      <c r="C27" s="430"/>
      <c r="D27" s="430"/>
      <c r="E27" s="497" t="s">
        <v>452</v>
      </c>
      <c r="F27" s="430"/>
      <c r="G27" s="430"/>
      <c r="H27" s="68">
        <f t="shared" si="0"/>
        <v>0</v>
      </c>
    </row>
    <row r="28" spans="1:9" ht="25" x14ac:dyDescent="0.3">
      <c r="A28" s="27" t="s">
        <v>196</v>
      </c>
      <c r="B28" s="481">
        <v>0</v>
      </c>
      <c r="C28" s="481">
        <v>112</v>
      </c>
      <c r="D28" s="481">
        <f t="shared" si="5"/>
        <v>0</v>
      </c>
      <c r="E28" s="481">
        <v>0</v>
      </c>
      <c r="F28" s="90">
        <v>112</v>
      </c>
      <c r="G28" s="481">
        <f t="shared" si="2"/>
        <v>0</v>
      </c>
      <c r="H28" s="68">
        <f t="shared" si="0"/>
        <v>0</v>
      </c>
    </row>
    <row r="29" spans="1:9" ht="25" x14ac:dyDescent="0.3">
      <c r="A29" s="27" t="s">
        <v>195</v>
      </c>
      <c r="B29" s="481">
        <v>0</v>
      </c>
      <c r="C29" s="481">
        <v>216</v>
      </c>
      <c r="D29" s="481">
        <f t="shared" si="5"/>
        <v>0</v>
      </c>
      <c r="E29" s="481">
        <v>0</v>
      </c>
      <c r="F29" s="90">
        <v>216</v>
      </c>
      <c r="G29" s="481">
        <f t="shared" si="2"/>
        <v>0</v>
      </c>
      <c r="H29" s="68">
        <f t="shared" si="0"/>
        <v>0</v>
      </c>
    </row>
    <row r="30" spans="1:9" ht="39.65" customHeight="1" x14ac:dyDescent="0.3">
      <c r="A30" s="70" t="s">
        <v>34</v>
      </c>
      <c r="B30" s="429" t="s">
        <v>530</v>
      </c>
      <c r="C30" s="433"/>
      <c r="D30" s="430"/>
      <c r="E30" s="429" t="s">
        <v>530</v>
      </c>
      <c r="F30" s="433"/>
      <c r="G30" s="430"/>
      <c r="H30" s="106">
        <f t="shared" si="0"/>
        <v>0</v>
      </c>
    </row>
    <row r="31" spans="1:9" ht="52.75" customHeight="1" x14ac:dyDescent="0.3">
      <c r="A31" s="70" t="s">
        <v>302</v>
      </c>
      <c r="B31" s="429" t="s">
        <v>531</v>
      </c>
      <c r="C31" s="433"/>
      <c r="D31" s="430"/>
      <c r="E31" s="429" t="s">
        <v>531</v>
      </c>
      <c r="F31" s="433"/>
      <c r="G31" s="430"/>
      <c r="H31" s="106">
        <f t="shared" si="0"/>
        <v>0</v>
      </c>
    </row>
    <row r="32" spans="1:9" ht="37.5" x14ac:dyDescent="0.3">
      <c r="A32" s="27" t="s">
        <v>213</v>
      </c>
      <c r="B32" s="481">
        <v>0</v>
      </c>
      <c r="C32" s="481">
        <v>40</v>
      </c>
      <c r="D32" s="481">
        <f t="shared" ref="D32:D36" si="6">B32*C32</f>
        <v>0</v>
      </c>
      <c r="E32" s="481">
        <v>0</v>
      </c>
      <c r="F32" s="90">
        <v>40</v>
      </c>
      <c r="G32" s="481">
        <f t="shared" si="2"/>
        <v>0</v>
      </c>
      <c r="H32" s="68">
        <f t="shared" si="0"/>
        <v>0</v>
      </c>
    </row>
    <row r="33" spans="1:8" ht="37.5" x14ac:dyDescent="0.3">
      <c r="A33" s="27" t="s">
        <v>214</v>
      </c>
      <c r="B33" s="481">
        <v>0</v>
      </c>
      <c r="C33" s="481">
        <v>40</v>
      </c>
      <c r="D33" s="481">
        <f t="shared" si="6"/>
        <v>0</v>
      </c>
      <c r="E33" s="481">
        <v>0</v>
      </c>
      <c r="F33" s="90">
        <v>40</v>
      </c>
      <c r="G33" s="481">
        <f t="shared" si="2"/>
        <v>0</v>
      </c>
      <c r="H33" s="68">
        <f t="shared" si="0"/>
        <v>0</v>
      </c>
    </row>
    <row r="34" spans="1:8" ht="46.25" customHeight="1" x14ac:dyDescent="0.3">
      <c r="A34" s="27" t="s">
        <v>520</v>
      </c>
      <c r="B34" s="481">
        <v>0</v>
      </c>
      <c r="C34" s="481">
        <v>40</v>
      </c>
      <c r="D34" s="481">
        <f t="shared" si="6"/>
        <v>0</v>
      </c>
      <c r="E34" s="481">
        <v>0</v>
      </c>
      <c r="F34" s="90">
        <v>40</v>
      </c>
      <c r="G34" s="481">
        <f t="shared" si="2"/>
        <v>0</v>
      </c>
      <c r="H34" s="68">
        <f t="shared" si="0"/>
        <v>0</v>
      </c>
    </row>
    <row r="35" spans="1:8" ht="37.5" x14ac:dyDescent="0.3">
      <c r="A35" s="27" t="s">
        <v>215</v>
      </c>
      <c r="B35" s="481">
        <v>0</v>
      </c>
      <c r="C35" s="481">
        <v>40</v>
      </c>
      <c r="D35" s="481">
        <f t="shared" si="6"/>
        <v>0</v>
      </c>
      <c r="E35" s="481">
        <v>0</v>
      </c>
      <c r="F35" s="90">
        <v>40</v>
      </c>
      <c r="G35" s="481">
        <f t="shared" si="2"/>
        <v>0</v>
      </c>
      <c r="H35" s="68">
        <f t="shared" si="0"/>
        <v>0</v>
      </c>
    </row>
    <row r="36" spans="1:8" ht="37.5" x14ac:dyDescent="0.3">
      <c r="A36" s="27" t="s">
        <v>205</v>
      </c>
      <c r="B36" s="481">
        <v>0</v>
      </c>
      <c r="C36" s="481">
        <v>120</v>
      </c>
      <c r="D36" s="481">
        <f t="shared" si="6"/>
        <v>0</v>
      </c>
      <c r="E36" s="481">
        <v>0</v>
      </c>
      <c r="F36" s="90">
        <v>120</v>
      </c>
      <c r="G36" s="481">
        <f>F36*E36</f>
        <v>0</v>
      </c>
      <c r="H36" s="68">
        <f t="shared" si="0"/>
        <v>0</v>
      </c>
    </row>
    <row r="37" spans="1:8" ht="53.4" customHeight="1" thickBot="1" x14ac:dyDescent="0.35">
      <c r="A37" s="72" t="s">
        <v>301</v>
      </c>
      <c r="B37" s="499" t="s">
        <v>478</v>
      </c>
      <c r="C37" s="500"/>
      <c r="D37" s="500"/>
      <c r="E37" s="499" t="s">
        <v>478</v>
      </c>
      <c r="F37" s="500"/>
      <c r="G37" s="500"/>
      <c r="H37" s="91">
        <f t="shared" si="0"/>
        <v>0</v>
      </c>
    </row>
    <row r="38" spans="1:8" ht="14.5" thickTop="1" x14ac:dyDescent="0.3">
      <c r="A38" s="682" t="s">
        <v>422</v>
      </c>
      <c r="B38" s="629"/>
      <c r="C38" s="629"/>
      <c r="D38" s="290">
        <f>SUM(D3:D37)</f>
        <v>112</v>
      </c>
      <c r="E38" s="292"/>
      <c r="F38" s="16"/>
      <c r="G38" s="290">
        <f>SUM(G3:G37)</f>
        <v>90.666666666666657</v>
      </c>
      <c r="H38" s="92">
        <f>SUM(H3:H37)</f>
        <v>-21.333333333333336</v>
      </c>
    </row>
    <row r="39" spans="1:8" x14ac:dyDescent="0.3">
      <c r="H39" s="11"/>
    </row>
    <row r="40" spans="1:8" x14ac:dyDescent="0.3">
      <c r="H40" s="11"/>
    </row>
    <row r="41" spans="1:8" x14ac:dyDescent="0.3">
      <c r="A41" s="46"/>
      <c r="H41" s="11"/>
    </row>
  </sheetData>
  <autoFilter ref="A2:H38" xr:uid="{00000000-0009-0000-0000-000002000000}"/>
  <mergeCells count="3">
    <mergeCell ref="E1:G1"/>
    <mergeCell ref="H1:H2"/>
    <mergeCell ref="B1:D1"/>
  </mergeCells>
  <pageMargins left="0.5" right="0.5" top="0.75" bottom="0.5" header="0.3" footer="0.3"/>
  <pageSetup scale="87" fitToHeight="0" orientation="landscape" r:id="rId1"/>
  <headerFooter>
    <oddHeader>&amp;C&amp;"Arial,Bold"&amp;16FINAL Supporting Statement, 10 CFR Part 26</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L225"/>
  <sheetViews>
    <sheetView view="pageBreakPreview" zoomScale="80" zoomScaleNormal="70" zoomScaleSheetLayoutView="80" workbookViewId="0">
      <pane xSplit="1" ySplit="2" topLeftCell="B3" activePane="bottomRight" state="frozen"/>
      <selection activeCell="A48" sqref="A48"/>
      <selection pane="topRight" activeCell="A48" sqref="A48"/>
      <selection pane="bottomLeft" activeCell="A48" sqref="A48"/>
      <selection pane="bottomRight" activeCell="L8" sqref="L8"/>
    </sheetView>
  </sheetViews>
  <sheetFormatPr defaultColWidth="9" defaultRowHeight="14" x14ac:dyDescent="0.3"/>
  <cols>
    <col min="1" max="1" width="45.1640625" style="2" customWidth="1"/>
    <col min="2" max="2" width="11.6640625" style="5" customWidth="1"/>
    <col min="3" max="3" width="12.33203125" style="5" customWidth="1"/>
    <col min="4" max="4" width="14.83203125" style="5" customWidth="1"/>
    <col min="5" max="5" width="11.9140625" customWidth="1"/>
    <col min="6" max="6" width="11" customWidth="1"/>
    <col min="7" max="7" width="11.83203125" style="2" customWidth="1"/>
    <col min="8" max="8" width="9.08203125" style="6" bestFit="1" customWidth="1"/>
    <col min="9" max="16384" width="9" style="2"/>
  </cols>
  <sheetData>
    <row r="1" spans="1:8" ht="28.75" customHeight="1" x14ac:dyDescent="0.3">
      <c r="A1" s="630" t="s">
        <v>39</v>
      </c>
      <c r="B1" s="792" t="s">
        <v>550</v>
      </c>
      <c r="C1" s="792"/>
      <c r="D1" s="792"/>
      <c r="E1" s="793" t="s">
        <v>568</v>
      </c>
      <c r="F1" s="793"/>
      <c r="G1" s="793"/>
      <c r="H1" s="793" t="s">
        <v>887</v>
      </c>
    </row>
    <row r="2" spans="1:8" ht="52" x14ac:dyDescent="0.3">
      <c r="A2" s="38" t="s">
        <v>0</v>
      </c>
      <c r="B2" s="44" t="s">
        <v>210</v>
      </c>
      <c r="C2" s="44" t="s">
        <v>295</v>
      </c>
      <c r="D2" s="44" t="s">
        <v>818</v>
      </c>
      <c r="E2" s="627" t="s">
        <v>210</v>
      </c>
      <c r="F2" s="627" t="s">
        <v>295</v>
      </c>
      <c r="G2" s="627" t="s">
        <v>817</v>
      </c>
      <c r="H2" s="793"/>
    </row>
    <row r="3" spans="1:8" ht="75" x14ac:dyDescent="0.3">
      <c r="A3" s="70" t="s">
        <v>456</v>
      </c>
      <c r="B3" s="481">
        <v>33.5</v>
      </c>
      <c r="C3" s="481">
        <v>2</v>
      </c>
      <c r="D3" s="481">
        <f>B3*C3</f>
        <v>67</v>
      </c>
      <c r="E3" s="638">
        <f>(1/2)*(((Num_Sites_Reactors_Operating)+(Num_Sites_Reactors_Operating-3)*2)/3+SUM('Data '!$C$12,'Data '!$C$13,'Data '!$C$14))</f>
        <v>30</v>
      </c>
      <c r="F3" s="639">
        <v>2</v>
      </c>
      <c r="G3" s="481">
        <f t="shared" ref="G3:G10" si="0">E3*F3</f>
        <v>60</v>
      </c>
      <c r="H3" s="77">
        <f t="shared" ref="H3:H66" si="1">G3-D3</f>
        <v>-7</v>
      </c>
    </row>
    <row r="4" spans="1:8" ht="25" x14ac:dyDescent="0.3">
      <c r="A4" s="70" t="s">
        <v>191</v>
      </c>
      <c r="B4" s="481">
        <v>26</v>
      </c>
      <c r="C4" s="481">
        <v>16</v>
      </c>
      <c r="D4" s="481">
        <f t="shared" ref="D4:D5" si="2">B4*C4</f>
        <v>416</v>
      </c>
      <c r="E4" s="481">
        <f t="shared" ref="E4:E10" si="3">Num_FFD_Prgms_Full</f>
        <v>24</v>
      </c>
      <c r="F4" s="69">
        <v>16</v>
      </c>
      <c r="G4" s="481">
        <f t="shared" si="0"/>
        <v>384</v>
      </c>
      <c r="H4" s="77">
        <f t="shared" si="1"/>
        <v>-32</v>
      </c>
    </row>
    <row r="5" spans="1:8" x14ac:dyDescent="0.3">
      <c r="A5" s="70" t="s">
        <v>148</v>
      </c>
      <c r="B5" s="481">
        <v>26</v>
      </c>
      <c r="C5" s="481">
        <v>80</v>
      </c>
      <c r="D5" s="481">
        <f t="shared" si="2"/>
        <v>2080</v>
      </c>
      <c r="E5" s="481">
        <f t="shared" si="3"/>
        <v>24</v>
      </c>
      <c r="F5" s="69">
        <v>80</v>
      </c>
      <c r="G5" s="481">
        <f t="shared" si="0"/>
        <v>1920</v>
      </c>
      <c r="H5" s="77">
        <f t="shared" si="1"/>
        <v>-160</v>
      </c>
    </row>
    <row r="6" spans="1:8" ht="25" x14ac:dyDescent="0.3">
      <c r="A6" s="109" t="s">
        <v>187</v>
      </c>
      <c r="B6" s="432">
        <v>26</v>
      </c>
      <c r="C6" s="432">
        <v>4</v>
      </c>
      <c r="D6" s="432">
        <f t="shared" ref="D6:D22" si="4">B6*C6</f>
        <v>104</v>
      </c>
      <c r="E6" s="481">
        <f>ROUND((Num_Sites_Reactors_Operating + Num_Sites_FuelCycle)/3,0)</f>
        <v>19</v>
      </c>
      <c r="F6" s="536">
        <v>2</v>
      </c>
      <c r="G6" s="481">
        <f t="shared" si="0"/>
        <v>38</v>
      </c>
      <c r="H6" s="77">
        <f t="shared" si="1"/>
        <v>-66</v>
      </c>
    </row>
    <row r="7" spans="1:8" ht="25" x14ac:dyDescent="0.3">
      <c r="A7" s="70" t="s">
        <v>292</v>
      </c>
      <c r="B7" s="481">
        <v>26</v>
      </c>
      <c r="C7" s="481">
        <v>104.1273076923077</v>
      </c>
      <c r="D7" s="481">
        <v>2707.31</v>
      </c>
      <c r="E7" s="481">
        <f t="shared" si="3"/>
        <v>24</v>
      </c>
      <c r="F7" s="536">
        <f>G7/E7</f>
        <v>94.840509259259264</v>
      </c>
      <c r="G7" s="481">
        <f>Num_PreAccess_Tests * (2/60)</f>
        <v>2276.1722222222224</v>
      </c>
      <c r="H7" s="77">
        <f t="shared" si="1"/>
        <v>-431.1377777777775</v>
      </c>
    </row>
    <row r="8" spans="1:8" ht="25" x14ac:dyDescent="0.3">
      <c r="A8" s="70" t="s">
        <v>861</v>
      </c>
      <c r="B8" s="481">
        <v>26</v>
      </c>
      <c r="C8" s="481">
        <v>133.24700854700856</v>
      </c>
      <c r="D8" s="481">
        <v>3464.4222222222224</v>
      </c>
      <c r="E8" s="481">
        <f t="shared" si="3"/>
        <v>24</v>
      </c>
      <c r="F8" s="536">
        <f>G8/E8</f>
        <v>119.32800925925926</v>
      </c>
      <c r="G8" s="481">
        <f>RandomTestPop_FullPrgm * (2/60)</f>
        <v>2863.8722222222223</v>
      </c>
      <c r="H8" s="77">
        <f t="shared" si="1"/>
        <v>-600.55000000000018</v>
      </c>
    </row>
    <row r="9" spans="1:8" ht="25" x14ac:dyDescent="0.3">
      <c r="A9" s="70" t="s">
        <v>64</v>
      </c>
      <c r="B9" s="481">
        <v>26</v>
      </c>
      <c r="C9" s="481">
        <v>4</v>
      </c>
      <c r="D9" s="481">
        <f t="shared" si="4"/>
        <v>104</v>
      </c>
      <c r="E9" s="481">
        <f t="shared" si="3"/>
        <v>24</v>
      </c>
      <c r="F9" s="536">
        <v>4</v>
      </c>
      <c r="G9" s="481">
        <f t="shared" si="0"/>
        <v>96</v>
      </c>
      <c r="H9" s="77">
        <f t="shared" si="1"/>
        <v>-8</v>
      </c>
    </row>
    <row r="10" spans="1:8" ht="50" x14ac:dyDescent="0.3">
      <c r="A10" s="70" t="s">
        <v>192</v>
      </c>
      <c r="B10" s="481">
        <v>26</v>
      </c>
      <c r="C10" s="481">
        <v>16</v>
      </c>
      <c r="D10" s="481">
        <f t="shared" si="4"/>
        <v>416</v>
      </c>
      <c r="E10" s="481">
        <f t="shared" si="3"/>
        <v>24</v>
      </c>
      <c r="F10" s="536">
        <v>16</v>
      </c>
      <c r="G10" s="481">
        <f t="shared" si="0"/>
        <v>384</v>
      </c>
      <c r="H10" s="77">
        <f t="shared" si="1"/>
        <v>-32</v>
      </c>
    </row>
    <row r="11" spans="1:8" ht="25" x14ac:dyDescent="0.3">
      <c r="A11" s="70" t="s">
        <v>5</v>
      </c>
      <c r="B11" s="429" t="s">
        <v>453</v>
      </c>
      <c r="C11" s="430"/>
      <c r="D11" s="431"/>
      <c r="E11" s="478" t="s">
        <v>453</v>
      </c>
      <c r="F11" s="482"/>
      <c r="G11" s="480"/>
      <c r="H11" s="77">
        <f t="shared" si="1"/>
        <v>0</v>
      </c>
    </row>
    <row r="12" spans="1:8" ht="25" x14ac:dyDescent="0.3">
      <c r="A12" s="70" t="s">
        <v>446</v>
      </c>
      <c r="B12" s="429" t="s">
        <v>445</v>
      </c>
      <c r="C12" s="430"/>
      <c r="D12" s="431"/>
      <c r="E12" s="478" t="s">
        <v>445</v>
      </c>
      <c r="F12" s="482"/>
      <c r="G12" s="480"/>
      <c r="H12" s="77">
        <f t="shared" si="1"/>
        <v>0</v>
      </c>
    </row>
    <row r="13" spans="1:8" ht="25" x14ac:dyDescent="0.3">
      <c r="A13" s="70" t="s">
        <v>115</v>
      </c>
      <c r="B13" s="429" t="s">
        <v>453</v>
      </c>
      <c r="C13" s="430"/>
      <c r="D13" s="431"/>
      <c r="E13" s="478" t="s">
        <v>453</v>
      </c>
      <c r="F13" s="482"/>
      <c r="G13" s="480"/>
      <c r="H13" s="77">
        <f t="shared" si="1"/>
        <v>0</v>
      </c>
    </row>
    <row r="14" spans="1:8" ht="37.5" x14ac:dyDescent="0.3">
      <c r="A14" s="70" t="s">
        <v>275</v>
      </c>
      <c r="B14" s="481">
        <v>13</v>
      </c>
      <c r="C14" s="481">
        <v>2</v>
      </c>
      <c r="D14" s="481">
        <f t="shared" si="4"/>
        <v>26</v>
      </c>
      <c r="E14" s="481">
        <f>0.5*Num_FFD_Prgms_Full</f>
        <v>12</v>
      </c>
      <c r="F14" s="69">
        <v>2</v>
      </c>
      <c r="G14" s="481">
        <f t="shared" ref="G14:G18" si="5">E14*F14</f>
        <v>24</v>
      </c>
      <c r="H14" s="77">
        <f t="shared" si="1"/>
        <v>-2</v>
      </c>
    </row>
    <row r="15" spans="1:8" ht="37.5" x14ac:dyDescent="0.3">
      <c r="A15" s="70" t="s">
        <v>479</v>
      </c>
      <c r="B15" s="481">
        <v>13</v>
      </c>
      <c r="C15" s="481">
        <v>1</v>
      </c>
      <c r="D15" s="481">
        <f t="shared" si="4"/>
        <v>13</v>
      </c>
      <c r="E15" s="481">
        <f>0.5*Num_FFD_Prgms_Full</f>
        <v>12</v>
      </c>
      <c r="F15" s="69">
        <v>1</v>
      </c>
      <c r="G15" s="481">
        <f t="shared" si="5"/>
        <v>12</v>
      </c>
      <c r="H15" s="77">
        <f t="shared" si="1"/>
        <v>-1</v>
      </c>
    </row>
    <row r="16" spans="1:8" ht="37.5" x14ac:dyDescent="0.3">
      <c r="A16" s="70" t="s">
        <v>274</v>
      </c>
      <c r="B16" s="481">
        <v>26</v>
      </c>
      <c r="C16" s="481">
        <v>2.4807692307692308</v>
      </c>
      <c r="D16" s="481">
        <v>64.5</v>
      </c>
      <c r="E16" s="481">
        <f>Num_FFD_Prgms_Full</f>
        <v>24</v>
      </c>
      <c r="F16" s="632">
        <f>G16/E16</f>
        <v>2.1788194444444446</v>
      </c>
      <c r="G16" s="481">
        <f>(15/60)  * SUM('Test Results'!F7,'Test Results'!H7,'Test Results'!J7,'Test Results'!L7)</f>
        <v>52.291666666666671</v>
      </c>
      <c r="H16" s="77">
        <f t="shared" si="1"/>
        <v>-12.208333333333329</v>
      </c>
    </row>
    <row r="17" spans="1:8" ht="37.5" x14ac:dyDescent="0.3">
      <c r="A17" s="70" t="s">
        <v>237</v>
      </c>
      <c r="B17" s="481">
        <v>26</v>
      </c>
      <c r="C17" s="481">
        <v>40</v>
      </c>
      <c r="D17" s="481">
        <f t="shared" si="4"/>
        <v>1040</v>
      </c>
      <c r="E17" s="481">
        <f>Num_FFD_Prgms_Full</f>
        <v>24</v>
      </c>
      <c r="F17" s="69">
        <v>40</v>
      </c>
      <c r="G17" s="481">
        <f t="shared" si="5"/>
        <v>960</v>
      </c>
      <c r="H17" s="77">
        <f t="shared" si="1"/>
        <v>-80</v>
      </c>
    </row>
    <row r="18" spans="1:8" ht="25" x14ac:dyDescent="0.3">
      <c r="A18" s="70" t="s">
        <v>324</v>
      </c>
      <c r="B18" s="481">
        <v>26</v>
      </c>
      <c r="C18" s="481">
        <v>40</v>
      </c>
      <c r="D18" s="481">
        <f t="shared" si="4"/>
        <v>1040</v>
      </c>
      <c r="E18" s="481">
        <f>Num_FFD_Prgms_Full</f>
        <v>24</v>
      </c>
      <c r="F18" s="69">
        <v>40</v>
      </c>
      <c r="G18" s="481">
        <f t="shared" si="5"/>
        <v>960</v>
      </c>
      <c r="H18" s="77">
        <f t="shared" si="1"/>
        <v>-80</v>
      </c>
    </row>
    <row r="19" spans="1:8" ht="25" x14ac:dyDescent="0.3">
      <c r="A19" s="70" t="s">
        <v>325</v>
      </c>
      <c r="B19" s="429" t="s">
        <v>454</v>
      </c>
      <c r="C19" s="430"/>
      <c r="D19" s="431"/>
      <c r="E19" s="478" t="s">
        <v>454</v>
      </c>
      <c r="F19" s="482"/>
      <c r="G19" s="480"/>
      <c r="H19" s="77">
        <f t="shared" si="1"/>
        <v>0</v>
      </c>
    </row>
    <row r="20" spans="1:8" ht="37.5" x14ac:dyDescent="0.3">
      <c r="A20" s="70" t="s">
        <v>390</v>
      </c>
      <c r="B20" s="481">
        <v>26</v>
      </c>
      <c r="C20" s="481">
        <v>87.33012820512819</v>
      </c>
      <c r="D20" s="481">
        <v>2270.583333333333</v>
      </c>
      <c r="E20" s="481">
        <f>Num_FFD_Prgms_Full</f>
        <v>24</v>
      </c>
      <c r="F20" s="536">
        <f>G20/E20</f>
        <v>82.576388888888886</v>
      </c>
      <c r="G20" s="481">
        <f>(2.75) * 'Data '!C36</f>
        <v>1981.8333333333333</v>
      </c>
      <c r="H20" s="77">
        <f t="shared" si="1"/>
        <v>-288.74999999999977</v>
      </c>
    </row>
    <row r="21" spans="1:8" ht="55.75" customHeight="1" x14ac:dyDescent="0.3">
      <c r="A21" s="70" t="s">
        <v>326</v>
      </c>
      <c r="B21" s="481">
        <v>6</v>
      </c>
      <c r="C21" s="481">
        <v>16</v>
      </c>
      <c r="D21" s="481">
        <f t="shared" si="4"/>
        <v>96</v>
      </c>
      <c r="E21" s="481">
        <v>6</v>
      </c>
      <c r="F21" s="536">
        <v>16</v>
      </c>
      <c r="G21" s="481">
        <f t="shared" ref="G21:G22" si="6">E21*F21</f>
        <v>96</v>
      </c>
      <c r="H21" s="77">
        <f t="shared" si="1"/>
        <v>0</v>
      </c>
    </row>
    <row r="22" spans="1:8" ht="37.5" x14ac:dyDescent="0.3">
      <c r="A22" s="70" t="s">
        <v>337</v>
      </c>
      <c r="B22" s="481">
        <v>1</v>
      </c>
      <c r="C22" s="481">
        <v>0.5</v>
      </c>
      <c r="D22" s="481">
        <f t="shared" si="4"/>
        <v>0.5</v>
      </c>
      <c r="E22" s="481">
        <v>0</v>
      </c>
      <c r="F22" s="536">
        <v>0.5</v>
      </c>
      <c r="G22" s="481">
        <f t="shared" si="6"/>
        <v>0</v>
      </c>
      <c r="H22" s="77">
        <f t="shared" si="1"/>
        <v>-0.5</v>
      </c>
    </row>
    <row r="23" spans="1:8" ht="25" x14ac:dyDescent="0.3">
      <c r="A23" s="70" t="s">
        <v>6</v>
      </c>
      <c r="B23" s="429" t="s">
        <v>327</v>
      </c>
      <c r="C23" s="430"/>
      <c r="D23" s="431"/>
      <c r="E23" s="478" t="s">
        <v>327</v>
      </c>
      <c r="F23" s="482"/>
      <c r="G23" s="480"/>
      <c r="H23" s="77">
        <f t="shared" si="1"/>
        <v>0</v>
      </c>
    </row>
    <row r="24" spans="1:8" x14ac:dyDescent="0.3">
      <c r="A24" s="70" t="s">
        <v>7</v>
      </c>
      <c r="B24" s="481">
        <v>26</v>
      </c>
      <c r="C24" s="481">
        <v>40</v>
      </c>
      <c r="D24" s="481">
        <f>B24*C24</f>
        <v>1040</v>
      </c>
      <c r="E24" s="481">
        <f>Num_FFD_Prgms_Full</f>
        <v>24</v>
      </c>
      <c r="F24" s="536">
        <v>40</v>
      </c>
      <c r="G24" s="481">
        <f t="shared" ref="G24" si="7">E24*F24</f>
        <v>960</v>
      </c>
      <c r="H24" s="77">
        <f t="shared" si="1"/>
        <v>-80</v>
      </c>
    </row>
    <row r="25" spans="1:8" x14ac:dyDescent="0.3">
      <c r="A25" s="70" t="s">
        <v>8</v>
      </c>
      <c r="B25" s="481">
        <v>26</v>
      </c>
      <c r="C25" s="481">
        <v>40</v>
      </c>
      <c r="D25" s="481">
        <f t="shared" ref="D25:D28" si="8">B25*C25</f>
        <v>1040</v>
      </c>
      <c r="E25" s="481">
        <f>Num_FFD_Prgms_Full</f>
        <v>24</v>
      </c>
      <c r="F25" s="536">
        <v>40</v>
      </c>
      <c r="G25" s="481">
        <f t="shared" ref="G25:G28" si="9">E25*F25</f>
        <v>960</v>
      </c>
      <c r="H25" s="77">
        <f t="shared" si="1"/>
        <v>-80</v>
      </c>
    </row>
    <row r="26" spans="1:8" ht="62.5" x14ac:dyDescent="0.3">
      <c r="A26" s="70" t="s">
        <v>328</v>
      </c>
      <c r="B26" s="481">
        <v>26</v>
      </c>
      <c r="C26" s="481">
        <v>40</v>
      </c>
      <c r="D26" s="481">
        <f t="shared" si="8"/>
        <v>1040</v>
      </c>
      <c r="E26" s="481">
        <f>Num_FFD_Prgms_Full</f>
        <v>24</v>
      </c>
      <c r="F26" s="536">
        <v>40</v>
      </c>
      <c r="G26" s="481">
        <f t="shared" si="9"/>
        <v>960</v>
      </c>
      <c r="H26" s="77">
        <f t="shared" si="1"/>
        <v>-80</v>
      </c>
    </row>
    <row r="27" spans="1:8" ht="25" x14ac:dyDescent="0.3">
      <c r="A27" s="70" t="s">
        <v>188</v>
      </c>
      <c r="B27" s="481">
        <v>1</v>
      </c>
      <c r="C27" s="481">
        <v>13</v>
      </c>
      <c r="D27" s="481">
        <f t="shared" si="8"/>
        <v>13</v>
      </c>
      <c r="E27" s="481">
        <f>E22</f>
        <v>0</v>
      </c>
      <c r="F27" s="536">
        <f>Num_FFD_Prgms_Full * 0.5</f>
        <v>12</v>
      </c>
      <c r="G27" s="481">
        <f t="shared" si="9"/>
        <v>0</v>
      </c>
      <c r="H27" s="77">
        <f t="shared" si="1"/>
        <v>-13</v>
      </c>
    </row>
    <row r="28" spans="1:8" ht="25" x14ac:dyDescent="0.3">
      <c r="A28" s="70" t="s">
        <v>9</v>
      </c>
      <c r="B28" s="481">
        <v>0</v>
      </c>
      <c r="C28" s="481">
        <v>8</v>
      </c>
      <c r="D28" s="481">
        <f t="shared" si="8"/>
        <v>0</v>
      </c>
      <c r="E28" s="481">
        <v>0</v>
      </c>
      <c r="F28" s="536">
        <v>8</v>
      </c>
      <c r="G28" s="481">
        <f t="shared" si="9"/>
        <v>0</v>
      </c>
      <c r="H28" s="77">
        <f t="shared" si="1"/>
        <v>0</v>
      </c>
    </row>
    <row r="29" spans="1:8" ht="37.5" x14ac:dyDescent="0.3">
      <c r="A29" s="70" t="s">
        <v>480</v>
      </c>
      <c r="B29" s="481">
        <v>26</v>
      </c>
      <c r="C29" s="481">
        <v>156.19999999999999</v>
      </c>
      <c r="D29" s="481">
        <v>4060.9650000000001</v>
      </c>
      <c r="E29" s="481">
        <f>Num_FFD_Prgms_Full</f>
        <v>24</v>
      </c>
      <c r="F29" s="536">
        <f>G29/E29</f>
        <v>142.2607638888889</v>
      </c>
      <c r="G29" s="481">
        <f>(3/60) * Num_PreAccess_Tests</f>
        <v>3414.2583333333337</v>
      </c>
      <c r="H29" s="77">
        <f t="shared" si="1"/>
        <v>-646.70666666666648</v>
      </c>
    </row>
    <row r="30" spans="1:8" ht="37.5" x14ac:dyDescent="0.3">
      <c r="A30" s="70" t="s">
        <v>329</v>
      </c>
      <c r="B30" s="481">
        <v>26</v>
      </c>
      <c r="C30" s="481">
        <v>21.833333333333332</v>
      </c>
      <c r="D30" s="481">
        <v>567.66666666666663</v>
      </c>
      <c r="E30" s="481">
        <f>Num_FFD_Prgms_Full</f>
        <v>24</v>
      </c>
      <c r="F30" s="536">
        <f>G30/E30</f>
        <v>21.0625</v>
      </c>
      <c r="G30" s="481">
        <f>'Data '!C30</f>
        <v>505.5</v>
      </c>
      <c r="H30" s="77">
        <f t="shared" si="1"/>
        <v>-62.166666666666629</v>
      </c>
    </row>
    <row r="31" spans="1:8" ht="75" x14ac:dyDescent="0.3">
      <c r="A31" s="70" t="s">
        <v>276</v>
      </c>
      <c r="B31" s="429" t="s">
        <v>532</v>
      </c>
      <c r="C31" s="430"/>
      <c r="D31" s="431"/>
      <c r="E31" s="478" t="s">
        <v>532</v>
      </c>
      <c r="F31" s="482"/>
      <c r="G31" s="480"/>
      <c r="H31" s="77">
        <f t="shared" si="1"/>
        <v>0</v>
      </c>
    </row>
    <row r="32" spans="1:8" ht="25" x14ac:dyDescent="0.3">
      <c r="A32" s="70" t="s">
        <v>330</v>
      </c>
      <c r="B32" s="429" t="s">
        <v>437</v>
      </c>
      <c r="C32" s="430"/>
      <c r="D32" s="431"/>
      <c r="E32" s="478" t="s">
        <v>437</v>
      </c>
      <c r="F32" s="482"/>
      <c r="G32" s="480"/>
      <c r="H32" s="77">
        <f t="shared" si="1"/>
        <v>0</v>
      </c>
    </row>
    <row r="33" spans="1:8" ht="25" x14ac:dyDescent="0.3">
      <c r="A33" s="70" t="s">
        <v>435</v>
      </c>
      <c r="B33" s="481">
        <v>26</v>
      </c>
      <c r="C33" s="481">
        <v>1561.9096153846153</v>
      </c>
      <c r="D33" s="481">
        <v>40609.65</v>
      </c>
      <c r="E33" s="481">
        <f t="shared" ref="E33" si="10">Num_FFD_Prgms_Full</f>
        <v>24</v>
      </c>
      <c r="F33" s="536">
        <f>G33/E33</f>
        <v>1422.6076388888889</v>
      </c>
      <c r="G33" s="481">
        <f>(Num_PreAccess_Tests * 0.5)</f>
        <v>34142.583333333336</v>
      </c>
      <c r="H33" s="77">
        <f t="shared" si="1"/>
        <v>-6467.0666666666657</v>
      </c>
    </row>
    <row r="34" spans="1:8" ht="25" x14ac:dyDescent="0.3">
      <c r="A34" s="70" t="s">
        <v>436</v>
      </c>
      <c r="B34" s="429" t="s">
        <v>437</v>
      </c>
      <c r="C34" s="430"/>
      <c r="D34" s="431"/>
      <c r="E34" s="478" t="s">
        <v>437</v>
      </c>
      <c r="F34" s="482"/>
      <c r="G34" s="480"/>
      <c r="H34" s="77">
        <f t="shared" si="1"/>
        <v>0</v>
      </c>
    </row>
    <row r="35" spans="1:8" ht="25" x14ac:dyDescent="0.3">
      <c r="A35" s="70" t="s">
        <v>333</v>
      </c>
      <c r="B35" s="481">
        <v>26</v>
      </c>
      <c r="C35" s="481">
        <v>1561.9096153846153</v>
      </c>
      <c r="D35" s="481">
        <v>40609.65</v>
      </c>
      <c r="E35" s="481">
        <f t="shared" ref="E35" si="11">Num_FFD_Prgms_Full</f>
        <v>24</v>
      </c>
      <c r="F35" s="536">
        <f>G35/E35</f>
        <v>1422.6076388888889</v>
      </c>
      <c r="G35" s="481">
        <f>(Num_PreAccess_Tests * 0.5)</f>
        <v>34142.583333333336</v>
      </c>
      <c r="H35" s="77">
        <f t="shared" si="1"/>
        <v>-6467.0666666666657</v>
      </c>
    </row>
    <row r="36" spans="1:8" ht="25" x14ac:dyDescent="0.3">
      <c r="A36" s="70" t="s">
        <v>334</v>
      </c>
      <c r="B36" s="481">
        <v>26</v>
      </c>
      <c r="C36" s="481">
        <v>4</v>
      </c>
      <c r="D36" s="481">
        <f t="shared" ref="D36:D41" si="12">B36*C36</f>
        <v>104</v>
      </c>
      <c r="E36" s="481">
        <f t="shared" ref="E36:E38" si="13">Num_FFD_Prgms_Full</f>
        <v>24</v>
      </c>
      <c r="F36" s="536">
        <v>4</v>
      </c>
      <c r="G36" s="481">
        <f t="shared" ref="G36:G41" si="14">E36*F36</f>
        <v>96</v>
      </c>
      <c r="H36" s="77">
        <f t="shared" si="1"/>
        <v>-8</v>
      </c>
    </row>
    <row r="37" spans="1:8" ht="25" x14ac:dyDescent="0.3">
      <c r="A37" s="70" t="s">
        <v>331</v>
      </c>
      <c r="B37" s="481">
        <v>26</v>
      </c>
      <c r="C37" s="481">
        <v>3</v>
      </c>
      <c r="D37" s="481">
        <f t="shared" si="12"/>
        <v>78</v>
      </c>
      <c r="E37" s="481">
        <f t="shared" si="13"/>
        <v>24</v>
      </c>
      <c r="F37" s="536">
        <v>3</v>
      </c>
      <c r="G37" s="481">
        <f t="shared" si="14"/>
        <v>72</v>
      </c>
      <c r="H37" s="77">
        <f t="shared" si="1"/>
        <v>-6</v>
      </c>
    </row>
    <row r="38" spans="1:8" ht="37.5" x14ac:dyDescent="0.3">
      <c r="A38" s="70" t="s">
        <v>128</v>
      </c>
      <c r="B38" s="481">
        <v>26</v>
      </c>
      <c r="C38" s="481">
        <v>1</v>
      </c>
      <c r="D38" s="481">
        <f t="shared" si="12"/>
        <v>26</v>
      </c>
      <c r="E38" s="481">
        <f t="shared" si="13"/>
        <v>24</v>
      </c>
      <c r="F38" s="536">
        <v>1</v>
      </c>
      <c r="G38" s="481">
        <f t="shared" si="14"/>
        <v>24</v>
      </c>
      <c r="H38" s="77">
        <f t="shared" si="1"/>
        <v>-2</v>
      </c>
    </row>
    <row r="39" spans="1:8" ht="37.5" x14ac:dyDescent="0.3">
      <c r="A39" s="707" t="s">
        <v>441</v>
      </c>
      <c r="B39" s="429" t="s">
        <v>438</v>
      </c>
      <c r="C39" s="430"/>
      <c r="D39" s="431"/>
      <c r="E39" s="478" t="s">
        <v>438</v>
      </c>
      <c r="F39" s="482"/>
      <c r="G39" s="480"/>
      <c r="H39" s="77">
        <f t="shared" si="1"/>
        <v>0</v>
      </c>
    </row>
    <row r="40" spans="1:8" ht="25" x14ac:dyDescent="0.3">
      <c r="A40" s="70" t="s">
        <v>10</v>
      </c>
      <c r="B40" s="481">
        <v>26</v>
      </c>
      <c r="C40" s="481">
        <v>4</v>
      </c>
      <c r="D40" s="481">
        <f t="shared" si="12"/>
        <v>104</v>
      </c>
      <c r="E40" s="481">
        <f t="shared" ref="E40:E41" si="15">Num_FFD_Prgms_Full</f>
        <v>24</v>
      </c>
      <c r="F40" s="536">
        <v>4</v>
      </c>
      <c r="G40" s="481">
        <f t="shared" si="14"/>
        <v>96</v>
      </c>
      <c r="H40" s="77">
        <f t="shared" si="1"/>
        <v>-8</v>
      </c>
    </row>
    <row r="41" spans="1:8" ht="37.5" x14ac:dyDescent="0.3">
      <c r="A41" s="70" t="s">
        <v>335</v>
      </c>
      <c r="B41" s="481">
        <v>26</v>
      </c>
      <c r="C41" s="481">
        <v>1</v>
      </c>
      <c r="D41" s="481">
        <f t="shared" si="12"/>
        <v>26</v>
      </c>
      <c r="E41" s="481">
        <f t="shared" si="15"/>
        <v>24</v>
      </c>
      <c r="F41" s="536">
        <v>1</v>
      </c>
      <c r="G41" s="481">
        <f t="shared" si="14"/>
        <v>24</v>
      </c>
      <c r="H41" s="77">
        <f t="shared" si="1"/>
        <v>-2</v>
      </c>
    </row>
    <row r="42" spans="1:8" ht="37.5" x14ac:dyDescent="0.3">
      <c r="A42" s="70" t="s">
        <v>183</v>
      </c>
      <c r="B42" s="429" t="s">
        <v>539</v>
      </c>
      <c r="C42" s="430"/>
      <c r="D42" s="431"/>
      <c r="E42" s="478" t="s">
        <v>539</v>
      </c>
      <c r="F42" s="482"/>
      <c r="G42" s="480"/>
      <c r="H42" s="77">
        <f t="shared" si="1"/>
        <v>0</v>
      </c>
    </row>
    <row r="43" spans="1:8" ht="50" x14ac:dyDescent="0.3">
      <c r="A43" s="70" t="s">
        <v>336</v>
      </c>
      <c r="B43" s="429" t="s">
        <v>540</v>
      </c>
      <c r="C43" s="430"/>
      <c r="D43" s="431"/>
      <c r="E43" s="478" t="s">
        <v>288</v>
      </c>
      <c r="F43" s="482"/>
      <c r="G43" s="480"/>
      <c r="H43" s="77">
        <f t="shared" si="1"/>
        <v>0</v>
      </c>
    </row>
    <row r="44" spans="1:8" ht="37.5" x14ac:dyDescent="0.3">
      <c r="A44" s="70" t="s">
        <v>338</v>
      </c>
      <c r="B44" s="481">
        <v>26</v>
      </c>
      <c r="C44" s="481">
        <v>62.476384615384625</v>
      </c>
      <c r="D44" s="481">
        <v>1624.3860000000002</v>
      </c>
      <c r="E44" s="481">
        <f t="shared" ref="E44" si="16">Num_FFD_Prgms_Full</f>
        <v>24</v>
      </c>
      <c r="F44" s="536">
        <f>G44/E44</f>
        <v>56.90430555555556</v>
      </c>
      <c r="G44" s="481">
        <f>(Num_PreAccess_Tests) * (0.01) * 2</f>
        <v>1365.7033333333334</v>
      </c>
      <c r="H44" s="77">
        <f t="shared" si="1"/>
        <v>-258.68266666666682</v>
      </c>
    </row>
    <row r="45" spans="1:8" ht="50" x14ac:dyDescent="0.3">
      <c r="A45" s="70" t="s">
        <v>332</v>
      </c>
      <c r="B45" s="429" t="s">
        <v>482</v>
      </c>
      <c r="C45" s="430"/>
      <c r="D45" s="431"/>
      <c r="E45" s="478" t="s">
        <v>482</v>
      </c>
      <c r="F45" s="482"/>
      <c r="G45" s="480"/>
      <c r="H45" s="77">
        <f t="shared" si="1"/>
        <v>0</v>
      </c>
    </row>
    <row r="46" spans="1:8" ht="137.5" x14ac:dyDescent="0.3">
      <c r="A46" s="70" t="s">
        <v>339</v>
      </c>
      <c r="B46" s="481">
        <v>26</v>
      </c>
      <c r="C46" s="481">
        <v>40</v>
      </c>
      <c r="D46" s="481">
        <f t="shared" ref="D46:D60" si="17">B46*C46</f>
        <v>1040</v>
      </c>
      <c r="E46" s="481">
        <f t="shared" ref="E46:E50" si="18">Num_FFD_Prgms_Full</f>
        <v>24</v>
      </c>
      <c r="F46" s="536">
        <v>40</v>
      </c>
      <c r="G46" s="481">
        <f t="shared" ref="G46" si="19">E46*F46</f>
        <v>960</v>
      </c>
      <c r="H46" s="77">
        <f t="shared" si="1"/>
        <v>-80</v>
      </c>
    </row>
    <row r="47" spans="1:8" ht="25" x14ac:dyDescent="0.3">
      <c r="A47" s="70" t="s">
        <v>277</v>
      </c>
      <c r="B47" s="481">
        <v>26</v>
      </c>
      <c r="C47" s="481">
        <v>52.063653846153848</v>
      </c>
      <c r="D47" s="481">
        <v>1353.655</v>
      </c>
      <c r="E47" s="481">
        <f t="shared" si="18"/>
        <v>24</v>
      </c>
      <c r="F47" s="482">
        <f>G47/E47</f>
        <v>47.420254629629632</v>
      </c>
      <c r="G47" s="481">
        <f>Num_PreAccess_Tests* (1/60)</f>
        <v>1138.0861111111112</v>
      </c>
      <c r="H47" s="77">
        <f t="shared" si="1"/>
        <v>-215.56888888888875</v>
      </c>
    </row>
    <row r="48" spans="1:8" ht="25" x14ac:dyDescent="0.3">
      <c r="A48" s="70" t="s">
        <v>356</v>
      </c>
      <c r="B48" s="481">
        <v>26</v>
      </c>
      <c r="C48" s="481">
        <v>24</v>
      </c>
      <c r="D48" s="481">
        <f t="shared" si="17"/>
        <v>624</v>
      </c>
      <c r="E48" s="481">
        <f t="shared" si="18"/>
        <v>24</v>
      </c>
      <c r="F48" s="536">
        <v>24</v>
      </c>
      <c r="G48" s="481">
        <f t="shared" ref="G48:G50" si="20">E48*F48</f>
        <v>576</v>
      </c>
      <c r="H48" s="77">
        <f t="shared" si="1"/>
        <v>-48</v>
      </c>
    </row>
    <row r="49" spans="1:8" ht="50" x14ac:dyDescent="0.3">
      <c r="A49" s="70" t="s">
        <v>483</v>
      </c>
      <c r="B49" s="481">
        <v>26</v>
      </c>
      <c r="C49" s="481">
        <v>8</v>
      </c>
      <c r="D49" s="481">
        <f t="shared" si="17"/>
        <v>208</v>
      </c>
      <c r="E49" s="481">
        <f t="shared" si="18"/>
        <v>24</v>
      </c>
      <c r="F49" s="536">
        <v>8</v>
      </c>
      <c r="G49" s="481">
        <f t="shared" si="20"/>
        <v>192</v>
      </c>
      <c r="H49" s="77">
        <f t="shared" si="1"/>
        <v>-16</v>
      </c>
    </row>
    <row r="50" spans="1:8" ht="37.5" x14ac:dyDescent="0.3">
      <c r="A50" s="70" t="s">
        <v>180</v>
      </c>
      <c r="B50" s="481">
        <v>26</v>
      </c>
      <c r="C50" s="481">
        <v>8</v>
      </c>
      <c r="D50" s="481">
        <f t="shared" si="17"/>
        <v>208</v>
      </c>
      <c r="E50" s="481">
        <f t="shared" si="18"/>
        <v>24</v>
      </c>
      <c r="F50" s="536">
        <v>8</v>
      </c>
      <c r="G50" s="481">
        <f t="shared" si="20"/>
        <v>192</v>
      </c>
      <c r="H50" s="77">
        <f t="shared" si="1"/>
        <v>-16</v>
      </c>
    </row>
    <row r="51" spans="1:8" ht="25" x14ac:dyDescent="0.3">
      <c r="A51" s="70" t="s">
        <v>484</v>
      </c>
      <c r="B51" s="429" t="s">
        <v>399</v>
      </c>
      <c r="C51" s="430"/>
      <c r="D51" s="431"/>
      <c r="E51" s="478" t="s">
        <v>399</v>
      </c>
      <c r="F51" s="482"/>
      <c r="G51" s="480"/>
      <c r="H51" s="77">
        <f t="shared" si="1"/>
        <v>0</v>
      </c>
    </row>
    <row r="52" spans="1:8" ht="50" x14ac:dyDescent="0.3">
      <c r="A52" s="70" t="s">
        <v>261</v>
      </c>
      <c r="B52" s="481">
        <v>26</v>
      </c>
      <c r="C52" s="481">
        <v>15.589743589743589</v>
      </c>
      <c r="D52" s="481">
        <v>405.33333333333331</v>
      </c>
      <c r="E52" s="481">
        <f>Num_FFD_Prgms_Full</f>
        <v>24</v>
      </c>
      <c r="F52" s="536">
        <f>G52/E52</f>
        <v>10.847222222222221</v>
      </c>
      <c r="G52" s="481">
        <f>(Num_Tests_ForCause * 1)</f>
        <v>260.33333333333331</v>
      </c>
      <c r="H52" s="77">
        <f t="shared" si="1"/>
        <v>-145</v>
      </c>
    </row>
    <row r="53" spans="1:8" ht="37.5" x14ac:dyDescent="0.3">
      <c r="A53" s="12" t="s">
        <v>167</v>
      </c>
      <c r="B53" s="481">
        <v>0</v>
      </c>
      <c r="C53" s="481">
        <v>80</v>
      </c>
      <c r="D53" s="481">
        <f t="shared" si="17"/>
        <v>0</v>
      </c>
      <c r="E53" s="481">
        <v>0</v>
      </c>
      <c r="F53" s="536">
        <v>80</v>
      </c>
      <c r="G53" s="481">
        <f t="shared" ref="G53:G60" si="21">E53*F53</f>
        <v>0</v>
      </c>
      <c r="H53" s="77">
        <f t="shared" si="1"/>
        <v>0</v>
      </c>
    </row>
    <row r="54" spans="1:8" ht="62.5" x14ac:dyDescent="0.3">
      <c r="A54" s="12" t="s">
        <v>298</v>
      </c>
      <c r="B54" s="481">
        <v>0</v>
      </c>
      <c r="C54" s="481">
        <v>1</v>
      </c>
      <c r="D54" s="481">
        <f t="shared" si="17"/>
        <v>0</v>
      </c>
      <c r="E54" s="481">
        <v>0</v>
      </c>
      <c r="F54" s="536">
        <v>1</v>
      </c>
      <c r="G54" s="481">
        <f t="shared" si="21"/>
        <v>0</v>
      </c>
      <c r="H54" s="77">
        <f t="shared" si="1"/>
        <v>0</v>
      </c>
    </row>
    <row r="55" spans="1:8" ht="25" x14ac:dyDescent="0.3">
      <c r="A55" s="70" t="s">
        <v>485</v>
      </c>
      <c r="B55" s="481">
        <v>26</v>
      </c>
      <c r="C55" s="481">
        <v>8</v>
      </c>
      <c r="D55" s="481">
        <f t="shared" si="17"/>
        <v>208</v>
      </c>
      <c r="E55" s="481">
        <f t="shared" ref="E55:E56" si="22">Num_FFD_Prgms_Full</f>
        <v>24</v>
      </c>
      <c r="F55" s="536">
        <v>8</v>
      </c>
      <c r="G55" s="481">
        <f t="shared" si="21"/>
        <v>192</v>
      </c>
      <c r="H55" s="77">
        <f t="shared" si="1"/>
        <v>-16</v>
      </c>
    </row>
    <row r="56" spans="1:8" ht="50" x14ac:dyDescent="0.3">
      <c r="A56" s="70" t="s">
        <v>401</v>
      </c>
      <c r="B56" s="481">
        <v>26</v>
      </c>
      <c r="C56" s="481">
        <v>1</v>
      </c>
      <c r="D56" s="481">
        <f t="shared" si="17"/>
        <v>26</v>
      </c>
      <c r="E56" s="481">
        <f t="shared" si="22"/>
        <v>24</v>
      </c>
      <c r="F56" s="536">
        <v>1</v>
      </c>
      <c r="G56" s="481">
        <f t="shared" si="21"/>
        <v>24</v>
      </c>
      <c r="H56" s="77">
        <f t="shared" si="1"/>
        <v>-2</v>
      </c>
    </row>
    <row r="57" spans="1:8" ht="87.65" customHeight="1" x14ac:dyDescent="0.3">
      <c r="A57" s="12" t="s">
        <v>486</v>
      </c>
      <c r="B57" s="481">
        <v>2</v>
      </c>
      <c r="C57" s="481">
        <v>0.5</v>
      </c>
      <c r="D57" s="481">
        <f t="shared" si="17"/>
        <v>1</v>
      </c>
      <c r="E57" s="481">
        <v>2</v>
      </c>
      <c r="F57" s="536">
        <v>0.5</v>
      </c>
      <c r="G57" s="481">
        <f t="shared" si="21"/>
        <v>1</v>
      </c>
      <c r="H57" s="77">
        <f t="shared" si="1"/>
        <v>0</v>
      </c>
    </row>
    <row r="58" spans="1:8" ht="30" customHeight="1" x14ac:dyDescent="0.3">
      <c r="A58" s="70" t="s">
        <v>170</v>
      </c>
      <c r="B58" s="481">
        <v>4</v>
      </c>
      <c r="C58" s="481">
        <v>0.25</v>
      </c>
      <c r="D58" s="481">
        <f t="shared" si="17"/>
        <v>1</v>
      </c>
      <c r="E58" s="635">
        <v>5</v>
      </c>
      <c r="F58" s="641">
        <v>0.25</v>
      </c>
      <c r="G58" s="481">
        <f>E58*F58</f>
        <v>1.25</v>
      </c>
      <c r="H58" s="77">
        <f t="shared" si="1"/>
        <v>0.25</v>
      </c>
    </row>
    <row r="59" spans="1:8" ht="25" x14ac:dyDescent="0.3">
      <c r="A59" s="70" t="s">
        <v>11</v>
      </c>
      <c r="B59" s="481">
        <v>26</v>
      </c>
      <c r="C59" s="481">
        <v>1.5</v>
      </c>
      <c r="D59" s="481">
        <f t="shared" si="17"/>
        <v>39</v>
      </c>
      <c r="E59" s="481">
        <f t="shared" ref="E59:E60" si="23">Num_FFD_Prgms_Full</f>
        <v>24</v>
      </c>
      <c r="F59" s="536">
        <v>1.5</v>
      </c>
      <c r="G59" s="481">
        <f t="shared" si="21"/>
        <v>36</v>
      </c>
      <c r="H59" s="77">
        <f t="shared" si="1"/>
        <v>-3</v>
      </c>
    </row>
    <row r="60" spans="1:8" ht="37.5" x14ac:dyDescent="0.3">
      <c r="A60" s="70" t="s">
        <v>171</v>
      </c>
      <c r="B60" s="481">
        <v>26</v>
      </c>
      <c r="C60" s="481">
        <v>1</v>
      </c>
      <c r="D60" s="481">
        <f t="shared" si="17"/>
        <v>26</v>
      </c>
      <c r="E60" s="481">
        <f t="shared" si="23"/>
        <v>24</v>
      </c>
      <c r="F60" s="536">
        <v>1</v>
      </c>
      <c r="G60" s="481">
        <f t="shared" si="21"/>
        <v>24</v>
      </c>
      <c r="H60" s="77">
        <f t="shared" si="1"/>
        <v>-2</v>
      </c>
    </row>
    <row r="61" spans="1:8" ht="25" x14ac:dyDescent="0.3">
      <c r="A61" s="70" t="s">
        <v>184</v>
      </c>
      <c r="B61" s="429" t="s">
        <v>534</v>
      </c>
      <c r="C61" s="433"/>
      <c r="D61" s="431"/>
      <c r="E61" s="478" t="s">
        <v>534</v>
      </c>
      <c r="F61" s="482"/>
      <c r="G61" s="480"/>
      <c r="H61" s="77">
        <f t="shared" si="1"/>
        <v>0</v>
      </c>
    </row>
    <row r="62" spans="1:8" ht="25" x14ac:dyDescent="0.3">
      <c r="A62" s="70" t="s">
        <v>185</v>
      </c>
      <c r="B62" s="429" t="s">
        <v>533</v>
      </c>
      <c r="C62" s="433"/>
      <c r="D62" s="431"/>
      <c r="E62" s="478" t="s">
        <v>533</v>
      </c>
      <c r="F62" s="482"/>
      <c r="G62" s="480"/>
      <c r="H62" s="77">
        <f t="shared" si="1"/>
        <v>0</v>
      </c>
    </row>
    <row r="63" spans="1:8" ht="25" x14ac:dyDescent="0.3">
      <c r="A63" s="70" t="s">
        <v>12</v>
      </c>
      <c r="B63" s="481">
        <v>0</v>
      </c>
      <c r="C63" s="481">
        <v>6</v>
      </c>
      <c r="D63" s="481">
        <f>B63*C63</f>
        <v>0</v>
      </c>
      <c r="E63" s="481">
        <f>B63</f>
        <v>0</v>
      </c>
      <c r="F63" s="536">
        <f t="shared" ref="F63" si="24">C63</f>
        <v>6</v>
      </c>
      <c r="G63" s="481">
        <f t="shared" ref="G63" si="25">E63*F63</f>
        <v>0</v>
      </c>
      <c r="H63" s="77">
        <f t="shared" si="1"/>
        <v>0</v>
      </c>
    </row>
    <row r="64" spans="1:8" ht="25" x14ac:dyDescent="0.3">
      <c r="A64" s="70" t="s">
        <v>173</v>
      </c>
      <c r="B64" s="481">
        <v>26</v>
      </c>
      <c r="C64" s="481">
        <v>6</v>
      </c>
      <c r="D64" s="481">
        <f t="shared" ref="D64:D103" si="26">B64*C64</f>
        <v>156</v>
      </c>
      <c r="E64" s="478" t="s">
        <v>840</v>
      </c>
      <c r="F64" s="482"/>
      <c r="G64" s="480"/>
      <c r="H64" s="77">
        <f t="shared" si="1"/>
        <v>-156</v>
      </c>
    </row>
    <row r="65" spans="1:8" ht="25" x14ac:dyDescent="0.3">
      <c r="A65" s="70" t="s">
        <v>172</v>
      </c>
      <c r="B65" s="481">
        <v>26</v>
      </c>
      <c r="C65" s="481">
        <v>47.061207264957275</v>
      </c>
      <c r="D65" s="481">
        <v>1223.5913888888892</v>
      </c>
      <c r="E65" s="481">
        <f>Num_FFD_Prgms_Full</f>
        <v>24</v>
      </c>
      <c r="F65" s="536">
        <f>G65/E65</f>
        <v>42.366724537037037</v>
      </c>
      <c r="G65" s="481">
        <f>Num_Tests_Total * (0.5/60)</f>
        <v>1016.8013888888888</v>
      </c>
      <c r="H65" s="77">
        <f t="shared" si="1"/>
        <v>-206.79000000000042</v>
      </c>
    </row>
    <row r="66" spans="1:8" ht="25" x14ac:dyDescent="0.3">
      <c r="A66" s="70" t="s">
        <v>13</v>
      </c>
      <c r="B66" s="481">
        <v>26</v>
      </c>
      <c r="C66" s="481">
        <v>47.061207264957275</v>
      </c>
      <c r="D66" s="481">
        <v>1223.5913888888892</v>
      </c>
      <c r="E66" s="481">
        <f>Num_FFD_Prgms_Full</f>
        <v>24</v>
      </c>
      <c r="F66" s="536">
        <f>G66/E66</f>
        <v>42.366724537037037</v>
      </c>
      <c r="G66" s="481">
        <f>Num_Tests_Total * (0.5/60)</f>
        <v>1016.8013888888888</v>
      </c>
      <c r="H66" s="77">
        <f t="shared" si="1"/>
        <v>-206.79000000000042</v>
      </c>
    </row>
    <row r="67" spans="1:8" x14ac:dyDescent="0.3">
      <c r="A67" s="70" t="s">
        <v>14</v>
      </c>
      <c r="B67" s="481">
        <v>0</v>
      </c>
      <c r="C67" s="501">
        <v>0.25</v>
      </c>
      <c r="D67" s="481">
        <f t="shared" si="26"/>
        <v>0</v>
      </c>
      <c r="E67" s="481">
        <f t="shared" ref="E67:F69" si="27">B67</f>
        <v>0</v>
      </c>
      <c r="F67" s="641">
        <v>0.25</v>
      </c>
      <c r="G67" s="481">
        <f t="shared" ref="G67:G69" si="28">E67*F67</f>
        <v>0</v>
      </c>
      <c r="H67" s="77">
        <f t="shared" ref="H67:H130" si="29">G67-D67</f>
        <v>0</v>
      </c>
    </row>
    <row r="68" spans="1:8" ht="27" x14ac:dyDescent="0.3">
      <c r="A68" s="70" t="s">
        <v>68</v>
      </c>
      <c r="B68" s="481">
        <v>0</v>
      </c>
      <c r="C68" s="501">
        <v>0.25</v>
      </c>
      <c r="D68" s="481">
        <f t="shared" si="26"/>
        <v>0</v>
      </c>
      <c r="E68" s="481">
        <f t="shared" si="27"/>
        <v>0</v>
      </c>
      <c r="F68" s="641">
        <v>0.25</v>
      </c>
      <c r="G68" s="481">
        <f t="shared" si="28"/>
        <v>0</v>
      </c>
      <c r="H68" s="77">
        <f t="shared" si="29"/>
        <v>0</v>
      </c>
    </row>
    <row r="69" spans="1:8" x14ac:dyDescent="0.3">
      <c r="A69" s="70" t="s">
        <v>15</v>
      </c>
      <c r="B69" s="481">
        <v>0</v>
      </c>
      <c r="C69" s="501">
        <v>0.25</v>
      </c>
      <c r="D69" s="481">
        <f t="shared" si="26"/>
        <v>0</v>
      </c>
      <c r="E69" s="481">
        <f t="shared" si="27"/>
        <v>0</v>
      </c>
      <c r="F69" s="641">
        <f t="shared" si="27"/>
        <v>0.25</v>
      </c>
      <c r="G69" s="481">
        <f t="shared" si="28"/>
        <v>0</v>
      </c>
      <c r="H69" s="77">
        <f t="shared" si="29"/>
        <v>0</v>
      </c>
    </row>
    <row r="70" spans="1:8" ht="25" x14ac:dyDescent="0.3">
      <c r="A70" s="70" t="s">
        <v>159</v>
      </c>
      <c r="B70" s="478" t="s">
        <v>533</v>
      </c>
      <c r="C70" s="479"/>
      <c r="D70" s="480"/>
      <c r="E70" s="478" t="s">
        <v>533</v>
      </c>
      <c r="F70" s="482"/>
      <c r="G70" s="480"/>
      <c r="H70" s="77">
        <f t="shared" si="29"/>
        <v>0</v>
      </c>
    </row>
    <row r="71" spans="1:8" ht="25" x14ac:dyDescent="0.3">
      <c r="A71" s="70" t="s">
        <v>160</v>
      </c>
      <c r="B71" s="478" t="s">
        <v>533</v>
      </c>
      <c r="C71" s="479"/>
      <c r="D71" s="480"/>
      <c r="E71" s="478" t="s">
        <v>533</v>
      </c>
      <c r="F71" s="482"/>
      <c r="G71" s="480"/>
      <c r="H71" s="77">
        <f t="shared" si="29"/>
        <v>0</v>
      </c>
    </row>
    <row r="72" spans="1:8" ht="37.5" x14ac:dyDescent="0.3">
      <c r="A72" s="70" t="s">
        <v>174</v>
      </c>
      <c r="B72" s="481">
        <v>8</v>
      </c>
      <c r="C72" s="501">
        <v>0.25</v>
      </c>
      <c r="D72" s="481">
        <f t="shared" si="26"/>
        <v>2</v>
      </c>
      <c r="E72" s="481">
        <v>8</v>
      </c>
      <c r="F72" s="641">
        <v>0.25</v>
      </c>
      <c r="G72" s="481">
        <f t="shared" ref="G72" si="30">E72*F72</f>
        <v>2</v>
      </c>
      <c r="H72" s="77">
        <f t="shared" si="29"/>
        <v>0</v>
      </c>
    </row>
    <row r="73" spans="1:8" ht="37.5" x14ac:dyDescent="0.3">
      <c r="A73" s="70" t="s">
        <v>175</v>
      </c>
      <c r="B73" s="481">
        <v>26</v>
      </c>
      <c r="C73" s="501">
        <v>0.25</v>
      </c>
      <c r="D73" s="481">
        <f>B73*C73</f>
        <v>6.5</v>
      </c>
      <c r="E73" s="481">
        <f>Num_FFD_Prgms_Full</f>
        <v>24</v>
      </c>
      <c r="F73" s="642">
        <f>G73/E73</f>
        <v>1.3298611111111112</v>
      </c>
      <c r="G73" s="481">
        <f>(15/60) * 'Data '!C47</f>
        <v>31.916666666666668</v>
      </c>
      <c r="H73" s="77">
        <f t="shared" si="29"/>
        <v>25.416666666666668</v>
      </c>
    </row>
    <row r="74" spans="1:8" ht="37.5" x14ac:dyDescent="0.3">
      <c r="A74" s="70" t="s">
        <v>176</v>
      </c>
      <c r="B74" s="481">
        <v>26</v>
      </c>
      <c r="C74" s="501">
        <v>0.25</v>
      </c>
      <c r="D74" s="481">
        <f t="shared" si="26"/>
        <v>6.5</v>
      </c>
      <c r="E74" s="478" t="s">
        <v>880</v>
      </c>
      <c r="F74" s="482"/>
      <c r="G74" s="480"/>
      <c r="H74" s="77">
        <f t="shared" si="29"/>
        <v>-6.5</v>
      </c>
    </row>
    <row r="75" spans="1:8" ht="50" x14ac:dyDescent="0.3">
      <c r="A75" s="70" t="s">
        <v>177</v>
      </c>
      <c r="B75" s="478" t="s">
        <v>534</v>
      </c>
      <c r="C75" s="478"/>
      <c r="D75" s="478"/>
      <c r="E75" s="478" t="s">
        <v>534</v>
      </c>
      <c r="F75" s="482"/>
      <c r="G75" s="480"/>
      <c r="H75" s="77">
        <f t="shared" si="29"/>
        <v>0</v>
      </c>
    </row>
    <row r="76" spans="1:8" ht="37.5" x14ac:dyDescent="0.3">
      <c r="A76" s="70" t="s">
        <v>286</v>
      </c>
      <c r="B76" s="478" t="s">
        <v>534</v>
      </c>
      <c r="C76" s="478"/>
      <c r="D76" s="478"/>
      <c r="E76" s="478" t="s">
        <v>534</v>
      </c>
      <c r="F76" s="482"/>
      <c r="G76" s="480"/>
      <c r="H76" s="77">
        <f t="shared" si="29"/>
        <v>0</v>
      </c>
    </row>
    <row r="77" spans="1:8" ht="50" x14ac:dyDescent="0.3">
      <c r="A77" s="70" t="s">
        <v>876</v>
      </c>
      <c r="B77" s="478" t="s">
        <v>534</v>
      </c>
      <c r="C77" s="478"/>
      <c r="D77" s="478"/>
      <c r="E77" s="478" t="s">
        <v>534</v>
      </c>
      <c r="F77" s="482"/>
      <c r="G77" s="480"/>
      <c r="H77" s="77">
        <f t="shared" si="29"/>
        <v>0</v>
      </c>
    </row>
    <row r="78" spans="1:8" ht="25" x14ac:dyDescent="0.3">
      <c r="A78" s="70" t="s">
        <v>161</v>
      </c>
      <c r="B78" s="478" t="s">
        <v>448</v>
      </c>
      <c r="C78" s="482"/>
      <c r="D78" s="480"/>
      <c r="E78" s="478" t="s">
        <v>448</v>
      </c>
      <c r="F78" s="482"/>
      <c r="G78" s="480"/>
      <c r="H78" s="77">
        <f t="shared" si="29"/>
        <v>0</v>
      </c>
    </row>
    <row r="79" spans="1:8" ht="37.5" x14ac:dyDescent="0.3">
      <c r="A79" s="70" t="s">
        <v>163</v>
      </c>
      <c r="B79" s="481">
        <v>26</v>
      </c>
      <c r="C79" s="481">
        <v>0.5</v>
      </c>
      <c r="D79" s="481">
        <f t="shared" si="26"/>
        <v>13</v>
      </c>
      <c r="E79" s="478" t="s">
        <v>880</v>
      </c>
      <c r="F79" s="482"/>
      <c r="G79" s="480"/>
      <c r="H79" s="77">
        <f t="shared" si="29"/>
        <v>-13</v>
      </c>
    </row>
    <row r="80" spans="1:8" ht="25" x14ac:dyDescent="0.3">
      <c r="A80" s="70" t="s">
        <v>178</v>
      </c>
      <c r="B80" s="478" t="s">
        <v>385</v>
      </c>
      <c r="C80" s="482"/>
      <c r="D80" s="480"/>
      <c r="E80" s="478" t="s">
        <v>534</v>
      </c>
      <c r="F80" s="482"/>
      <c r="G80" s="480"/>
      <c r="H80" s="77">
        <f t="shared" si="29"/>
        <v>0</v>
      </c>
    </row>
    <row r="81" spans="1:8" ht="25" x14ac:dyDescent="0.3">
      <c r="A81" s="70" t="s">
        <v>179</v>
      </c>
      <c r="B81" s="478" t="s">
        <v>402</v>
      </c>
      <c r="C81" s="482"/>
      <c r="D81" s="480"/>
      <c r="E81" s="478" t="s">
        <v>534</v>
      </c>
      <c r="F81" s="482"/>
      <c r="G81" s="480"/>
      <c r="H81" s="77">
        <f t="shared" si="29"/>
        <v>0</v>
      </c>
    </row>
    <row r="82" spans="1:8" ht="25" x14ac:dyDescent="0.3">
      <c r="A82" s="70" t="s">
        <v>449</v>
      </c>
      <c r="B82" s="481">
        <v>26</v>
      </c>
      <c r="C82" s="481">
        <v>188.2448290598291</v>
      </c>
      <c r="D82" s="481">
        <v>4894.365555555557</v>
      </c>
      <c r="E82" s="481">
        <f t="shared" ref="E82" si="31">Num_FFD_Prgms_Full</f>
        <v>24</v>
      </c>
      <c r="F82" s="536">
        <f>G82/E82</f>
        <v>169.46689814814815</v>
      </c>
      <c r="G82" s="481">
        <f>Num_Tests_Total * (2/60)</f>
        <v>4067.2055555555553</v>
      </c>
      <c r="H82" s="77">
        <f t="shared" si="29"/>
        <v>-827.16000000000167</v>
      </c>
    </row>
    <row r="83" spans="1:8" ht="50" x14ac:dyDescent="0.3">
      <c r="A83" s="70" t="s">
        <v>303</v>
      </c>
      <c r="B83" s="481">
        <v>13</v>
      </c>
      <c r="C83" s="481">
        <v>2</v>
      </c>
      <c r="D83" s="481">
        <f t="shared" si="26"/>
        <v>26</v>
      </c>
      <c r="E83" s="481">
        <f>Num_FFD_Prgms_Full/2</f>
        <v>12</v>
      </c>
      <c r="F83" s="536">
        <v>2</v>
      </c>
      <c r="G83" s="481">
        <f t="shared" ref="G83:G103" si="32">E83*F83</f>
        <v>24</v>
      </c>
      <c r="H83" s="77">
        <f t="shared" si="29"/>
        <v>-2</v>
      </c>
    </row>
    <row r="84" spans="1:8" ht="37.5" x14ac:dyDescent="0.3">
      <c r="A84" s="70" t="s">
        <v>304</v>
      </c>
      <c r="B84" s="481">
        <f>B83</f>
        <v>13</v>
      </c>
      <c r="C84" s="481">
        <v>1</v>
      </c>
      <c r="D84" s="481">
        <f t="shared" si="26"/>
        <v>13</v>
      </c>
      <c r="E84" s="481">
        <f>Num_FFD_Prgms_Full/2</f>
        <v>12</v>
      </c>
      <c r="F84" s="536">
        <v>1</v>
      </c>
      <c r="G84" s="481">
        <f t="shared" si="32"/>
        <v>12</v>
      </c>
      <c r="H84" s="77">
        <f t="shared" si="29"/>
        <v>-1</v>
      </c>
    </row>
    <row r="85" spans="1:8" ht="25" x14ac:dyDescent="0.3">
      <c r="A85" s="70" t="s">
        <v>145</v>
      </c>
      <c r="B85" s="481">
        <v>6</v>
      </c>
      <c r="C85" s="481">
        <v>16</v>
      </c>
      <c r="D85" s="481">
        <f t="shared" si="26"/>
        <v>96</v>
      </c>
      <c r="E85" s="481">
        <f t="shared" ref="E85:E90" si="33">Num_LTFs</f>
        <v>3</v>
      </c>
      <c r="F85" s="536">
        <v>16</v>
      </c>
      <c r="G85" s="481">
        <f t="shared" si="32"/>
        <v>48</v>
      </c>
      <c r="H85" s="77">
        <f t="shared" si="29"/>
        <v>-48</v>
      </c>
    </row>
    <row r="86" spans="1:8" ht="50" x14ac:dyDescent="0.3">
      <c r="A86" s="70" t="s">
        <v>455</v>
      </c>
      <c r="B86" s="481">
        <v>6</v>
      </c>
      <c r="C86" s="481">
        <v>40</v>
      </c>
      <c r="D86" s="481">
        <f t="shared" si="26"/>
        <v>240</v>
      </c>
      <c r="E86" s="481">
        <f t="shared" si="33"/>
        <v>3</v>
      </c>
      <c r="F86" s="536">
        <v>40</v>
      </c>
      <c r="G86" s="481">
        <f t="shared" si="32"/>
        <v>120</v>
      </c>
      <c r="H86" s="77">
        <f t="shared" si="29"/>
        <v>-120</v>
      </c>
    </row>
    <row r="87" spans="1:8" ht="37.5" x14ac:dyDescent="0.3">
      <c r="A87" s="70" t="s">
        <v>262</v>
      </c>
      <c r="B87" s="481">
        <v>6</v>
      </c>
      <c r="C87" s="481">
        <v>4</v>
      </c>
      <c r="D87" s="481">
        <f t="shared" si="26"/>
        <v>24</v>
      </c>
      <c r="E87" s="481">
        <f t="shared" si="33"/>
        <v>3</v>
      </c>
      <c r="F87" s="536">
        <v>4</v>
      </c>
      <c r="G87" s="481">
        <f t="shared" si="32"/>
        <v>12</v>
      </c>
      <c r="H87" s="77">
        <f t="shared" si="29"/>
        <v>-12</v>
      </c>
    </row>
    <row r="88" spans="1:8" ht="37.5" x14ac:dyDescent="0.3">
      <c r="A88" s="12" t="s">
        <v>146</v>
      </c>
      <c r="B88" s="481">
        <v>6</v>
      </c>
      <c r="C88" s="481">
        <v>0.5</v>
      </c>
      <c r="D88" s="481">
        <f t="shared" si="26"/>
        <v>3</v>
      </c>
      <c r="E88" s="481">
        <f t="shared" si="33"/>
        <v>3</v>
      </c>
      <c r="F88" s="536">
        <v>0.5</v>
      </c>
      <c r="G88" s="481">
        <f t="shared" si="32"/>
        <v>1.5</v>
      </c>
      <c r="H88" s="77">
        <f t="shared" si="29"/>
        <v>-1.5</v>
      </c>
    </row>
    <row r="89" spans="1:8" ht="37.5" x14ac:dyDescent="0.3">
      <c r="A89" s="70" t="s">
        <v>147</v>
      </c>
      <c r="B89" s="481">
        <v>0</v>
      </c>
      <c r="C89" s="481">
        <v>1</v>
      </c>
      <c r="D89" s="481">
        <f t="shared" si="26"/>
        <v>0</v>
      </c>
      <c r="E89" s="481">
        <v>0</v>
      </c>
      <c r="F89" s="536">
        <v>1</v>
      </c>
      <c r="G89" s="481">
        <f t="shared" si="32"/>
        <v>0</v>
      </c>
      <c r="H89" s="77">
        <f t="shared" si="29"/>
        <v>0</v>
      </c>
    </row>
    <row r="90" spans="1:8" ht="28.75" customHeight="1" x14ac:dyDescent="0.3">
      <c r="A90" s="109" t="s">
        <v>841</v>
      </c>
      <c r="B90" s="481">
        <v>6</v>
      </c>
      <c r="C90" s="481">
        <v>80</v>
      </c>
      <c r="D90" s="481">
        <f t="shared" si="26"/>
        <v>480</v>
      </c>
      <c r="E90" s="481">
        <f t="shared" si="33"/>
        <v>3</v>
      </c>
      <c r="F90" s="536">
        <v>80</v>
      </c>
      <c r="G90" s="481">
        <f t="shared" si="32"/>
        <v>240</v>
      </c>
      <c r="H90" s="77">
        <f t="shared" si="29"/>
        <v>-240</v>
      </c>
    </row>
    <row r="91" spans="1:8" ht="25" x14ac:dyDescent="0.3">
      <c r="A91" s="70" t="s">
        <v>487</v>
      </c>
      <c r="B91" s="481">
        <v>6</v>
      </c>
      <c r="C91" s="481">
        <v>0.5</v>
      </c>
      <c r="D91" s="481">
        <f t="shared" ref="D91" si="34">B91*C91</f>
        <v>3</v>
      </c>
      <c r="E91" s="481">
        <f>Num_LTFs</f>
        <v>3</v>
      </c>
      <c r="F91" s="536">
        <v>0.5</v>
      </c>
      <c r="G91" s="481">
        <f t="shared" si="32"/>
        <v>1.5</v>
      </c>
      <c r="H91" s="77">
        <f t="shared" si="29"/>
        <v>-1.5</v>
      </c>
    </row>
    <row r="92" spans="1:8" ht="25" x14ac:dyDescent="0.3">
      <c r="A92" s="70" t="s">
        <v>489</v>
      </c>
      <c r="B92" s="481">
        <v>6</v>
      </c>
      <c r="C92" s="481">
        <v>4</v>
      </c>
      <c r="D92" s="481">
        <f t="shared" si="26"/>
        <v>24</v>
      </c>
      <c r="E92" s="481">
        <f>Num_LTFs</f>
        <v>3</v>
      </c>
      <c r="F92" s="536">
        <v>4</v>
      </c>
      <c r="G92" s="481">
        <f t="shared" si="32"/>
        <v>12</v>
      </c>
      <c r="H92" s="77">
        <f t="shared" si="29"/>
        <v>-12</v>
      </c>
    </row>
    <row r="93" spans="1:8" ht="37.5" x14ac:dyDescent="0.3">
      <c r="A93" s="70" t="s">
        <v>490</v>
      </c>
      <c r="B93" s="481">
        <v>0</v>
      </c>
      <c r="C93" s="481">
        <v>40</v>
      </c>
      <c r="D93" s="481">
        <f t="shared" si="26"/>
        <v>0</v>
      </c>
      <c r="E93" s="481">
        <v>0</v>
      </c>
      <c r="F93" s="536">
        <v>40</v>
      </c>
      <c r="G93" s="481">
        <f t="shared" si="32"/>
        <v>0</v>
      </c>
      <c r="H93" s="77">
        <f t="shared" si="29"/>
        <v>0</v>
      </c>
    </row>
    <row r="94" spans="1:8" ht="37.5" x14ac:dyDescent="0.3">
      <c r="A94" s="70" t="s">
        <v>364</v>
      </c>
      <c r="B94" s="481">
        <v>0</v>
      </c>
      <c r="C94" s="481">
        <v>20</v>
      </c>
      <c r="D94" s="481">
        <f t="shared" si="26"/>
        <v>0</v>
      </c>
      <c r="E94" s="481">
        <v>0</v>
      </c>
      <c r="F94" s="536">
        <v>20</v>
      </c>
      <c r="G94" s="481">
        <f t="shared" si="32"/>
        <v>0</v>
      </c>
      <c r="H94" s="77">
        <f t="shared" si="29"/>
        <v>0</v>
      </c>
    </row>
    <row r="95" spans="1:8" ht="37.5" x14ac:dyDescent="0.3">
      <c r="A95" s="32" t="s">
        <v>408</v>
      </c>
      <c r="B95" s="481">
        <v>0</v>
      </c>
      <c r="C95" s="481">
        <v>40</v>
      </c>
      <c r="D95" s="481">
        <f t="shared" ref="D95" si="35">B95*C95</f>
        <v>0</v>
      </c>
      <c r="E95" s="481">
        <v>0</v>
      </c>
      <c r="F95" s="536">
        <v>40</v>
      </c>
      <c r="G95" s="481">
        <f t="shared" si="32"/>
        <v>0</v>
      </c>
      <c r="H95" s="77">
        <f t="shared" si="29"/>
        <v>0</v>
      </c>
    </row>
    <row r="96" spans="1:8" ht="37.5" x14ac:dyDescent="0.3">
      <c r="A96" s="32" t="s">
        <v>407</v>
      </c>
      <c r="B96" s="481">
        <v>6</v>
      </c>
      <c r="C96" s="481">
        <v>40</v>
      </c>
      <c r="D96" s="481">
        <f t="shared" ref="D96" si="36">B96*C96</f>
        <v>240</v>
      </c>
      <c r="E96" s="481">
        <f>Num_LTFs</f>
        <v>3</v>
      </c>
      <c r="F96" s="536">
        <v>40</v>
      </c>
      <c r="G96" s="481">
        <f t="shared" si="32"/>
        <v>120</v>
      </c>
      <c r="H96" s="77">
        <f t="shared" si="29"/>
        <v>-120</v>
      </c>
    </row>
    <row r="97" spans="1:8" ht="25" x14ac:dyDescent="0.3">
      <c r="A97" s="70" t="s">
        <v>124</v>
      </c>
      <c r="B97" s="478" t="s">
        <v>491</v>
      </c>
      <c r="C97" s="482"/>
      <c r="D97" s="480"/>
      <c r="E97" s="478" t="s">
        <v>491</v>
      </c>
      <c r="F97" s="482"/>
      <c r="G97" s="480"/>
      <c r="H97" s="77">
        <f t="shared" si="29"/>
        <v>0</v>
      </c>
    </row>
    <row r="98" spans="1:8" x14ac:dyDescent="0.3">
      <c r="A98" s="70" t="s">
        <v>127</v>
      </c>
      <c r="B98" s="481">
        <v>6</v>
      </c>
      <c r="C98" s="481">
        <v>8</v>
      </c>
      <c r="D98" s="481">
        <f t="shared" si="26"/>
        <v>48</v>
      </c>
      <c r="E98" s="481">
        <f>Num_LTFs</f>
        <v>3</v>
      </c>
      <c r="F98" s="536">
        <v>8</v>
      </c>
      <c r="G98" s="481">
        <f t="shared" si="32"/>
        <v>24</v>
      </c>
      <c r="H98" s="77">
        <f t="shared" si="29"/>
        <v>-24</v>
      </c>
    </row>
    <row r="99" spans="1:8" x14ac:dyDescent="0.3">
      <c r="A99" s="109" t="s">
        <v>126</v>
      </c>
      <c r="B99" s="481">
        <v>6</v>
      </c>
      <c r="C99" s="481">
        <v>40</v>
      </c>
      <c r="D99" s="481">
        <f t="shared" si="26"/>
        <v>240</v>
      </c>
      <c r="E99" s="481">
        <f>Num_LTFs</f>
        <v>3</v>
      </c>
      <c r="F99" s="536">
        <v>40</v>
      </c>
      <c r="G99" s="481">
        <f t="shared" si="32"/>
        <v>120</v>
      </c>
      <c r="H99" s="77">
        <f t="shared" si="29"/>
        <v>-120</v>
      </c>
    </row>
    <row r="100" spans="1:8" ht="37.5" x14ac:dyDescent="0.3">
      <c r="A100" s="70" t="s">
        <v>391</v>
      </c>
      <c r="B100" s="481">
        <v>6</v>
      </c>
      <c r="C100" s="481">
        <v>40</v>
      </c>
      <c r="D100" s="481">
        <f t="shared" si="26"/>
        <v>240</v>
      </c>
      <c r="E100" s="481">
        <f>Num_LTFs</f>
        <v>3</v>
      </c>
      <c r="F100" s="536">
        <v>40</v>
      </c>
      <c r="G100" s="481">
        <f t="shared" si="32"/>
        <v>120</v>
      </c>
      <c r="H100" s="77">
        <f t="shared" si="29"/>
        <v>-120</v>
      </c>
    </row>
    <row r="101" spans="1:8" ht="25" x14ac:dyDescent="0.3">
      <c r="A101" s="70" t="s">
        <v>366</v>
      </c>
      <c r="B101" s="481">
        <v>26</v>
      </c>
      <c r="C101" s="481">
        <v>0.5</v>
      </c>
      <c r="D101" s="481">
        <f t="shared" si="26"/>
        <v>13</v>
      </c>
      <c r="E101" s="481">
        <f>Num_FFD_Prgms_Full</f>
        <v>24</v>
      </c>
      <c r="F101" s="536">
        <v>0.5</v>
      </c>
      <c r="G101" s="481">
        <f t="shared" si="32"/>
        <v>12</v>
      </c>
      <c r="H101" s="77">
        <f t="shared" si="29"/>
        <v>-1</v>
      </c>
    </row>
    <row r="102" spans="1:8" ht="37.5" x14ac:dyDescent="0.3">
      <c r="A102" s="70" t="s">
        <v>434</v>
      </c>
      <c r="B102" s="481">
        <v>0</v>
      </c>
      <c r="C102" s="481">
        <v>1</v>
      </c>
      <c r="D102" s="481">
        <f t="shared" si="26"/>
        <v>0</v>
      </c>
      <c r="E102" s="481">
        <v>0</v>
      </c>
      <c r="F102" s="536">
        <v>1</v>
      </c>
      <c r="G102" s="481">
        <f t="shared" si="32"/>
        <v>0</v>
      </c>
      <c r="H102" s="77">
        <f t="shared" si="29"/>
        <v>0</v>
      </c>
    </row>
    <row r="103" spans="1:8" ht="25" x14ac:dyDescent="0.3">
      <c r="A103" s="70" t="s">
        <v>16</v>
      </c>
      <c r="B103" s="481">
        <v>26</v>
      </c>
      <c r="C103" s="481">
        <v>0.5</v>
      </c>
      <c r="D103" s="481">
        <f t="shared" si="26"/>
        <v>13</v>
      </c>
      <c r="E103" s="481">
        <f>Num_FFD_Prgms_Full</f>
        <v>24</v>
      </c>
      <c r="F103" s="536">
        <v>0.5</v>
      </c>
      <c r="G103" s="481">
        <f t="shared" si="32"/>
        <v>12</v>
      </c>
      <c r="H103" s="77">
        <f t="shared" si="29"/>
        <v>-1</v>
      </c>
    </row>
    <row r="104" spans="1:8" ht="37.5" x14ac:dyDescent="0.3">
      <c r="A104" s="12" t="s">
        <v>492</v>
      </c>
      <c r="B104" s="478" t="s">
        <v>537</v>
      </c>
      <c r="C104" s="482"/>
      <c r="D104" s="480"/>
      <c r="E104" s="631" t="s">
        <v>537</v>
      </c>
      <c r="F104" s="482"/>
      <c r="G104" s="480"/>
      <c r="H104" s="77">
        <f t="shared" si="29"/>
        <v>0</v>
      </c>
    </row>
    <row r="105" spans="1:8" ht="37.5" x14ac:dyDescent="0.3">
      <c r="A105" s="70" t="s">
        <v>493</v>
      </c>
      <c r="B105" s="478" t="s">
        <v>536</v>
      </c>
      <c r="C105" s="482"/>
      <c r="D105" s="480"/>
      <c r="E105" s="631" t="s">
        <v>536</v>
      </c>
      <c r="F105" s="482"/>
      <c r="G105" s="480"/>
      <c r="H105" s="77">
        <f t="shared" si="29"/>
        <v>0</v>
      </c>
    </row>
    <row r="106" spans="1:8" ht="50" x14ac:dyDescent="0.3">
      <c r="A106" s="70" t="s">
        <v>392</v>
      </c>
      <c r="B106" s="478" t="s">
        <v>535</v>
      </c>
      <c r="C106" s="482"/>
      <c r="D106" s="480"/>
      <c r="E106" s="631" t="s">
        <v>535</v>
      </c>
      <c r="F106" s="482"/>
      <c r="G106" s="480"/>
      <c r="H106" s="77">
        <f t="shared" si="29"/>
        <v>0</v>
      </c>
    </row>
    <row r="107" spans="1:8" ht="50" x14ac:dyDescent="0.3">
      <c r="A107" s="12" t="s">
        <v>393</v>
      </c>
      <c r="B107" s="478" t="s">
        <v>536</v>
      </c>
      <c r="C107" s="482"/>
      <c r="D107" s="480"/>
      <c r="E107" s="631" t="s">
        <v>536</v>
      </c>
      <c r="F107" s="482"/>
      <c r="G107" s="480"/>
      <c r="H107" s="77">
        <f t="shared" si="29"/>
        <v>0</v>
      </c>
    </row>
    <row r="108" spans="1:8" ht="50" x14ac:dyDescent="0.3">
      <c r="A108" s="70" t="s">
        <v>219</v>
      </c>
      <c r="B108" s="478" t="s">
        <v>535</v>
      </c>
      <c r="C108" s="479"/>
      <c r="D108" s="480"/>
      <c r="E108" s="631" t="s">
        <v>535</v>
      </c>
      <c r="F108" s="482"/>
      <c r="G108" s="480"/>
      <c r="H108" s="77">
        <f t="shared" si="29"/>
        <v>0</v>
      </c>
    </row>
    <row r="109" spans="1:8" ht="50" x14ac:dyDescent="0.3">
      <c r="A109" s="70" t="s">
        <v>321</v>
      </c>
      <c r="B109" s="481">
        <v>26</v>
      </c>
      <c r="C109" s="481">
        <v>1.1955128205128205</v>
      </c>
      <c r="D109" s="481">
        <v>31.083333333333332</v>
      </c>
      <c r="E109" s="481">
        <f>Num_FFD_Prgms_Full</f>
        <v>24</v>
      </c>
      <c r="F109" s="536">
        <f>G109/E109</f>
        <v>1.1666666666666667</v>
      </c>
      <c r="G109" s="481">
        <f>ROUNDUP((5/100) * ('Data '!C37) * (60/60),0)</f>
        <v>28</v>
      </c>
      <c r="H109" s="77">
        <f t="shared" si="29"/>
        <v>-3.0833333333333321</v>
      </c>
    </row>
    <row r="110" spans="1:8" ht="37.5" x14ac:dyDescent="0.3">
      <c r="A110" s="70" t="s">
        <v>306</v>
      </c>
      <c r="B110" s="478" t="s">
        <v>378</v>
      </c>
      <c r="C110" s="479"/>
      <c r="D110" s="480"/>
      <c r="E110" s="478" t="s">
        <v>378</v>
      </c>
      <c r="F110" s="482"/>
      <c r="G110" s="480"/>
      <c r="H110" s="77">
        <f t="shared" si="29"/>
        <v>0</v>
      </c>
    </row>
    <row r="111" spans="1:8" ht="50" x14ac:dyDescent="0.3">
      <c r="A111" s="70" t="s">
        <v>494</v>
      </c>
      <c r="B111" s="481">
        <v>0</v>
      </c>
      <c r="C111" s="481">
        <v>6</v>
      </c>
      <c r="D111" s="481">
        <f t="shared" ref="D111:D113" si="37">B111*C111</f>
        <v>0</v>
      </c>
      <c r="E111" s="481">
        <v>0</v>
      </c>
      <c r="F111" s="536">
        <v>6</v>
      </c>
      <c r="G111" s="481">
        <f t="shared" ref="G111:G113" si="38">E111*F111</f>
        <v>0</v>
      </c>
      <c r="H111" s="77">
        <f t="shared" si="29"/>
        <v>0</v>
      </c>
    </row>
    <row r="112" spans="1:8" ht="37.5" x14ac:dyDescent="0.3">
      <c r="A112" s="70" t="s">
        <v>17</v>
      </c>
      <c r="B112" s="481">
        <f>B111</f>
        <v>0</v>
      </c>
      <c r="C112" s="481">
        <v>8</v>
      </c>
      <c r="D112" s="481">
        <f t="shared" si="37"/>
        <v>0</v>
      </c>
      <c r="E112" s="481">
        <v>0</v>
      </c>
      <c r="F112" s="536">
        <v>8</v>
      </c>
      <c r="G112" s="481">
        <f t="shared" si="38"/>
        <v>0</v>
      </c>
      <c r="H112" s="77">
        <f t="shared" si="29"/>
        <v>0</v>
      </c>
    </row>
    <row r="113" spans="1:8" ht="87.5" x14ac:dyDescent="0.3">
      <c r="A113" s="12" t="s">
        <v>394</v>
      </c>
      <c r="B113" s="481">
        <v>0</v>
      </c>
      <c r="C113" s="481">
        <v>1</v>
      </c>
      <c r="D113" s="481">
        <f t="shared" si="37"/>
        <v>0</v>
      </c>
      <c r="E113" s="481">
        <v>0</v>
      </c>
      <c r="F113" s="536">
        <v>1</v>
      </c>
      <c r="G113" s="481">
        <f t="shared" si="38"/>
        <v>0</v>
      </c>
      <c r="H113" s="77">
        <f t="shared" si="29"/>
        <v>0</v>
      </c>
    </row>
    <row r="114" spans="1:8" ht="25" x14ac:dyDescent="0.3">
      <c r="A114" s="70" t="s">
        <v>357</v>
      </c>
      <c r="B114" s="481">
        <v>26</v>
      </c>
      <c r="C114" s="481">
        <v>2.5769230769230771</v>
      </c>
      <c r="D114" s="481">
        <v>67</v>
      </c>
      <c r="E114" s="481">
        <f>Num_FFD_Prgms_Full</f>
        <v>24</v>
      </c>
      <c r="F114" s="536">
        <f>G114/E114</f>
        <v>2.5</v>
      </c>
      <c r="G114" s="481">
        <f>1*((Num_Sites_Reactors_Operating)+(Num_Sites_Reactors_Operating-3)*2)/3 + SUM('Data '!$C$12,'Data '!$C$13,'Data '!$C$14)</f>
        <v>60</v>
      </c>
      <c r="H114" s="77">
        <f t="shared" si="29"/>
        <v>-7</v>
      </c>
    </row>
    <row r="115" spans="1:8" ht="50" x14ac:dyDescent="0.3">
      <c r="A115" s="70" t="s">
        <v>285</v>
      </c>
      <c r="B115" s="481">
        <v>26</v>
      </c>
      <c r="C115" s="481">
        <v>34.358974358974358</v>
      </c>
      <c r="D115" s="481">
        <v>893.33333333333326</v>
      </c>
      <c r="E115" s="481">
        <f>Num_FFD_Prgms_Full</f>
        <v>24</v>
      </c>
      <c r="F115" s="536">
        <f>G115/E115</f>
        <v>33.333333333333329</v>
      </c>
      <c r="G115" s="481">
        <f>(10*4)*(20/60)*(((Num_Sites_Reactors_Operating)+(Num_Sites_Reactors_Operating-3)*2)/3+SUM('Data '!$C$12,'Data '!$C$13,'Data '!$C$14))</f>
        <v>799.99999999999989</v>
      </c>
      <c r="H115" s="77">
        <f t="shared" si="29"/>
        <v>-93.333333333333371</v>
      </c>
    </row>
    <row r="116" spans="1:8" ht="25" x14ac:dyDescent="0.3">
      <c r="A116" s="70" t="s">
        <v>411</v>
      </c>
      <c r="B116" s="478" t="s">
        <v>358</v>
      </c>
      <c r="C116" s="482"/>
      <c r="D116" s="480"/>
      <c r="E116" s="478" t="s">
        <v>358</v>
      </c>
      <c r="F116" s="482"/>
      <c r="G116" s="480"/>
      <c r="H116" s="77">
        <f t="shared" si="29"/>
        <v>0</v>
      </c>
    </row>
    <row r="117" spans="1:8" ht="37.5" x14ac:dyDescent="0.3">
      <c r="A117" s="70" t="s">
        <v>279</v>
      </c>
      <c r="B117" s="478" t="s">
        <v>358</v>
      </c>
      <c r="C117" s="482"/>
      <c r="D117" s="480"/>
      <c r="E117" s="478" t="s">
        <v>358</v>
      </c>
      <c r="F117" s="482"/>
      <c r="G117" s="480"/>
      <c r="H117" s="77">
        <f t="shared" si="29"/>
        <v>0</v>
      </c>
    </row>
    <row r="118" spans="1:8" ht="37.5" x14ac:dyDescent="0.3">
      <c r="A118" s="70" t="s">
        <v>181</v>
      </c>
      <c r="B118" s="478" t="s">
        <v>358</v>
      </c>
      <c r="C118" s="482"/>
      <c r="D118" s="480"/>
      <c r="E118" s="478" t="s">
        <v>358</v>
      </c>
      <c r="F118" s="482"/>
      <c r="G118" s="480"/>
      <c r="H118" s="77">
        <f t="shared" si="29"/>
        <v>0</v>
      </c>
    </row>
    <row r="119" spans="1:8" ht="25" x14ac:dyDescent="0.3">
      <c r="A119" s="70" t="s">
        <v>495</v>
      </c>
      <c r="B119" s="478" t="s">
        <v>358</v>
      </c>
      <c r="C119" s="482"/>
      <c r="D119" s="480"/>
      <c r="E119" s="478" t="s">
        <v>358</v>
      </c>
      <c r="F119" s="482"/>
      <c r="G119" s="480"/>
      <c r="H119" s="77">
        <f t="shared" si="29"/>
        <v>0</v>
      </c>
    </row>
    <row r="120" spans="1:8" ht="25" x14ac:dyDescent="0.3">
      <c r="A120" s="70" t="s">
        <v>18</v>
      </c>
      <c r="B120" s="478" t="s">
        <v>358</v>
      </c>
      <c r="C120" s="482"/>
      <c r="D120" s="480"/>
      <c r="E120" s="478" t="s">
        <v>358</v>
      </c>
      <c r="F120" s="482"/>
      <c r="G120" s="480"/>
      <c r="H120" s="77">
        <f t="shared" si="29"/>
        <v>0</v>
      </c>
    </row>
    <row r="121" spans="1:8" ht="37.5" x14ac:dyDescent="0.3">
      <c r="A121" s="70" t="s">
        <v>263</v>
      </c>
      <c r="B121" s="478" t="s">
        <v>496</v>
      </c>
      <c r="C121" s="482"/>
      <c r="D121" s="480"/>
      <c r="E121" s="478" t="s">
        <v>496</v>
      </c>
      <c r="F121" s="482"/>
      <c r="G121" s="480"/>
      <c r="H121" s="77">
        <f t="shared" si="29"/>
        <v>0</v>
      </c>
    </row>
    <row r="122" spans="1:8" ht="25" x14ac:dyDescent="0.3">
      <c r="A122" s="109" t="s">
        <v>546</v>
      </c>
      <c r="B122" s="478" t="s">
        <v>358</v>
      </c>
      <c r="C122" s="482"/>
      <c r="D122" s="480"/>
      <c r="E122" s="478" t="s">
        <v>358</v>
      </c>
      <c r="F122" s="482"/>
      <c r="G122" s="480"/>
      <c r="H122" s="77">
        <f t="shared" si="29"/>
        <v>0</v>
      </c>
    </row>
    <row r="123" spans="1:8" ht="25" x14ac:dyDescent="0.3">
      <c r="A123" s="70" t="s">
        <v>182</v>
      </c>
      <c r="B123" s="481">
        <v>26</v>
      </c>
      <c r="C123" s="481">
        <v>47.061207264957275</v>
      </c>
      <c r="D123" s="481">
        <v>1223.5913888888892</v>
      </c>
      <c r="E123" s="481">
        <f>Num_FFD_Prgms_Full</f>
        <v>24</v>
      </c>
      <c r="F123" s="536">
        <f>G123/E123</f>
        <v>42.366724537037037</v>
      </c>
      <c r="G123" s="481">
        <f>Num_Tests_Total * (0.5/60)</f>
        <v>1016.8013888888888</v>
      </c>
      <c r="H123" s="77">
        <f t="shared" si="29"/>
        <v>-206.79000000000042</v>
      </c>
    </row>
    <row r="124" spans="1:8" ht="37.5" x14ac:dyDescent="0.3">
      <c r="A124" s="70" t="s">
        <v>305</v>
      </c>
      <c r="B124" s="478" t="s">
        <v>384</v>
      </c>
      <c r="C124" s="482"/>
      <c r="D124" s="480"/>
      <c r="E124" s="478" t="s">
        <v>384</v>
      </c>
      <c r="F124" s="482"/>
      <c r="G124" s="480"/>
      <c r="H124" s="77">
        <f t="shared" si="29"/>
        <v>0</v>
      </c>
    </row>
    <row r="125" spans="1:8" ht="25" x14ac:dyDescent="0.3">
      <c r="A125" s="70" t="s">
        <v>280</v>
      </c>
      <c r="B125" s="481">
        <v>26</v>
      </c>
      <c r="C125" s="481">
        <v>2</v>
      </c>
      <c r="D125" s="481">
        <f t="shared" ref="D125:D151" si="39">B125*C125</f>
        <v>52</v>
      </c>
      <c r="E125" s="481">
        <f t="shared" ref="E125:E130" si="40">Num_FFD_Prgms_Full</f>
        <v>24</v>
      </c>
      <c r="F125" s="536">
        <v>2</v>
      </c>
      <c r="G125" s="481">
        <f t="shared" ref="G125:G126" si="41">E125*F125</f>
        <v>48</v>
      </c>
      <c r="H125" s="77">
        <f t="shared" si="29"/>
        <v>-4</v>
      </c>
    </row>
    <row r="126" spans="1:8" x14ac:dyDescent="0.3">
      <c r="A126" s="70" t="s">
        <v>19</v>
      </c>
      <c r="B126" s="481">
        <v>26</v>
      </c>
      <c r="C126" s="481">
        <v>4</v>
      </c>
      <c r="D126" s="481">
        <f t="shared" si="39"/>
        <v>104</v>
      </c>
      <c r="E126" s="481">
        <f t="shared" si="40"/>
        <v>24</v>
      </c>
      <c r="F126" s="536">
        <v>4</v>
      </c>
      <c r="G126" s="481">
        <f t="shared" si="41"/>
        <v>96</v>
      </c>
      <c r="H126" s="77">
        <f t="shared" si="29"/>
        <v>-8</v>
      </c>
    </row>
    <row r="127" spans="1:8" ht="37.5" x14ac:dyDescent="0.3">
      <c r="A127" s="75" t="s">
        <v>217</v>
      </c>
      <c r="B127" s="481">
        <v>26</v>
      </c>
      <c r="C127" s="481">
        <v>1.9903846153846154</v>
      </c>
      <c r="D127" s="481">
        <v>51.75</v>
      </c>
      <c r="E127" s="481">
        <f t="shared" si="40"/>
        <v>24</v>
      </c>
      <c r="F127" s="536">
        <f>G127/E127</f>
        <v>1.9409722222222221</v>
      </c>
      <c r="G127" s="481">
        <f xml:space="preserve"> 'Data '!C37* (5/60)</f>
        <v>46.583333333333329</v>
      </c>
      <c r="H127" s="77">
        <f t="shared" si="29"/>
        <v>-5.1666666666666714</v>
      </c>
    </row>
    <row r="128" spans="1:8" ht="37.5" x14ac:dyDescent="0.3">
      <c r="A128" s="70" t="s">
        <v>348</v>
      </c>
      <c r="B128" s="481">
        <v>26</v>
      </c>
      <c r="C128" s="481">
        <v>1.9903846153846154</v>
      </c>
      <c r="D128" s="481">
        <v>51.75</v>
      </c>
      <c r="E128" s="481">
        <f t="shared" si="40"/>
        <v>24</v>
      </c>
      <c r="F128" s="536">
        <f>G128/E128</f>
        <v>1.9409722222222221</v>
      </c>
      <c r="G128" s="481">
        <f>'Test Results'!Q7* (5/60)</f>
        <v>46.583333333333329</v>
      </c>
      <c r="H128" s="77">
        <f t="shared" si="29"/>
        <v>-5.1666666666666714</v>
      </c>
    </row>
    <row r="129" spans="1:8" ht="25" x14ac:dyDescent="0.3">
      <c r="A129" s="70" t="s">
        <v>218</v>
      </c>
      <c r="B129" s="481">
        <v>26</v>
      </c>
      <c r="C129" s="481">
        <v>282.36724358974368</v>
      </c>
      <c r="D129" s="481">
        <v>7341.5483333333359</v>
      </c>
      <c r="E129" s="481">
        <f t="shared" si="40"/>
        <v>24</v>
      </c>
      <c r="F129" s="536">
        <f>G129/E129</f>
        <v>254.20034722222223</v>
      </c>
      <c r="G129" s="481">
        <f>Num_Tests_Total*(3/60)</f>
        <v>6100.8083333333334</v>
      </c>
      <c r="H129" s="77">
        <f t="shared" si="29"/>
        <v>-1240.7400000000025</v>
      </c>
    </row>
    <row r="130" spans="1:8" ht="37.5" x14ac:dyDescent="0.3">
      <c r="A130" s="70" t="s">
        <v>309</v>
      </c>
      <c r="B130" s="481">
        <v>26</v>
      </c>
      <c r="C130" s="481">
        <v>2.3884615384615384</v>
      </c>
      <c r="D130" s="481">
        <v>62.1</v>
      </c>
      <c r="E130" s="481">
        <f t="shared" si="40"/>
        <v>24</v>
      </c>
      <c r="F130" s="536">
        <f>G130/E130</f>
        <v>2.3291666666666671</v>
      </c>
      <c r="G130" s="481">
        <f>'Data '!C37* (6/60)</f>
        <v>55.900000000000006</v>
      </c>
      <c r="H130" s="77">
        <f t="shared" si="29"/>
        <v>-6.1999999999999957</v>
      </c>
    </row>
    <row r="131" spans="1:8" ht="37.5" x14ac:dyDescent="0.3">
      <c r="A131" s="70" t="s">
        <v>220</v>
      </c>
      <c r="B131" s="478" t="s">
        <v>358</v>
      </c>
      <c r="C131" s="482"/>
      <c r="D131" s="480"/>
      <c r="E131" s="478" t="s">
        <v>358</v>
      </c>
      <c r="F131" s="482"/>
      <c r="G131" s="480"/>
      <c r="H131" s="77">
        <f t="shared" ref="H131:H194" si="42">G131-D131</f>
        <v>0</v>
      </c>
    </row>
    <row r="132" spans="1:8" ht="37.5" x14ac:dyDescent="0.3">
      <c r="A132" s="32" t="s">
        <v>322</v>
      </c>
      <c r="B132" s="481">
        <v>26</v>
      </c>
      <c r="C132" s="481">
        <v>11.942307692307692</v>
      </c>
      <c r="D132" s="481">
        <v>310.5</v>
      </c>
      <c r="E132" s="481">
        <f>Num_FFD_Prgms_Full</f>
        <v>24</v>
      </c>
      <c r="F132" s="536">
        <f>G132/E132</f>
        <v>11.645833333333334</v>
      </c>
      <c r="G132" s="481">
        <f>(30/60) * 'Data '!C37</f>
        <v>279.5</v>
      </c>
      <c r="H132" s="77">
        <f t="shared" si="42"/>
        <v>-31</v>
      </c>
    </row>
    <row r="133" spans="1:8" ht="25" x14ac:dyDescent="0.3">
      <c r="A133" s="70" t="s">
        <v>199</v>
      </c>
      <c r="B133" s="429" t="s">
        <v>535</v>
      </c>
      <c r="C133" s="430"/>
      <c r="D133" s="431"/>
      <c r="E133" s="478" t="s">
        <v>535</v>
      </c>
      <c r="F133" s="482"/>
      <c r="G133" s="480"/>
      <c r="H133" s="77">
        <f t="shared" si="42"/>
        <v>0</v>
      </c>
    </row>
    <row r="134" spans="1:8" ht="37.5" x14ac:dyDescent="0.3">
      <c r="A134" s="12" t="s">
        <v>340</v>
      </c>
      <c r="B134" s="481">
        <v>26</v>
      </c>
      <c r="C134" s="481">
        <v>0.5</v>
      </c>
      <c r="D134" s="481">
        <f t="shared" si="39"/>
        <v>13</v>
      </c>
      <c r="E134" s="481">
        <f t="shared" ref="E134:E135" si="43">Num_FFD_Prgms_Full</f>
        <v>24</v>
      </c>
      <c r="F134" s="536">
        <v>0.5</v>
      </c>
      <c r="G134" s="481">
        <f t="shared" ref="G134:G135" si="44">E134*F134</f>
        <v>12</v>
      </c>
      <c r="H134" s="77">
        <f t="shared" si="42"/>
        <v>-1</v>
      </c>
    </row>
    <row r="135" spans="1:8" ht="37.5" x14ac:dyDescent="0.3">
      <c r="A135" s="70" t="s">
        <v>198</v>
      </c>
      <c r="B135" s="481">
        <v>26</v>
      </c>
      <c r="C135" s="481">
        <v>0.5</v>
      </c>
      <c r="D135" s="481">
        <f t="shared" si="39"/>
        <v>13</v>
      </c>
      <c r="E135" s="481">
        <f t="shared" si="43"/>
        <v>24</v>
      </c>
      <c r="F135" s="536">
        <f t="shared" ref="F135" si="45">C135</f>
        <v>0.5</v>
      </c>
      <c r="G135" s="481">
        <f t="shared" si="44"/>
        <v>12</v>
      </c>
      <c r="H135" s="77">
        <f t="shared" si="42"/>
        <v>-1</v>
      </c>
    </row>
    <row r="136" spans="1:8" ht="25" x14ac:dyDescent="0.3">
      <c r="A136" s="12" t="s">
        <v>341</v>
      </c>
      <c r="B136" s="429" t="s">
        <v>388</v>
      </c>
      <c r="C136" s="430"/>
      <c r="D136" s="431"/>
      <c r="E136" s="478" t="s">
        <v>388</v>
      </c>
      <c r="F136" s="482"/>
      <c r="G136" s="480"/>
      <c r="H136" s="77">
        <f t="shared" si="42"/>
        <v>0</v>
      </c>
    </row>
    <row r="137" spans="1:8" ht="25" x14ac:dyDescent="0.3">
      <c r="A137" s="70" t="s">
        <v>342</v>
      </c>
      <c r="B137" s="429" t="s">
        <v>388</v>
      </c>
      <c r="C137" s="430"/>
      <c r="D137" s="431"/>
      <c r="E137" s="478" t="s">
        <v>388</v>
      </c>
      <c r="F137" s="482"/>
      <c r="G137" s="480"/>
      <c r="H137" s="77">
        <f t="shared" si="42"/>
        <v>0</v>
      </c>
    </row>
    <row r="138" spans="1:8" ht="25" x14ac:dyDescent="0.3">
      <c r="A138" s="70" t="s">
        <v>345</v>
      </c>
      <c r="B138" s="429" t="s">
        <v>497</v>
      </c>
      <c r="C138" s="430"/>
      <c r="D138" s="431"/>
      <c r="E138" s="478" t="s">
        <v>497</v>
      </c>
      <c r="F138" s="482"/>
      <c r="G138" s="480"/>
      <c r="H138" s="77">
        <f t="shared" si="42"/>
        <v>0</v>
      </c>
    </row>
    <row r="139" spans="1:8" ht="25" x14ac:dyDescent="0.3">
      <c r="A139" s="70" t="s">
        <v>346</v>
      </c>
      <c r="B139" s="429" t="s">
        <v>347</v>
      </c>
      <c r="C139" s="430"/>
      <c r="D139" s="431"/>
      <c r="E139" s="478" t="s">
        <v>347</v>
      </c>
      <c r="F139" s="482"/>
      <c r="G139" s="480"/>
      <c r="H139" s="77">
        <f t="shared" si="42"/>
        <v>0</v>
      </c>
    </row>
    <row r="140" spans="1:8" ht="25" x14ac:dyDescent="0.3">
      <c r="A140" s="70" t="s">
        <v>344</v>
      </c>
      <c r="B140" s="429" t="s">
        <v>388</v>
      </c>
      <c r="C140" s="430"/>
      <c r="D140" s="431"/>
      <c r="E140" s="478" t="s">
        <v>388</v>
      </c>
      <c r="F140" s="482"/>
      <c r="G140" s="480"/>
      <c r="H140" s="77">
        <f t="shared" si="42"/>
        <v>0</v>
      </c>
    </row>
    <row r="141" spans="1:8" ht="25" x14ac:dyDescent="0.3">
      <c r="A141" s="70" t="s">
        <v>343</v>
      </c>
      <c r="B141" s="429" t="s">
        <v>497</v>
      </c>
      <c r="C141" s="430"/>
      <c r="D141" s="431"/>
      <c r="E141" s="478" t="s">
        <v>497</v>
      </c>
      <c r="F141" s="482"/>
      <c r="G141" s="480"/>
      <c r="H141" s="77">
        <f t="shared" si="42"/>
        <v>0</v>
      </c>
    </row>
    <row r="142" spans="1:8" ht="25" x14ac:dyDescent="0.3">
      <c r="A142" s="70" t="s">
        <v>499</v>
      </c>
      <c r="B142" s="429" t="s">
        <v>347</v>
      </c>
      <c r="C142" s="430"/>
      <c r="D142" s="431"/>
      <c r="E142" s="478" t="s">
        <v>347</v>
      </c>
      <c r="F142" s="482"/>
      <c r="G142" s="480"/>
      <c r="H142" s="77">
        <f t="shared" si="42"/>
        <v>0</v>
      </c>
    </row>
    <row r="143" spans="1:8" ht="60" customHeight="1" x14ac:dyDescent="0.3">
      <c r="A143" s="70" t="s">
        <v>498</v>
      </c>
      <c r="B143" s="481">
        <v>26</v>
      </c>
      <c r="C143" s="481">
        <v>2.3076923076923075</v>
      </c>
      <c r="D143" s="481">
        <v>60</v>
      </c>
      <c r="E143" s="481">
        <f t="shared" ref="E143:E152" si="46">Num_FFD_Prgms_Full</f>
        <v>24</v>
      </c>
      <c r="F143" s="632">
        <f>G143/E143</f>
        <v>2.5</v>
      </c>
      <c r="G143" s="481">
        <v>60</v>
      </c>
      <c r="H143" s="77">
        <f t="shared" si="42"/>
        <v>0</v>
      </c>
    </row>
    <row r="144" spans="1:8" ht="81.650000000000006" customHeight="1" x14ac:dyDescent="0.3">
      <c r="A144" s="70" t="s">
        <v>805</v>
      </c>
      <c r="B144" s="429" t="s">
        <v>310</v>
      </c>
      <c r="C144" s="430"/>
      <c r="D144" s="431"/>
      <c r="E144" s="478" t="s">
        <v>310</v>
      </c>
      <c r="F144" s="482"/>
      <c r="G144" s="480"/>
      <c r="H144" s="77">
        <f t="shared" si="42"/>
        <v>0</v>
      </c>
    </row>
    <row r="145" spans="1:8" ht="62.5" x14ac:dyDescent="0.3">
      <c r="A145" s="70" t="s">
        <v>500</v>
      </c>
      <c r="B145" s="481">
        <v>26</v>
      </c>
      <c r="C145" s="481">
        <v>1</v>
      </c>
      <c r="D145" s="481">
        <f t="shared" si="39"/>
        <v>26</v>
      </c>
      <c r="E145" s="481">
        <v>0</v>
      </c>
      <c r="F145" s="536">
        <f t="shared" ref="F145" si="47">C145</f>
        <v>1</v>
      </c>
      <c r="G145" s="481">
        <f t="shared" ref="G145" si="48">E145*F145</f>
        <v>0</v>
      </c>
      <c r="H145" s="77">
        <f t="shared" si="42"/>
        <v>-26</v>
      </c>
    </row>
    <row r="146" spans="1:8" ht="75" x14ac:dyDescent="0.3">
      <c r="A146" s="70" t="s">
        <v>200</v>
      </c>
      <c r="B146" s="481">
        <v>26</v>
      </c>
      <c r="C146" s="481">
        <v>0.5971153846153846</v>
      </c>
      <c r="D146" s="481">
        <v>15.525</v>
      </c>
      <c r="E146" s="478" t="s">
        <v>378</v>
      </c>
      <c r="F146" s="482"/>
      <c r="G146" s="480"/>
      <c r="H146" s="77">
        <f t="shared" si="42"/>
        <v>-15.525</v>
      </c>
    </row>
    <row r="147" spans="1:8" ht="50" x14ac:dyDescent="0.3">
      <c r="A147" s="70" t="s">
        <v>201</v>
      </c>
      <c r="B147" s="481">
        <v>26</v>
      </c>
      <c r="C147" s="481">
        <v>0.5</v>
      </c>
      <c r="D147" s="481">
        <f t="shared" si="39"/>
        <v>13</v>
      </c>
      <c r="E147" s="481">
        <f t="shared" si="46"/>
        <v>24</v>
      </c>
      <c r="F147" s="536">
        <v>0.5</v>
      </c>
      <c r="G147" s="481">
        <f t="shared" ref="G147" si="49">E147*F147</f>
        <v>12</v>
      </c>
      <c r="H147" s="77">
        <f t="shared" si="42"/>
        <v>-1</v>
      </c>
    </row>
    <row r="148" spans="1:8" ht="25" x14ac:dyDescent="0.3">
      <c r="A148" s="70" t="s">
        <v>202</v>
      </c>
      <c r="B148" s="429" t="s">
        <v>388</v>
      </c>
      <c r="C148" s="430"/>
      <c r="D148" s="430"/>
      <c r="E148" s="633" t="s">
        <v>388</v>
      </c>
      <c r="F148" s="482"/>
      <c r="G148" s="480"/>
      <c r="H148" s="77">
        <f t="shared" si="42"/>
        <v>0</v>
      </c>
    </row>
    <row r="149" spans="1:8" x14ac:dyDescent="0.3">
      <c r="A149" s="70" t="s">
        <v>20</v>
      </c>
      <c r="B149" s="481">
        <v>26</v>
      </c>
      <c r="C149" s="481">
        <v>20</v>
      </c>
      <c r="D149" s="481">
        <f t="shared" si="39"/>
        <v>520</v>
      </c>
      <c r="E149" s="481">
        <f t="shared" si="46"/>
        <v>24</v>
      </c>
      <c r="F149" s="536">
        <v>20</v>
      </c>
      <c r="G149" s="481">
        <f t="shared" ref="G149:G156" si="50">E149*F149</f>
        <v>480</v>
      </c>
      <c r="H149" s="77">
        <f t="shared" si="42"/>
        <v>-40</v>
      </c>
    </row>
    <row r="150" spans="1:8" x14ac:dyDescent="0.3">
      <c r="A150" s="70" t="s">
        <v>21</v>
      </c>
      <c r="B150" s="481">
        <v>26</v>
      </c>
      <c r="C150" s="481">
        <v>1</v>
      </c>
      <c r="D150" s="481">
        <f t="shared" si="39"/>
        <v>26</v>
      </c>
      <c r="E150" s="481">
        <f t="shared" si="46"/>
        <v>24</v>
      </c>
      <c r="F150" s="536">
        <v>1</v>
      </c>
      <c r="G150" s="481">
        <f t="shared" si="50"/>
        <v>24</v>
      </c>
      <c r="H150" s="77">
        <f t="shared" si="42"/>
        <v>-2</v>
      </c>
    </row>
    <row r="151" spans="1:8" x14ac:dyDescent="0.3">
      <c r="A151" s="70" t="s">
        <v>367</v>
      </c>
      <c r="B151" s="481">
        <v>26</v>
      </c>
      <c r="C151" s="481">
        <v>80</v>
      </c>
      <c r="D151" s="481">
        <f t="shared" si="39"/>
        <v>2080</v>
      </c>
      <c r="E151" s="481">
        <f t="shared" si="46"/>
        <v>24</v>
      </c>
      <c r="F151" s="536">
        <v>80</v>
      </c>
      <c r="G151" s="481">
        <f t="shared" si="50"/>
        <v>1920</v>
      </c>
      <c r="H151" s="77">
        <f t="shared" si="42"/>
        <v>-160</v>
      </c>
    </row>
    <row r="152" spans="1:8" x14ac:dyDescent="0.3">
      <c r="A152" s="70" t="s">
        <v>129</v>
      </c>
      <c r="B152" s="481">
        <v>26</v>
      </c>
      <c r="C152" s="481">
        <v>15.589743589743589</v>
      </c>
      <c r="D152" s="481">
        <v>405.33333333333331</v>
      </c>
      <c r="E152" s="481">
        <f t="shared" si="46"/>
        <v>24</v>
      </c>
      <c r="F152" s="536">
        <f>G152/E152</f>
        <v>10.847222222222221</v>
      </c>
      <c r="G152" s="481">
        <f>1 * Num_Tests_ForCause</f>
        <v>260.33333333333331</v>
      </c>
      <c r="H152" s="77">
        <f t="shared" si="42"/>
        <v>-145</v>
      </c>
    </row>
    <row r="153" spans="1:8" ht="25" x14ac:dyDescent="0.3">
      <c r="A153" s="70" t="s">
        <v>22</v>
      </c>
      <c r="B153" s="481">
        <v>1</v>
      </c>
      <c r="C153" s="481">
        <v>1</v>
      </c>
      <c r="D153" s="481">
        <f t="shared" ref="D153:D156" si="51">B153*C153</f>
        <v>1</v>
      </c>
      <c r="E153" s="481">
        <v>1</v>
      </c>
      <c r="F153" s="536">
        <v>1</v>
      </c>
      <c r="G153" s="481">
        <f t="shared" si="50"/>
        <v>1</v>
      </c>
      <c r="H153" s="77">
        <f t="shared" si="42"/>
        <v>0</v>
      </c>
    </row>
    <row r="154" spans="1:8" ht="25" x14ac:dyDescent="0.3">
      <c r="A154" s="109" t="s">
        <v>869</v>
      </c>
      <c r="B154" s="481">
        <v>0</v>
      </c>
      <c r="C154" s="481">
        <v>7.3</v>
      </c>
      <c r="D154" s="481">
        <f t="shared" si="51"/>
        <v>0</v>
      </c>
      <c r="E154" s="481">
        <v>0</v>
      </c>
      <c r="F154" s="536">
        <v>7.3</v>
      </c>
      <c r="G154" s="481">
        <f t="shared" si="50"/>
        <v>0</v>
      </c>
      <c r="H154" s="77">
        <f t="shared" si="42"/>
        <v>0</v>
      </c>
    </row>
    <row r="155" spans="1:8" ht="25" x14ac:dyDescent="0.3">
      <c r="A155" s="109" t="s">
        <v>870</v>
      </c>
      <c r="B155" s="481">
        <v>0</v>
      </c>
      <c r="C155" s="481">
        <v>1.7</v>
      </c>
      <c r="D155" s="481">
        <f t="shared" si="51"/>
        <v>0</v>
      </c>
      <c r="E155" s="481">
        <v>0</v>
      </c>
      <c r="F155" s="536">
        <v>1.7</v>
      </c>
      <c r="G155" s="481">
        <f t="shared" si="50"/>
        <v>0</v>
      </c>
      <c r="H155" s="77">
        <f t="shared" si="42"/>
        <v>0</v>
      </c>
    </row>
    <row r="156" spans="1:8" x14ac:dyDescent="0.3">
      <c r="A156" s="109" t="s">
        <v>868</v>
      </c>
      <c r="B156" s="481">
        <v>0</v>
      </c>
      <c r="C156" s="481">
        <v>2</v>
      </c>
      <c r="D156" s="481">
        <f t="shared" si="51"/>
        <v>0</v>
      </c>
      <c r="E156" s="481">
        <v>0</v>
      </c>
      <c r="F156" s="536">
        <v>2</v>
      </c>
      <c r="G156" s="481">
        <f t="shared" si="50"/>
        <v>0</v>
      </c>
      <c r="H156" s="77">
        <f t="shared" si="42"/>
        <v>0</v>
      </c>
    </row>
    <row r="157" spans="1:8" ht="25" x14ac:dyDescent="0.3">
      <c r="A157" s="70" t="s">
        <v>79</v>
      </c>
      <c r="B157" s="429" t="s">
        <v>379</v>
      </c>
      <c r="C157" s="433"/>
      <c r="D157" s="431"/>
      <c r="E157" s="478" t="s">
        <v>379</v>
      </c>
      <c r="F157" s="479"/>
      <c r="G157" s="480"/>
      <c r="H157" s="77">
        <f t="shared" si="42"/>
        <v>0</v>
      </c>
    </row>
    <row r="158" spans="1:8" ht="25" x14ac:dyDescent="0.3">
      <c r="A158" s="70" t="s">
        <v>23</v>
      </c>
      <c r="B158" s="429" t="s">
        <v>380</v>
      </c>
      <c r="C158" s="433"/>
      <c r="D158" s="431"/>
      <c r="E158" s="478" t="s">
        <v>380</v>
      </c>
      <c r="F158" s="479"/>
      <c r="G158" s="480"/>
      <c r="H158" s="77">
        <f t="shared" si="42"/>
        <v>0</v>
      </c>
    </row>
    <row r="159" spans="1:8" ht="25" x14ac:dyDescent="0.3">
      <c r="A159" s="70" t="s">
        <v>24</v>
      </c>
      <c r="B159" s="429" t="s">
        <v>381</v>
      </c>
      <c r="C159" s="433"/>
      <c r="D159" s="431"/>
      <c r="E159" s="478" t="s">
        <v>381</v>
      </c>
      <c r="F159" s="479"/>
      <c r="G159" s="480"/>
      <c r="H159" s="77">
        <f t="shared" si="42"/>
        <v>0</v>
      </c>
    </row>
    <row r="160" spans="1:8" ht="25" x14ac:dyDescent="0.3">
      <c r="A160" s="70" t="s">
        <v>25</v>
      </c>
      <c r="B160" s="429" t="s">
        <v>382</v>
      </c>
      <c r="C160" s="433"/>
      <c r="D160" s="431"/>
      <c r="E160" s="478" t="s">
        <v>382</v>
      </c>
      <c r="F160" s="479"/>
      <c r="G160" s="480"/>
      <c r="H160" s="77">
        <f t="shared" si="42"/>
        <v>0</v>
      </c>
    </row>
    <row r="161" spans="1:8" x14ac:dyDescent="0.3">
      <c r="A161" s="70" t="s">
        <v>26</v>
      </c>
      <c r="B161" s="481">
        <v>21</v>
      </c>
      <c r="C161" s="481">
        <v>160</v>
      </c>
      <c r="D161" s="481">
        <f>B161*C161</f>
        <v>3360</v>
      </c>
      <c r="E161" s="481">
        <f t="shared" ref="E161:E168" si="52">((Num_Sites_Reactors_Operating)+(Num_Sites_Reactors_Operating-3)*2)/3</f>
        <v>52</v>
      </c>
      <c r="F161" s="536">
        <v>50</v>
      </c>
      <c r="G161" s="481">
        <f>E161*F161</f>
        <v>2600</v>
      </c>
      <c r="H161" s="77">
        <f t="shared" si="42"/>
        <v>-760</v>
      </c>
    </row>
    <row r="162" spans="1:8" x14ac:dyDescent="0.3">
      <c r="A162" s="70" t="s">
        <v>27</v>
      </c>
      <c r="B162" s="481">
        <v>21</v>
      </c>
      <c r="C162" s="481">
        <v>2080</v>
      </c>
      <c r="D162" s="481">
        <f t="shared" ref="D162:D171" si="53">B162*C162</f>
        <v>43680</v>
      </c>
      <c r="E162" s="481">
        <f t="shared" si="52"/>
        <v>52</v>
      </c>
      <c r="F162" s="536">
        <v>720</v>
      </c>
      <c r="G162" s="481">
        <f t="shared" ref="G162:G171" si="54">E162*F162</f>
        <v>37440</v>
      </c>
      <c r="H162" s="77">
        <f t="shared" si="42"/>
        <v>-6240</v>
      </c>
    </row>
    <row r="163" spans="1:8" ht="25" x14ac:dyDescent="0.3">
      <c r="A163" s="70" t="s">
        <v>28</v>
      </c>
      <c r="B163" s="481">
        <v>21</v>
      </c>
      <c r="C163" s="481">
        <v>50</v>
      </c>
      <c r="D163" s="481">
        <f t="shared" si="53"/>
        <v>1050</v>
      </c>
      <c r="E163" s="481">
        <f t="shared" si="52"/>
        <v>52</v>
      </c>
      <c r="F163" s="536">
        <v>16</v>
      </c>
      <c r="G163" s="481">
        <f t="shared" si="54"/>
        <v>832</v>
      </c>
      <c r="H163" s="77">
        <f t="shared" si="42"/>
        <v>-218</v>
      </c>
    </row>
    <row r="164" spans="1:8" x14ac:dyDescent="0.3">
      <c r="A164" s="70" t="s">
        <v>29</v>
      </c>
      <c r="B164" s="481">
        <v>21</v>
      </c>
      <c r="C164" s="481">
        <v>50</v>
      </c>
      <c r="D164" s="481">
        <f t="shared" si="53"/>
        <v>1050</v>
      </c>
      <c r="E164" s="481">
        <f t="shared" si="52"/>
        <v>52</v>
      </c>
      <c r="F164" s="536">
        <v>16</v>
      </c>
      <c r="G164" s="481">
        <f t="shared" si="54"/>
        <v>832</v>
      </c>
      <c r="H164" s="77">
        <f t="shared" si="42"/>
        <v>-218</v>
      </c>
    </row>
    <row r="165" spans="1:8" ht="25" x14ac:dyDescent="0.3">
      <c r="A165" s="70" t="s">
        <v>30</v>
      </c>
      <c r="B165" s="481">
        <v>21</v>
      </c>
      <c r="C165" s="481">
        <v>40</v>
      </c>
      <c r="D165" s="481">
        <f t="shared" si="53"/>
        <v>840</v>
      </c>
      <c r="E165" s="481">
        <f t="shared" si="52"/>
        <v>52</v>
      </c>
      <c r="F165" s="536">
        <v>12</v>
      </c>
      <c r="G165" s="481">
        <f t="shared" si="54"/>
        <v>624</v>
      </c>
      <c r="H165" s="77">
        <f t="shared" si="42"/>
        <v>-216</v>
      </c>
    </row>
    <row r="166" spans="1:8" x14ac:dyDescent="0.3">
      <c r="A166" s="70" t="s">
        <v>31</v>
      </c>
      <c r="B166" s="481">
        <v>21</v>
      </c>
      <c r="C166" s="481">
        <v>20</v>
      </c>
      <c r="D166" s="481">
        <f t="shared" si="53"/>
        <v>420</v>
      </c>
      <c r="E166" s="481">
        <f t="shared" si="52"/>
        <v>52</v>
      </c>
      <c r="F166" s="536">
        <v>6</v>
      </c>
      <c r="G166" s="481">
        <f t="shared" si="54"/>
        <v>312</v>
      </c>
      <c r="H166" s="77">
        <f t="shared" si="42"/>
        <v>-108</v>
      </c>
    </row>
    <row r="167" spans="1:8" ht="25" x14ac:dyDescent="0.3">
      <c r="A167" s="70" t="s">
        <v>32</v>
      </c>
      <c r="B167" s="481">
        <v>21</v>
      </c>
      <c r="C167" s="481">
        <v>20</v>
      </c>
      <c r="D167" s="481">
        <f t="shared" si="53"/>
        <v>420</v>
      </c>
      <c r="E167" s="481">
        <f t="shared" si="52"/>
        <v>52</v>
      </c>
      <c r="F167" s="536">
        <v>6</v>
      </c>
      <c r="G167" s="481">
        <f t="shared" si="54"/>
        <v>312</v>
      </c>
      <c r="H167" s="77">
        <f t="shared" si="42"/>
        <v>-108</v>
      </c>
    </row>
    <row r="168" spans="1:8" x14ac:dyDescent="0.3">
      <c r="A168" s="70" t="s">
        <v>66</v>
      </c>
      <c r="B168" s="481">
        <v>21</v>
      </c>
      <c r="C168" s="481">
        <v>6</v>
      </c>
      <c r="D168" s="481">
        <f t="shared" si="53"/>
        <v>126</v>
      </c>
      <c r="E168" s="481">
        <f t="shared" si="52"/>
        <v>52</v>
      </c>
      <c r="F168" s="536">
        <v>2</v>
      </c>
      <c r="G168" s="481">
        <f t="shared" si="54"/>
        <v>104</v>
      </c>
      <c r="H168" s="77">
        <f t="shared" si="42"/>
        <v>-22</v>
      </c>
    </row>
    <row r="169" spans="1:8" x14ac:dyDescent="0.3">
      <c r="A169" s="70" t="s">
        <v>33</v>
      </c>
      <c r="B169" s="481">
        <v>21</v>
      </c>
      <c r="C169" s="481">
        <v>50</v>
      </c>
      <c r="D169" s="481">
        <f t="shared" si="53"/>
        <v>1050</v>
      </c>
      <c r="E169" s="481">
        <f>((Num_Sites_Reactors_Operating)+(Num_Sites_Reactors_Operating-3)*2)/3</f>
        <v>52</v>
      </c>
      <c r="F169" s="536">
        <v>16</v>
      </c>
      <c r="G169" s="481">
        <f t="shared" si="54"/>
        <v>832</v>
      </c>
      <c r="H169" s="77">
        <f t="shared" si="42"/>
        <v>-218</v>
      </c>
    </row>
    <row r="170" spans="1:8" ht="25" x14ac:dyDescent="0.3">
      <c r="A170" s="12" t="s">
        <v>795</v>
      </c>
      <c r="B170" s="481">
        <v>2</v>
      </c>
      <c r="C170" s="481">
        <v>16</v>
      </c>
      <c r="D170" s="481">
        <f t="shared" si="53"/>
        <v>32</v>
      </c>
      <c r="E170" s="481">
        <f t="shared" ref="E170:E178" si="55">Num_FFD_Prgms_SubK/3</f>
        <v>0.33333333333333331</v>
      </c>
      <c r="F170" s="536">
        <v>16</v>
      </c>
      <c r="G170" s="481">
        <f t="shared" si="54"/>
        <v>5.333333333333333</v>
      </c>
      <c r="H170" s="77">
        <f t="shared" si="42"/>
        <v>-26.666666666666668</v>
      </c>
    </row>
    <row r="171" spans="1:8" ht="25" x14ac:dyDescent="0.3">
      <c r="A171" s="12" t="s">
        <v>281</v>
      </c>
      <c r="B171" s="481">
        <v>2</v>
      </c>
      <c r="C171" s="481">
        <v>8</v>
      </c>
      <c r="D171" s="481">
        <f t="shared" si="53"/>
        <v>16</v>
      </c>
      <c r="E171" s="481">
        <f t="shared" si="55"/>
        <v>0.33333333333333331</v>
      </c>
      <c r="F171" s="536">
        <v>8</v>
      </c>
      <c r="G171" s="481">
        <f t="shared" si="54"/>
        <v>2.6666666666666665</v>
      </c>
      <c r="H171" s="77">
        <f t="shared" si="42"/>
        <v>-13.333333333333334</v>
      </c>
    </row>
    <row r="172" spans="1:8" x14ac:dyDescent="0.3">
      <c r="A172" s="70" t="s">
        <v>443</v>
      </c>
      <c r="B172" s="481">
        <v>2</v>
      </c>
      <c r="C172" s="481">
        <v>193.86111111111111</v>
      </c>
      <c r="D172" s="481">
        <v>387.72222222222223</v>
      </c>
      <c r="E172" s="481">
        <f t="shared" si="55"/>
        <v>0.33333333333333331</v>
      </c>
      <c r="F172" s="632">
        <f>(5/60)*'Data '!D25</f>
        <v>488.41666666666663</v>
      </c>
      <c r="G172" s="481">
        <f>F172*E172</f>
        <v>162.80555555555554</v>
      </c>
      <c r="H172" s="77">
        <f t="shared" si="42"/>
        <v>-224.91666666666669</v>
      </c>
    </row>
    <row r="173" spans="1:8" x14ac:dyDescent="0.3">
      <c r="A173" s="70" t="s">
        <v>116</v>
      </c>
      <c r="B173" s="481">
        <v>2</v>
      </c>
      <c r="C173" s="481">
        <v>287.41666666666663</v>
      </c>
      <c r="D173" s="481">
        <v>574.83333333333326</v>
      </c>
      <c r="E173" s="481">
        <f t="shared" si="55"/>
        <v>0.33333333333333331</v>
      </c>
      <c r="F173" s="632">
        <f>(5/60)*'Data '!D24</f>
        <v>542.80555555555554</v>
      </c>
      <c r="G173" s="481">
        <f>F173*E173</f>
        <v>180.93518518518516</v>
      </c>
      <c r="H173" s="77">
        <f t="shared" si="42"/>
        <v>-393.8981481481481</v>
      </c>
    </row>
    <row r="174" spans="1:8" ht="25" x14ac:dyDescent="0.3">
      <c r="A174" s="70" t="s">
        <v>117</v>
      </c>
      <c r="B174" s="481">
        <v>2</v>
      </c>
      <c r="C174" s="481">
        <v>308.83333333333337</v>
      </c>
      <c r="D174" s="481">
        <v>617.66666666666674</v>
      </c>
      <c r="E174" s="481">
        <f t="shared" si="55"/>
        <v>0.33333333333333331</v>
      </c>
      <c r="F174" s="632">
        <f>(60/60)* SUM('Data '!D26:D27)</f>
        <v>531.33333333333337</v>
      </c>
      <c r="G174" s="481">
        <f>F174*E174</f>
        <v>177.11111111111111</v>
      </c>
      <c r="H174" s="77">
        <f t="shared" si="42"/>
        <v>-440.55555555555566</v>
      </c>
    </row>
    <row r="175" spans="1:8" x14ac:dyDescent="0.3">
      <c r="A175" s="70" t="s">
        <v>501</v>
      </c>
      <c r="B175" s="481">
        <v>2</v>
      </c>
      <c r="C175" s="481">
        <v>21.055555555555554</v>
      </c>
      <c r="D175" s="481">
        <v>42.111111111111107</v>
      </c>
      <c r="E175" s="481">
        <f t="shared" si="55"/>
        <v>0.33333333333333331</v>
      </c>
      <c r="F175" s="632">
        <f>(5/60)* 'Data '!D28</f>
        <v>40.166666666666664</v>
      </c>
      <c r="G175" s="481">
        <f>F175*E175</f>
        <v>13.388888888888888</v>
      </c>
      <c r="H175" s="77">
        <f t="shared" si="42"/>
        <v>-28.722222222222221</v>
      </c>
    </row>
    <row r="176" spans="1:8" ht="50" x14ac:dyDescent="0.3">
      <c r="A176" s="70" t="s">
        <v>351</v>
      </c>
      <c r="B176" s="481">
        <v>2</v>
      </c>
      <c r="C176" s="481">
        <v>40</v>
      </c>
      <c r="D176" s="481">
        <f>B176*C176</f>
        <v>80</v>
      </c>
      <c r="E176" s="481">
        <v>0</v>
      </c>
      <c r="F176" s="536">
        <v>40</v>
      </c>
      <c r="G176" s="481">
        <f t="shared" ref="G176:G177" si="56">E176*F176</f>
        <v>0</v>
      </c>
      <c r="H176" s="77">
        <f t="shared" si="42"/>
        <v>-80</v>
      </c>
    </row>
    <row r="177" spans="1:8" x14ac:dyDescent="0.3">
      <c r="A177" s="70" t="s">
        <v>65</v>
      </c>
      <c r="B177" s="481">
        <v>2</v>
      </c>
      <c r="C177" s="481">
        <v>40</v>
      </c>
      <c r="D177" s="481">
        <f t="shared" ref="D177:D218" si="57">B177*C177</f>
        <v>80</v>
      </c>
      <c r="E177" s="481">
        <f t="shared" si="55"/>
        <v>0.33333333333333331</v>
      </c>
      <c r="F177" s="536">
        <v>40</v>
      </c>
      <c r="G177" s="481">
        <f t="shared" si="56"/>
        <v>13.333333333333332</v>
      </c>
      <c r="H177" s="77">
        <f t="shared" si="42"/>
        <v>-66.666666666666671</v>
      </c>
    </row>
    <row r="178" spans="1:8" ht="37.5" x14ac:dyDescent="0.3">
      <c r="A178" s="70" t="s">
        <v>282</v>
      </c>
      <c r="B178" s="481">
        <v>2</v>
      </c>
      <c r="C178" s="481">
        <v>81.25</v>
      </c>
      <c r="D178" s="481">
        <v>162.5</v>
      </c>
      <c r="E178" s="481">
        <f t="shared" si="55"/>
        <v>0.33333333333333331</v>
      </c>
      <c r="F178" s="536">
        <f>('Data '!D37) * (45/60)</f>
        <v>179.25</v>
      </c>
      <c r="G178" s="481">
        <f>F178*E178</f>
        <v>59.75</v>
      </c>
      <c r="H178" s="77">
        <f t="shared" si="42"/>
        <v>-102.75</v>
      </c>
    </row>
    <row r="179" spans="1:8" ht="37.5" x14ac:dyDescent="0.3">
      <c r="A179" s="70" t="s">
        <v>209</v>
      </c>
      <c r="B179" s="481">
        <v>0</v>
      </c>
      <c r="C179" s="481">
        <v>80</v>
      </c>
      <c r="D179" s="481">
        <f t="shared" si="57"/>
        <v>0</v>
      </c>
      <c r="E179" s="634">
        <v>0</v>
      </c>
      <c r="F179" s="536">
        <v>80</v>
      </c>
      <c r="G179" s="481">
        <f t="shared" ref="G179:G181" si="58">E179*F179</f>
        <v>0</v>
      </c>
      <c r="H179" s="77">
        <f t="shared" si="42"/>
        <v>0</v>
      </c>
    </row>
    <row r="180" spans="1:8" ht="37.5" x14ac:dyDescent="0.3">
      <c r="A180" s="70" t="s">
        <v>221</v>
      </c>
      <c r="B180" s="481">
        <v>2</v>
      </c>
      <c r="C180" s="481">
        <v>40</v>
      </c>
      <c r="D180" s="481">
        <f t="shared" si="57"/>
        <v>80</v>
      </c>
      <c r="E180" s="481">
        <f>Num_FFD_Prgms_SubK/3</f>
        <v>0.33333333333333331</v>
      </c>
      <c r="F180" s="536">
        <v>40</v>
      </c>
      <c r="G180" s="481">
        <f t="shared" si="58"/>
        <v>13.333333333333332</v>
      </c>
      <c r="H180" s="77">
        <f t="shared" si="42"/>
        <v>-66.666666666666671</v>
      </c>
    </row>
    <row r="181" spans="1:8" ht="25" x14ac:dyDescent="0.3">
      <c r="A181" s="109" t="s">
        <v>919</v>
      </c>
      <c r="B181" s="481">
        <v>2</v>
      </c>
      <c r="C181" s="481">
        <v>3817</v>
      </c>
      <c r="D181" s="481">
        <f t="shared" si="57"/>
        <v>7634</v>
      </c>
      <c r="E181" s="481">
        <f>Num_FFD_Prgms_SubK/3</f>
        <v>0.33333333333333331</v>
      </c>
      <c r="F181" s="536">
        <f>('Data '!D39) * (60/60)</f>
        <v>8043.333333333333</v>
      </c>
      <c r="G181" s="481">
        <f t="shared" si="58"/>
        <v>2681.1111111111109</v>
      </c>
      <c r="H181" s="77">
        <f t="shared" si="42"/>
        <v>-4952.8888888888887</v>
      </c>
    </row>
    <row r="182" spans="1:8" x14ac:dyDescent="0.3">
      <c r="A182" s="70" t="s">
        <v>35</v>
      </c>
      <c r="B182" s="481">
        <v>2</v>
      </c>
      <c r="C182" s="481">
        <v>80</v>
      </c>
      <c r="D182" s="481">
        <f t="shared" si="57"/>
        <v>160</v>
      </c>
      <c r="E182" s="481">
        <f>Num_FFD_Prgms_SubK/3</f>
        <v>0.33333333333333331</v>
      </c>
      <c r="F182" s="536">
        <v>80</v>
      </c>
      <c r="G182" s="481">
        <f t="shared" ref="G182:G186" si="59">E182*F182</f>
        <v>26.666666666666664</v>
      </c>
      <c r="H182" s="77">
        <f t="shared" si="42"/>
        <v>-133.33333333333334</v>
      </c>
    </row>
    <row r="183" spans="1:8" x14ac:dyDescent="0.3">
      <c r="A183" s="70" t="s">
        <v>36</v>
      </c>
      <c r="B183" s="481">
        <v>2</v>
      </c>
      <c r="C183" s="481">
        <v>40</v>
      </c>
      <c r="D183" s="481">
        <f t="shared" si="57"/>
        <v>80</v>
      </c>
      <c r="E183" s="481">
        <f>Num_FFD_Prgms_SubK/3</f>
        <v>0.33333333333333331</v>
      </c>
      <c r="F183" s="536">
        <v>40</v>
      </c>
      <c r="G183" s="481">
        <f t="shared" si="59"/>
        <v>13.333333333333332</v>
      </c>
      <c r="H183" s="77">
        <f t="shared" si="42"/>
        <v>-66.666666666666671</v>
      </c>
    </row>
    <row r="184" spans="1:8" ht="25" x14ac:dyDescent="0.3">
      <c r="A184" s="70" t="s">
        <v>264</v>
      </c>
      <c r="B184" s="481">
        <v>2</v>
      </c>
      <c r="C184" s="481">
        <v>20</v>
      </c>
      <c r="D184" s="481">
        <f t="shared" si="57"/>
        <v>40</v>
      </c>
      <c r="E184" s="481">
        <f>Num_FFD_Prgms_SubK/3</f>
        <v>0.33333333333333331</v>
      </c>
      <c r="F184" s="536">
        <v>20</v>
      </c>
      <c r="G184" s="481">
        <f t="shared" si="59"/>
        <v>6.6666666666666661</v>
      </c>
      <c r="H184" s="77">
        <f t="shared" si="42"/>
        <v>-33.333333333333336</v>
      </c>
    </row>
    <row r="185" spans="1:8" ht="37.5" x14ac:dyDescent="0.3">
      <c r="A185" s="27" t="s">
        <v>368</v>
      </c>
      <c r="B185" s="430" t="s">
        <v>383</v>
      </c>
      <c r="C185" s="430"/>
      <c r="D185" s="430"/>
      <c r="E185" s="482" t="s">
        <v>383</v>
      </c>
      <c r="F185" s="482"/>
      <c r="G185" s="482"/>
      <c r="H185" s="77">
        <f t="shared" si="42"/>
        <v>0</v>
      </c>
    </row>
    <row r="186" spans="1:8" ht="25" x14ac:dyDescent="0.3">
      <c r="A186" s="12" t="s">
        <v>130</v>
      </c>
      <c r="B186" s="481">
        <v>2</v>
      </c>
      <c r="C186" s="481">
        <v>100</v>
      </c>
      <c r="D186" s="481">
        <f t="shared" si="57"/>
        <v>200</v>
      </c>
      <c r="E186" s="481">
        <f>Num_FFD_Prgms_SubK/3</f>
        <v>0.33333333333333331</v>
      </c>
      <c r="F186" s="536">
        <v>100</v>
      </c>
      <c r="G186" s="481">
        <f t="shared" si="59"/>
        <v>33.333333333333329</v>
      </c>
      <c r="H186" s="77">
        <f t="shared" si="42"/>
        <v>-166.66666666666669</v>
      </c>
    </row>
    <row r="187" spans="1:8" ht="50" x14ac:dyDescent="0.3">
      <c r="A187" s="70" t="s">
        <v>225</v>
      </c>
      <c r="B187" s="429" t="s">
        <v>541</v>
      </c>
      <c r="C187" s="430"/>
      <c r="D187" s="431"/>
      <c r="E187" s="478" t="s">
        <v>542</v>
      </c>
      <c r="F187" s="482"/>
      <c r="G187" s="480"/>
      <c r="H187" s="77">
        <f t="shared" si="42"/>
        <v>0</v>
      </c>
    </row>
    <row r="188" spans="1:8" ht="25" x14ac:dyDescent="0.3">
      <c r="A188" s="70" t="s">
        <v>224</v>
      </c>
      <c r="B188" s="429" t="s">
        <v>399</v>
      </c>
      <c r="C188" s="430"/>
      <c r="D188" s="431"/>
      <c r="E188" s="478" t="s">
        <v>399</v>
      </c>
      <c r="F188" s="482"/>
      <c r="G188" s="480"/>
      <c r="H188" s="77">
        <f t="shared" si="42"/>
        <v>0</v>
      </c>
    </row>
    <row r="189" spans="1:8" ht="25" x14ac:dyDescent="0.3">
      <c r="A189" s="70" t="s">
        <v>226</v>
      </c>
      <c r="B189" s="481">
        <v>26</v>
      </c>
      <c r="C189" s="481">
        <v>80</v>
      </c>
      <c r="D189" s="481">
        <f t="shared" si="57"/>
        <v>2080</v>
      </c>
      <c r="E189" s="481">
        <f t="shared" ref="E189:E190" si="60">Num_FFD_Prgms_Full</f>
        <v>24</v>
      </c>
      <c r="F189" s="536">
        <v>80</v>
      </c>
      <c r="G189" s="481">
        <f t="shared" ref="G189:G190" si="61">E189*F189</f>
        <v>1920</v>
      </c>
      <c r="H189" s="77">
        <f t="shared" si="42"/>
        <v>-160</v>
      </c>
    </row>
    <row r="190" spans="1:8" ht="37.5" x14ac:dyDescent="0.3">
      <c r="A190" s="70" t="s">
        <v>223</v>
      </c>
      <c r="B190" s="481">
        <v>26</v>
      </c>
      <c r="C190" s="481">
        <v>80</v>
      </c>
      <c r="D190" s="481">
        <f t="shared" si="57"/>
        <v>2080</v>
      </c>
      <c r="E190" s="481">
        <f t="shared" si="60"/>
        <v>24</v>
      </c>
      <c r="F190" s="536">
        <v>80</v>
      </c>
      <c r="G190" s="481">
        <f t="shared" si="61"/>
        <v>1920</v>
      </c>
      <c r="H190" s="77">
        <f t="shared" si="42"/>
        <v>-160</v>
      </c>
    </row>
    <row r="191" spans="1:8" ht="25" x14ac:dyDescent="0.3">
      <c r="A191" s="70" t="s">
        <v>227</v>
      </c>
      <c r="B191" s="429" t="s">
        <v>312</v>
      </c>
      <c r="C191" s="430"/>
      <c r="D191" s="431"/>
      <c r="E191" s="478" t="s">
        <v>312</v>
      </c>
      <c r="F191" s="482"/>
      <c r="G191" s="480"/>
      <c r="H191" s="77">
        <f t="shared" si="42"/>
        <v>0</v>
      </c>
    </row>
    <row r="192" spans="1:8" ht="25" x14ac:dyDescent="0.3">
      <c r="A192" s="70" t="s">
        <v>228</v>
      </c>
      <c r="B192" s="429" t="s">
        <v>877</v>
      </c>
      <c r="C192" s="430"/>
      <c r="D192" s="431"/>
      <c r="E192" s="478" t="s">
        <v>877</v>
      </c>
      <c r="F192" s="482"/>
      <c r="G192" s="480"/>
      <c r="H192" s="77">
        <f t="shared" si="42"/>
        <v>0</v>
      </c>
    </row>
    <row r="193" spans="1:12" ht="25" x14ac:dyDescent="0.3">
      <c r="A193" s="70" t="s">
        <v>229</v>
      </c>
      <c r="B193" s="429" t="s">
        <v>399</v>
      </c>
      <c r="C193" s="430"/>
      <c r="D193" s="431"/>
      <c r="E193" s="478" t="s">
        <v>399</v>
      </c>
      <c r="F193" s="482"/>
      <c r="G193" s="480"/>
      <c r="H193" s="77">
        <f t="shared" si="42"/>
        <v>0</v>
      </c>
    </row>
    <row r="194" spans="1:12" ht="25" x14ac:dyDescent="0.3">
      <c r="A194" s="70" t="s">
        <v>265</v>
      </c>
      <c r="B194" s="481">
        <v>26</v>
      </c>
      <c r="C194" s="481">
        <v>8</v>
      </c>
      <c r="D194" s="481">
        <f t="shared" si="57"/>
        <v>208</v>
      </c>
      <c r="E194" s="481">
        <f t="shared" ref="E194:E195" si="62">Num_FFD_Prgms_Full</f>
        <v>24</v>
      </c>
      <c r="F194" s="536">
        <v>8</v>
      </c>
      <c r="G194" s="481">
        <f t="shared" ref="G194:G195" si="63">E194*F194</f>
        <v>192</v>
      </c>
      <c r="H194" s="77">
        <f t="shared" si="42"/>
        <v>-16</v>
      </c>
    </row>
    <row r="195" spans="1:12" ht="25" x14ac:dyDescent="0.3">
      <c r="A195" s="70" t="s">
        <v>222</v>
      </c>
      <c r="B195" s="481">
        <v>26</v>
      </c>
      <c r="C195" s="481">
        <v>16</v>
      </c>
      <c r="D195" s="481">
        <f t="shared" si="57"/>
        <v>416</v>
      </c>
      <c r="E195" s="481">
        <f t="shared" si="62"/>
        <v>24</v>
      </c>
      <c r="F195" s="536">
        <v>16</v>
      </c>
      <c r="G195" s="481">
        <f t="shared" si="63"/>
        <v>384</v>
      </c>
      <c r="H195" s="77">
        <f t="shared" ref="H195:H222" si="64">G195-D195</f>
        <v>-32</v>
      </c>
    </row>
    <row r="196" spans="1:12" ht="50" x14ac:dyDescent="0.3">
      <c r="A196" s="70" t="s">
        <v>230</v>
      </c>
      <c r="B196" s="429" t="s">
        <v>231</v>
      </c>
      <c r="C196" s="430"/>
      <c r="D196" s="431"/>
      <c r="E196" s="478" t="s">
        <v>231</v>
      </c>
      <c r="F196" s="482"/>
      <c r="G196" s="480"/>
      <c r="H196" s="77">
        <f t="shared" si="64"/>
        <v>0</v>
      </c>
    </row>
    <row r="197" spans="1:12" ht="37.5" x14ac:dyDescent="0.3">
      <c r="A197" s="70" t="s">
        <v>502</v>
      </c>
      <c r="B197" s="481">
        <v>26</v>
      </c>
      <c r="C197" s="481">
        <v>40</v>
      </c>
      <c r="D197" s="481">
        <f t="shared" si="57"/>
        <v>1040</v>
      </c>
      <c r="E197" s="481">
        <f t="shared" ref="E197:E199" si="65">Num_FFD_Prgms_Full</f>
        <v>24</v>
      </c>
      <c r="F197" s="69">
        <v>40</v>
      </c>
      <c r="G197" s="481">
        <f t="shared" ref="G197:G221" si="66">E197*F197</f>
        <v>960</v>
      </c>
      <c r="H197" s="77">
        <f t="shared" si="64"/>
        <v>-80</v>
      </c>
    </row>
    <row r="198" spans="1:12" ht="25" x14ac:dyDescent="0.3">
      <c r="A198" s="70" t="s">
        <v>272</v>
      </c>
      <c r="B198" s="481">
        <v>26</v>
      </c>
      <c r="C198" s="481">
        <v>20</v>
      </c>
      <c r="D198" s="481">
        <f t="shared" si="57"/>
        <v>520</v>
      </c>
      <c r="E198" s="481">
        <f t="shared" si="65"/>
        <v>24</v>
      </c>
      <c r="F198" s="69">
        <v>20</v>
      </c>
      <c r="G198" s="481">
        <f t="shared" si="66"/>
        <v>480</v>
      </c>
      <c r="H198" s="77">
        <f t="shared" si="64"/>
        <v>-40</v>
      </c>
    </row>
    <row r="199" spans="1:12" ht="25" x14ac:dyDescent="0.3">
      <c r="A199" s="70" t="s">
        <v>311</v>
      </c>
      <c r="B199" s="481">
        <v>26</v>
      </c>
      <c r="C199" s="481">
        <v>240</v>
      </c>
      <c r="D199" s="481">
        <f t="shared" si="57"/>
        <v>6240</v>
      </c>
      <c r="E199" s="481">
        <f t="shared" si="65"/>
        <v>24</v>
      </c>
      <c r="F199" s="69">
        <v>240</v>
      </c>
      <c r="G199" s="481">
        <f t="shared" si="66"/>
        <v>5760</v>
      </c>
      <c r="H199" s="77">
        <f t="shared" si="64"/>
        <v>-480</v>
      </c>
    </row>
    <row r="200" spans="1:12" x14ac:dyDescent="0.3">
      <c r="A200" s="70" t="s">
        <v>266</v>
      </c>
      <c r="B200" s="481">
        <v>6</v>
      </c>
      <c r="C200" s="481">
        <v>120</v>
      </c>
      <c r="D200" s="481">
        <f t="shared" si="57"/>
        <v>720</v>
      </c>
      <c r="E200" s="481">
        <f>Num_LTFs</f>
        <v>3</v>
      </c>
      <c r="F200" s="69">
        <v>120</v>
      </c>
      <c r="G200" s="481">
        <f t="shared" si="66"/>
        <v>360</v>
      </c>
      <c r="H200" s="77">
        <f t="shared" si="64"/>
        <v>-360</v>
      </c>
    </row>
    <row r="201" spans="1:12" ht="25" x14ac:dyDescent="0.3">
      <c r="A201" s="70" t="s">
        <v>267</v>
      </c>
      <c r="B201" s="481">
        <v>26</v>
      </c>
      <c r="C201" s="481">
        <v>40</v>
      </c>
      <c r="D201" s="481">
        <f t="shared" si="57"/>
        <v>1040</v>
      </c>
      <c r="E201" s="481">
        <f t="shared" ref="E201" si="67">Num_FFD_Prgms_Full</f>
        <v>24</v>
      </c>
      <c r="F201" s="69">
        <v>40</v>
      </c>
      <c r="G201" s="481">
        <f t="shared" si="66"/>
        <v>960</v>
      </c>
      <c r="H201" s="77">
        <f t="shared" si="64"/>
        <v>-80</v>
      </c>
    </row>
    <row r="202" spans="1:12" ht="37.5" x14ac:dyDescent="0.3">
      <c r="A202" s="70" t="s">
        <v>270</v>
      </c>
      <c r="B202" s="481">
        <v>6</v>
      </c>
      <c r="C202" s="481">
        <v>240</v>
      </c>
      <c r="D202" s="481">
        <f t="shared" si="57"/>
        <v>1440</v>
      </c>
      <c r="E202" s="481">
        <f>Num_LTFs</f>
        <v>3</v>
      </c>
      <c r="F202" s="69">
        <v>240</v>
      </c>
      <c r="G202" s="481">
        <f t="shared" si="66"/>
        <v>720</v>
      </c>
      <c r="H202" s="77">
        <f t="shared" si="64"/>
        <v>-720</v>
      </c>
    </row>
    <row r="203" spans="1:12" x14ac:dyDescent="0.3">
      <c r="A203" s="12" t="s">
        <v>268</v>
      </c>
      <c r="B203" s="481">
        <v>6</v>
      </c>
      <c r="C203" s="481">
        <v>240</v>
      </c>
      <c r="D203" s="481">
        <f t="shared" si="57"/>
        <v>1440</v>
      </c>
      <c r="E203" s="635">
        <f>'Data '!C19</f>
        <v>3</v>
      </c>
      <c r="F203" s="69">
        <v>240</v>
      </c>
      <c r="G203" s="481">
        <f t="shared" si="66"/>
        <v>720</v>
      </c>
      <c r="H203" s="77">
        <f t="shared" si="64"/>
        <v>-720</v>
      </c>
      <c r="I203" s="19"/>
      <c r="J203" s="19"/>
      <c r="K203" s="19"/>
      <c r="L203" s="19"/>
    </row>
    <row r="204" spans="1:12" x14ac:dyDescent="0.3">
      <c r="A204" s="12" t="s">
        <v>269</v>
      </c>
      <c r="B204" s="481">
        <v>6</v>
      </c>
      <c r="C204" s="481">
        <v>80</v>
      </c>
      <c r="D204" s="481">
        <f t="shared" si="57"/>
        <v>480</v>
      </c>
      <c r="E204" s="481">
        <f>Num_LTFs</f>
        <v>3</v>
      </c>
      <c r="F204" s="69">
        <v>80</v>
      </c>
      <c r="G204" s="481">
        <f t="shared" si="66"/>
        <v>240</v>
      </c>
      <c r="H204" s="77">
        <f t="shared" si="64"/>
        <v>-240</v>
      </c>
    </row>
    <row r="205" spans="1:12" ht="37.5" x14ac:dyDescent="0.3">
      <c r="A205" s="70" t="s">
        <v>273</v>
      </c>
      <c r="B205" s="481">
        <v>8</v>
      </c>
      <c r="C205" s="481">
        <v>40</v>
      </c>
      <c r="D205" s="481">
        <f t="shared" si="57"/>
        <v>320</v>
      </c>
      <c r="E205" s="635">
        <f>Num_30dayRpts</f>
        <v>6</v>
      </c>
      <c r="F205" s="69">
        <v>40</v>
      </c>
      <c r="G205" s="481">
        <f t="shared" si="66"/>
        <v>240</v>
      </c>
      <c r="H205" s="77">
        <f t="shared" si="64"/>
        <v>-80</v>
      </c>
    </row>
    <row r="206" spans="1:12" ht="25" x14ac:dyDescent="0.3">
      <c r="A206" s="70" t="s">
        <v>149</v>
      </c>
      <c r="B206" s="481">
        <v>6</v>
      </c>
      <c r="C206" s="481">
        <v>40</v>
      </c>
      <c r="D206" s="481">
        <f t="shared" si="57"/>
        <v>240</v>
      </c>
      <c r="E206" s="481">
        <f>Num_LTFs</f>
        <v>3</v>
      </c>
      <c r="F206" s="69">
        <v>40</v>
      </c>
      <c r="G206" s="481">
        <f t="shared" si="66"/>
        <v>120</v>
      </c>
      <c r="H206" s="77">
        <f t="shared" si="64"/>
        <v>-120</v>
      </c>
    </row>
    <row r="207" spans="1:12" ht="37.5" x14ac:dyDescent="0.3">
      <c r="A207" s="70" t="s">
        <v>150</v>
      </c>
      <c r="B207" s="481">
        <v>1</v>
      </c>
      <c r="C207" s="481">
        <v>3</v>
      </c>
      <c r="D207" s="481">
        <f t="shared" si="57"/>
        <v>3</v>
      </c>
      <c r="E207" s="481">
        <v>0</v>
      </c>
      <c r="F207" s="69">
        <v>3</v>
      </c>
      <c r="G207" s="481">
        <f t="shared" si="66"/>
        <v>0</v>
      </c>
      <c r="H207" s="77">
        <f t="shared" si="64"/>
        <v>-3</v>
      </c>
    </row>
    <row r="208" spans="1:12" x14ac:dyDescent="0.3">
      <c r="A208" s="70" t="s">
        <v>271</v>
      </c>
      <c r="B208" s="481">
        <v>6</v>
      </c>
      <c r="C208" s="481">
        <v>120</v>
      </c>
      <c r="D208" s="481">
        <f t="shared" si="57"/>
        <v>720</v>
      </c>
      <c r="E208" s="481">
        <f>Num_LTFs</f>
        <v>3</v>
      </c>
      <c r="F208" s="69">
        <v>120</v>
      </c>
      <c r="G208" s="481">
        <f t="shared" si="66"/>
        <v>360</v>
      </c>
      <c r="H208" s="77">
        <f t="shared" si="64"/>
        <v>-360</v>
      </c>
    </row>
    <row r="209" spans="1:8" ht="37.5" x14ac:dyDescent="0.3">
      <c r="A209" s="70" t="s">
        <v>158</v>
      </c>
      <c r="B209" s="429" t="s">
        <v>538</v>
      </c>
      <c r="C209" s="430"/>
      <c r="D209" s="431"/>
      <c r="E209" s="478" t="s">
        <v>538</v>
      </c>
      <c r="F209" s="482"/>
      <c r="G209" s="480"/>
      <c r="H209" s="77">
        <f t="shared" si="64"/>
        <v>0</v>
      </c>
    </row>
    <row r="210" spans="1:8" ht="25" x14ac:dyDescent="0.3">
      <c r="A210" s="70" t="s">
        <v>232</v>
      </c>
      <c r="B210" s="481">
        <v>26</v>
      </c>
      <c r="C210" s="481">
        <v>20</v>
      </c>
      <c r="D210" s="481">
        <f t="shared" si="57"/>
        <v>520</v>
      </c>
      <c r="E210" s="481">
        <f>((Num_Sites_Reactors_Operating)+(Num_Sites_Reactors_Operating-3)*2)/3 + SUM('Data '!$C$12,'Data '!$C$13,'Data '!$C$14)</f>
        <v>60</v>
      </c>
      <c r="F210" s="536">
        <v>8</v>
      </c>
      <c r="G210" s="481">
        <f t="shared" si="66"/>
        <v>480</v>
      </c>
      <c r="H210" s="77">
        <f t="shared" si="64"/>
        <v>-40</v>
      </c>
    </row>
    <row r="211" spans="1:8" ht="25" x14ac:dyDescent="0.3">
      <c r="A211" s="12" t="s">
        <v>234</v>
      </c>
      <c r="B211" s="481">
        <v>26</v>
      </c>
      <c r="C211" s="481">
        <v>100</v>
      </c>
      <c r="D211" s="481">
        <f t="shared" si="57"/>
        <v>2600</v>
      </c>
      <c r="E211" s="481">
        <f>((Num_Sites_Reactors_Operating)+(Num_Sites_Reactors_Operating-3)*2)/3 + SUM('Data '!$C$12,'Data '!$C$13,'Data '!$C$14)</f>
        <v>60</v>
      </c>
      <c r="F211" s="536">
        <v>40</v>
      </c>
      <c r="G211" s="481">
        <f t="shared" si="66"/>
        <v>2400</v>
      </c>
      <c r="H211" s="77">
        <f t="shared" si="64"/>
        <v>-200</v>
      </c>
    </row>
    <row r="212" spans="1:8" ht="25" x14ac:dyDescent="0.3">
      <c r="A212" s="12" t="s">
        <v>233</v>
      </c>
      <c r="B212" s="481">
        <v>21</v>
      </c>
      <c r="C212" s="481">
        <v>100</v>
      </c>
      <c r="D212" s="481">
        <f t="shared" si="57"/>
        <v>2100</v>
      </c>
      <c r="E212" s="481">
        <f>((Num_Sites_Reactors_Operating)+(Num_Sites_Reactors_Operating-3)*2)/3</f>
        <v>52</v>
      </c>
      <c r="F212" s="536">
        <v>40</v>
      </c>
      <c r="G212" s="481">
        <f t="shared" si="66"/>
        <v>2080</v>
      </c>
      <c r="H212" s="77">
        <f t="shared" si="64"/>
        <v>-20</v>
      </c>
    </row>
    <row r="213" spans="1:8" x14ac:dyDescent="0.3">
      <c r="A213" s="12" t="s">
        <v>132</v>
      </c>
      <c r="B213" s="481">
        <v>26</v>
      </c>
      <c r="C213" s="481">
        <v>40</v>
      </c>
      <c r="D213" s="481">
        <f t="shared" si="57"/>
        <v>1040</v>
      </c>
      <c r="E213" s="481">
        <f>((Num_Sites_Reactors_Operating)+(Num_Sites_Reactors_Operating-3)*2)/3 + SUM('Data '!$C$12,'Data '!$C$13,'Data '!$C$14)</f>
        <v>60</v>
      </c>
      <c r="F213" s="536">
        <v>16</v>
      </c>
      <c r="G213" s="481">
        <f t="shared" si="66"/>
        <v>960</v>
      </c>
      <c r="H213" s="77">
        <f t="shared" si="64"/>
        <v>-80</v>
      </c>
    </row>
    <row r="214" spans="1:8" ht="25" x14ac:dyDescent="0.3">
      <c r="A214" s="12" t="s">
        <v>67</v>
      </c>
      <c r="B214" s="481">
        <v>21</v>
      </c>
      <c r="C214" s="481">
        <v>40</v>
      </c>
      <c r="D214" s="481">
        <f t="shared" si="57"/>
        <v>840</v>
      </c>
      <c r="E214" s="481">
        <f>((Num_Sites_Reactors_Operating)+(Num_Sites_Reactors_Operating-3)*2)/3</f>
        <v>52</v>
      </c>
      <c r="F214" s="536">
        <v>16</v>
      </c>
      <c r="G214" s="481">
        <f t="shared" si="66"/>
        <v>832</v>
      </c>
      <c r="H214" s="77">
        <f t="shared" si="64"/>
        <v>-8</v>
      </c>
    </row>
    <row r="215" spans="1:8" x14ac:dyDescent="0.3">
      <c r="A215" s="12" t="s">
        <v>131</v>
      </c>
      <c r="B215" s="481">
        <v>1</v>
      </c>
      <c r="C215" s="481">
        <v>1</v>
      </c>
      <c r="D215" s="481">
        <f t="shared" si="57"/>
        <v>1</v>
      </c>
      <c r="E215" s="481">
        <f>Num_Sites_CVs</f>
        <v>1</v>
      </c>
      <c r="F215" s="536">
        <f t="shared" ref="F215" si="68">C215</f>
        <v>1</v>
      </c>
      <c r="G215" s="481">
        <f t="shared" si="66"/>
        <v>1</v>
      </c>
      <c r="H215" s="77">
        <f t="shared" si="64"/>
        <v>0</v>
      </c>
    </row>
    <row r="216" spans="1:8" ht="25" x14ac:dyDescent="0.3">
      <c r="A216" s="12" t="s">
        <v>235</v>
      </c>
      <c r="B216" s="429" t="s">
        <v>236</v>
      </c>
      <c r="C216" s="430"/>
      <c r="D216" s="431"/>
      <c r="E216" s="478" t="s">
        <v>236</v>
      </c>
      <c r="F216" s="482"/>
      <c r="G216" s="480"/>
      <c r="H216" s="77">
        <f t="shared" si="64"/>
        <v>0</v>
      </c>
    </row>
    <row r="217" spans="1:8" ht="25" x14ac:dyDescent="0.3">
      <c r="A217" s="70" t="s">
        <v>189</v>
      </c>
      <c r="B217" s="481">
        <v>37</v>
      </c>
      <c r="C217" s="481">
        <v>1</v>
      </c>
      <c r="D217" s="481">
        <f t="shared" si="57"/>
        <v>37</v>
      </c>
      <c r="E217" s="481">
        <f>Num_24hrRpts</f>
        <v>36</v>
      </c>
      <c r="F217" s="636">
        <v>1</v>
      </c>
      <c r="G217" s="481">
        <f t="shared" si="66"/>
        <v>36</v>
      </c>
      <c r="H217" s="77">
        <f t="shared" si="64"/>
        <v>-1</v>
      </c>
    </row>
    <row r="218" spans="1:8" x14ac:dyDescent="0.3">
      <c r="A218" s="70" t="s">
        <v>812</v>
      </c>
      <c r="B218" s="481">
        <v>8</v>
      </c>
      <c r="C218" s="481">
        <v>40</v>
      </c>
      <c r="D218" s="481">
        <f t="shared" si="57"/>
        <v>320</v>
      </c>
      <c r="E218" s="481">
        <f>Num_30dayRpts</f>
        <v>6</v>
      </c>
      <c r="F218" s="536">
        <v>40</v>
      </c>
      <c r="G218" s="481">
        <f t="shared" si="66"/>
        <v>240</v>
      </c>
      <c r="H218" s="77">
        <f t="shared" si="64"/>
        <v>-80</v>
      </c>
    </row>
    <row r="219" spans="1:8" ht="25" x14ac:dyDescent="0.3">
      <c r="A219" s="70" t="s">
        <v>37</v>
      </c>
      <c r="B219" s="481">
        <v>28</v>
      </c>
      <c r="C219" s="481">
        <v>20</v>
      </c>
      <c r="D219" s="481">
        <f>B219*C219</f>
        <v>560</v>
      </c>
      <c r="E219" s="481">
        <f>Num_FFD_Prgms_Full</f>
        <v>24</v>
      </c>
      <c r="F219" s="536">
        <v>20</v>
      </c>
      <c r="G219" s="481">
        <f t="shared" si="66"/>
        <v>480</v>
      </c>
      <c r="H219" s="77">
        <f t="shared" si="64"/>
        <v>-80</v>
      </c>
    </row>
    <row r="220" spans="1:8" ht="25" x14ac:dyDescent="0.3">
      <c r="A220" s="70" t="s">
        <v>300</v>
      </c>
      <c r="B220" s="481">
        <v>28</v>
      </c>
      <c r="C220" s="481">
        <v>4</v>
      </c>
      <c r="D220" s="481">
        <f t="shared" ref="D220:D221" si="69">B220*C220</f>
        <v>112</v>
      </c>
      <c r="E220" s="481">
        <f>Num_FFD_Prgms_Total</f>
        <v>25</v>
      </c>
      <c r="F220" s="536">
        <v>4</v>
      </c>
      <c r="G220" s="481">
        <f t="shared" si="66"/>
        <v>100</v>
      </c>
      <c r="H220" s="77">
        <f t="shared" si="64"/>
        <v>-12</v>
      </c>
    </row>
    <row r="221" spans="1:8" ht="50.5" thickBot="1" x14ac:dyDescent="0.35">
      <c r="A221" s="76" t="s">
        <v>38</v>
      </c>
      <c r="B221" s="502">
        <v>1</v>
      </c>
      <c r="C221" s="502">
        <v>4</v>
      </c>
      <c r="D221" s="502">
        <f t="shared" si="69"/>
        <v>4</v>
      </c>
      <c r="E221" s="502">
        <f>Num_Sites_CVs</f>
        <v>1</v>
      </c>
      <c r="F221" s="637">
        <v>4</v>
      </c>
      <c r="G221" s="502">
        <f t="shared" si="66"/>
        <v>4</v>
      </c>
      <c r="H221" s="640">
        <f t="shared" si="64"/>
        <v>0</v>
      </c>
    </row>
    <row r="222" spans="1:8" ht="14.5" thickTop="1" x14ac:dyDescent="0.3">
      <c r="A222" s="683" t="s">
        <v>422</v>
      </c>
      <c r="B222" s="13"/>
      <c r="C222" s="14"/>
      <c r="D222" s="15">
        <f>SUM(D3:D221)</f>
        <v>220886.51794444444</v>
      </c>
      <c r="E222" s="13"/>
      <c r="F222" s="14"/>
      <c r="G222" s="15">
        <f>SUM(G2:G221)</f>
        <v>181067.47046296301</v>
      </c>
      <c r="H222" s="77">
        <f t="shared" si="64"/>
        <v>-39819.047481481422</v>
      </c>
    </row>
    <row r="223" spans="1:8" x14ac:dyDescent="0.3">
      <c r="H223" s="484"/>
    </row>
    <row r="225" spans="1:1" x14ac:dyDescent="0.3">
      <c r="A225" s="2" t="s">
        <v>406</v>
      </c>
    </row>
  </sheetData>
  <autoFilter ref="A2:E223" xr:uid="{00000000-0009-0000-0000-000003000000}"/>
  <mergeCells count="3">
    <mergeCell ref="E1:G1"/>
    <mergeCell ref="B1:D1"/>
    <mergeCell ref="H1:H2"/>
  </mergeCells>
  <pageMargins left="0.7" right="0.7" top="0.75" bottom="0.75" header="0.3" footer="0.3"/>
  <pageSetup scale="88" fitToHeight="0" orientation="landscape" r:id="rId1"/>
  <headerFooter>
    <oddHeader>&amp;C&amp;"Arial,Bold"&amp;16Final Supporting Statement, 10 CFR Part 26</oddHeader>
    <oddFooter>&amp;CPage &amp;P of &amp;N</oddFooter>
  </headerFooter>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19"/>
  <sheetViews>
    <sheetView view="pageBreakPreview" zoomScale="80" zoomScaleNormal="100" zoomScaleSheetLayoutView="80" workbookViewId="0">
      <pane xSplit="1" ySplit="2" topLeftCell="B3" activePane="bottomRight" state="frozen"/>
      <selection activeCell="A48" sqref="A48"/>
      <selection pane="topRight" activeCell="A48" sqref="A48"/>
      <selection pane="bottomLeft" activeCell="A48" sqref="A48"/>
      <selection pane="bottomRight" activeCell="F5" sqref="F5"/>
    </sheetView>
  </sheetViews>
  <sheetFormatPr defaultColWidth="9" defaultRowHeight="12.5" x14ac:dyDescent="0.25"/>
  <cols>
    <col min="1" max="1" width="34.83203125" style="6" customWidth="1"/>
    <col min="2" max="2" width="12.4140625" style="6" customWidth="1"/>
    <col min="3" max="3" width="13.1640625" style="6" customWidth="1"/>
    <col min="4" max="4" width="11.9140625" style="6" customWidth="1"/>
    <col min="5" max="5" width="11.58203125" style="6" customWidth="1"/>
    <col min="6" max="6" width="8.6640625" style="6" customWidth="1"/>
    <col min="7" max="7" width="11.6640625" style="6" customWidth="1"/>
    <col min="8" max="8" width="14.1640625" style="6" customWidth="1"/>
    <col min="9" max="9" width="10.9140625" style="6" customWidth="1"/>
    <col min="10" max="10" width="11.9140625" style="6" customWidth="1"/>
    <col min="11" max="11" width="9.9140625" style="6" customWidth="1"/>
    <col min="12" max="12" width="9.4140625" style="6" customWidth="1"/>
    <col min="13" max="13" width="0.6640625" style="6" customWidth="1"/>
    <col min="14" max="16384" width="9" style="6"/>
  </cols>
  <sheetData>
    <row r="1" spans="1:12" ht="28.75" customHeight="1" x14ac:dyDescent="0.25">
      <c r="A1" s="630" t="s">
        <v>60</v>
      </c>
      <c r="B1" s="793" t="s">
        <v>550</v>
      </c>
      <c r="C1" s="796"/>
      <c r="D1" s="796"/>
      <c r="E1" s="796"/>
      <c r="F1" s="796"/>
      <c r="G1" s="791" t="s">
        <v>567</v>
      </c>
      <c r="H1" s="791"/>
      <c r="I1" s="791"/>
      <c r="J1" s="791"/>
      <c r="K1" s="791"/>
      <c r="L1" s="794" t="s">
        <v>377</v>
      </c>
    </row>
    <row r="2" spans="1:12" ht="39.5" thickBot="1" x14ac:dyDescent="0.3">
      <c r="A2" s="47" t="s">
        <v>0</v>
      </c>
      <c r="B2" s="48" t="s">
        <v>61</v>
      </c>
      <c r="C2" s="48" t="s">
        <v>211</v>
      </c>
      <c r="D2" s="48" t="s">
        <v>521</v>
      </c>
      <c r="E2" s="48" t="s">
        <v>40</v>
      </c>
      <c r="F2" s="48" t="s">
        <v>41</v>
      </c>
      <c r="G2" s="48" t="s">
        <v>61</v>
      </c>
      <c r="H2" s="48" t="s">
        <v>211</v>
      </c>
      <c r="I2" s="48" t="s">
        <v>521</v>
      </c>
      <c r="J2" s="48" t="s">
        <v>522</v>
      </c>
      <c r="K2" s="48" t="s">
        <v>41</v>
      </c>
      <c r="L2" s="795"/>
    </row>
    <row r="3" spans="1:12" ht="25.5" thickTop="1" x14ac:dyDescent="0.25">
      <c r="A3" s="643" t="s">
        <v>933</v>
      </c>
      <c r="B3" s="494">
        <v>0</v>
      </c>
      <c r="C3" s="483">
        <v>1</v>
      </c>
      <c r="D3" s="485">
        <f>B3*C3</f>
        <v>0</v>
      </c>
      <c r="E3" s="486">
        <v>16</v>
      </c>
      <c r="F3" s="90">
        <f>B3*C3*E3</f>
        <v>0</v>
      </c>
      <c r="G3" s="644">
        <v>0</v>
      </c>
      <c r="H3" s="639">
        <v>1</v>
      </c>
      <c r="I3" s="645">
        <f>G3*H3</f>
        <v>0</v>
      </c>
      <c r="J3" s="646">
        <v>40</v>
      </c>
      <c r="K3" s="69">
        <f>G3*H3*J3</f>
        <v>0</v>
      </c>
      <c r="L3" s="644">
        <f>K3-F3</f>
        <v>0</v>
      </c>
    </row>
    <row r="4" spans="1:12" ht="25" x14ac:dyDescent="0.25">
      <c r="A4" s="643" t="s">
        <v>889</v>
      </c>
      <c r="B4" s="487">
        <v>40</v>
      </c>
      <c r="C4" s="430">
        <v>1</v>
      </c>
      <c r="D4" s="430">
        <v>40</v>
      </c>
      <c r="E4" s="430">
        <v>2</v>
      </c>
      <c r="F4" s="430">
        <v>80</v>
      </c>
      <c r="G4" s="647">
        <v>40</v>
      </c>
      <c r="H4" s="69">
        <v>1</v>
      </c>
      <c r="I4" s="69">
        <f>G4*H4</f>
        <v>40</v>
      </c>
      <c r="J4" s="639">
        <v>2</v>
      </c>
      <c r="K4" s="69">
        <f>G4*H4*J4</f>
        <v>80</v>
      </c>
      <c r="L4" s="69"/>
    </row>
    <row r="5" spans="1:12" x14ac:dyDescent="0.25">
      <c r="A5" s="27" t="s">
        <v>361</v>
      </c>
      <c r="B5" s="485">
        <v>0</v>
      </c>
      <c r="C5" s="485">
        <v>0</v>
      </c>
      <c r="D5" s="485">
        <v>0</v>
      </c>
      <c r="E5" s="90">
        <v>1</v>
      </c>
      <c r="F5" s="90">
        <f>B5*C5*E5</f>
        <v>0</v>
      </c>
      <c r="G5" s="648">
        <v>0</v>
      </c>
      <c r="H5" s="645">
        <v>0</v>
      </c>
      <c r="I5" s="645">
        <f>G5*H5</f>
        <v>0</v>
      </c>
      <c r="J5" s="639">
        <v>1</v>
      </c>
      <c r="K5" s="644">
        <f>G5*H5*J5</f>
        <v>0</v>
      </c>
      <c r="L5" s="636">
        <f t="shared" ref="L5:L17" si="0">K5-F5</f>
        <v>0</v>
      </c>
    </row>
    <row r="6" spans="1:12" ht="25" x14ac:dyDescent="0.25">
      <c r="A6" s="27" t="s">
        <v>362</v>
      </c>
      <c r="B6" s="487" t="s">
        <v>503</v>
      </c>
      <c r="C6" s="430"/>
      <c r="D6" s="430"/>
      <c r="E6" s="430"/>
      <c r="F6" s="430"/>
      <c r="G6" s="649" t="s">
        <v>503</v>
      </c>
      <c r="H6" s="482"/>
      <c r="I6" s="482"/>
      <c r="J6" s="482"/>
      <c r="K6" s="482"/>
      <c r="L6" s="69">
        <f t="shared" si="0"/>
        <v>0</v>
      </c>
    </row>
    <row r="7" spans="1:12" ht="50" x14ac:dyDescent="0.25">
      <c r="A7" s="78" t="s">
        <v>872</v>
      </c>
      <c r="B7" s="485">
        <v>21</v>
      </c>
      <c r="C7" s="483">
        <v>1</v>
      </c>
      <c r="D7" s="90">
        <f>B7*C7</f>
        <v>21</v>
      </c>
      <c r="E7" s="90">
        <v>50</v>
      </c>
      <c r="F7" s="90">
        <f t="shared" ref="F7:F11" si="1">B7*C7*E7</f>
        <v>1050</v>
      </c>
      <c r="G7" s="648">
        <f>((Num_Sites_Reactors_Operating)+(Num_Sites_Reactors_Operating-3)*2)/3</f>
        <v>52</v>
      </c>
      <c r="H7" s="639">
        <v>1</v>
      </c>
      <c r="I7" s="69">
        <f>G7*H7</f>
        <v>52</v>
      </c>
      <c r="J7" s="639">
        <v>16</v>
      </c>
      <c r="K7" s="644">
        <f>G7*H7*J7</f>
        <v>832</v>
      </c>
      <c r="L7" s="636">
        <f t="shared" si="0"/>
        <v>-218</v>
      </c>
    </row>
    <row r="8" spans="1:12" ht="50" x14ac:dyDescent="0.25">
      <c r="A8" s="27" t="s">
        <v>873</v>
      </c>
      <c r="B8" s="488">
        <v>21</v>
      </c>
      <c r="C8" s="483">
        <v>1</v>
      </c>
      <c r="D8" s="90">
        <f>B8*C8</f>
        <v>21</v>
      </c>
      <c r="E8" s="483">
        <v>6</v>
      </c>
      <c r="F8" s="90">
        <f t="shared" si="1"/>
        <v>126</v>
      </c>
      <c r="G8" s="648">
        <f>((Num_Sites_Reactors_Operating)+(Num_Sites_Reactors_Operating-3)*2)/3</f>
        <v>52</v>
      </c>
      <c r="H8" s="639">
        <v>1</v>
      </c>
      <c r="I8" s="69">
        <f>G8*H8</f>
        <v>52</v>
      </c>
      <c r="J8" s="639">
        <v>2</v>
      </c>
      <c r="K8" s="644">
        <f>G8*H8*J8</f>
        <v>104</v>
      </c>
      <c r="L8" s="636">
        <f t="shared" si="0"/>
        <v>-22</v>
      </c>
    </row>
    <row r="9" spans="1:12" ht="50" x14ac:dyDescent="0.25">
      <c r="A9" s="27" t="s">
        <v>430</v>
      </c>
      <c r="B9" s="489" t="s">
        <v>137</v>
      </c>
      <c r="C9" s="430"/>
      <c r="D9" s="430"/>
      <c r="E9" s="430"/>
      <c r="F9" s="430"/>
      <c r="G9" s="649" t="s">
        <v>137</v>
      </c>
      <c r="H9" s="482"/>
      <c r="I9" s="482"/>
      <c r="J9" s="482"/>
      <c r="K9" s="482"/>
      <c r="L9" s="69">
        <f t="shared" si="0"/>
        <v>0</v>
      </c>
    </row>
    <row r="10" spans="1:12" ht="37.5" x14ac:dyDescent="0.25">
      <c r="A10" s="27" t="s">
        <v>395</v>
      </c>
      <c r="B10" s="488">
        <v>2</v>
      </c>
      <c r="C10" s="169">
        <v>1</v>
      </c>
      <c r="D10" s="90">
        <f>B10*C10</f>
        <v>2</v>
      </c>
      <c r="E10" s="90">
        <v>80</v>
      </c>
      <c r="F10" s="90">
        <f t="shared" si="1"/>
        <v>160</v>
      </c>
      <c r="G10" s="647">
        <f>Num_FFD_Prgms_SubK/3</f>
        <v>0.33333333333333331</v>
      </c>
      <c r="H10" s="69">
        <v>1</v>
      </c>
      <c r="I10" s="69">
        <f>G10*H10</f>
        <v>0.33333333333333331</v>
      </c>
      <c r="J10" s="639">
        <v>80</v>
      </c>
      <c r="K10" s="69">
        <f t="shared" ref="K10" si="2">G10*H10*J10</f>
        <v>26.666666666666664</v>
      </c>
      <c r="L10" s="69">
        <f t="shared" si="0"/>
        <v>-133.33333333333334</v>
      </c>
    </row>
    <row r="11" spans="1:12" ht="25" x14ac:dyDescent="0.25">
      <c r="A11" s="27" t="s">
        <v>289</v>
      </c>
      <c r="B11" s="490">
        <v>59</v>
      </c>
      <c r="C11" s="107">
        <v>1</v>
      </c>
      <c r="D11" s="90">
        <f>B11*C11</f>
        <v>59</v>
      </c>
      <c r="E11" s="107">
        <v>8</v>
      </c>
      <c r="F11" s="90">
        <f t="shared" si="1"/>
        <v>472</v>
      </c>
      <c r="G11" s="650">
        <f>((Num_Sites_Reactors_Operating)+(Num_Sites_Reactors_Operating-3)*2)/3</f>
        <v>52</v>
      </c>
      <c r="H11" s="69">
        <v>1</v>
      </c>
      <c r="I11" s="69">
        <f>G11*H11</f>
        <v>52</v>
      </c>
      <c r="J11" s="639">
        <v>8</v>
      </c>
      <c r="K11" s="69">
        <f>I11*J11</f>
        <v>416</v>
      </c>
      <c r="L11" s="69">
        <f t="shared" si="0"/>
        <v>-56</v>
      </c>
    </row>
    <row r="12" spans="1:12" ht="25" x14ac:dyDescent="0.25">
      <c r="A12" s="27" t="s">
        <v>290</v>
      </c>
      <c r="B12" s="485">
        <v>67</v>
      </c>
      <c r="C12" s="107">
        <v>1</v>
      </c>
      <c r="D12" s="90">
        <f>B12*C12</f>
        <v>67</v>
      </c>
      <c r="E12" s="90">
        <v>60</v>
      </c>
      <c r="F12" s="90">
        <f>B12*C12*E12</f>
        <v>4020</v>
      </c>
      <c r="G12" s="650">
        <f>((Num_Sites_Reactors_Operating)+(Num_Sites_Reactors_Operating-3)*2)/3 + SUM('Data '!$C$12,'Data '!$C$13,'Data '!$C$14)</f>
        <v>60</v>
      </c>
      <c r="H12" s="69">
        <v>1</v>
      </c>
      <c r="I12" s="69">
        <f>G12*H12</f>
        <v>60</v>
      </c>
      <c r="J12" s="639">
        <v>60</v>
      </c>
      <c r="K12" s="69">
        <f>I12*J12</f>
        <v>3600</v>
      </c>
      <c r="L12" s="69">
        <f t="shared" si="0"/>
        <v>-420</v>
      </c>
    </row>
    <row r="13" spans="1:12" ht="37.5" x14ac:dyDescent="0.25">
      <c r="A13" s="27" t="s">
        <v>431</v>
      </c>
      <c r="B13" s="487" t="s">
        <v>460</v>
      </c>
      <c r="C13" s="430"/>
      <c r="D13" s="430"/>
      <c r="E13" s="430"/>
      <c r="F13" s="430"/>
      <c r="G13" s="649" t="s">
        <v>460</v>
      </c>
      <c r="H13" s="482"/>
      <c r="I13" s="482"/>
      <c r="J13" s="482"/>
      <c r="K13" s="482"/>
      <c r="L13" s="69">
        <f t="shared" si="0"/>
        <v>0</v>
      </c>
    </row>
    <row r="14" spans="1:12" ht="37.5" x14ac:dyDescent="0.25">
      <c r="A14" s="78" t="s">
        <v>432</v>
      </c>
      <c r="B14" s="491">
        <v>37</v>
      </c>
      <c r="C14" s="107">
        <v>1</v>
      </c>
      <c r="D14" s="90">
        <f>B14*C14</f>
        <v>37</v>
      </c>
      <c r="E14" s="107">
        <v>4</v>
      </c>
      <c r="F14" s="90">
        <f t="shared" ref="F14:F17" si="3">B14*C14*E14</f>
        <v>148</v>
      </c>
      <c r="G14" s="647">
        <f>Num_24hrRpts</f>
        <v>36</v>
      </c>
      <c r="H14" s="69">
        <v>1</v>
      </c>
      <c r="I14" s="69">
        <f>G14*H14</f>
        <v>36</v>
      </c>
      <c r="J14" s="639">
        <v>4</v>
      </c>
      <c r="K14" s="69">
        <f>I14*J14</f>
        <v>144</v>
      </c>
      <c r="L14" s="69">
        <f t="shared" si="0"/>
        <v>-4</v>
      </c>
    </row>
    <row r="15" spans="1:12" ht="37.5" x14ac:dyDescent="0.25">
      <c r="A15" s="27" t="s">
        <v>106</v>
      </c>
      <c r="B15" s="491">
        <v>8</v>
      </c>
      <c r="C15" s="107">
        <v>1</v>
      </c>
      <c r="D15" s="90">
        <f>B15*C15</f>
        <v>8</v>
      </c>
      <c r="E15" s="107">
        <v>24</v>
      </c>
      <c r="F15" s="90">
        <f t="shared" si="3"/>
        <v>192</v>
      </c>
      <c r="G15" s="647">
        <f>Num_30dayRpts</f>
        <v>6</v>
      </c>
      <c r="H15" s="69">
        <v>1</v>
      </c>
      <c r="I15" s="69">
        <f>G15*H15</f>
        <v>6</v>
      </c>
      <c r="J15" s="639">
        <v>24</v>
      </c>
      <c r="K15" s="69">
        <f t="shared" ref="K15:K17" si="4">I15*J15</f>
        <v>144</v>
      </c>
      <c r="L15" s="69">
        <f t="shared" si="0"/>
        <v>-48</v>
      </c>
    </row>
    <row r="16" spans="1:12" ht="37.5" x14ac:dyDescent="0.25">
      <c r="A16" s="27" t="s">
        <v>396</v>
      </c>
      <c r="B16" s="485">
        <v>0</v>
      </c>
      <c r="C16" s="485">
        <v>1</v>
      </c>
      <c r="D16" s="485">
        <f>B16*C16</f>
        <v>0</v>
      </c>
      <c r="E16" s="107">
        <v>4</v>
      </c>
      <c r="F16" s="90">
        <f t="shared" si="3"/>
        <v>0</v>
      </c>
      <c r="G16" s="647">
        <v>0</v>
      </c>
      <c r="H16" s="69">
        <v>1</v>
      </c>
      <c r="I16" s="645">
        <f>G16*H16</f>
        <v>0</v>
      </c>
      <c r="J16" s="645">
        <v>4</v>
      </c>
      <c r="K16" s="69">
        <f t="shared" si="4"/>
        <v>0</v>
      </c>
      <c r="L16" s="69">
        <f t="shared" si="0"/>
        <v>0</v>
      </c>
    </row>
    <row r="17" spans="1:12" ht="50.5" thickBot="1" x14ac:dyDescent="0.3">
      <c r="A17" s="72" t="s">
        <v>397</v>
      </c>
      <c r="B17" s="492">
        <v>0</v>
      </c>
      <c r="C17" s="493">
        <v>1</v>
      </c>
      <c r="D17" s="492">
        <f>B17*C17</f>
        <v>0</v>
      </c>
      <c r="E17" s="493">
        <v>4</v>
      </c>
      <c r="F17" s="304">
        <f t="shared" si="3"/>
        <v>0</v>
      </c>
      <c r="G17" s="651">
        <v>0</v>
      </c>
      <c r="H17" s="71">
        <v>1</v>
      </c>
      <c r="I17" s="652">
        <f>G17*H17</f>
        <v>0</v>
      </c>
      <c r="J17" s="652">
        <v>4</v>
      </c>
      <c r="K17" s="71">
        <f t="shared" si="4"/>
        <v>0</v>
      </c>
      <c r="L17" s="71">
        <f t="shared" si="0"/>
        <v>0</v>
      </c>
    </row>
    <row r="18" spans="1:12" ht="13.5" thickTop="1" x14ac:dyDescent="0.25">
      <c r="A18" s="681" t="s">
        <v>422</v>
      </c>
      <c r="B18" s="93"/>
      <c r="C18" s="93"/>
      <c r="D18" s="17">
        <f>SUM(D3:D17)</f>
        <v>255</v>
      </c>
      <c r="E18" s="93"/>
      <c r="F18" s="17">
        <f>SUM(F3:F17)</f>
        <v>6248</v>
      </c>
      <c r="G18" s="610"/>
      <c r="H18" s="16"/>
      <c r="I18" s="17">
        <f>SUM(I3:I17)</f>
        <v>298.33333333333337</v>
      </c>
      <c r="J18" s="17"/>
      <c r="K18" s="17">
        <f>SUM(K3:K17)</f>
        <v>5346.666666666667</v>
      </c>
      <c r="L18" s="17">
        <f>SUM(L3:L17)</f>
        <v>-901.33333333333337</v>
      </c>
    </row>
    <row r="19" spans="1:12" x14ac:dyDescent="0.25">
      <c r="A19" s="18"/>
      <c r="B19" s="18"/>
      <c r="C19" s="18"/>
      <c r="D19" s="18"/>
      <c r="E19" s="18"/>
      <c r="F19" s="18"/>
      <c r="G19" s="18"/>
      <c r="H19" s="18"/>
      <c r="I19" s="18"/>
      <c r="J19" s="18"/>
      <c r="K19" s="18"/>
      <c r="L19" s="25"/>
    </row>
  </sheetData>
  <autoFilter ref="A2:K19" xr:uid="{00000000-0009-0000-0000-000004000000}"/>
  <mergeCells count="3">
    <mergeCell ref="G1:K1"/>
    <mergeCell ref="L1:L2"/>
    <mergeCell ref="B1:F1"/>
  </mergeCells>
  <pageMargins left="0.75" right="0.75" top="0.7" bottom="0.7" header="0.3" footer="0.3"/>
  <pageSetup scale="69" fitToHeight="0" orientation="landscape" r:id="rId1"/>
  <headerFooter>
    <oddHeader>&amp;C&amp;"Arial,Bold"&amp;16FINAL Supporting Statement, 10 CFR Part 26</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H116"/>
  <sheetViews>
    <sheetView view="pageBreakPreview" zoomScale="80" zoomScaleNormal="100" zoomScaleSheetLayoutView="80" workbookViewId="0">
      <pane xSplit="1" ySplit="2" topLeftCell="B3" activePane="bottomRight" state="frozen"/>
      <selection activeCell="A48" sqref="A48"/>
      <selection pane="topRight" activeCell="A48" sqref="A48"/>
      <selection pane="bottomLeft" activeCell="A48" sqref="A48"/>
      <selection pane="bottomRight" activeCell="A4" sqref="A4"/>
    </sheetView>
  </sheetViews>
  <sheetFormatPr defaultColWidth="9" defaultRowHeight="12.5" x14ac:dyDescent="0.25"/>
  <cols>
    <col min="1" max="1" width="52.4140625" style="7" customWidth="1"/>
    <col min="2" max="2" width="11.6640625" style="7" customWidth="1"/>
    <col min="3" max="3" width="10.6640625" style="7" customWidth="1"/>
    <col min="4" max="4" width="13.5" style="7" customWidth="1"/>
    <col min="5" max="5" width="11.5" style="6" customWidth="1"/>
    <col min="6" max="6" width="10.1640625" style="6" customWidth="1"/>
    <col min="7" max="7" width="14.08203125" style="6" customWidth="1"/>
    <col min="8" max="8" width="10.83203125" style="8" customWidth="1"/>
    <col min="9" max="9" width="9" style="6"/>
    <col min="10" max="10" width="29.4140625" style="6" customWidth="1"/>
    <col min="11" max="16384" width="9" style="6"/>
  </cols>
  <sheetData>
    <row r="1" spans="1:8" ht="28.25" customHeight="1" x14ac:dyDescent="0.25">
      <c r="A1" s="660" t="s">
        <v>82</v>
      </c>
      <c r="B1" s="797" t="s">
        <v>874</v>
      </c>
      <c r="C1" s="798"/>
      <c r="D1" s="798"/>
      <c r="E1" s="797" t="s">
        <v>571</v>
      </c>
      <c r="F1" s="798"/>
      <c r="G1" s="798"/>
      <c r="H1" s="791" t="s">
        <v>403</v>
      </c>
    </row>
    <row r="2" spans="1:8" ht="55.25" customHeight="1" x14ac:dyDescent="0.25">
      <c r="A2" s="38" t="s">
        <v>83</v>
      </c>
      <c r="B2" s="108" t="s">
        <v>62</v>
      </c>
      <c r="C2" s="108" t="s">
        <v>42</v>
      </c>
      <c r="D2" s="108" t="s">
        <v>442</v>
      </c>
      <c r="E2" s="44" t="s">
        <v>62</v>
      </c>
      <c r="F2" s="44" t="s">
        <v>42</v>
      </c>
      <c r="G2" s="44" t="s">
        <v>442</v>
      </c>
      <c r="H2" s="791"/>
    </row>
    <row r="3" spans="1:8" ht="87.65" customHeight="1" x14ac:dyDescent="0.25">
      <c r="A3" s="79" t="s">
        <v>457</v>
      </c>
      <c r="B3" s="481">
        <v>33.5</v>
      </c>
      <c r="C3" s="653">
        <v>2</v>
      </c>
      <c r="D3" s="481">
        <v>67</v>
      </c>
      <c r="E3" s="639">
        <f>(1/2)*(((Num_Sites_Reactors_Operating)+(Num_Sites_Reactors_Operating-3)*2)/3+SUM('Data '!$C$12,'Data '!$C$13,'Data '!$C$14))</f>
        <v>30</v>
      </c>
      <c r="F3" s="639">
        <v>2</v>
      </c>
      <c r="G3" s="639">
        <f>F3*E3</f>
        <v>60</v>
      </c>
      <c r="H3" s="68">
        <f>G3-D3</f>
        <v>-7</v>
      </c>
    </row>
    <row r="4" spans="1:8" ht="25" x14ac:dyDescent="0.25">
      <c r="A4" s="27" t="s">
        <v>293</v>
      </c>
      <c r="B4" s="481">
        <v>81219.3</v>
      </c>
      <c r="C4" s="653">
        <v>2</v>
      </c>
      <c r="D4" s="481">
        <v>162438.6</v>
      </c>
      <c r="E4" s="635">
        <f>Num_PreAccess_Tests</f>
        <v>68285.166666666672</v>
      </c>
      <c r="F4" s="653">
        <v>2</v>
      </c>
      <c r="G4" s="74">
        <f>E4*F4</f>
        <v>136570.33333333334</v>
      </c>
      <c r="H4" s="68">
        <f t="shared" ref="H4:H67" si="0">G4-D4</f>
        <v>-25868.266666666663</v>
      </c>
    </row>
    <row r="5" spans="1:8" x14ac:dyDescent="0.25">
      <c r="A5" s="79" t="s">
        <v>294</v>
      </c>
      <c r="B5" s="481">
        <v>103932.66666666667</v>
      </c>
      <c r="C5" s="639">
        <v>1.5</v>
      </c>
      <c r="D5" s="481">
        <v>155899</v>
      </c>
      <c r="E5" s="635">
        <f>ROUNDUP(RandomTestPop_FullPrgm,0)</f>
        <v>85917</v>
      </c>
      <c r="F5" s="639">
        <v>1.5</v>
      </c>
      <c r="G5" s="69">
        <f>E5*F5</f>
        <v>128875.5</v>
      </c>
      <c r="H5" s="68">
        <f t="shared" si="0"/>
        <v>-27023.5</v>
      </c>
    </row>
    <row r="6" spans="1:8" ht="50" x14ac:dyDescent="0.25">
      <c r="A6" s="32" t="s">
        <v>504</v>
      </c>
      <c r="B6" s="481">
        <v>335</v>
      </c>
      <c r="C6" s="536">
        <v>1</v>
      </c>
      <c r="D6" s="481">
        <v>335</v>
      </c>
      <c r="E6" s="69">
        <f>5*SUM('Data '!C10,'Data '!C12,'Data '!C13,'Data '!C14)</f>
        <v>310</v>
      </c>
      <c r="F6" s="536">
        <v>1</v>
      </c>
      <c r="G6" s="69">
        <f>F6*E6</f>
        <v>310</v>
      </c>
      <c r="H6" s="68">
        <f t="shared" si="0"/>
        <v>-25</v>
      </c>
    </row>
    <row r="7" spans="1:8" x14ac:dyDescent="0.25">
      <c r="A7" s="32" t="s">
        <v>505</v>
      </c>
      <c r="B7" s="481">
        <v>26</v>
      </c>
      <c r="C7" s="536">
        <v>32</v>
      </c>
      <c r="D7" s="481">
        <v>832</v>
      </c>
      <c r="E7" s="639">
        <f>Num_FFD_Prgms_Full</f>
        <v>24</v>
      </c>
      <c r="F7" s="536">
        <v>32</v>
      </c>
      <c r="G7" s="69">
        <f t="shared" ref="G7:G12" si="1">F7*E7</f>
        <v>768</v>
      </c>
      <c r="H7" s="68">
        <f t="shared" si="0"/>
        <v>-64</v>
      </c>
    </row>
    <row r="8" spans="1:8" ht="25" x14ac:dyDescent="0.25">
      <c r="A8" s="32" t="s">
        <v>506</v>
      </c>
      <c r="B8" s="481">
        <v>1039.3266666666668</v>
      </c>
      <c r="C8" s="641">
        <v>0.25</v>
      </c>
      <c r="D8" s="481">
        <v>259.83166666666671</v>
      </c>
      <c r="E8" s="69">
        <f xml:space="preserve"> ROUNDUP(RandomTestPop_FullPrgm * (0.01),0)</f>
        <v>860</v>
      </c>
      <c r="F8" s="641">
        <v>0.25</v>
      </c>
      <c r="G8" s="69">
        <f t="shared" si="1"/>
        <v>215</v>
      </c>
      <c r="H8" s="68">
        <f t="shared" si="0"/>
        <v>-44.831666666666706</v>
      </c>
    </row>
    <row r="9" spans="1:8" ht="25" x14ac:dyDescent="0.25">
      <c r="A9" s="32" t="s">
        <v>349</v>
      </c>
      <c r="B9" s="481">
        <v>13</v>
      </c>
      <c r="C9" s="536">
        <v>1</v>
      </c>
      <c r="D9" s="481">
        <v>13</v>
      </c>
      <c r="E9" s="69">
        <f>0.5 *Num_FFD_Prgms_Full</f>
        <v>12</v>
      </c>
      <c r="F9" s="536">
        <v>1</v>
      </c>
      <c r="G9" s="69">
        <f t="shared" si="1"/>
        <v>12</v>
      </c>
      <c r="H9" s="68">
        <f t="shared" si="0"/>
        <v>-1</v>
      </c>
    </row>
    <row r="10" spans="1:8" ht="27" customHeight="1" x14ac:dyDescent="0.25">
      <c r="A10" s="32" t="s">
        <v>43</v>
      </c>
      <c r="B10" s="481">
        <v>258</v>
      </c>
      <c r="C10" s="641">
        <v>0.25</v>
      </c>
      <c r="D10" s="481">
        <v>64.5</v>
      </c>
      <c r="E10" s="69">
        <f>SUM('Data '!C31:C34)</f>
        <v>209.16666666666669</v>
      </c>
      <c r="F10" s="641">
        <v>0.25</v>
      </c>
      <c r="G10" s="69">
        <f t="shared" si="1"/>
        <v>52.291666666666671</v>
      </c>
      <c r="H10" s="68">
        <f t="shared" si="0"/>
        <v>-12.208333333333329</v>
      </c>
    </row>
    <row r="11" spans="1:8" ht="25" x14ac:dyDescent="0.25">
      <c r="A11" s="32" t="s">
        <v>151</v>
      </c>
      <c r="B11" s="481">
        <v>258</v>
      </c>
      <c r="C11" s="641">
        <v>0.25</v>
      </c>
      <c r="D11" s="481">
        <v>64.5</v>
      </c>
      <c r="E11" s="69">
        <f>SUM('Data '!C31:C34)</f>
        <v>209.16666666666669</v>
      </c>
      <c r="F11" s="641">
        <v>0.25</v>
      </c>
      <c r="G11" s="69">
        <f t="shared" si="1"/>
        <v>52.291666666666671</v>
      </c>
      <c r="H11" s="68">
        <f t="shared" si="0"/>
        <v>-12.208333333333329</v>
      </c>
    </row>
    <row r="12" spans="1:8" ht="25" x14ac:dyDescent="0.25">
      <c r="A12" s="32" t="s">
        <v>797</v>
      </c>
      <c r="B12" s="481">
        <v>26</v>
      </c>
      <c r="C12" s="641">
        <v>0.25</v>
      </c>
      <c r="D12" s="481">
        <v>6.5</v>
      </c>
      <c r="E12" s="69">
        <f>ROUND(E11*0.1,0)</f>
        <v>21</v>
      </c>
      <c r="F12" s="641">
        <v>0.25</v>
      </c>
      <c r="G12" s="69">
        <f t="shared" si="1"/>
        <v>5.25</v>
      </c>
      <c r="H12" s="68">
        <f t="shared" si="0"/>
        <v>-1.25</v>
      </c>
    </row>
    <row r="13" spans="1:8" ht="25" x14ac:dyDescent="0.25">
      <c r="A13" s="32" t="s">
        <v>481</v>
      </c>
      <c r="B13" s="481">
        <v>81219.3</v>
      </c>
      <c r="C13" s="641">
        <v>0.25</v>
      </c>
      <c r="D13" s="481">
        <v>20304.825000000001</v>
      </c>
      <c r="E13" s="69">
        <f>Num_PreAccess_Tests</f>
        <v>68285.166666666672</v>
      </c>
      <c r="F13" s="641">
        <v>0.25</v>
      </c>
      <c r="G13" s="69">
        <f>F13*E13</f>
        <v>17071.291666666668</v>
      </c>
      <c r="H13" s="68">
        <f t="shared" si="0"/>
        <v>-3233.5333333333328</v>
      </c>
    </row>
    <row r="14" spans="1:8" ht="66" customHeight="1" x14ac:dyDescent="0.25">
      <c r="A14" s="32" t="s">
        <v>413</v>
      </c>
      <c r="B14" s="482" t="s">
        <v>412</v>
      </c>
      <c r="C14" s="482"/>
      <c r="D14" s="482"/>
      <c r="E14" s="482" t="s">
        <v>412</v>
      </c>
      <c r="F14" s="482"/>
      <c r="G14" s="482"/>
      <c r="H14" s="68">
        <f t="shared" si="0"/>
        <v>0</v>
      </c>
    </row>
    <row r="15" spans="1:8" ht="39.65" customHeight="1" x14ac:dyDescent="0.25">
      <c r="A15" s="32" t="s">
        <v>278</v>
      </c>
      <c r="B15" s="482" t="s">
        <v>352</v>
      </c>
      <c r="C15" s="482"/>
      <c r="D15" s="482"/>
      <c r="E15" s="482" t="s">
        <v>352</v>
      </c>
      <c r="F15" s="482"/>
      <c r="G15" s="482"/>
      <c r="H15" s="68">
        <f t="shared" si="0"/>
        <v>0</v>
      </c>
    </row>
    <row r="16" spans="1:8" x14ac:dyDescent="0.25">
      <c r="A16" s="32" t="s">
        <v>299</v>
      </c>
      <c r="B16" s="481">
        <v>81219.3</v>
      </c>
      <c r="C16" s="536">
        <v>1</v>
      </c>
      <c r="D16" s="481">
        <v>81219.3</v>
      </c>
      <c r="E16" s="69">
        <f>Num_PreAccess_Tests</f>
        <v>68285.166666666672</v>
      </c>
      <c r="F16" s="536">
        <v>1</v>
      </c>
      <c r="G16" s="69">
        <f t="shared" ref="G16:G17" si="2">F16*E16</f>
        <v>68285.166666666672</v>
      </c>
      <c r="H16" s="68">
        <f t="shared" si="0"/>
        <v>-12934.133333333331</v>
      </c>
    </row>
    <row r="17" spans="1:8" ht="37.5" x14ac:dyDescent="0.25">
      <c r="A17" s="32" t="s">
        <v>152</v>
      </c>
      <c r="B17" s="481">
        <v>81219.3</v>
      </c>
      <c r="C17" s="641">
        <v>0.75</v>
      </c>
      <c r="D17" s="481">
        <v>60914.475000000006</v>
      </c>
      <c r="E17" s="69">
        <f>Num_PreAccess_Tests</f>
        <v>68285.166666666672</v>
      </c>
      <c r="F17" s="641">
        <v>0.75</v>
      </c>
      <c r="G17" s="69">
        <f t="shared" si="2"/>
        <v>51213.875</v>
      </c>
      <c r="H17" s="68">
        <f t="shared" si="0"/>
        <v>-9700.6000000000058</v>
      </c>
    </row>
    <row r="18" spans="1:8" ht="51.65" customHeight="1" x14ac:dyDescent="0.25">
      <c r="A18" s="32" t="s">
        <v>507</v>
      </c>
      <c r="B18" s="482" t="s">
        <v>398</v>
      </c>
      <c r="C18" s="482"/>
      <c r="D18" s="482"/>
      <c r="E18" s="482" t="s">
        <v>398</v>
      </c>
      <c r="F18" s="482"/>
      <c r="G18" s="482"/>
      <c r="H18" s="68">
        <f t="shared" si="0"/>
        <v>0</v>
      </c>
    </row>
    <row r="19" spans="1:8" ht="25" x14ac:dyDescent="0.25">
      <c r="A19" s="32" t="s">
        <v>153</v>
      </c>
      <c r="B19" s="481">
        <v>180</v>
      </c>
      <c r="C19" s="536">
        <v>8.3333333333333329E-2</v>
      </c>
      <c r="D19" s="481">
        <v>15</v>
      </c>
      <c r="E19" s="536">
        <f>ROUND((0.2/100)*Num_PreAccess_Tests,-1)</f>
        <v>140</v>
      </c>
      <c r="F19" s="536">
        <f>5/60</f>
        <v>8.3333333333333329E-2</v>
      </c>
      <c r="G19" s="69">
        <f>F19*E19</f>
        <v>11.666666666666666</v>
      </c>
      <c r="H19" s="68">
        <f t="shared" si="0"/>
        <v>-3.3333333333333339</v>
      </c>
    </row>
    <row r="20" spans="1:8" ht="37.5" x14ac:dyDescent="0.25">
      <c r="A20" s="32" t="s">
        <v>154</v>
      </c>
      <c r="B20" s="481">
        <v>406.09650000000005</v>
      </c>
      <c r="C20" s="536">
        <v>0.5</v>
      </c>
      <c r="D20" s="481">
        <v>203.04825000000002</v>
      </c>
      <c r="E20" s="536">
        <f>0.005 * Num_PreAccess_Tests</f>
        <v>341.42583333333334</v>
      </c>
      <c r="F20" s="536">
        <v>0.5</v>
      </c>
      <c r="G20" s="69">
        <f>F20*E20</f>
        <v>170.71291666666667</v>
      </c>
      <c r="H20" s="68">
        <f t="shared" si="0"/>
        <v>-32.335333333333352</v>
      </c>
    </row>
    <row r="21" spans="1:8" ht="52.75" customHeight="1" x14ac:dyDescent="0.25">
      <c r="A21" s="32" t="s">
        <v>190</v>
      </c>
      <c r="B21" s="482" t="s">
        <v>288</v>
      </c>
      <c r="C21" s="482"/>
      <c r="D21" s="482"/>
      <c r="E21" s="482" t="s">
        <v>288</v>
      </c>
      <c r="F21" s="482"/>
      <c r="G21" s="482"/>
      <c r="H21" s="68">
        <f t="shared" si="0"/>
        <v>0</v>
      </c>
    </row>
    <row r="22" spans="1:8" ht="37.5" x14ac:dyDescent="0.25">
      <c r="A22" s="32" t="s">
        <v>353</v>
      </c>
      <c r="B22" s="481">
        <v>812.1930000000001</v>
      </c>
      <c r="C22" s="481">
        <v>2</v>
      </c>
      <c r="D22" s="481">
        <v>1624.3860000000002</v>
      </c>
      <c r="E22" s="536">
        <f>0.01 * Num_PreAccess_Tests</f>
        <v>682.85166666666669</v>
      </c>
      <c r="F22" s="536">
        <v>2</v>
      </c>
      <c r="G22" s="69">
        <f t="shared" ref="G22:G34" si="3">F22*E22</f>
        <v>1365.7033333333334</v>
      </c>
      <c r="H22" s="68">
        <f t="shared" si="0"/>
        <v>-258.68266666666682</v>
      </c>
    </row>
    <row r="23" spans="1:8" ht="25" x14ac:dyDescent="0.25">
      <c r="A23" s="32" t="s">
        <v>44</v>
      </c>
      <c r="B23" s="481">
        <v>26</v>
      </c>
      <c r="C23" s="481">
        <v>1</v>
      </c>
      <c r="D23" s="481">
        <v>26</v>
      </c>
      <c r="E23" s="536">
        <f>Num_FFD_Prgms_Full</f>
        <v>24</v>
      </c>
      <c r="F23" s="536">
        <v>1</v>
      </c>
      <c r="G23" s="69">
        <f t="shared" si="3"/>
        <v>24</v>
      </c>
      <c r="H23" s="68">
        <f t="shared" si="0"/>
        <v>-2</v>
      </c>
    </row>
    <row r="24" spans="1:8" x14ac:dyDescent="0.25">
      <c r="A24" s="32" t="s">
        <v>45</v>
      </c>
      <c r="B24" s="481">
        <v>26</v>
      </c>
      <c r="C24" s="481">
        <v>4</v>
      </c>
      <c r="D24" s="481">
        <v>104</v>
      </c>
      <c r="E24" s="536">
        <f>Num_FFD_Prgms_Full</f>
        <v>24</v>
      </c>
      <c r="F24" s="536">
        <v>4</v>
      </c>
      <c r="G24" s="69">
        <f t="shared" si="3"/>
        <v>96</v>
      </c>
      <c r="H24" s="68">
        <f t="shared" si="0"/>
        <v>-8</v>
      </c>
    </row>
    <row r="25" spans="1:8" ht="25" x14ac:dyDescent="0.25">
      <c r="A25" s="32" t="s">
        <v>155</v>
      </c>
      <c r="B25" s="481">
        <v>2</v>
      </c>
      <c r="C25" s="481">
        <v>1</v>
      </c>
      <c r="D25" s="481">
        <v>2</v>
      </c>
      <c r="E25" s="536">
        <v>2</v>
      </c>
      <c r="F25" s="536">
        <v>1</v>
      </c>
      <c r="G25" s="69">
        <f t="shared" si="3"/>
        <v>2</v>
      </c>
      <c r="H25" s="68">
        <f t="shared" si="0"/>
        <v>0</v>
      </c>
    </row>
    <row r="26" spans="1:8" ht="25" x14ac:dyDescent="0.25">
      <c r="A26" s="32" t="s">
        <v>156</v>
      </c>
      <c r="B26" s="481">
        <v>2</v>
      </c>
      <c r="C26" s="481">
        <v>1</v>
      </c>
      <c r="D26" s="481">
        <v>2</v>
      </c>
      <c r="E26" s="536">
        <v>2</v>
      </c>
      <c r="F26" s="536">
        <v>1</v>
      </c>
      <c r="G26" s="69">
        <f t="shared" si="3"/>
        <v>2</v>
      </c>
      <c r="H26" s="68">
        <f t="shared" si="0"/>
        <v>0</v>
      </c>
    </row>
    <row r="27" spans="1:8" ht="37.5" x14ac:dyDescent="0.25">
      <c r="A27" s="32" t="s">
        <v>369</v>
      </c>
      <c r="B27" s="481">
        <v>0</v>
      </c>
      <c r="C27" s="641">
        <v>0.25</v>
      </c>
      <c r="D27" s="481">
        <v>0</v>
      </c>
      <c r="E27" s="481">
        <v>0</v>
      </c>
      <c r="F27" s="641">
        <v>0.25</v>
      </c>
      <c r="G27" s="481">
        <f t="shared" si="3"/>
        <v>0</v>
      </c>
      <c r="H27" s="68">
        <f t="shared" si="0"/>
        <v>0</v>
      </c>
    </row>
    <row r="28" spans="1:8" ht="25" x14ac:dyDescent="0.25">
      <c r="A28" s="32" t="s">
        <v>46</v>
      </c>
      <c r="B28" s="481">
        <v>0</v>
      </c>
      <c r="C28" s="481">
        <v>1</v>
      </c>
      <c r="D28" s="481">
        <v>0</v>
      </c>
      <c r="E28" s="481">
        <v>0</v>
      </c>
      <c r="F28" s="536">
        <v>1</v>
      </c>
      <c r="G28" s="481">
        <f t="shared" si="3"/>
        <v>0</v>
      </c>
      <c r="H28" s="68">
        <f t="shared" si="0"/>
        <v>0</v>
      </c>
    </row>
    <row r="29" spans="1:8" ht="25" x14ac:dyDescent="0.25">
      <c r="A29" s="32" t="s">
        <v>47</v>
      </c>
      <c r="B29" s="481">
        <v>26</v>
      </c>
      <c r="C29" s="481">
        <v>4</v>
      </c>
      <c r="D29" s="481">
        <v>104</v>
      </c>
      <c r="E29" s="536">
        <f>Num_FFD_Prgms_Full</f>
        <v>24</v>
      </c>
      <c r="F29" s="536">
        <v>4</v>
      </c>
      <c r="G29" s="69">
        <f t="shared" si="3"/>
        <v>96</v>
      </c>
      <c r="H29" s="68">
        <f t="shared" si="0"/>
        <v>-8</v>
      </c>
    </row>
    <row r="30" spans="1:8" ht="25" x14ac:dyDescent="0.25">
      <c r="A30" s="32" t="s">
        <v>48</v>
      </c>
      <c r="B30" s="481">
        <v>260</v>
      </c>
      <c r="C30" s="641">
        <v>0.25</v>
      </c>
      <c r="D30" s="481">
        <v>65</v>
      </c>
      <c r="E30" s="536">
        <f>Num_FFD_Prgms_Full * 10</f>
        <v>240</v>
      </c>
      <c r="F30" s="641">
        <v>0.25</v>
      </c>
      <c r="G30" s="69">
        <f t="shared" si="3"/>
        <v>60</v>
      </c>
      <c r="H30" s="68">
        <f t="shared" si="0"/>
        <v>-5</v>
      </c>
    </row>
    <row r="31" spans="1:8" ht="25" x14ac:dyDescent="0.25">
      <c r="A31" s="32" t="s">
        <v>49</v>
      </c>
      <c r="B31" s="481">
        <v>260</v>
      </c>
      <c r="C31" s="641">
        <v>0.25</v>
      </c>
      <c r="D31" s="481">
        <v>65</v>
      </c>
      <c r="E31" s="536">
        <f>Num_FFD_Prgms_Full * 10</f>
        <v>240</v>
      </c>
      <c r="F31" s="641">
        <v>0.25</v>
      </c>
      <c r="G31" s="69">
        <f t="shared" si="3"/>
        <v>60</v>
      </c>
      <c r="H31" s="68">
        <f t="shared" si="0"/>
        <v>-5</v>
      </c>
    </row>
    <row r="32" spans="1:8" ht="25" x14ac:dyDescent="0.25">
      <c r="A32" s="32" t="s">
        <v>50</v>
      </c>
      <c r="B32" s="481">
        <v>0</v>
      </c>
      <c r="C32" s="481">
        <v>0.5</v>
      </c>
      <c r="D32" s="481">
        <v>0</v>
      </c>
      <c r="E32" s="481">
        <v>0</v>
      </c>
      <c r="F32" s="536">
        <v>0.5</v>
      </c>
      <c r="G32" s="481">
        <f t="shared" si="3"/>
        <v>0</v>
      </c>
      <c r="H32" s="68">
        <f t="shared" si="0"/>
        <v>0</v>
      </c>
    </row>
    <row r="33" spans="1:8" ht="25" x14ac:dyDescent="0.25">
      <c r="A33" s="32" t="s">
        <v>404</v>
      </c>
      <c r="B33" s="481">
        <v>0</v>
      </c>
      <c r="C33" s="481">
        <v>1</v>
      </c>
      <c r="D33" s="481">
        <v>0</v>
      </c>
      <c r="E33" s="481">
        <v>0</v>
      </c>
      <c r="F33" s="536">
        <v>1</v>
      </c>
      <c r="G33" s="481">
        <f t="shared" si="3"/>
        <v>0</v>
      </c>
      <c r="H33" s="68">
        <f t="shared" si="0"/>
        <v>0</v>
      </c>
    </row>
    <row r="34" spans="1:8" ht="25" x14ac:dyDescent="0.25">
      <c r="A34" s="32" t="s">
        <v>51</v>
      </c>
      <c r="B34" s="481">
        <v>0</v>
      </c>
      <c r="C34" s="641">
        <v>0.25</v>
      </c>
      <c r="D34" s="481">
        <v>0</v>
      </c>
      <c r="E34" s="481">
        <v>0</v>
      </c>
      <c r="F34" s="641">
        <v>0.25</v>
      </c>
      <c r="G34" s="481">
        <f t="shared" si="3"/>
        <v>0</v>
      </c>
      <c r="H34" s="68">
        <f t="shared" si="0"/>
        <v>0</v>
      </c>
    </row>
    <row r="35" spans="1:8" ht="26.4" customHeight="1" x14ac:dyDescent="0.25">
      <c r="A35" s="32" t="s">
        <v>508</v>
      </c>
      <c r="B35" s="482" t="s">
        <v>386</v>
      </c>
      <c r="C35" s="482"/>
      <c r="D35" s="482"/>
      <c r="E35" s="482" t="s">
        <v>386</v>
      </c>
      <c r="F35" s="482"/>
      <c r="G35" s="482"/>
      <c r="H35" s="68">
        <f t="shared" si="0"/>
        <v>0</v>
      </c>
    </row>
    <row r="36" spans="1:8" ht="26.4" customHeight="1" x14ac:dyDescent="0.25">
      <c r="A36" s="32" t="s">
        <v>510</v>
      </c>
      <c r="B36" s="482" t="s">
        <v>386</v>
      </c>
      <c r="C36" s="482"/>
      <c r="D36" s="482"/>
      <c r="E36" s="482" t="s">
        <v>386</v>
      </c>
      <c r="F36" s="482"/>
      <c r="G36" s="482"/>
      <c r="H36" s="68">
        <f t="shared" si="0"/>
        <v>0</v>
      </c>
    </row>
    <row r="37" spans="1:8" ht="37.5" x14ac:dyDescent="0.25">
      <c r="A37" s="32" t="s">
        <v>509</v>
      </c>
      <c r="B37" s="481">
        <v>0</v>
      </c>
      <c r="C37" s="641">
        <v>0.25</v>
      </c>
      <c r="D37" s="481">
        <v>0</v>
      </c>
      <c r="E37" s="481">
        <v>0</v>
      </c>
      <c r="F37" s="641">
        <v>0.25</v>
      </c>
      <c r="G37" s="481">
        <f t="shared" ref="G37" si="4">F37*E37</f>
        <v>0</v>
      </c>
      <c r="H37" s="68">
        <f t="shared" si="0"/>
        <v>0</v>
      </c>
    </row>
    <row r="38" spans="1:8" ht="26.4" customHeight="1" x14ac:dyDescent="0.25">
      <c r="A38" s="32" t="s">
        <v>260</v>
      </c>
      <c r="B38" s="482" t="s">
        <v>387</v>
      </c>
      <c r="C38" s="482"/>
      <c r="D38" s="482"/>
      <c r="E38" s="482" t="s">
        <v>387</v>
      </c>
      <c r="F38" s="482"/>
      <c r="G38" s="482"/>
      <c r="H38" s="68">
        <f t="shared" si="0"/>
        <v>0</v>
      </c>
    </row>
    <row r="39" spans="1:8" ht="25" x14ac:dyDescent="0.25">
      <c r="A39" s="32" t="s">
        <v>551</v>
      </c>
      <c r="B39" s="481">
        <v>0</v>
      </c>
      <c r="C39" s="501">
        <v>0.25</v>
      </c>
      <c r="D39" s="481">
        <v>0</v>
      </c>
      <c r="E39" s="481">
        <v>0</v>
      </c>
      <c r="F39" s="641">
        <v>0.25</v>
      </c>
      <c r="G39" s="481">
        <f t="shared" ref="G39:G42" si="5">F39*E39</f>
        <v>0</v>
      </c>
      <c r="H39" s="68">
        <f t="shared" si="0"/>
        <v>0</v>
      </c>
    </row>
    <row r="40" spans="1:8" ht="37.5" x14ac:dyDescent="0.25">
      <c r="A40" s="32" t="s">
        <v>794</v>
      </c>
      <c r="B40" s="481">
        <v>0</v>
      </c>
      <c r="C40" s="501">
        <v>0.25</v>
      </c>
      <c r="D40" s="481">
        <v>0</v>
      </c>
      <c r="E40" s="481">
        <v>0</v>
      </c>
      <c r="F40" s="641">
        <v>0.25</v>
      </c>
      <c r="G40" s="481">
        <f t="shared" si="5"/>
        <v>0</v>
      </c>
      <c r="H40" s="68">
        <f t="shared" si="0"/>
        <v>0</v>
      </c>
    </row>
    <row r="41" spans="1:8" ht="42" customHeight="1" x14ac:dyDescent="0.25">
      <c r="A41" s="32" t="s">
        <v>287</v>
      </c>
      <c r="B41" s="481">
        <v>0</v>
      </c>
      <c r="C41" s="501">
        <v>0.25</v>
      </c>
      <c r="D41" s="481">
        <v>0</v>
      </c>
      <c r="E41" s="481">
        <v>0</v>
      </c>
      <c r="F41" s="641">
        <v>0.25</v>
      </c>
      <c r="G41" s="481">
        <f t="shared" si="5"/>
        <v>0</v>
      </c>
      <c r="H41" s="68">
        <f t="shared" si="0"/>
        <v>0</v>
      </c>
    </row>
    <row r="42" spans="1:8" ht="54.65" customHeight="1" x14ac:dyDescent="0.25">
      <c r="A42" s="32" t="s">
        <v>511</v>
      </c>
      <c r="B42" s="481">
        <v>0</v>
      </c>
      <c r="C42" s="501">
        <v>0.25</v>
      </c>
      <c r="D42" s="481">
        <v>0</v>
      </c>
      <c r="E42" s="481">
        <v>0</v>
      </c>
      <c r="F42" s="641">
        <v>0.25</v>
      </c>
      <c r="G42" s="481">
        <f t="shared" si="5"/>
        <v>0</v>
      </c>
      <c r="H42" s="68">
        <f t="shared" si="0"/>
        <v>0</v>
      </c>
    </row>
    <row r="43" spans="1:8" ht="26.4" customHeight="1" x14ac:dyDescent="0.25">
      <c r="A43" s="32" t="s">
        <v>162</v>
      </c>
      <c r="B43" s="482" t="s">
        <v>448</v>
      </c>
      <c r="C43" s="482"/>
      <c r="D43" s="482"/>
      <c r="E43" s="482" t="s">
        <v>448</v>
      </c>
      <c r="F43" s="482"/>
      <c r="G43" s="482"/>
      <c r="H43" s="68">
        <f t="shared" si="0"/>
        <v>0</v>
      </c>
    </row>
    <row r="44" spans="1:8" ht="37.5" x14ac:dyDescent="0.25">
      <c r="A44" s="32" t="s">
        <v>164</v>
      </c>
      <c r="B44" s="481">
        <v>0</v>
      </c>
      <c r="C44" s="501">
        <v>0.25</v>
      </c>
      <c r="D44" s="481">
        <v>0</v>
      </c>
      <c r="E44" s="481">
        <v>0</v>
      </c>
      <c r="F44" s="641">
        <v>0.25</v>
      </c>
      <c r="G44" s="481">
        <f t="shared" ref="G44" si="6">F44*E44</f>
        <v>0</v>
      </c>
      <c r="H44" s="68">
        <f t="shared" si="0"/>
        <v>0</v>
      </c>
    </row>
    <row r="45" spans="1:8" ht="39.65" customHeight="1" x14ac:dyDescent="0.25">
      <c r="A45" s="32" t="s">
        <v>165</v>
      </c>
      <c r="B45" s="482" t="s">
        <v>385</v>
      </c>
      <c r="C45" s="482"/>
      <c r="D45" s="482"/>
      <c r="E45" s="478" t="s">
        <v>385</v>
      </c>
      <c r="F45" s="479"/>
      <c r="G45" s="480"/>
      <c r="H45" s="68">
        <f t="shared" si="0"/>
        <v>0</v>
      </c>
    </row>
    <row r="46" spans="1:8" ht="25" x14ac:dyDescent="0.25">
      <c r="A46" s="32" t="s">
        <v>52</v>
      </c>
      <c r="B46" s="481">
        <v>0</v>
      </c>
      <c r="C46" s="501">
        <v>0.25</v>
      </c>
      <c r="D46" s="481">
        <v>0</v>
      </c>
      <c r="E46" s="481">
        <v>0</v>
      </c>
      <c r="F46" s="641">
        <v>0.25</v>
      </c>
      <c r="G46" s="481">
        <f t="shared" ref="G46:G49" si="7">F46*E46</f>
        <v>0</v>
      </c>
      <c r="H46" s="68">
        <f t="shared" si="0"/>
        <v>0</v>
      </c>
    </row>
    <row r="47" spans="1:8" ht="25" x14ac:dyDescent="0.25">
      <c r="A47" s="32" t="s">
        <v>450</v>
      </c>
      <c r="B47" s="481">
        <v>260</v>
      </c>
      <c r="C47" s="501">
        <v>0.25</v>
      </c>
      <c r="D47" s="481">
        <v>65</v>
      </c>
      <c r="E47" s="536">
        <f>Num_FFD_Prgms_Full * 10</f>
        <v>240</v>
      </c>
      <c r="F47" s="641">
        <v>0.25</v>
      </c>
      <c r="G47" s="69">
        <f t="shared" si="7"/>
        <v>60</v>
      </c>
      <c r="H47" s="68">
        <f t="shared" si="0"/>
        <v>-5</v>
      </c>
    </row>
    <row r="48" spans="1:8" ht="42" customHeight="1" x14ac:dyDescent="0.25">
      <c r="A48" s="32" t="s">
        <v>157</v>
      </c>
      <c r="B48" s="481">
        <v>13</v>
      </c>
      <c r="C48" s="481">
        <v>2</v>
      </c>
      <c r="D48" s="481">
        <v>26</v>
      </c>
      <c r="E48" s="536">
        <f>Num_FFD_Prgms_Full / 2</f>
        <v>12</v>
      </c>
      <c r="F48" s="536">
        <v>2</v>
      </c>
      <c r="G48" s="69">
        <f t="shared" si="7"/>
        <v>24</v>
      </c>
      <c r="H48" s="68">
        <f t="shared" si="0"/>
        <v>-2</v>
      </c>
    </row>
    <row r="49" spans="1:8" ht="37.5" x14ac:dyDescent="0.25">
      <c r="A49" s="32" t="s">
        <v>166</v>
      </c>
      <c r="B49" s="481">
        <v>0</v>
      </c>
      <c r="C49" s="481">
        <v>1</v>
      </c>
      <c r="D49" s="481">
        <v>0</v>
      </c>
      <c r="E49" s="481">
        <v>0</v>
      </c>
      <c r="F49" s="536">
        <v>1</v>
      </c>
      <c r="G49" s="481">
        <f t="shared" si="7"/>
        <v>0</v>
      </c>
      <c r="H49" s="68">
        <f t="shared" si="0"/>
        <v>0</v>
      </c>
    </row>
    <row r="50" spans="1:8" ht="52.75" customHeight="1" x14ac:dyDescent="0.25">
      <c r="A50" s="75" t="s">
        <v>86</v>
      </c>
      <c r="B50" s="482" t="s">
        <v>427</v>
      </c>
      <c r="C50" s="482"/>
      <c r="D50" s="482"/>
      <c r="E50" s="482" t="s">
        <v>427</v>
      </c>
      <c r="F50" s="482"/>
      <c r="G50" s="482"/>
      <c r="H50" s="68">
        <f t="shared" si="0"/>
        <v>0</v>
      </c>
    </row>
    <row r="51" spans="1:8" ht="25" x14ac:dyDescent="0.25">
      <c r="A51" s="32" t="s">
        <v>238</v>
      </c>
      <c r="B51" s="481">
        <v>2</v>
      </c>
      <c r="C51" s="481">
        <v>0.5</v>
      </c>
      <c r="D51" s="481">
        <v>1</v>
      </c>
      <c r="E51" s="632">
        <v>2</v>
      </c>
      <c r="F51" s="536">
        <v>0.5</v>
      </c>
      <c r="G51" s="69">
        <f t="shared" ref="G51" si="8">F51*E51</f>
        <v>1</v>
      </c>
      <c r="H51" s="68">
        <f t="shared" si="0"/>
        <v>0</v>
      </c>
    </row>
    <row r="52" spans="1:8" ht="39.65" customHeight="1" x14ac:dyDescent="0.25">
      <c r="A52" s="75" t="s">
        <v>239</v>
      </c>
      <c r="B52" s="482" t="s">
        <v>197</v>
      </c>
      <c r="C52" s="482"/>
      <c r="D52" s="482"/>
      <c r="E52" s="482" t="s">
        <v>197</v>
      </c>
      <c r="F52" s="482"/>
      <c r="G52" s="482"/>
      <c r="H52" s="68">
        <f t="shared" si="0"/>
        <v>0</v>
      </c>
    </row>
    <row r="53" spans="1:8" ht="39.65" customHeight="1" x14ac:dyDescent="0.25">
      <c r="A53" s="75" t="s">
        <v>240</v>
      </c>
      <c r="B53" s="482" t="s">
        <v>197</v>
      </c>
      <c r="C53" s="482"/>
      <c r="D53" s="482"/>
      <c r="E53" s="482" t="s">
        <v>197</v>
      </c>
      <c r="F53" s="482"/>
      <c r="G53" s="482"/>
      <c r="H53" s="68">
        <f t="shared" si="0"/>
        <v>0</v>
      </c>
    </row>
    <row r="54" spans="1:8" ht="39" customHeight="1" x14ac:dyDescent="0.25">
      <c r="A54" s="75" t="s">
        <v>107</v>
      </c>
      <c r="B54" s="482" t="s">
        <v>197</v>
      </c>
      <c r="C54" s="482"/>
      <c r="D54" s="482"/>
      <c r="E54" s="482" t="s">
        <v>197</v>
      </c>
      <c r="F54" s="482"/>
      <c r="G54" s="482"/>
      <c r="H54" s="68">
        <f t="shared" si="0"/>
        <v>0</v>
      </c>
    </row>
    <row r="55" spans="1:8" ht="39.65" customHeight="1" x14ac:dyDescent="0.25">
      <c r="A55" s="75" t="s">
        <v>108</v>
      </c>
      <c r="B55" s="482" t="s">
        <v>197</v>
      </c>
      <c r="C55" s="482"/>
      <c r="D55" s="482"/>
      <c r="E55" s="482" t="s">
        <v>197</v>
      </c>
      <c r="F55" s="482"/>
      <c r="G55" s="482"/>
      <c r="H55" s="68">
        <f t="shared" si="0"/>
        <v>0</v>
      </c>
    </row>
    <row r="56" spans="1:8" ht="39.65" customHeight="1" x14ac:dyDescent="0.25">
      <c r="A56" s="75" t="s">
        <v>241</v>
      </c>
      <c r="B56" s="482" t="s">
        <v>197</v>
      </c>
      <c r="C56" s="482"/>
      <c r="D56" s="482"/>
      <c r="E56" s="482" t="s">
        <v>197</v>
      </c>
      <c r="F56" s="482"/>
      <c r="G56" s="482"/>
      <c r="H56" s="68">
        <f t="shared" si="0"/>
        <v>0</v>
      </c>
    </row>
    <row r="57" spans="1:8" ht="39.65" customHeight="1" x14ac:dyDescent="0.25">
      <c r="A57" s="75" t="s">
        <v>53</v>
      </c>
      <c r="B57" s="482" t="s">
        <v>197</v>
      </c>
      <c r="C57" s="482"/>
      <c r="D57" s="482"/>
      <c r="E57" s="482" t="s">
        <v>197</v>
      </c>
      <c r="F57" s="482"/>
      <c r="G57" s="482"/>
      <c r="H57" s="68">
        <f t="shared" si="0"/>
        <v>0</v>
      </c>
    </row>
    <row r="58" spans="1:8" ht="39.65" customHeight="1" x14ac:dyDescent="0.25">
      <c r="A58" s="75" t="s">
        <v>109</v>
      </c>
      <c r="B58" s="482" t="s">
        <v>197</v>
      </c>
      <c r="C58" s="482"/>
      <c r="D58" s="482"/>
      <c r="E58" s="482" t="s">
        <v>197</v>
      </c>
      <c r="F58" s="482"/>
      <c r="G58" s="482"/>
      <c r="H58" s="68">
        <f t="shared" si="0"/>
        <v>0</v>
      </c>
    </row>
    <row r="59" spans="1:8" ht="39.65" customHeight="1" x14ac:dyDescent="0.25">
      <c r="A59" s="75" t="s">
        <v>110</v>
      </c>
      <c r="B59" s="482" t="s">
        <v>197</v>
      </c>
      <c r="C59" s="482"/>
      <c r="D59" s="482"/>
      <c r="E59" s="482" t="s">
        <v>197</v>
      </c>
      <c r="F59" s="482"/>
      <c r="G59" s="482"/>
      <c r="H59" s="68">
        <f t="shared" si="0"/>
        <v>0</v>
      </c>
    </row>
    <row r="60" spans="1:8" ht="39.65" customHeight="1" x14ac:dyDescent="0.25">
      <c r="A60" s="32" t="s">
        <v>111</v>
      </c>
      <c r="B60" s="482" t="s">
        <v>197</v>
      </c>
      <c r="C60" s="482"/>
      <c r="D60" s="482"/>
      <c r="E60" s="482" t="s">
        <v>197</v>
      </c>
      <c r="F60" s="482"/>
      <c r="G60" s="482"/>
      <c r="H60" s="68">
        <f t="shared" si="0"/>
        <v>0</v>
      </c>
    </row>
    <row r="61" spans="1:8" ht="39.65" customHeight="1" x14ac:dyDescent="0.25">
      <c r="A61" s="75" t="s">
        <v>112</v>
      </c>
      <c r="B61" s="482" t="s">
        <v>197</v>
      </c>
      <c r="C61" s="482"/>
      <c r="D61" s="482"/>
      <c r="E61" s="482" t="s">
        <v>197</v>
      </c>
      <c r="F61" s="482"/>
      <c r="G61" s="482"/>
      <c r="H61" s="68">
        <f t="shared" si="0"/>
        <v>0</v>
      </c>
    </row>
    <row r="62" spans="1:8" ht="39.65" customHeight="1" x14ac:dyDescent="0.25">
      <c r="A62" s="75" t="s">
        <v>512</v>
      </c>
      <c r="B62" s="482" t="s">
        <v>197</v>
      </c>
      <c r="C62" s="482"/>
      <c r="D62" s="482"/>
      <c r="E62" s="482" t="s">
        <v>197</v>
      </c>
      <c r="F62" s="482"/>
      <c r="G62" s="482"/>
      <c r="H62" s="68">
        <f t="shared" si="0"/>
        <v>0</v>
      </c>
    </row>
    <row r="63" spans="1:8" ht="39.65" customHeight="1" x14ac:dyDescent="0.25">
      <c r="A63" s="75" t="s">
        <v>113</v>
      </c>
      <c r="B63" s="482" t="s">
        <v>197</v>
      </c>
      <c r="C63" s="482"/>
      <c r="D63" s="482"/>
      <c r="E63" s="482" t="s">
        <v>197</v>
      </c>
      <c r="F63" s="482"/>
      <c r="G63" s="482"/>
      <c r="H63" s="68">
        <f t="shared" si="0"/>
        <v>0</v>
      </c>
    </row>
    <row r="64" spans="1:8" ht="39.65" customHeight="1" x14ac:dyDescent="0.25">
      <c r="A64" s="75" t="s">
        <v>513</v>
      </c>
      <c r="B64" s="482" t="s">
        <v>197</v>
      </c>
      <c r="C64" s="482"/>
      <c r="D64" s="482"/>
      <c r="E64" s="482" t="s">
        <v>197</v>
      </c>
      <c r="F64" s="482"/>
      <c r="G64" s="482"/>
      <c r="H64" s="68">
        <f t="shared" si="0"/>
        <v>0</v>
      </c>
    </row>
    <row r="65" spans="1:8" ht="39.65" customHeight="1" x14ac:dyDescent="0.25">
      <c r="A65" s="32" t="s">
        <v>242</v>
      </c>
      <c r="B65" s="482" t="s">
        <v>197</v>
      </c>
      <c r="C65" s="482"/>
      <c r="D65" s="482"/>
      <c r="E65" s="482" t="s">
        <v>197</v>
      </c>
      <c r="F65" s="482"/>
      <c r="G65" s="482"/>
      <c r="H65" s="68">
        <f t="shared" si="0"/>
        <v>0</v>
      </c>
    </row>
    <row r="66" spans="1:8" ht="25" x14ac:dyDescent="0.25">
      <c r="A66" s="32" t="s">
        <v>428</v>
      </c>
      <c r="B66" s="481">
        <v>0</v>
      </c>
      <c r="C66" s="481">
        <v>1</v>
      </c>
      <c r="D66" s="481">
        <v>0</v>
      </c>
      <c r="E66" s="481">
        <v>0</v>
      </c>
      <c r="F66" s="636">
        <v>1</v>
      </c>
      <c r="G66" s="481">
        <f>E66*F66</f>
        <v>0</v>
      </c>
      <c r="H66" s="68">
        <f t="shared" si="0"/>
        <v>0</v>
      </c>
    </row>
    <row r="67" spans="1:8" ht="26.4" customHeight="1" x14ac:dyDescent="0.25">
      <c r="A67" s="32" t="s">
        <v>444</v>
      </c>
      <c r="B67" s="482" t="s">
        <v>386</v>
      </c>
      <c r="C67" s="482"/>
      <c r="D67" s="482"/>
      <c r="E67" s="482" t="s">
        <v>386</v>
      </c>
      <c r="F67" s="482"/>
      <c r="G67" s="482"/>
      <c r="H67" s="68">
        <f t="shared" si="0"/>
        <v>0</v>
      </c>
    </row>
    <row r="68" spans="1:8" ht="26.4" customHeight="1" x14ac:dyDescent="0.25">
      <c r="A68" s="32" t="s">
        <v>114</v>
      </c>
      <c r="B68" s="482" t="s">
        <v>427</v>
      </c>
      <c r="C68" s="482"/>
      <c r="D68" s="482"/>
      <c r="E68" s="482" t="s">
        <v>427</v>
      </c>
      <c r="F68" s="482"/>
      <c r="G68" s="482"/>
      <c r="H68" s="68">
        <f t="shared" ref="H68:H108" si="9">G68-D68</f>
        <v>0</v>
      </c>
    </row>
    <row r="69" spans="1:8" ht="50" x14ac:dyDescent="0.25">
      <c r="A69" s="75" t="s">
        <v>354</v>
      </c>
      <c r="B69" s="481">
        <v>31.05</v>
      </c>
      <c r="C69" s="481">
        <v>1</v>
      </c>
      <c r="D69" s="481">
        <v>31.05</v>
      </c>
      <c r="E69" s="654">
        <f>ROUNDUP('Test Results'!Q7 * (0.05),0)</f>
        <v>28</v>
      </c>
      <c r="F69" s="636">
        <v>1</v>
      </c>
      <c r="G69" s="655">
        <f>E69*F69</f>
        <v>28</v>
      </c>
      <c r="H69" s="68">
        <f t="shared" si="9"/>
        <v>-3.0500000000000007</v>
      </c>
    </row>
    <row r="70" spans="1:8" ht="37.5" x14ac:dyDescent="0.25">
      <c r="A70" s="32" t="s">
        <v>251</v>
      </c>
      <c r="B70" s="481">
        <v>31.05</v>
      </c>
      <c r="C70" s="481">
        <v>1</v>
      </c>
      <c r="D70" s="481">
        <v>31.05</v>
      </c>
      <c r="E70" s="654">
        <f>ROUNDUP('Test Results'!Q7 * (0.05),0)</f>
        <v>28</v>
      </c>
      <c r="F70" s="636">
        <v>1</v>
      </c>
      <c r="G70" s="655">
        <f>E70*F70</f>
        <v>28</v>
      </c>
      <c r="H70" s="68">
        <f t="shared" si="9"/>
        <v>-3.0500000000000007</v>
      </c>
    </row>
    <row r="71" spans="1:8" ht="39.65" customHeight="1" x14ac:dyDescent="0.25">
      <c r="A71" s="32" t="s">
        <v>283</v>
      </c>
      <c r="B71" s="482" t="s">
        <v>359</v>
      </c>
      <c r="C71" s="482"/>
      <c r="D71" s="482"/>
      <c r="E71" s="482" t="s">
        <v>359</v>
      </c>
      <c r="F71" s="482"/>
      <c r="G71" s="482"/>
      <c r="H71" s="68">
        <f t="shared" si="9"/>
        <v>0</v>
      </c>
    </row>
    <row r="72" spans="1:8" ht="52.75" customHeight="1" x14ac:dyDescent="0.25">
      <c r="A72" s="32" t="s">
        <v>284</v>
      </c>
      <c r="B72" s="482" t="s">
        <v>360</v>
      </c>
      <c r="C72" s="482"/>
      <c r="D72" s="482"/>
      <c r="E72" s="482" t="s">
        <v>360</v>
      </c>
      <c r="F72" s="482"/>
      <c r="G72" s="482"/>
      <c r="H72" s="68">
        <f t="shared" si="9"/>
        <v>0</v>
      </c>
    </row>
    <row r="73" spans="1:8" ht="39.65" customHeight="1" x14ac:dyDescent="0.25">
      <c r="A73" s="32" t="s">
        <v>249</v>
      </c>
      <c r="B73" s="482" t="s">
        <v>197</v>
      </c>
      <c r="C73" s="482"/>
      <c r="D73" s="482"/>
      <c r="E73" s="482" t="s">
        <v>197</v>
      </c>
      <c r="F73" s="482"/>
      <c r="G73" s="482"/>
      <c r="H73" s="68">
        <f t="shared" si="9"/>
        <v>0</v>
      </c>
    </row>
    <row r="74" spans="1:8" ht="66" customHeight="1" x14ac:dyDescent="0.25">
      <c r="A74" s="32" t="s">
        <v>63</v>
      </c>
      <c r="B74" s="482" t="s">
        <v>197</v>
      </c>
      <c r="C74" s="482"/>
      <c r="D74" s="482"/>
      <c r="E74" s="482" t="s">
        <v>197</v>
      </c>
      <c r="F74" s="482"/>
      <c r="G74" s="482"/>
      <c r="H74" s="68">
        <f t="shared" si="9"/>
        <v>0</v>
      </c>
    </row>
    <row r="75" spans="1:8" ht="75" x14ac:dyDescent="0.25">
      <c r="A75" s="32" t="s">
        <v>245</v>
      </c>
      <c r="B75" s="481">
        <v>0</v>
      </c>
      <c r="C75" s="536">
        <v>8</v>
      </c>
      <c r="D75" s="481">
        <v>0</v>
      </c>
      <c r="E75" s="481">
        <v>0</v>
      </c>
      <c r="F75" s="536">
        <v>8</v>
      </c>
      <c r="G75" s="481">
        <f t="shared" ref="G75" si="10">F75*E75</f>
        <v>0</v>
      </c>
      <c r="H75" s="68">
        <f t="shared" si="9"/>
        <v>0</v>
      </c>
    </row>
    <row r="76" spans="1:8" ht="39.65" customHeight="1" x14ac:dyDescent="0.25">
      <c r="A76" s="75" t="s">
        <v>243</v>
      </c>
      <c r="B76" s="482" t="s">
        <v>197</v>
      </c>
      <c r="C76" s="482"/>
      <c r="D76" s="482"/>
      <c r="E76" s="482" t="s">
        <v>197</v>
      </c>
      <c r="F76" s="482"/>
      <c r="G76" s="482"/>
      <c r="H76" s="68">
        <f t="shared" si="9"/>
        <v>0</v>
      </c>
    </row>
    <row r="77" spans="1:8" ht="42.65" customHeight="1" x14ac:dyDescent="0.25">
      <c r="A77" s="32" t="s">
        <v>244</v>
      </c>
      <c r="B77" s="536">
        <v>2</v>
      </c>
      <c r="C77" s="536">
        <v>8</v>
      </c>
      <c r="D77" s="69">
        <v>16</v>
      </c>
      <c r="E77" s="536">
        <v>1</v>
      </c>
      <c r="F77" s="536">
        <v>8</v>
      </c>
      <c r="G77" s="69">
        <f t="shared" ref="G77:G78" si="11">F77*E77</f>
        <v>8</v>
      </c>
      <c r="H77" s="68">
        <f t="shared" si="9"/>
        <v>-8</v>
      </c>
    </row>
    <row r="78" spans="1:8" ht="39" customHeight="1" x14ac:dyDescent="0.25">
      <c r="A78" s="32" t="s">
        <v>246</v>
      </c>
      <c r="B78" s="536">
        <v>2</v>
      </c>
      <c r="C78" s="536">
        <v>8</v>
      </c>
      <c r="D78" s="69">
        <v>16</v>
      </c>
      <c r="E78" s="536">
        <v>1</v>
      </c>
      <c r="F78" s="536">
        <v>8</v>
      </c>
      <c r="G78" s="69">
        <f t="shared" si="11"/>
        <v>8</v>
      </c>
      <c r="H78" s="68">
        <f t="shared" si="9"/>
        <v>-8</v>
      </c>
    </row>
    <row r="79" spans="1:8" ht="32.4" customHeight="1" x14ac:dyDescent="0.25">
      <c r="A79" s="32" t="s">
        <v>259</v>
      </c>
      <c r="B79" s="482" t="s">
        <v>384</v>
      </c>
      <c r="C79" s="482"/>
      <c r="D79" s="482"/>
      <c r="E79" s="482" t="s">
        <v>384</v>
      </c>
      <c r="F79" s="482"/>
      <c r="G79" s="482"/>
      <c r="H79" s="68">
        <f t="shared" si="9"/>
        <v>0</v>
      </c>
    </row>
    <row r="80" spans="1:8" ht="25" x14ac:dyDescent="0.25">
      <c r="A80" s="32" t="s">
        <v>514</v>
      </c>
      <c r="B80" s="536">
        <v>621</v>
      </c>
      <c r="C80" s="641">
        <v>0.25</v>
      </c>
      <c r="D80" s="69">
        <v>155.25</v>
      </c>
      <c r="E80" s="536">
        <f>ROUNDUP('Test Results'!Q7,0)</f>
        <v>559</v>
      </c>
      <c r="F80" s="641">
        <v>0.25</v>
      </c>
      <c r="G80" s="69">
        <f t="shared" ref="G80" si="12">F80*E80</f>
        <v>139.75</v>
      </c>
      <c r="H80" s="68">
        <f t="shared" si="9"/>
        <v>-15.5</v>
      </c>
    </row>
    <row r="81" spans="1:8" ht="26.4" customHeight="1" x14ac:dyDescent="0.25">
      <c r="A81" s="32" t="s">
        <v>247</v>
      </c>
      <c r="B81" s="482" t="s">
        <v>384</v>
      </c>
      <c r="C81" s="482"/>
      <c r="D81" s="482"/>
      <c r="E81" s="482" t="s">
        <v>384</v>
      </c>
      <c r="F81" s="482"/>
      <c r="G81" s="482"/>
      <c r="H81" s="68">
        <f t="shared" si="9"/>
        <v>0</v>
      </c>
    </row>
    <row r="82" spans="1:8" ht="39.65" customHeight="1" x14ac:dyDescent="0.25">
      <c r="A82" s="684" t="s">
        <v>248</v>
      </c>
      <c r="B82" s="482" t="s">
        <v>384</v>
      </c>
      <c r="C82" s="482"/>
      <c r="D82" s="482"/>
      <c r="E82" s="482" t="s">
        <v>384</v>
      </c>
      <c r="F82" s="482"/>
      <c r="G82" s="482"/>
      <c r="H82" s="68">
        <f t="shared" si="9"/>
        <v>0</v>
      </c>
    </row>
    <row r="83" spans="1:8" ht="37.5" x14ac:dyDescent="0.25">
      <c r="A83" s="32" t="s">
        <v>410</v>
      </c>
      <c r="B83" s="69">
        <v>10</v>
      </c>
      <c r="C83" s="69">
        <v>0.5</v>
      </c>
      <c r="D83" s="69">
        <v>5</v>
      </c>
      <c r="E83" s="69">
        <v>10</v>
      </c>
      <c r="F83" s="69">
        <v>0.5</v>
      </c>
      <c r="G83" s="69">
        <f t="shared" ref="G83" si="13">E83*F83</f>
        <v>5</v>
      </c>
      <c r="H83" s="68">
        <f t="shared" si="9"/>
        <v>0</v>
      </c>
    </row>
    <row r="84" spans="1:8" ht="26.4" customHeight="1" x14ac:dyDescent="0.25">
      <c r="A84" s="32" t="s">
        <v>409</v>
      </c>
      <c r="B84" s="482" t="s">
        <v>451</v>
      </c>
      <c r="C84" s="482"/>
      <c r="D84" s="482"/>
      <c r="E84" s="482" t="s">
        <v>451</v>
      </c>
      <c r="F84" s="482"/>
      <c r="G84" s="482"/>
      <c r="H84" s="68">
        <f t="shared" si="9"/>
        <v>0</v>
      </c>
    </row>
    <row r="85" spans="1:8" ht="52.75" customHeight="1" x14ac:dyDescent="0.25">
      <c r="A85" s="32" t="s">
        <v>429</v>
      </c>
      <c r="B85" s="482" t="s">
        <v>384</v>
      </c>
      <c r="C85" s="482"/>
      <c r="D85" s="482"/>
      <c r="E85" s="482" t="s">
        <v>384</v>
      </c>
      <c r="F85" s="482"/>
      <c r="G85" s="482"/>
      <c r="H85" s="68">
        <f t="shared" si="9"/>
        <v>0</v>
      </c>
    </row>
    <row r="86" spans="1:8" ht="35.4" customHeight="1" x14ac:dyDescent="0.25">
      <c r="A86" s="32" t="s">
        <v>54</v>
      </c>
      <c r="B86" s="536">
        <v>67</v>
      </c>
      <c r="C86" s="536">
        <v>2</v>
      </c>
      <c r="D86" s="69">
        <v>134</v>
      </c>
      <c r="E86" s="536">
        <f>((Num_Sites_Reactors_Operating)+(Num_Sites_Reactors_Operating-3)*2)/3 + SUM('Data '!$C$12,'Data '!$C$13,'Data '!$C$14)</f>
        <v>60</v>
      </c>
      <c r="F86" s="536">
        <v>2</v>
      </c>
      <c r="G86" s="69">
        <f t="shared" ref="G86" si="14">F86*E86</f>
        <v>120</v>
      </c>
      <c r="H86" s="68">
        <f t="shared" si="9"/>
        <v>-14</v>
      </c>
    </row>
    <row r="87" spans="1:8" ht="25" x14ac:dyDescent="0.25">
      <c r="A87" s="75" t="s">
        <v>355</v>
      </c>
      <c r="B87" s="656">
        <v>621</v>
      </c>
      <c r="C87" s="536">
        <v>0.5</v>
      </c>
      <c r="D87" s="69">
        <v>310.5</v>
      </c>
      <c r="E87" s="656">
        <f>ROUNDUP('Test Results'!Q7,0)</f>
        <v>559</v>
      </c>
      <c r="F87" s="536">
        <v>0.5</v>
      </c>
      <c r="G87" s="69">
        <f>E87*F87</f>
        <v>279.5</v>
      </c>
      <c r="H87" s="68">
        <f t="shared" si="9"/>
        <v>-31</v>
      </c>
    </row>
    <row r="88" spans="1:8" ht="37.5" x14ac:dyDescent="0.25">
      <c r="A88" s="75" t="s">
        <v>203</v>
      </c>
      <c r="B88" s="69">
        <v>8</v>
      </c>
      <c r="C88" s="69">
        <v>1</v>
      </c>
      <c r="D88" s="69">
        <v>8</v>
      </c>
      <c r="E88" s="69">
        <v>8</v>
      </c>
      <c r="F88" s="69">
        <v>1</v>
      </c>
      <c r="G88" s="69">
        <f t="shared" ref="G88:G89" si="15">E88*F88</f>
        <v>8</v>
      </c>
      <c r="H88" s="68">
        <f t="shared" si="9"/>
        <v>0</v>
      </c>
    </row>
    <row r="89" spans="1:8" ht="37.5" x14ac:dyDescent="0.25">
      <c r="A89" s="32" t="s">
        <v>255</v>
      </c>
      <c r="B89" s="69">
        <v>26</v>
      </c>
      <c r="C89" s="657">
        <v>0.5</v>
      </c>
      <c r="D89" s="69">
        <v>13</v>
      </c>
      <c r="E89" s="69">
        <f>Num_FFD_Prgms_Full</f>
        <v>24</v>
      </c>
      <c r="F89" s="657">
        <v>0.5</v>
      </c>
      <c r="G89" s="69">
        <f t="shared" si="15"/>
        <v>12</v>
      </c>
      <c r="H89" s="68">
        <f t="shared" si="9"/>
        <v>-1</v>
      </c>
    </row>
    <row r="90" spans="1:8" ht="26.4" customHeight="1" x14ac:dyDescent="0.25">
      <c r="A90" s="32" t="s">
        <v>252</v>
      </c>
      <c r="B90" s="482" t="s">
        <v>388</v>
      </c>
      <c r="C90" s="482"/>
      <c r="D90" s="482"/>
      <c r="E90" s="482" t="s">
        <v>388</v>
      </c>
      <c r="F90" s="482"/>
      <c r="G90" s="482"/>
      <c r="H90" s="68">
        <f t="shared" si="9"/>
        <v>0</v>
      </c>
    </row>
    <row r="91" spans="1:8" ht="26.4" customHeight="1" x14ac:dyDescent="0.25">
      <c r="A91" s="32" t="s">
        <v>253</v>
      </c>
      <c r="B91" s="482" t="s">
        <v>388</v>
      </c>
      <c r="C91" s="482"/>
      <c r="D91" s="482"/>
      <c r="E91" s="482" t="s">
        <v>388</v>
      </c>
      <c r="F91" s="482"/>
      <c r="G91" s="482"/>
      <c r="H91" s="68">
        <f t="shared" si="9"/>
        <v>0</v>
      </c>
    </row>
    <row r="92" spans="1:8" ht="26.4" customHeight="1" x14ac:dyDescent="0.25">
      <c r="A92" s="32" t="s">
        <v>254</v>
      </c>
      <c r="B92" s="482" t="s">
        <v>388</v>
      </c>
      <c r="C92" s="482"/>
      <c r="D92" s="482"/>
      <c r="E92" s="482" t="s">
        <v>388</v>
      </c>
      <c r="F92" s="482"/>
      <c r="G92" s="482"/>
      <c r="H92" s="68">
        <f t="shared" si="9"/>
        <v>0</v>
      </c>
    </row>
    <row r="93" spans="1:8" ht="62.5" x14ac:dyDescent="0.25">
      <c r="A93" s="32" t="s">
        <v>400</v>
      </c>
      <c r="B93" s="536">
        <v>60</v>
      </c>
      <c r="C93" s="536">
        <v>1</v>
      </c>
      <c r="D93" s="69">
        <v>60</v>
      </c>
      <c r="E93" s="481">
        <v>60</v>
      </c>
      <c r="F93" s="536">
        <v>1</v>
      </c>
      <c r="G93" s="481">
        <f t="shared" ref="G93" si="16">F93*E93</f>
        <v>60</v>
      </c>
      <c r="H93" s="68">
        <f t="shared" si="9"/>
        <v>0</v>
      </c>
    </row>
    <row r="94" spans="1:8" ht="43.25" customHeight="1" x14ac:dyDescent="0.25">
      <c r="A94" s="32" t="s">
        <v>257</v>
      </c>
      <c r="B94" s="536">
        <v>31.05</v>
      </c>
      <c r="C94" s="641">
        <v>0.25</v>
      </c>
      <c r="D94" s="69">
        <v>7.7625000000000002</v>
      </c>
      <c r="E94" s="536">
        <f>ROUNDUP('Test Results'!Q7* (0.05),0)</f>
        <v>28</v>
      </c>
      <c r="F94" s="641">
        <v>0.25</v>
      </c>
      <c r="G94" s="69">
        <f>F94*E94</f>
        <v>7</v>
      </c>
      <c r="H94" s="68">
        <f t="shared" si="9"/>
        <v>-0.76250000000000018</v>
      </c>
    </row>
    <row r="95" spans="1:8" ht="52.75" customHeight="1" x14ac:dyDescent="0.25">
      <c r="A95" s="32" t="s">
        <v>250</v>
      </c>
      <c r="B95" s="482" t="s">
        <v>384</v>
      </c>
      <c r="C95" s="482"/>
      <c r="D95" s="482"/>
      <c r="E95" s="482" t="s">
        <v>384</v>
      </c>
      <c r="F95" s="482"/>
      <c r="G95" s="482"/>
      <c r="H95" s="68">
        <f t="shared" si="9"/>
        <v>0</v>
      </c>
    </row>
    <row r="96" spans="1:8" ht="53.4" customHeight="1" x14ac:dyDescent="0.25">
      <c r="A96" s="32" t="s">
        <v>307</v>
      </c>
      <c r="B96" s="536">
        <v>26</v>
      </c>
      <c r="C96" s="536">
        <v>1</v>
      </c>
      <c r="D96" s="69">
        <v>26</v>
      </c>
      <c r="E96" s="658">
        <f>Num_FFD_Prgms_Full</f>
        <v>24</v>
      </c>
      <c r="F96" s="536">
        <f>C96</f>
        <v>1</v>
      </c>
      <c r="G96" s="69">
        <f t="shared" ref="G96:G98" si="17">F96*E96</f>
        <v>24</v>
      </c>
      <c r="H96" s="68">
        <f t="shared" si="9"/>
        <v>-2</v>
      </c>
    </row>
    <row r="97" spans="1:8" ht="25" x14ac:dyDescent="0.25">
      <c r="A97" s="80" t="s">
        <v>256</v>
      </c>
      <c r="B97" s="536">
        <v>21</v>
      </c>
      <c r="C97" s="536">
        <v>0.3</v>
      </c>
      <c r="D97" s="69">
        <v>6.3</v>
      </c>
      <c r="E97" s="536">
        <v>10</v>
      </c>
      <c r="F97" s="641">
        <v>0.5</v>
      </c>
      <c r="G97" s="69">
        <f t="shared" si="17"/>
        <v>5</v>
      </c>
      <c r="H97" s="68">
        <f t="shared" si="9"/>
        <v>-1.2999999999999998</v>
      </c>
    </row>
    <row r="98" spans="1:8" ht="28.25" customHeight="1" x14ac:dyDescent="0.25">
      <c r="A98" s="32" t="s">
        <v>308</v>
      </c>
      <c r="B98" s="536">
        <v>6898</v>
      </c>
      <c r="C98" s="641">
        <v>0.25</v>
      </c>
      <c r="D98" s="69">
        <v>1724.5</v>
      </c>
      <c r="E98" s="536">
        <f>ROUND('Data '!D24/3,0)</f>
        <v>2171</v>
      </c>
      <c r="F98" s="641">
        <f>15/60</f>
        <v>0.25</v>
      </c>
      <c r="G98" s="69">
        <f t="shared" si="17"/>
        <v>542.75</v>
      </c>
      <c r="H98" s="68">
        <f t="shared" si="9"/>
        <v>-1181.75</v>
      </c>
    </row>
    <row r="99" spans="1:8" ht="39.65" customHeight="1" x14ac:dyDescent="0.25">
      <c r="A99" s="32" t="s">
        <v>313</v>
      </c>
      <c r="B99" s="482" t="s">
        <v>197</v>
      </c>
      <c r="C99" s="482"/>
      <c r="D99" s="482"/>
      <c r="E99" s="482" t="s">
        <v>197</v>
      </c>
      <c r="F99" s="482"/>
      <c r="G99" s="482"/>
      <c r="H99" s="68">
        <f t="shared" si="9"/>
        <v>0</v>
      </c>
    </row>
    <row r="100" spans="1:8" ht="39.65" customHeight="1" x14ac:dyDescent="0.25">
      <c r="A100" s="32" t="s">
        <v>314</v>
      </c>
      <c r="B100" s="482" t="s">
        <v>197</v>
      </c>
      <c r="C100" s="482"/>
      <c r="D100" s="482"/>
      <c r="E100" s="482" t="s">
        <v>197</v>
      </c>
      <c r="F100" s="482"/>
      <c r="G100" s="482"/>
      <c r="H100" s="68">
        <f t="shared" si="9"/>
        <v>0</v>
      </c>
    </row>
    <row r="101" spans="1:8" x14ac:dyDescent="0.25">
      <c r="A101" s="32" t="s">
        <v>315</v>
      </c>
      <c r="B101" s="536">
        <v>9</v>
      </c>
      <c r="C101" s="536">
        <v>240</v>
      </c>
      <c r="D101" s="69">
        <v>2160</v>
      </c>
      <c r="E101" s="536">
        <f>Num_HHS_Labs</f>
        <v>9</v>
      </c>
      <c r="F101" s="536">
        <v>240</v>
      </c>
      <c r="G101" s="69">
        <f t="shared" ref="G101" si="18">F101*E101</f>
        <v>2160</v>
      </c>
      <c r="H101" s="68">
        <f t="shared" si="9"/>
        <v>0</v>
      </c>
    </row>
    <row r="102" spans="1:8" ht="39.65" customHeight="1" x14ac:dyDescent="0.25">
      <c r="A102" s="32" t="s">
        <v>316</v>
      </c>
      <c r="B102" s="482" t="s">
        <v>197</v>
      </c>
      <c r="C102" s="482"/>
      <c r="D102" s="482"/>
      <c r="E102" s="482" t="s">
        <v>197</v>
      </c>
      <c r="F102" s="482"/>
      <c r="G102" s="482"/>
      <c r="H102" s="68">
        <f t="shared" si="9"/>
        <v>0</v>
      </c>
    </row>
    <row r="103" spans="1:8" x14ac:dyDescent="0.25">
      <c r="A103" s="32" t="s">
        <v>317</v>
      </c>
      <c r="B103" s="536">
        <v>9</v>
      </c>
      <c r="C103" s="536">
        <v>40</v>
      </c>
      <c r="D103" s="69">
        <v>360</v>
      </c>
      <c r="E103" s="536">
        <f>Num_HHS_Labs</f>
        <v>9</v>
      </c>
      <c r="F103" s="536">
        <v>40</v>
      </c>
      <c r="G103" s="69">
        <f t="shared" ref="G103" si="19">F103*E103</f>
        <v>360</v>
      </c>
      <c r="H103" s="68">
        <f t="shared" si="9"/>
        <v>0</v>
      </c>
    </row>
    <row r="104" spans="1:8" ht="39.65" customHeight="1" x14ac:dyDescent="0.25">
      <c r="A104" s="32" t="s">
        <v>318</v>
      </c>
      <c r="B104" s="482" t="s">
        <v>197</v>
      </c>
      <c r="C104" s="482"/>
      <c r="D104" s="482"/>
      <c r="E104" s="482" t="s">
        <v>197</v>
      </c>
      <c r="F104" s="482"/>
      <c r="G104" s="482"/>
      <c r="H104" s="68">
        <f t="shared" si="9"/>
        <v>0</v>
      </c>
    </row>
    <row r="105" spans="1:8" x14ac:dyDescent="0.25">
      <c r="A105" s="32" t="s">
        <v>320</v>
      </c>
      <c r="B105" s="536">
        <v>9</v>
      </c>
      <c r="C105" s="641">
        <v>240</v>
      </c>
      <c r="D105" s="69">
        <v>2160</v>
      </c>
      <c r="E105" s="536">
        <f>Num_HHS_Labs</f>
        <v>9</v>
      </c>
      <c r="F105" s="641">
        <v>240</v>
      </c>
      <c r="G105" s="69">
        <f t="shared" ref="G105" si="20">F105*E105</f>
        <v>2160</v>
      </c>
      <c r="H105" s="68">
        <f t="shared" si="9"/>
        <v>0</v>
      </c>
    </row>
    <row r="106" spans="1:8" ht="39.65" customHeight="1" x14ac:dyDescent="0.25">
      <c r="A106" s="32" t="s">
        <v>319</v>
      </c>
      <c r="B106" s="482" t="s">
        <v>197</v>
      </c>
      <c r="C106" s="482"/>
      <c r="D106" s="482"/>
      <c r="E106" s="482" t="s">
        <v>197</v>
      </c>
      <c r="F106" s="482"/>
      <c r="G106" s="482"/>
      <c r="H106" s="68">
        <f t="shared" si="9"/>
        <v>0</v>
      </c>
    </row>
    <row r="107" spans="1:8" ht="40.25" customHeight="1" x14ac:dyDescent="0.25">
      <c r="A107" s="80" t="s">
        <v>258</v>
      </c>
      <c r="B107" s="536">
        <v>8</v>
      </c>
      <c r="C107" s="536">
        <v>8</v>
      </c>
      <c r="D107" s="69">
        <v>64</v>
      </c>
      <c r="E107" s="536">
        <f>Num_30dayRpts</f>
        <v>6</v>
      </c>
      <c r="F107" s="536">
        <v>8</v>
      </c>
      <c r="G107" s="69">
        <f t="shared" ref="G107:G108" si="21">F107*E107</f>
        <v>48</v>
      </c>
      <c r="H107" s="68">
        <f t="shared" si="9"/>
        <v>-16</v>
      </c>
    </row>
    <row r="108" spans="1:8" ht="38" thickBot="1" x14ac:dyDescent="0.3">
      <c r="A108" s="81" t="s">
        <v>55</v>
      </c>
      <c r="B108" s="637">
        <v>5</v>
      </c>
      <c r="C108" s="637">
        <v>4</v>
      </c>
      <c r="D108" s="71">
        <v>20</v>
      </c>
      <c r="E108" s="637">
        <f>Num_Sites_CVs</f>
        <v>1</v>
      </c>
      <c r="F108" s="637">
        <v>4</v>
      </c>
      <c r="G108" s="71">
        <f t="shared" si="21"/>
        <v>4</v>
      </c>
      <c r="H108" s="71">
        <f t="shared" si="9"/>
        <v>-16</v>
      </c>
    </row>
    <row r="109" spans="1:8" ht="13.5" thickTop="1" x14ac:dyDescent="0.25">
      <c r="A109" s="680" t="s">
        <v>422</v>
      </c>
      <c r="B109" s="45">
        <f>SUM(B3:B108)</f>
        <v>441569.13283333328</v>
      </c>
      <c r="C109" s="45"/>
      <c r="D109" s="45">
        <f>SUM(D3:D108)</f>
        <v>492029.37841666659</v>
      </c>
      <c r="E109" s="45">
        <f>SUM(E3:E108)</f>
        <v>366312.27750000008</v>
      </c>
      <c r="F109" s="45"/>
      <c r="G109" s="45">
        <f>SUM(G3:G108)</f>
        <v>411471.08291666675</v>
      </c>
      <c r="H109" s="45">
        <f>SUM(H1:H108)</f>
        <v>-80558.295500000007</v>
      </c>
    </row>
    <row r="110" spans="1:8" ht="14" x14ac:dyDescent="0.3">
      <c r="A110" s="31"/>
      <c r="B110" s="31"/>
      <c r="C110" s="659"/>
      <c r="D110" s="202"/>
      <c r="E110" s="18"/>
      <c r="F110" s="18"/>
      <c r="G110" s="18"/>
      <c r="H110" s="25"/>
    </row>
    <row r="116" ht="70.75" customHeight="1" x14ac:dyDescent="0.25"/>
  </sheetData>
  <autoFilter ref="A2:H110" xr:uid="{00000000-0009-0000-0000-000005000000}"/>
  <mergeCells count="3">
    <mergeCell ref="E1:G1"/>
    <mergeCell ref="H1:H2"/>
    <mergeCell ref="B1:D1"/>
  </mergeCells>
  <pageMargins left="0.7" right="0.7" top="0.75" bottom="0.75" header="0.3" footer="0.3"/>
  <pageSetup scale="83" fitToHeight="0" orientation="landscape" r:id="rId1"/>
  <headerFooter>
    <oddHeader>&amp;C&amp;"Arial,Bold"&amp;16FINAL Supporting Statement, 10 CFR Part 26</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H20"/>
  <sheetViews>
    <sheetView view="pageBreakPreview" zoomScale="85" zoomScaleNormal="80" zoomScaleSheetLayoutView="85" workbookViewId="0">
      <pane xSplit="1" ySplit="2" topLeftCell="B9" activePane="bottomRight" state="frozen"/>
      <selection activeCell="A48" sqref="A48"/>
      <selection pane="topRight" activeCell="A48" sqref="A48"/>
      <selection pane="bottomLeft" activeCell="A48" sqref="A48"/>
      <selection pane="bottomRight" activeCell="A18" sqref="A18"/>
    </sheetView>
  </sheetViews>
  <sheetFormatPr defaultRowHeight="14" x14ac:dyDescent="0.3"/>
  <cols>
    <col min="1" max="1" width="46.4140625" customWidth="1"/>
    <col min="2" max="2" width="12.9140625" customWidth="1"/>
    <col min="3" max="3" width="13.5" customWidth="1"/>
    <col min="4" max="4" width="12.9140625" customWidth="1"/>
    <col min="5" max="5" width="11.1640625" customWidth="1"/>
    <col min="6" max="6" width="9.08203125" customWidth="1"/>
    <col min="7" max="7" width="8.6640625" customWidth="1"/>
    <col min="8" max="8" width="9.08203125" customWidth="1"/>
  </cols>
  <sheetData>
    <row r="1" spans="1:8" ht="39.65" customHeight="1" x14ac:dyDescent="0.3">
      <c r="A1" s="661" t="s">
        <v>462</v>
      </c>
      <c r="B1" s="793" t="s">
        <v>871</v>
      </c>
      <c r="C1" s="796"/>
      <c r="D1" s="796"/>
      <c r="E1" s="791" t="s">
        <v>549</v>
      </c>
      <c r="F1" s="799"/>
      <c r="G1" s="799"/>
      <c r="H1" s="110" t="s">
        <v>405</v>
      </c>
    </row>
    <row r="2" spans="1:8" ht="39.5" thickBot="1" x14ac:dyDescent="0.35">
      <c r="A2" s="83" t="s">
        <v>461</v>
      </c>
      <c r="B2" s="84" t="s">
        <v>119</v>
      </c>
      <c r="C2" s="84" t="s">
        <v>543</v>
      </c>
      <c r="D2" s="84" t="s">
        <v>118</v>
      </c>
      <c r="E2" s="105" t="s">
        <v>119</v>
      </c>
      <c r="F2" s="105" t="s">
        <v>212</v>
      </c>
      <c r="G2" s="105" t="s">
        <v>118</v>
      </c>
      <c r="H2" s="111"/>
    </row>
    <row r="3" spans="1:8" ht="25.5" thickTop="1" x14ac:dyDescent="0.3">
      <c r="A3" s="667" t="s">
        <v>934</v>
      </c>
      <c r="B3" s="481">
        <v>0</v>
      </c>
      <c r="C3" s="481">
        <v>16</v>
      </c>
      <c r="D3" s="481">
        <f>C3*B3</f>
        <v>0</v>
      </c>
      <c r="E3" s="662">
        <v>0</v>
      </c>
      <c r="F3" s="639">
        <v>40</v>
      </c>
      <c r="G3" s="662">
        <f>F3*E3</f>
        <v>0</v>
      </c>
      <c r="H3" s="68">
        <f t="shared" ref="H3:H14" si="0">G3-D3</f>
        <v>0</v>
      </c>
    </row>
    <row r="4" spans="1:8" ht="25" x14ac:dyDescent="0.3">
      <c r="A4" s="643" t="s">
        <v>894</v>
      </c>
      <c r="B4" s="663" t="s">
        <v>888</v>
      </c>
      <c r="C4" s="663"/>
      <c r="D4" s="663"/>
      <c r="E4" s="664">
        <f>T3_AnnRpting!G4</f>
        <v>40</v>
      </c>
      <c r="F4" s="639">
        <v>12</v>
      </c>
      <c r="G4" s="662">
        <f>F4*E4</f>
        <v>480</v>
      </c>
      <c r="H4" s="68">
        <f t="shared" ref="H4" si="1">G4-D4</f>
        <v>480</v>
      </c>
    </row>
    <row r="5" spans="1:8" ht="25" x14ac:dyDescent="0.3">
      <c r="A5" s="667" t="s">
        <v>122</v>
      </c>
      <c r="B5" s="481">
        <v>12</v>
      </c>
      <c r="C5" s="481">
        <v>8</v>
      </c>
      <c r="D5" s="481">
        <f t="shared" ref="D5" si="2">C5*B5</f>
        <v>96</v>
      </c>
      <c r="E5" s="639">
        <f>ROUND((Num_Sites_Reactors_Operating + Num_Sites_Reactors_Construction + Num_Sites_FuelCycle)/3,0)</f>
        <v>19</v>
      </c>
      <c r="F5" s="639">
        <v>8</v>
      </c>
      <c r="G5" s="639">
        <f t="shared" ref="G5:G14" si="3">F5*E5</f>
        <v>152</v>
      </c>
      <c r="H5" s="68">
        <f t="shared" si="0"/>
        <v>56</v>
      </c>
    </row>
    <row r="6" spans="1:8" ht="62.5" x14ac:dyDescent="0.3">
      <c r="A6" s="79" t="s">
        <v>133</v>
      </c>
      <c r="B6" s="481">
        <v>0</v>
      </c>
      <c r="C6" s="481">
        <v>4</v>
      </c>
      <c r="D6" s="481">
        <f t="shared" ref="D6:D14" si="4">C6*B6</f>
        <v>0</v>
      </c>
      <c r="E6" s="662">
        <v>0</v>
      </c>
      <c r="F6" s="639">
        <v>4</v>
      </c>
      <c r="G6" s="662">
        <f t="shared" si="3"/>
        <v>0</v>
      </c>
      <c r="H6" s="68">
        <f t="shared" si="0"/>
        <v>0</v>
      </c>
    </row>
    <row r="7" spans="1:8" ht="25" x14ac:dyDescent="0.3">
      <c r="A7" s="79" t="s">
        <v>120</v>
      </c>
      <c r="B7" s="481">
        <v>0</v>
      </c>
      <c r="C7" s="481">
        <v>4</v>
      </c>
      <c r="D7" s="481">
        <f t="shared" si="4"/>
        <v>0</v>
      </c>
      <c r="E7" s="662">
        <v>0</v>
      </c>
      <c r="F7" s="639">
        <v>4</v>
      </c>
      <c r="G7" s="662">
        <f t="shared" si="3"/>
        <v>0</v>
      </c>
      <c r="H7" s="68">
        <f t="shared" si="0"/>
        <v>0</v>
      </c>
    </row>
    <row r="8" spans="1:8" ht="25" x14ac:dyDescent="0.3">
      <c r="A8" s="79" t="s">
        <v>121</v>
      </c>
      <c r="B8" s="481">
        <v>1</v>
      </c>
      <c r="C8" s="481">
        <v>4</v>
      </c>
      <c r="D8" s="481">
        <f t="shared" si="4"/>
        <v>4</v>
      </c>
      <c r="E8" s="639">
        <v>1</v>
      </c>
      <c r="F8" s="639">
        <v>4</v>
      </c>
      <c r="G8" s="665">
        <f t="shared" si="3"/>
        <v>4</v>
      </c>
      <c r="H8" s="68">
        <f t="shared" si="0"/>
        <v>0</v>
      </c>
    </row>
    <row r="9" spans="1:8" ht="37.5" x14ac:dyDescent="0.3">
      <c r="A9" s="79" t="s">
        <v>123</v>
      </c>
      <c r="B9" s="663" t="s">
        <v>383</v>
      </c>
      <c r="C9" s="663"/>
      <c r="D9" s="663"/>
      <c r="E9" s="663" t="s">
        <v>383</v>
      </c>
      <c r="F9" s="663"/>
      <c r="G9" s="663"/>
      <c r="H9" s="68">
        <f t="shared" si="0"/>
        <v>0</v>
      </c>
    </row>
    <row r="10" spans="1:8" ht="50" x14ac:dyDescent="0.3">
      <c r="A10" s="79" t="s">
        <v>136</v>
      </c>
      <c r="B10" s="481">
        <v>2</v>
      </c>
      <c r="C10" s="481">
        <v>25</v>
      </c>
      <c r="D10" s="481">
        <f t="shared" si="4"/>
        <v>50</v>
      </c>
      <c r="E10" s="639">
        <f>Num_FFD_Prgms_SubK/3</f>
        <v>0.33333333333333331</v>
      </c>
      <c r="F10" s="639">
        <v>25</v>
      </c>
      <c r="G10" s="639">
        <f t="shared" si="3"/>
        <v>8.3333333333333321</v>
      </c>
      <c r="H10" s="68">
        <f t="shared" si="0"/>
        <v>-41.666666666666671</v>
      </c>
    </row>
    <row r="11" spans="1:8" ht="50" x14ac:dyDescent="0.3">
      <c r="A11" s="85" t="s">
        <v>566</v>
      </c>
      <c r="B11" s="481">
        <v>59</v>
      </c>
      <c r="C11" s="481">
        <v>10</v>
      </c>
      <c r="D11" s="481">
        <f t="shared" si="4"/>
        <v>590</v>
      </c>
      <c r="E11" s="639">
        <f>((Num_Sites_Reactors_Operating)+(Num_Sites_Reactors_Operating-3)*2)/3</f>
        <v>52</v>
      </c>
      <c r="F11" s="666">
        <v>0.75</v>
      </c>
      <c r="G11" s="639">
        <f t="shared" si="3"/>
        <v>39</v>
      </c>
      <c r="H11" s="68">
        <f t="shared" si="0"/>
        <v>-551</v>
      </c>
    </row>
    <row r="12" spans="1:8" ht="37.5" x14ac:dyDescent="0.3">
      <c r="A12" s="79" t="s">
        <v>363</v>
      </c>
      <c r="B12" s="481">
        <v>67</v>
      </c>
      <c r="C12" s="481">
        <v>12</v>
      </c>
      <c r="D12" s="481">
        <f t="shared" si="4"/>
        <v>804</v>
      </c>
      <c r="E12" s="639">
        <f>((Num_Sites_Reactors_Operating)+(Num_Sites_Reactors_Operating-3)*2)/3 + SUM('Data '!$C$12,'Data '!$C$13,'Data '!$C$14)</f>
        <v>60</v>
      </c>
      <c r="F12" s="639">
        <v>12</v>
      </c>
      <c r="G12" s="639">
        <f t="shared" si="3"/>
        <v>720</v>
      </c>
      <c r="H12" s="68">
        <f t="shared" si="0"/>
        <v>-84</v>
      </c>
    </row>
    <row r="13" spans="1:8" ht="50" x14ac:dyDescent="0.3">
      <c r="A13" s="79" t="s">
        <v>134</v>
      </c>
      <c r="B13" s="481">
        <v>37</v>
      </c>
      <c r="C13" s="481">
        <v>8</v>
      </c>
      <c r="D13" s="481">
        <f t="shared" si="4"/>
        <v>296</v>
      </c>
      <c r="E13" s="639">
        <f>Num_24hrRpts</f>
        <v>36</v>
      </c>
      <c r="F13" s="639">
        <v>8</v>
      </c>
      <c r="G13" s="639">
        <f t="shared" si="3"/>
        <v>288</v>
      </c>
      <c r="H13" s="68">
        <f t="shared" si="0"/>
        <v>-8</v>
      </c>
    </row>
    <row r="14" spans="1:8" ht="50.5" thickBot="1" x14ac:dyDescent="0.35">
      <c r="A14" s="82" t="s">
        <v>135</v>
      </c>
      <c r="B14" s="502">
        <v>8</v>
      </c>
      <c r="C14" s="502">
        <v>4</v>
      </c>
      <c r="D14" s="502">
        <f t="shared" si="4"/>
        <v>32</v>
      </c>
      <c r="E14" s="71">
        <f>Num_30dayRpts</f>
        <v>6</v>
      </c>
      <c r="F14" s="71">
        <v>4</v>
      </c>
      <c r="G14" s="71">
        <f t="shared" si="3"/>
        <v>24</v>
      </c>
      <c r="H14" s="73">
        <f t="shared" si="0"/>
        <v>-8</v>
      </c>
    </row>
    <row r="15" spans="1:8" ht="14.5" thickTop="1" x14ac:dyDescent="0.3">
      <c r="A15" s="680" t="s">
        <v>882</v>
      </c>
      <c r="B15" s="45">
        <f>SUM(B2:B14)</f>
        <v>186</v>
      </c>
      <c r="C15" s="45"/>
      <c r="D15" s="45">
        <f>SUM(D3:D14)</f>
        <v>1872</v>
      </c>
      <c r="E15" s="45">
        <f>SUM(E2:E14)</f>
        <v>214.33333333333334</v>
      </c>
      <c r="F15" s="45"/>
      <c r="G15" s="45">
        <f>SUM(G3:G14)</f>
        <v>1715.3333333333335</v>
      </c>
      <c r="H15" s="45">
        <f>SUM(H3:H14)</f>
        <v>-156.66666666666669</v>
      </c>
    </row>
    <row r="16" spans="1:8" x14ac:dyDescent="0.3">
      <c r="A16" s="29"/>
      <c r="B16" s="202"/>
      <c r="C16" s="170"/>
      <c r="D16" s="29"/>
      <c r="E16" s="29"/>
      <c r="F16" s="29"/>
      <c r="G16" s="29"/>
      <c r="H16" s="28"/>
    </row>
    <row r="20" spans="1:1" x14ac:dyDescent="0.3">
      <c r="A20" s="679"/>
    </row>
  </sheetData>
  <autoFilter ref="A2:H16" xr:uid="{B6E79F56-E44D-4890-B2E8-07FA9FAD3191}"/>
  <mergeCells count="2">
    <mergeCell ref="B1:D1"/>
    <mergeCell ref="E1:G1"/>
  </mergeCells>
  <pageMargins left="0.5" right="0.5" top="0.65" bottom="0.5" header="0.3" footer="0.3"/>
  <pageSetup scale="95" fitToHeight="0" orientation="landscape" r:id="rId1"/>
  <headerFooter>
    <oddHeader>&amp;C&amp;"Arial,Bold"&amp;16FINAL Supporting Statement, 10 CFR Part 26</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5E4182BF399C4D82AC0CDCD5D75027" ma:contentTypeVersion="13" ma:contentTypeDescription="Create a new document." ma:contentTypeScope="" ma:versionID="fb1b7cfd1357ca6b85a96af2b7dd93a2">
  <xsd:schema xmlns:xsd="http://www.w3.org/2001/XMLSchema" xmlns:xs="http://www.w3.org/2001/XMLSchema" xmlns:p="http://schemas.microsoft.com/office/2006/metadata/properties" xmlns:ns1="http://schemas.microsoft.com/sharepoint/v3" xmlns:ns3="6c4596b4-deaa-4e42-9398-8b9d3202fd30" xmlns:ns4="e5e4a380-6b1d-49f3-b23f-4727291aff80" targetNamespace="http://schemas.microsoft.com/office/2006/metadata/properties" ma:root="true" ma:fieldsID="1aaac49c7a8039139fea30d617f9d7f2" ns1:_="" ns3:_="" ns4:_="">
    <xsd:import namespace="http://schemas.microsoft.com/sharepoint/v3"/>
    <xsd:import namespace="6c4596b4-deaa-4e42-9398-8b9d3202fd30"/>
    <xsd:import namespace="e5e4a380-6b1d-49f3-b23f-4727291aff80"/>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DateTaken"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4596b4-deaa-4e42-9398-8b9d3202fd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e4a380-6b1d-49f3-b23f-4727291aff8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69DC6F-5AF0-4000-B403-DA48BC98FC0F}">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e5e4a380-6b1d-49f3-b23f-4727291aff80"/>
    <ds:schemaRef ds:uri="http://schemas.microsoft.com/office/2006/documentManagement/types"/>
    <ds:schemaRef ds:uri="http://schemas.microsoft.com/office/infopath/2007/PartnerControls"/>
    <ds:schemaRef ds:uri="6c4596b4-deaa-4e42-9398-8b9d3202fd30"/>
    <ds:schemaRef ds:uri="http://www.w3.org/XML/1998/namespace"/>
    <ds:schemaRef ds:uri="http://purl.org/dc/dcmitype/"/>
  </ds:schemaRefs>
</ds:datastoreItem>
</file>

<file path=customXml/itemProps2.xml><?xml version="1.0" encoding="utf-8"?>
<ds:datastoreItem xmlns:ds="http://schemas.openxmlformats.org/officeDocument/2006/customXml" ds:itemID="{9FE8909E-D18E-42C8-8CAB-B819514CC2D1}">
  <ds:schemaRefs>
    <ds:schemaRef ds:uri="http://schemas.microsoft.com/sharepoint/v3/contenttype/forms"/>
  </ds:schemaRefs>
</ds:datastoreItem>
</file>

<file path=customXml/itemProps3.xml><?xml version="1.0" encoding="utf-8"?>
<ds:datastoreItem xmlns:ds="http://schemas.openxmlformats.org/officeDocument/2006/customXml" ds:itemID="{35A392F9-BD92-4BE1-B763-454BE95E9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4596b4-deaa-4e42-9398-8b9d3202fd30"/>
    <ds:schemaRef ds:uri="e5e4a380-6b1d-49f3-b23f-4727291aff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35</vt:i4>
      </vt:variant>
    </vt:vector>
  </HeadingPairs>
  <TitlesOfParts>
    <vt:vector size="41" baseType="lpstr">
      <vt:lpstr>T1_1X_Rcdkping</vt:lpstr>
      <vt:lpstr>T2_Ann_Rcdkping</vt:lpstr>
      <vt:lpstr>T3_AnnRpting</vt:lpstr>
      <vt:lpstr>T4_Ann_3rdParty</vt:lpstr>
      <vt:lpstr>T5_Ann_NRC</vt:lpstr>
      <vt:lpstr>TOTALS</vt:lpstr>
      <vt:lpstr>NRC_Labor_Rate</vt:lpstr>
      <vt:lpstr>Num_24hrRpts</vt:lpstr>
      <vt:lpstr>Num_30dayRpts</vt:lpstr>
      <vt:lpstr>Num_Fatigue_Programs</vt:lpstr>
      <vt:lpstr>Num_FFD_Prgms_Full</vt:lpstr>
      <vt:lpstr>Num_FFD_Prgms_SubK</vt:lpstr>
      <vt:lpstr>Num_FFD_Prgms_Total</vt:lpstr>
      <vt:lpstr>Num_HHS_Labs</vt:lpstr>
      <vt:lpstr>Num_LTFs</vt:lpstr>
      <vt:lpstr>Num_PreAccess_Tests</vt:lpstr>
      <vt:lpstr>Num_Random_Tests</vt:lpstr>
      <vt:lpstr>Num_Sites_CVs</vt:lpstr>
      <vt:lpstr>Num_Sites_FuelCycle</vt:lpstr>
      <vt:lpstr>Num_Sites_Reactors_Construction</vt:lpstr>
      <vt:lpstr>Num_Sites_Reactors_Operating</vt:lpstr>
      <vt:lpstr>Num_Tests_ForCause</vt:lpstr>
      <vt:lpstr>Num_Tests_Preaccess</vt:lpstr>
      <vt:lpstr>Num_Tests_Total</vt:lpstr>
      <vt:lpstr>'Data '!Print_Area</vt:lpstr>
      <vt:lpstr>'FFD pgm &amp; sites'!Print_Area</vt:lpstr>
      <vt:lpstr>'Reactor Info'!Print_Area</vt:lpstr>
      <vt:lpstr>T1_1X_Rcdkping!Print_Area</vt:lpstr>
      <vt:lpstr>T2_Ann_Rcdkping!Print_Area</vt:lpstr>
      <vt:lpstr>T3_AnnRpting!Print_Area</vt:lpstr>
      <vt:lpstr>T4_Ann_3rdParty!Print_Area</vt:lpstr>
      <vt:lpstr>T5_Ann_NRC!Print_Area</vt:lpstr>
      <vt:lpstr>'Test Results'!Print_Area</vt:lpstr>
      <vt:lpstr>T1_1X_Rcdkping!Print_Titles</vt:lpstr>
      <vt:lpstr>T2_Ann_Rcdkping!Print_Titles</vt:lpstr>
      <vt:lpstr>T3_AnnRpting!Print_Titles</vt:lpstr>
      <vt:lpstr>T4_Ann_3rdParty!Print_Titles</vt:lpstr>
      <vt:lpstr>T5_Ann_NRC!Print_Titles</vt:lpstr>
      <vt:lpstr>'Test Results'!Print_Titles</vt:lpstr>
      <vt:lpstr>RandomTestPop_Construction</vt:lpstr>
      <vt:lpstr>RandomTestPop_FullPrgm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2021-03-10T20:16:33Z</dcterms:created>
  <dcterms:modified xsi:type="dcterms:W3CDTF">2021-03-16T20:20:00Z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0x010100435E4182BF399C4D82AC0CDCD5D75027</vt:lpwstr>
  </property>
</Properties>
</file>