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584-0034 FNS 245 Revision May 28 2014 - 2017\Renewal 2021 submitted 11-20-2020 Tiff W\"/>
    </mc:Choice>
  </mc:AlternateContent>
  <bookViews>
    <workbookView xWindow="28680" yWindow="590" windowWidth="19440" windowHeight="15000"/>
  </bookViews>
  <sheets>
    <sheet name="Reporting Recordkeeping Burden" sheetId="1" r:id="rId1"/>
    <sheet name="respondent costs" sheetId="4" r:id="rId2"/>
    <sheet name="Annualized Costs to Gov't" sheetId="3" r:id="rId3"/>
    <sheet name="burden and cost to respondents" sheetId="2" r:id="rId4"/>
  </sheet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D13" i="1" l="1"/>
  <c r="E13" i="1"/>
  <c r="G11" i="1"/>
  <c r="G9" i="1"/>
  <c r="G13" i="1" s="1"/>
  <c r="G6" i="1"/>
  <c r="G7" i="1"/>
  <c r="G8" i="1"/>
  <c r="G5" i="1"/>
  <c r="D6" i="1"/>
  <c r="D7" i="1"/>
  <c r="D8" i="1"/>
  <c r="D5" i="1"/>
  <c r="D11" i="1"/>
  <c r="H13" i="1" l="1"/>
  <c r="J11" i="1"/>
  <c r="F9" i="1"/>
  <c r="J9" i="1" l="1"/>
  <c r="J13" i="1"/>
  <c r="E7" i="3"/>
  <c r="C8" i="3"/>
  <c r="C9" i="3"/>
  <c r="C7" i="3"/>
  <c r="D6" i="3"/>
  <c r="E6" i="3" s="1"/>
  <c r="J36" i="4"/>
  <c r="J34" i="4"/>
  <c r="H35" i="4"/>
  <c r="I35" i="4" s="1"/>
  <c r="J35" i="4" s="1"/>
  <c r="H32" i="4"/>
  <c r="I32" i="4" s="1"/>
  <c r="J32" i="4" s="1"/>
  <c r="H31" i="4"/>
  <c r="I31" i="4" s="1"/>
  <c r="J31" i="4" s="1"/>
  <c r="H30" i="4"/>
  <c r="I30" i="4" s="1"/>
  <c r="J30" i="4" s="1"/>
  <c r="H29" i="4"/>
  <c r="I29" i="4" s="1"/>
  <c r="J29" i="4" s="1"/>
  <c r="J12" i="4"/>
  <c r="F11" i="4"/>
  <c r="H11" i="4" s="1"/>
  <c r="I11" i="4" s="1"/>
  <c r="E11" i="4"/>
  <c r="J10" i="4"/>
  <c r="D9" i="4"/>
  <c r="F8" i="4"/>
  <c r="H8" i="4" s="1"/>
  <c r="I8" i="4" s="1"/>
  <c r="E8" i="4"/>
  <c r="F7" i="4"/>
  <c r="H7" i="4" s="1"/>
  <c r="I7" i="4" s="1"/>
  <c r="E7" i="4"/>
  <c r="F6" i="4"/>
  <c r="G6" i="4" s="1"/>
  <c r="E6" i="4"/>
  <c r="F5" i="4"/>
  <c r="H5" i="4" s="1"/>
  <c r="I5" i="4" s="1"/>
  <c r="E5" i="4"/>
  <c r="I33" i="4" l="1"/>
  <c r="J33" i="4" s="1"/>
  <c r="I37" i="4"/>
  <c r="J37" i="4" s="1"/>
  <c r="G5" i="4"/>
  <c r="H6" i="4"/>
  <c r="I6" i="4" s="1"/>
  <c r="J6" i="4" s="1"/>
  <c r="G8" i="4"/>
  <c r="J8" i="4" s="1"/>
  <c r="E9" i="4"/>
  <c r="E13" i="4" s="1"/>
  <c r="G11" i="4"/>
  <c r="J11" i="4" s="1"/>
  <c r="J5" i="4"/>
  <c r="G7" i="4"/>
  <c r="J7" i="4" s="1"/>
  <c r="E12" i="2"/>
  <c r="E7" i="2"/>
  <c r="E8" i="2"/>
  <c r="E9" i="2"/>
  <c r="E6" i="2"/>
  <c r="I9" i="4" l="1"/>
  <c r="I13" i="4"/>
  <c r="G9" i="4"/>
  <c r="G13" i="4" s="1"/>
  <c r="H14" i="2"/>
  <c r="J13" i="4" l="1"/>
  <c r="J9" i="4"/>
  <c r="G12" i="2"/>
  <c r="J12" i="2" s="1"/>
  <c r="G7" i="2"/>
  <c r="G8" i="2"/>
  <c r="G9" i="2"/>
  <c r="G6" i="2"/>
  <c r="O11" i="2"/>
  <c r="O13" i="2"/>
  <c r="F10" i="2"/>
  <c r="G10" i="2" l="1"/>
  <c r="J10" i="2"/>
  <c r="G14" i="2"/>
  <c r="J14" i="2" s="1"/>
  <c r="K9" i="2"/>
  <c r="K8" i="2"/>
  <c r="K7" i="2"/>
  <c r="K12" i="2"/>
  <c r="K6" i="2"/>
  <c r="M12" i="2" l="1"/>
  <c r="N12" i="2" s="1"/>
  <c r="L12" i="2"/>
  <c r="M6" i="2"/>
  <c r="N6" i="2" s="1"/>
  <c r="L6" i="2"/>
  <c r="M9" i="2"/>
  <c r="N9" i="2" s="1"/>
  <c r="L9" i="2"/>
  <c r="M7" i="2"/>
  <c r="N7" i="2" s="1"/>
  <c r="L7" i="2"/>
  <c r="M8" i="2"/>
  <c r="N8" i="2" s="1"/>
  <c r="L8" i="2"/>
  <c r="O8" i="2" l="1"/>
  <c r="L10" i="2"/>
  <c r="L14" i="2" s="1"/>
  <c r="O7" i="2"/>
  <c r="O6" i="2"/>
  <c r="N10" i="2"/>
  <c r="O9" i="2"/>
  <c r="O12" i="2"/>
  <c r="N14" i="2" l="1"/>
  <c r="O14" i="2" s="1"/>
  <c r="O10" i="2"/>
  <c r="C11" i="3" l="1"/>
  <c r="F5" i="3"/>
  <c r="F6" i="3"/>
  <c r="F7" i="3"/>
  <c r="F10" i="3"/>
  <c r="F4" i="3"/>
  <c r="D9" i="3"/>
  <c r="D8" i="3"/>
  <c r="E9" i="3" l="1"/>
  <c r="F9" i="3" s="1"/>
  <c r="E8" i="3"/>
  <c r="E11" i="3" s="1"/>
  <c r="D11" i="3"/>
  <c r="F8" i="3" l="1"/>
  <c r="F11" i="3" s="1"/>
</calcChain>
</file>

<file path=xl/sharedStrings.xml><?xml version="1.0" encoding="utf-8"?>
<sst xmlns="http://schemas.openxmlformats.org/spreadsheetml/2006/main" count="145" uniqueCount="69">
  <si>
    <t>Description of Activity</t>
  </si>
  <si>
    <t>Household Case Record Review</t>
  </si>
  <si>
    <t>Error analysis</t>
  </si>
  <si>
    <t>Recordkeeping Burden for State Agencies FNS 380, OMB 0584-0074</t>
  </si>
  <si>
    <t>Record Retention</t>
  </si>
  <si>
    <t>Reporting Burden</t>
  </si>
  <si>
    <t>Total Reporting Burden</t>
  </si>
  <si>
    <t>Recordkeeping Burden</t>
  </si>
  <si>
    <t>Number of Active Sample Cases Per Annum</t>
  </si>
  <si>
    <t>Hourly Wage Rate (50% for State Agency Staff – not Households)</t>
  </si>
  <si>
    <t>Activities</t>
  </si>
  <si>
    <t>Hours Spent on Collection</t>
  </si>
  <si>
    <t>Total Cost</t>
  </si>
  <si>
    <t>Fringe Benefits Cost for Staff (0.33)</t>
  </si>
  <si>
    <t>Overall Base Cost w/ Fringe Benefits for Staff</t>
  </si>
  <si>
    <t>N/A</t>
  </si>
  <si>
    <t>Grand Total Cost to Government</t>
  </si>
  <si>
    <t>1.  Printing Cost</t>
  </si>
  <si>
    <t>2.  50% Reimbursement Cost to States for reporting &amp; recordkeeping administrative cost</t>
  </si>
  <si>
    <t>4b. Program Branch Chief Estimates of Annualized Cost to Federal Government for drafting, reviewing &amp; approving ICR</t>
  </si>
  <si>
    <t>4c. Program Division Director Estimates of Annualized Cost to Federal Government for drafting, reviewing &amp; approving ICR</t>
  </si>
  <si>
    <t>5. Automated System Cost (includes fringe benefits in fixed rate Contractor Monitoring)</t>
  </si>
  <si>
    <t>275.13 (b)</t>
  </si>
  <si>
    <t>275.13 (c)</t>
  </si>
  <si>
    <t>275.13 (d)</t>
  </si>
  <si>
    <t>Reporting of review findings</t>
  </si>
  <si>
    <t>275.13 (e)</t>
  </si>
  <si>
    <t xml:space="preserve">Disposition of case review </t>
  </si>
  <si>
    <t>https://www.bls.gov/oes/2019/may/oes_nat.htm</t>
  </si>
  <si>
    <t>households</t>
  </si>
  <si>
    <t>14/1</t>
  </si>
  <si>
    <t>15/1</t>
  </si>
  <si>
    <t>Hourly with Loaded Wages</t>
  </si>
  <si>
    <t>Regulation</t>
  </si>
  <si>
    <t>Reporting Hours</t>
  </si>
  <si>
    <t>Total Respondent Cost with loaded wages</t>
  </si>
  <si>
    <t>34322=2018 cases</t>
  </si>
  <si>
    <t>ttl cost not loaded</t>
  </si>
  <si>
    <t>difference</t>
  </si>
  <si>
    <t>Burden Hours</t>
  </si>
  <si>
    <t>Previous Submission Total Hours</t>
  </si>
  <si>
    <t>Difference Due to Program Changes</t>
  </si>
  <si>
    <t>Difference Due to Adjustments</t>
  </si>
  <si>
    <t>Total Reporting and Recordkeeping Burden and Costs</t>
  </si>
  <si>
    <r>
      <t>Estimates of Annualized Cost to Respondents</t>
    </r>
    <r>
      <rPr>
        <i/>
        <sz val="9"/>
        <color theme="1"/>
        <rFont val="Times New Roman"/>
        <family val="1"/>
      </rPr>
      <t xml:space="preserve"> </t>
    </r>
  </si>
  <si>
    <t>Number of Respondents</t>
  </si>
  <si>
    <t>Responses per Respondent</t>
  </si>
  <si>
    <t>*mean social work salary</t>
  </si>
  <si>
    <t>*mean General and Operations Managers</t>
  </si>
  <si>
    <t>4a .Program Analyst GS 13 step 1 base Estimates of Annualized Cost to Federal Government for drafting, reviewing &amp; approving ICR</t>
  </si>
  <si>
    <t>gs 12/1</t>
  </si>
  <si>
    <t>13/1</t>
  </si>
  <si>
    <t>https://www.opm.gov/policy-data-oversight/pay-leave/salaries-wages/salary-tables/pdf/2021/GS.pdf</t>
  </si>
  <si>
    <t>Costs or Hourly Wage Rate</t>
  </si>
  <si>
    <t>3.  33% of annual salary for 105 Regional Federal Staff (GS 12/1 base) annual</t>
  </si>
  <si>
    <t>https://www.opm.gov/policy-data-oversight/pay-leave/salaries-wages/salary-tables/pdf/2021/GS_h.pdf</t>
  </si>
  <si>
    <t>annual base</t>
  </si>
  <si>
    <t>hrly base</t>
  </si>
  <si>
    <t xml:space="preserve">Total Reporting and Recordkeeping Burden </t>
  </si>
  <si>
    <t>Reporting and Recordkeeping Burden for State Agencies FNS 245, OMB 0584-0034</t>
  </si>
  <si>
    <t>Estimates of Annualized Cost to Federal Government for FNS 245, OMB 0584-0034</t>
  </si>
  <si>
    <r>
      <t>Estimates of Annualized Cost to Respondents</t>
    </r>
    <r>
      <rPr>
        <i/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FNS 245, OMB 0584-0034</t>
    </r>
  </si>
  <si>
    <t>APPENDIX D</t>
  </si>
  <si>
    <t>Number of Negative Sample Cases Per Annum</t>
  </si>
  <si>
    <t>Total Recordkeeping Burden</t>
  </si>
  <si>
    <t>Estimated Frequency Number of Negative Sample Cases Per Respondent</t>
  </si>
  <si>
    <t>Estimated Total Annual Number of Negative Sample Cases Per Annum</t>
  </si>
  <si>
    <t>Estimated Annual Reporting Hours Per Respondents</t>
  </si>
  <si>
    <t>Estimated Total Annual Burden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</si>
</sst>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  <font>
      <sz val="9"/>
      <name val="Times New Roman"/>
      <family val="1"/>
    </font>
    <font>
      <b/>
      <sz val="9"/>
      <color rgb="FFFF0000"/>
      <name val="Times New Roman"/>
      <family val="1"/>
    </font>
    <font>
      <u/>
      <sz val="9"/>
      <color theme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3" fillId="0" borderId="0" xfId="2" applyAlignment="1">
      <alignment horizontal="left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2" borderId="7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0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4" fontId="11" fillId="0" borderId="13" xfId="0" applyNumberFormat="1" applyFont="1" applyBorder="1" applyAlignment="1">
      <alignment horizontal="right" vertical="center"/>
    </xf>
    <xf numFmtId="4" fontId="6" fillId="0" borderId="13" xfId="0" applyNumberFormat="1" applyFont="1" applyBorder="1" applyAlignment="1">
      <alignment horizontal="center" vertical="center" wrapText="1"/>
    </xf>
    <xf numFmtId="4" fontId="6" fillId="4" borderId="13" xfId="0" applyNumberFormat="1" applyFont="1" applyFill="1" applyBorder="1" applyAlignment="1">
      <alignment horizontal="center" vertical="center" wrapText="1"/>
    </xf>
    <xf numFmtId="8" fontId="6" fillId="0" borderId="8" xfId="0" applyNumberFormat="1" applyFont="1" applyBorder="1" applyAlignment="1">
      <alignment horizontal="center" vertical="center" wrapText="1"/>
    </xf>
    <xf numFmtId="8" fontId="6" fillId="0" borderId="0" xfId="0" applyNumberFormat="1" applyFont="1"/>
    <xf numFmtId="4" fontId="9" fillId="0" borderId="8" xfId="0" applyNumberFormat="1" applyFont="1" applyBorder="1" applyAlignment="1">
      <alignment vertical="center"/>
    </xf>
    <xf numFmtId="4" fontId="9" fillId="4" borderId="8" xfId="0" applyNumberFormat="1" applyFont="1" applyFill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8" fontId="9" fillId="0" borderId="8" xfId="0" applyNumberFormat="1" applyFont="1" applyBorder="1" applyAlignment="1">
      <alignment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8" fontId="6" fillId="3" borderId="0" xfId="0" applyNumberFormat="1" applyFont="1" applyFill="1"/>
    <xf numFmtId="0" fontId="6" fillId="0" borderId="8" xfId="0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vertical="center" wrapText="1"/>
    </xf>
    <xf numFmtId="4" fontId="12" fillId="4" borderId="8" xfId="0" applyNumberFormat="1" applyFont="1" applyFill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8" fontId="12" fillId="0" borderId="8" xfId="0" applyNumberFormat="1" applyFont="1" applyBorder="1" applyAlignment="1">
      <alignment vertical="center" wrapText="1"/>
    </xf>
    <xf numFmtId="164" fontId="12" fillId="0" borderId="8" xfId="1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13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wrapText="1"/>
    </xf>
    <xf numFmtId="3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2"/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5" xfId="0" applyNumberFormat="1" applyFont="1" applyBorder="1" applyAlignment="1">
      <alignment vertical="center" wrapText="1"/>
    </xf>
    <xf numFmtId="164" fontId="15" fillId="0" borderId="5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NumberFormat="1" applyFont="1" applyBorder="1" applyAlignment="1">
      <alignment vertical="center" wrapText="1"/>
    </xf>
    <xf numFmtId="164" fontId="15" fillId="0" borderId="4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7" fillId="0" borderId="4" xfId="0" applyNumberFormat="1" applyFont="1" applyBorder="1" applyAlignment="1">
      <alignment vertical="center" wrapText="1"/>
    </xf>
    <xf numFmtId="164" fontId="17" fillId="0" borderId="4" xfId="0" applyNumberFormat="1" applyFont="1" applyBorder="1" applyAlignment="1">
      <alignment vertical="center" wrapText="1"/>
    </xf>
    <xf numFmtId="164" fontId="16" fillId="0" borderId="4" xfId="0" applyNumberFormat="1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horizontal="right" vertical="center"/>
    </xf>
    <xf numFmtId="4" fontId="18" fillId="0" borderId="6" xfId="0" applyNumberFormat="1" applyFont="1" applyBorder="1" applyAlignment="1">
      <alignment horizontal="right" vertical="center" wrapText="1"/>
    </xf>
    <xf numFmtId="4" fontId="19" fillId="0" borderId="6" xfId="0" applyNumberFormat="1" applyFont="1" applyBorder="1" applyAlignment="1">
      <alignment vertical="center"/>
    </xf>
    <xf numFmtId="4" fontId="19" fillId="0" borderId="23" xfId="0" applyNumberFormat="1" applyFont="1" applyBorder="1" applyAlignment="1">
      <alignment vertical="center" wrapText="1"/>
    </xf>
    <xf numFmtId="0" fontId="20" fillId="0" borderId="0" xfId="0" applyFont="1" applyAlignment="1"/>
    <xf numFmtId="0" fontId="21" fillId="0" borderId="2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4" fontId="18" fillId="4" borderId="6" xfId="0" applyNumberFormat="1" applyFont="1" applyFill="1" applyBorder="1" applyAlignment="1">
      <alignment horizontal="center" vertical="center" wrapText="1"/>
    </xf>
    <xf numFmtId="4" fontId="18" fillId="4" borderId="22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/>
    </xf>
    <xf numFmtId="4" fontId="19" fillId="4" borderId="6" xfId="0" applyNumberFormat="1" applyFont="1" applyFill="1" applyBorder="1" applyAlignment="1">
      <alignment vertical="center"/>
    </xf>
    <xf numFmtId="4" fontId="19" fillId="4" borderId="22" xfId="0" applyNumberFormat="1" applyFont="1" applyFill="1" applyBorder="1" applyAlignment="1">
      <alignment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6" xfId="0" applyFont="1" applyBorder="1" applyAlignment="1">
      <alignment horizontal="right" vertical="center" wrapText="1"/>
    </xf>
    <xf numFmtId="0" fontId="18" fillId="4" borderId="6" xfId="0" applyFont="1" applyFill="1" applyBorder="1" applyAlignment="1">
      <alignment horizontal="right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right" vertical="center" wrapText="1"/>
    </xf>
    <xf numFmtId="0" fontId="18" fillId="0" borderId="6" xfId="0" applyFont="1" applyBorder="1" applyAlignment="1">
      <alignment horizontal="center" vertical="center"/>
    </xf>
    <xf numFmtId="3" fontId="18" fillId="0" borderId="6" xfId="0" applyNumberFormat="1" applyFont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vertical="center" wrapText="1"/>
    </xf>
    <xf numFmtId="4" fontId="19" fillId="4" borderId="23" xfId="0" applyNumberFormat="1" applyFont="1" applyFill="1" applyBorder="1" applyAlignment="1">
      <alignment vertical="center" wrapText="1"/>
    </xf>
    <xf numFmtId="4" fontId="19" fillId="4" borderId="24" xfId="0" applyNumberFormat="1" applyFont="1" applyFill="1" applyBorder="1" applyAlignment="1">
      <alignment vertical="center" wrapText="1"/>
    </xf>
    <xf numFmtId="0" fontId="20" fillId="0" borderId="0" xfId="0" applyFont="1" applyAlignment="1">
      <alignment wrapText="1"/>
    </xf>
    <xf numFmtId="0" fontId="23" fillId="0" borderId="2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2" borderId="2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oes/2019/may/oes_nat.ht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opm.gov/policy-data-oversight/pay-leave/salaries-wages/salary-tables/pdf/2021/GS_h.pdf" TargetMode="External"/><Relationship Id="rId1" Type="http://schemas.openxmlformats.org/officeDocument/2006/relationships/hyperlink" Target="https://www.opm.gov/policy-data-oversight/pay-leave/salaries-wages/salary-tables/pdf/2021/GS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ls.gov/oes/2019/may/oes_na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zoomScale="90" zoomScaleNormal="90" workbookViewId="0">
      <selection activeCell="C18" sqref="C18"/>
    </sheetView>
  </sheetViews>
  <sheetFormatPr defaultColWidth="8.90625" defaultRowHeight="14" x14ac:dyDescent="0.3"/>
  <cols>
    <col min="1" max="1" width="14.1796875" style="70" customWidth="1"/>
    <col min="2" max="2" width="23.6328125" style="94" customWidth="1"/>
    <col min="3" max="3" width="16.08984375" style="70" customWidth="1"/>
    <col min="4" max="4" width="17.08984375" style="70" customWidth="1"/>
    <col min="5" max="6" width="14.6328125" style="70" customWidth="1"/>
    <col min="7" max="7" width="19.36328125" style="70" customWidth="1"/>
    <col min="8" max="8" width="14.6328125" style="70" customWidth="1"/>
    <col min="9" max="9" width="17.90625" style="70" customWidth="1"/>
    <col min="10" max="10" width="22.90625" style="70" customWidth="1"/>
    <col min="11" max="16384" width="8.90625" style="70"/>
  </cols>
  <sheetData>
    <row r="1" spans="1:10" ht="18" thickBot="1" x14ac:dyDescent="0.4">
      <c r="A1" s="70" t="s">
        <v>62</v>
      </c>
      <c r="B1" s="100"/>
      <c r="C1" s="101"/>
      <c r="D1" s="101"/>
      <c r="E1" s="101"/>
      <c r="F1" s="101"/>
    </row>
    <row r="2" spans="1:10" ht="21" customHeight="1" thickBot="1" x14ac:dyDescent="0.35">
      <c r="A2" s="102" t="s">
        <v>59</v>
      </c>
      <c r="B2" s="103"/>
      <c r="C2" s="103"/>
      <c r="D2" s="103"/>
      <c r="E2" s="103"/>
      <c r="F2" s="103"/>
      <c r="G2" s="103"/>
      <c r="H2" s="103"/>
      <c r="I2" s="103"/>
      <c r="J2" s="104"/>
    </row>
    <row r="3" spans="1:10" s="75" customFormat="1" ht="82.5" customHeight="1" thickBot="1" x14ac:dyDescent="0.3">
      <c r="A3" s="71" t="s">
        <v>33</v>
      </c>
      <c r="B3" s="72" t="s">
        <v>0</v>
      </c>
      <c r="C3" s="72" t="s">
        <v>45</v>
      </c>
      <c r="D3" s="72" t="s">
        <v>65</v>
      </c>
      <c r="E3" s="72" t="s">
        <v>66</v>
      </c>
      <c r="F3" s="72" t="s">
        <v>67</v>
      </c>
      <c r="G3" s="72" t="s">
        <v>68</v>
      </c>
      <c r="H3" s="73" t="s">
        <v>40</v>
      </c>
      <c r="I3" s="73" t="s">
        <v>41</v>
      </c>
      <c r="J3" s="74" t="s">
        <v>42</v>
      </c>
    </row>
    <row r="4" spans="1:10" ht="35.15" customHeight="1" thickBot="1" x14ac:dyDescent="0.35">
      <c r="A4" s="95" t="s">
        <v>5</v>
      </c>
      <c r="B4" s="96"/>
      <c r="C4" s="96"/>
      <c r="D4" s="96"/>
      <c r="E4" s="96"/>
      <c r="F4" s="96"/>
      <c r="G4" s="96"/>
      <c r="H4" s="96"/>
      <c r="I4" s="96"/>
      <c r="J4" s="97"/>
    </row>
    <row r="5" spans="1:10" ht="35.5" thickBot="1" x14ac:dyDescent="0.35">
      <c r="A5" s="63" t="s">
        <v>22</v>
      </c>
      <c r="B5" s="64" t="s">
        <v>1</v>
      </c>
      <c r="C5" s="65">
        <v>53</v>
      </c>
      <c r="D5" s="66">
        <f>SUM(E5/C5)</f>
        <v>668.79245283018872</v>
      </c>
      <c r="E5" s="66">
        <v>35446</v>
      </c>
      <c r="F5" s="67">
        <v>1.5</v>
      </c>
      <c r="G5" s="67">
        <f>SUM(E5*F5)</f>
        <v>53169</v>
      </c>
      <c r="H5" s="76"/>
      <c r="I5" s="76"/>
      <c r="J5" s="77"/>
    </row>
    <row r="6" spans="1:10" ht="18" thickBot="1" x14ac:dyDescent="0.35">
      <c r="A6" s="63" t="s">
        <v>23</v>
      </c>
      <c r="B6" s="64" t="s">
        <v>2</v>
      </c>
      <c r="C6" s="65">
        <v>53</v>
      </c>
      <c r="D6" s="66">
        <f t="shared" ref="D6:D8" si="0">SUM(E6/C6)</f>
        <v>668.79245283018872</v>
      </c>
      <c r="E6" s="66">
        <v>35446</v>
      </c>
      <c r="F6" s="67">
        <v>1.1499999999999999</v>
      </c>
      <c r="G6" s="67">
        <f t="shared" ref="G6:G8" si="1">SUM(E6*F6)</f>
        <v>40762.899999999994</v>
      </c>
      <c r="H6" s="76"/>
      <c r="I6" s="76"/>
      <c r="J6" s="77"/>
    </row>
    <row r="7" spans="1:10" ht="35.5" thickBot="1" x14ac:dyDescent="0.35">
      <c r="A7" s="63" t="s">
        <v>24</v>
      </c>
      <c r="B7" s="64" t="s">
        <v>25</v>
      </c>
      <c r="C7" s="65">
        <v>53</v>
      </c>
      <c r="D7" s="66">
        <f t="shared" si="0"/>
        <v>668.79245283018872</v>
      </c>
      <c r="E7" s="66">
        <v>35446</v>
      </c>
      <c r="F7" s="67">
        <v>0.25</v>
      </c>
      <c r="G7" s="67">
        <f t="shared" si="1"/>
        <v>8861.5</v>
      </c>
      <c r="H7" s="76"/>
      <c r="I7" s="76"/>
      <c r="J7" s="77"/>
    </row>
    <row r="8" spans="1:10" ht="35.5" thickBot="1" x14ac:dyDescent="0.35">
      <c r="A8" s="63" t="s">
        <v>26</v>
      </c>
      <c r="B8" s="64" t="s">
        <v>27</v>
      </c>
      <c r="C8" s="65">
        <v>53</v>
      </c>
      <c r="D8" s="66">
        <f t="shared" si="0"/>
        <v>668.79245283018872</v>
      </c>
      <c r="E8" s="66">
        <v>35446</v>
      </c>
      <c r="F8" s="67">
        <v>0.25</v>
      </c>
      <c r="G8" s="67">
        <f t="shared" si="1"/>
        <v>8861.5</v>
      </c>
      <c r="H8" s="76"/>
      <c r="I8" s="76"/>
      <c r="J8" s="77"/>
    </row>
    <row r="9" spans="1:10" ht="18.5" thickBot="1" x14ac:dyDescent="0.35">
      <c r="A9" s="98" t="s">
        <v>6</v>
      </c>
      <c r="B9" s="99"/>
      <c r="C9" s="99"/>
      <c r="D9" s="99"/>
      <c r="E9" s="78"/>
      <c r="F9" s="68">
        <f>SUM(F5:F8)</f>
        <v>3.15</v>
      </c>
      <c r="G9" s="68">
        <f>SUM(G5:G8)</f>
        <v>111654.9</v>
      </c>
      <c r="H9" s="79">
        <v>114594.71</v>
      </c>
      <c r="I9" s="79"/>
      <c r="J9" s="80">
        <f>SUM(G9-H9)</f>
        <v>-2939.8100000000122</v>
      </c>
    </row>
    <row r="10" spans="1:10" ht="18.5" thickBot="1" x14ac:dyDescent="0.35">
      <c r="A10" s="95" t="s">
        <v>7</v>
      </c>
      <c r="B10" s="96"/>
      <c r="C10" s="96"/>
      <c r="D10" s="96"/>
      <c r="E10" s="96"/>
      <c r="F10" s="96"/>
      <c r="G10" s="96"/>
      <c r="H10" s="96"/>
      <c r="I10" s="96"/>
      <c r="J10" s="97"/>
    </row>
    <row r="11" spans="1:10" ht="18" thickBot="1" x14ac:dyDescent="0.35">
      <c r="A11" s="63">
        <v>275.39999999999998</v>
      </c>
      <c r="B11" s="81" t="s">
        <v>4</v>
      </c>
      <c r="C11" s="82">
        <v>53</v>
      </c>
      <c r="D11" s="83">
        <f>SUM(E11/C11)</f>
        <v>668.79245283018872</v>
      </c>
      <c r="E11" s="66">
        <v>35446</v>
      </c>
      <c r="F11" s="84">
        <v>2.3599999999999999E-2</v>
      </c>
      <c r="G11" s="84">
        <f>SUM(E11*F11)</f>
        <v>836.52559999999994</v>
      </c>
      <c r="H11" s="85">
        <v>919.68799999999999</v>
      </c>
      <c r="I11" s="86"/>
      <c r="J11" s="87">
        <f>SUM(G11-H11)</f>
        <v>-83.162400000000048</v>
      </c>
    </row>
    <row r="12" spans="1:10" ht="18.5" thickBot="1" x14ac:dyDescent="0.35">
      <c r="A12" s="105" t="s">
        <v>64</v>
      </c>
      <c r="B12" s="106"/>
      <c r="C12" s="88"/>
      <c r="D12" s="89"/>
      <c r="E12" s="89"/>
      <c r="F12" s="81"/>
      <c r="G12" s="81"/>
      <c r="H12" s="86"/>
      <c r="I12" s="86"/>
      <c r="J12" s="90"/>
    </row>
    <row r="13" spans="1:10" ht="66.5" customHeight="1" thickBot="1" x14ac:dyDescent="0.35">
      <c r="A13" s="107" t="s">
        <v>58</v>
      </c>
      <c r="B13" s="108"/>
      <c r="C13" s="91">
        <v>53</v>
      </c>
      <c r="D13" s="91">
        <f>SUM(E13/C13)</f>
        <v>3343.9622641509436</v>
      </c>
      <c r="E13" s="69">
        <f>SUM(E5:E11)</f>
        <v>177230</v>
      </c>
      <c r="F13" s="91">
        <f>SUM(G13/E13)</f>
        <v>0.63471999999999995</v>
      </c>
      <c r="G13" s="69">
        <f>SUM(G9+G11)</f>
        <v>112491.42559999999</v>
      </c>
      <c r="H13" s="92">
        <f>SUM(H9,H11)</f>
        <v>115514.398</v>
      </c>
      <c r="I13" s="92"/>
      <c r="J13" s="93">
        <f>SUM(G13-H13)</f>
        <v>-3022.9724000000133</v>
      </c>
    </row>
    <row r="14" spans="1:10" ht="14.5" thickTop="1" x14ac:dyDescent="0.3"/>
  </sheetData>
  <mergeCells count="7">
    <mergeCell ref="A12:B12"/>
    <mergeCell ref="A13:B13"/>
    <mergeCell ref="A4:J4"/>
    <mergeCell ref="A9:D9"/>
    <mergeCell ref="A10:J10"/>
    <mergeCell ref="B1:F1"/>
    <mergeCell ref="A2:J2"/>
  </mergeCells>
  <pageMargins left="0.25" right="0.25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zoomScale="120" zoomScaleNormal="120" workbookViewId="0">
      <selection activeCell="C5" sqref="C5"/>
    </sheetView>
  </sheetViews>
  <sheetFormatPr defaultColWidth="8.90625" defaultRowHeight="11.5" x14ac:dyDescent="0.25"/>
  <cols>
    <col min="1" max="1" width="10.90625" style="5" customWidth="1"/>
    <col min="2" max="2" width="22.6328125" style="5" customWidth="1"/>
    <col min="3" max="3" width="11.81640625" style="5" customWidth="1"/>
    <col min="4" max="4" width="10.36328125" style="5" customWidth="1"/>
    <col min="5" max="5" width="11.08984375" style="5" customWidth="1"/>
    <col min="6" max="6" width="15.81640625" style="5" customWidth="1"/>
    <col min="7" max="7" width="15.453125" style="5" customWidth="1"/>
    <col min="8" max="8" width="12.36328125" style="5" customWidth="1"/>
    <col min="9" max="9" width="14" style="5" customWidth="1"/>
    <col min="10" max="10" width="15.81640625" style="5" customWidth="1"/>
    <col min="11" max="16384" width="8.90625" style="5"/>
  </cols>
  <sheetData>
    <row r="1" spans="1:10" ht="12" thickBot="1" x14ac:dyDescent="0.3"/>
    <row r="2" spans="1:10" ht="12" thickBot="1" x14ac:dyDescent="0.3">
      <c r="A2" s="118" t="s">
        <v>61</v>
      </c>
      <c r="B2" s="119"/>
      <c r="C2" s="119"/>
      <c r="D2" s="119"/>
      <c r="E2" s="119"/>
      <c r="F2" s="6"/>
      <c r="G2" s="6"/>
      <c r="H2" s="6"/>
      <c r="I2" s="7"/>
    </row>
    <row r="3" spans="1:10" s="12" customFormat="1" ht="60.65" customHeight="1" x14ac:dyDescent="0.25">
      <c r="A3" s="10" t="s">
        <v>33</v>
      </c>
      <c r="B3" s="10" t="s">
        <v>0</v>
      </c>
      <c r="C3" s="10" t="s">
        <v>63</v>
      </c>
      <c r="D3" s="10" t="s">
        <v>34</v>
      </c>
      <c r="E3" s="10" t="s">
        <v>39</v>
      </c>
      <c r="F3" s="10" t="s">
        <v>9</v>
      </c>
      <c r="G3" s="10" t="s">
        <v>37</v>
      </c>
      <c r="H3" s="10" t="s">
        <v>32</v>
      </c>
      <c r="I3" s="10" t="s">
        <v>35</v>
      </c>
      <c r="J3" s="12" t="s">
        <v>38</v>
      </c>
    </row>
    <row r="4" spans="1:10" x14ac:dyDescent="0.25">
      <c r="A4" s="112" t="s">
        <v>5</v>
      </c>
      <c r="B4" s="113"/>
      <c r="C4" s="113"/>
      <c r="D4" s="113"/>
      <c r="E4" s="113"/>
      <c r="F4" s="13"/>
      <c r="G4" s="13"/>
      <c r="H4" s="13"/>
      <c r="I4" s="13"/>
    </row>
    <row r="5" spans="1:10" ht="15" customHeight="1" thickBot="1" x14ac:dyDescent="0.3">
      <c r="A5" s="39" t="s">
        <v>22</v>
      </c>
      <c r="B5" s="14" t="s">
        <v>1</v>
      </c>
      <c r="C5" s="15">
        <v>35446</v>
      </c>
      <c r="D5" s="16">
        <v>1.5</v>
      </c>
      <c r="E5" s="16">
        <f>SUM(D5*C5)</f>
        <v>53169</v>
      </c>
      <c r="F5" s="18">
        <f>SUM(C18/2)</f>
        <v>13.025</v>
      </c>
      <c r="G5" s="18">
        <f>SUM(F5*D5*C5)</f>
        <v>692526.22500000009</v>
      </c>
      <c r="H5" s="18">
        <f>SUM((F5*0.33)+F5)</f>
        <v>17.323250000000002</v>
      </c>
      <c r="I5" s="18">
        <f>SUM(H5*D5*C5)</f>
        <v>921059.87925000011</v>
      </c>
      <c r="J5" s="19">
        <f>SUM(I5-G5)</f>
        <v>228533.65425000002</v>
      </c>
    </row>
    <row r="6" spans="1:10" ht="15" customHeight="1" thickBot="1" x14ac:dyDescent="0.3">
      <c r="A6" s="39" t="s">
        <v>23</v>
      </c>
      <c r="B6" s="14" t="s">
        <v>2</v>
      </c>
      <c r="C6" s="15">
        <v>35446</v>
      </c>
      <c r="D6" s="16">
        <v>1.1499999999999999</v>
      </c>
      <c r="E6" s="16">
        <f>SUM(D6*C6)</f>
        <v>40762.899999999994</v>
      </c>
      <c r="F6" s="18">
        <f>SUM(C18/2)</f>
        <v>13.025</v>
      </c>
      <c r="G6" s="18">
        <f>SUM(F6*D6*C6)</f>
        <v>530936.77249999996</v>
      </c>
      <c r="H6" s="18">
        <f>SUM((F6*0.33)+F6)</f>
        <v>17.323250000000002</v>
      </c>
      <c r="I6" s="18">
        <f>SUM(H6*D6*C6)</f>
        <v>706145.90742499998</v>
      </c>
      <c r="J6" s="19">
        <f t="shared" ref="J6:J13" si="0">SUM(I6-G6)</f>
        <v>175209.13492500002</v>
      </c>
    </row>
    <row r="7" spans="1:10" ht="15" customHeight="1" thickBot="1" x14ac:dyDescent="0.3">
      <c r="A7" s="39" t="s">
        <v>24</v>
      </c>
      <c r="B7" s="14" t="s">
        <v>25</v>
      </c>
      <c r="C7" s="15">
        <v>35446</v>
      </c>
      <c r="D7" s="16">
        <v>0.25</v>
      </c>
      <c r="E7" s="16">
        <f>SUM(D7*C7)</f>
        <v>8861.5</v>
      </c>
      <c r="F7" s="18">
        <f>SUM(C18/2)</f>
        <v>13.025</v>
      </c>
      <c r="G7" s="18">
        <f>SUM(F7*D7*C7)</f>
        <v>115421.03750000001</v>
      </c>
      <c r="H7" s="18">
        <f>SUM((F7*0.33)+F7)</f>
        <v>17.323250000000002</v>
      </c>
      <c r="I7" s="18">
        <f>SUM(H7*D7*C7)</f>
        <v>153509.97987500002</v>
      </c>
      <c r="J7" s="19">
        <f t="shared" si="0"/>
        <v>38088.942375000013</v>
      </c>
    </row>
    <row r="8" spans="1:10" ht="15" customHeight="1" thickBot="1" x14ac:dyDescent="0.3">
      <c r="A8" s="39" t="s">
        <v>26</v>
      </c>
      <c r="B8" s="14" t="s">
        <v>27</v>
      </c>
      <c r="C8" s="15">
        <v>35446</v>
      </c>
      <c r="D8" s="16">
        <v>0.25</v>
      </c>
      <c r="E8" s="16">
        <f>SUM(D8*C8)</f>
        <v>8861.5</v>
      </c>
      <c r="F8" s="18">
        <f>SUM(C18/2)</f>
        <v>13.025</v>
      </c>
      <c r="G8" s="18">
        <f>SUM(F8*D8*C8)</f>
        <v>115421.03750000001</v>
      </c>
      <c r="H8" s="18">
        <f>SUM((F8*0.33)+F8)</f>
        <v>17.323250000000002</v>
      </c>
      <c r="I8" s="18">
        <f>SUM(H8*D8*C8)</f>
        <v>153509.97987500002</v>
      </c>
      <c r="J8" s="19">
        <f t="shared" si="0"/>
        <v>38088.942375000013</v>
      </c>
    </row>
    <row r="9" spans="1:10" x14ac:dyDescent="0.25">
      <c r="A9" s="120" t="s">
        <v>6</v>
      </c>
      <c r="B9" s="121"/>
      <c r="C9" s="122"/>
      <c r="D9" s="20">
        <f>SUM(D5:D8)</f>
        <v>3.15</v>
      </c>
      <c r="E9" s="20">
        <f>SUM(E5:E8)</f>
        <v>111654.9</v>
      </c>
      <c r="F9" s="22"/>
      <c r="G9" s="23">
        <f>SUM(G5:G8)</f>
        <v>1454305.0725000002</v>
      </c>
      <c r="H9" s="22"/>
      <c r="I9" s="24">
        <f>SUM(I5:I8)</f>
        <v>1934225.746425</v>
      </c>
      <c r="J9" s="25">
        <f t="shared" si="0"/>
        <v>479920.67392499978</v>
      </c>
    </row>
    <row r="10" spans="1:10" x14ac:dyDescent="0.25">
      <c r="A10" s="112" t="s">
        <v>7</v>
      </c>
      <c r="B10" s="113"/>
      <c r="C10" s="113"/>
      <c r="D10" s="113"/>
      <c r="E10" s="113"/>
      <c r="F10" s="13"/>
      <c r="G10" s="13"/>
      <c r="H10" s="13"/>
      <c r="I10" s="13"/>
      <c r="J10" s="19">
        <f>SUM(I10-G10)</f>
        <v>0</v>
      </c>
    </row>
    <row r="11" spans="1:10" x14ac:dyDescent="0.25">
      <c r="A11" s="26">
        <v>275.39999999999998</v>
      </c>
      <c r="B11" s="26" t="s">
        <v>4</v>
      </c>
      <c r="C11" s="27">
        <v>35446</v>
      </c>
      <c r="D11" s="28">
        <v>2.3599999999999999E-2</v>
      </c>
      <c r="E11" s="28">
        <f>SUM(D11*C11)</f>
        <v>836.52559999999994</v>
      </c>
      <c r="F11" s="18">
        <f>SUM(C18/2)</f>
        <v>13.025</v>
      </c>
      <c r="G11" s="18">
        <f>SUM(F11*D11*C11)</f>
        <v>10895.745940000001</v>
      </c>
      <c r="H11" s="18">
        <f>SUM((F11*0.33)+F11)</f>
        <v>17.323250000000002</v>
      </c>
      <c r="I11" s="18">
        <f>SUM(H11*D11*C11)</f>
        <v>14491.342100200001</v>
      </c>
      <c r="J11" s="19">
        <f t="shared" si="0"/>
        <v>3595.5961602000007</v>
      </c>
    </row>
    <row r="12" spans="1:10" x14ac:dyDescent="0.25">
      <c r="A12" s="26"/>
      <c r="B12" s="26"/>
      <c r="C12" s="30"/>
      <c r="D12" s="28"/>
      <c r="E12" s="28"/>
      <c r="F12" s="18"/>
      <c r="G12" s="18"/>
      <c r="H12" s="18"/>
      <c r="I12" s="18"/>
      <c r="J12" s="19">
        <f t="shared" si="0"/>
        <v>0</v>
      </c>
    </row>
    <row r="13" spans="1:10" x14ac:dyDescent="0.25">
      <c r="A13" s="123" t="s">
        <v>43</v>
      </c>
      <c r="B13" s="123"/>
      <c r="C13" s="123"/>
      <c r="D13" s="123"/>
      <c r="E13" s="31">
        <f>SUM(E9,E11)</f>
        <v>112491.42559999999</v>
      </c>
      <c r="F13" s="33"/>
      <c r="G13" s="34">
        <f>SUM(G11,G9)</f>
        <v>1465200.8184400003</v>
      </c>
      <c r="H13" s="33"/>
      <c r="I13" s="35">
        <f>SUM(I11,I9)</f>
        <v>1948717.0885252</v>
      </c>
      <c r="J13" s="25">
        <f t="shared" si="0"/>
        <v>483516.27008519974</v>
      </c>
    </row>
    <row r="17" spans="1:10" x14ac:dyDescent="0.25">
      <c r="B17" s="5" t="s">
        <v>36</v>
      </c>
    </row>
    <row r="18" spans="1:10" ht="24" x14ac:dyDescent="0.35">
      <c r="C18" s="36">
        <v>26.05</v>
      </c>
      <c r="D18" s="36" t="s">
        <v>47</v>
      </c>
      <c r="E18" s="36"/>
      <c r="F18" s="3" t="s">
        <v>28</v>
      </c>
      <c r="G18" s="37"/>
      <c r="H18" s="37"/>
    </row>
    <row r="19" spans="1:10" x14ac:dyDescent="0.25">
      <c r="C19" s="36"/>
      <c r="D19" s="36"/>
      <c r="E19" s="36"/>
      <c r="F19" s="38"/>
      <c r="G19" s="38"/>
      <c r="H19" s="38"/>
    </row>
    <row r="20" spans="1:10" ht="46" x14ac:dyDescent="0.25">
      <c r="C20" s="36">
        <v>59.15</v>
      </c>
      <c r="D20" s="36" t="s">
        <v>48</v>
      </c>
      <c r="E20" s="36"/>
      <c r="F20" s="38"/>
      <c r="G20" s="38"/>
      <c r="H20" s="38"/>
    </row>
    <row r="21" spans="1:10" x14ac:dyDescent="0.25">
      <c r="C21" s="36">
        <v>7.25</v>
      </c>
      <c r="D21" s="36" t="s">
        <v>29</v>
      </c>
      <c r="E21" s="36"/>
      <c r="F21" s="38"/>
      <c r="G21" s="38"/>
      <c r="H21" s="38"/>
    </row>
    <row r="25" spans="1:10" ht="12" thickBot="1" x14ac:dyDescent="0.3"/>
    <row r="26" spans="1:10" ht="15" customHeight="1" thickBot="1" x14ac:dyDescent="0.3">
      <c r="A26" s="115" t="s">
        <v>44</v>
      </c>
      <c r="B26" s="116"/>
      <c r="C26" s="116"/>
      <c r="D26" s="116"/>
      <c r="E26" s="116"/>
      <c r="F26" s="116"/>
      <c r="G26" s="116"/>
      <c r="H26" s="116"/>
      <c r="I26" s="117"/>
    </row>
    <row r="27" spans="1:10" ht="46" x14ac:dyDescent="0.25">
      <c r="A27" s="10" t="s">
        <v>33</v>
      </c>
      <c r="B27" s="10" t="s">
        <v>0</v>
      </c>
      <c r="C27" s="10" t="s">
        <v>8</v>
      </c>
      <c r="D27" s="10" t="s">
        <v>34</v>
      </c>
      <c r="E27" s="10" t="s">
        <v>39</v>
      </c>
      <c r="F27" s="10" t="s">
        <v>9</v>
      </c>
      <c r="G27" s="10" t="s">
        <v>37</v>
      </c>
      <c r="H27" s="10" t="s">
        <v>32</v>
      </c>
      <c r="I27" s="10" t="s">
        <v>35</v>
      </c>
      <c r="J27" s="12" t="s">
        <v>38</v>
      </c>
    </row>
    <row r="28" spans="1:10" x14ac:dyDescent="0.25">
      <c r="A28" s="112" t="s">
        <v>5</v>
      </c>
      <c r="B28" s="113"/>
      <c r="C28" s="113"/>
      <c r="D28" s="113"/>
      <c r="E28" s="113"/>
      <c r="F28" s="113"/>
      <c r="G28" s="113"/>
      <c r="H28" s="113"/>
      <c r="I28" s="114"/>
    </row>
    <row r="29" spans="1:10" ht="12" thickBot="1" x14ac:dyDescent="0.3">
      <c r="A29" s="39" t="s">
        <v>22</v>
      </c>
      <c r="B29" s="14" t="s">
        <v>1</v>
      </c>
      <c r="C29" s="15">
        <v>35446</v>
      </c>
      <c r="D29" s="16">
        <v>1.5</v>
      </c>
      <c r="E29" s="16">
        <v>53169</v>
      </c>
      <c r="F29" s="18">
        <v>13.025</v>
      </c>
      <c r="G29" s="18">
        <v>692526.22500000009</v>
      </c>
      <c r="H29" s="18">
        <f>SUM((F29*0.33)+F29)</f>
        <v>17.323250000000002</v>
      </c>
      <c r="I29" s="18">
        <f>SUM(H29*D29*C29)</f>
        <v>921059.87925000011</v>
      </c>
      <c r="J29" s="19">
        <f>SUM(I29-G29)</f>
        <v>228533.65425000002</v>
      </c>
    </row>
    <row r="30" spans="1:10" ht="12" thickBot="1" x14ac:dyDescent="0.3">
      <c r="A30" s="39" t="s">
        <v>23</v>
      </c>
      <c r="B30" s="14" t="s">
        <v>2</v>
      </c>
      <c r="C30" s="15">
        <v>35446</v>
      </c>
      <c r="D30" s="16">
        <v>1.1499999999999999</v>
      </c>
      <c r="E30" s="16">
        <v>40762.899999999994</v>
      </c>
      <c r="F30" s="18">
        <v>13.025</v>
      </c>
      <c r="G30" s="18">
        <v>530936.77249999996</v>
      </c>
      <c r="H30" s="18">
        <f>SUM((F30*0.33)+F30)</f>
        <v>17.323250000000002</v>
      </c>
      <c r="I30" s="18">
        <f>SUM(H30*D30*C30)</f>
        <v>706145.90742499998</v>
      </c>
      <c r="J30" s="19">
        <f t="shared" ref="J30:J37" si="1">SUM(I30-G30)</f>
        <v>175209.13492500002</v>
      </c>
    </row>
    <row r="31" spans="1:10" ht="12" thickBot="1" x14ac:dyDescent="0.3">
      <c r="A31" s="39" t="s">
        <v>24</v>
      </c>
      <c r="B31" s="14" t="s">
        <v>25</v>
      </c>
      <c r="C31" s="15">
        <v>35446</v>
      </c>
      <c r="D31" s="16">
        <v>0.25</v>
      </c>
      <c r="E31" s="16">
        <v>8861.5</v>
      </c>
      <c r="F31" s="18">
        <v>13.025</v>
      </c>
      <c r="G31" s="18">
        <v>115421.03750000001</v>
      </c>
      <c r="H31" s="18">
        <f>SUM((F31*0.33)+F31)</f>
        <v>17.323250000000002</v>
      </c>
      <c r="I31" s="18">
        <f>SUM(H31*D31*C31)</f>
        <v>153509.97987500002</v>
      </c>
      <c r="J31" s="19">
        <f t="shared" si="1"/>
        <v>38088.942375000013</v>
      </c>
    </row>
    <row r="32" spans="1:10" ht="12" thickBot="1" x14ac:dyDescent="0.3">
      <c r="A32" s="39" t="s">
        <v>26</v>
      </c>
      <c r="B32" s="14" t="s">
        <v>27</v>
      </c>
      <c r="C32" s="15">
        <v>35446</v>
      </c>
      <c r="D32" s="16">
        <v>0.25</v>
      </c>
      <c r="E32" s="16">
        <v>8861.5</v>
      </c>
      <c r="F32" s="18">
        <v>13.025</v>
      </c>
      <c r="G32" s="18">
        <v>115421.03750000001</v>
      </c>
      <c r="H32" s="18">
        <f>SUM((F32*0.33)+F32)</f>
        <v>17.323250000000002</v>
      </c>
      <c r="I32" s="18">
        <f>SUM(H32*D32*C32)</f>
        <v>153509.97987500002</v>
      </c>
      <c r="J32" s="19">
        <f t="shared" si="1"/>
        <v>38088.942375000013</v>
      </c>
    </row>
    <row r="33" spans="1:10" x14ac:dyDescent="0.25">
      <c r="A33" s="43" t="s">
        <v>6</v>
      </c>
      <c r="B33" s="44"/>
      <c r="C33" s="45"/>
      <c r="D33" s="20">
        <v>3.15</v>
      </c>
      <c r="E33" s="20">
        <v>111654.9</v>
      </c>
      <c r="F33" s="22"/>
      <c r="G33" s="23">
        <v>1454305.0725000002</v>
      </c>
      <c r="H33" s="22"/>
      <c r="I33" s="24">
        <f>SUM(I29:I32)</f>
        <v>1934225.746425</v>
      </c>
      <c r="J33" s="25">
        <f t="shared" si="1"/>
        <v>479920.67392499978</v>
      </c>
    </row>
    <row r="34" spans="1:10" x14ac:dyDescent="0.25">
      <c r="A34" s="112" t="s">
        <v>7</v>
      </c>
      <c r="B34" s="113"/>
      <c r="C34" s="113"/>
      <c r="D34" s="113"/>
      <c r="E34" s="113"/>
      <c r="F34" s="113"/>
      <c r="G34" s="113"/>
      <c r="H34" s="113"/>
      <c r="I34" s="114"/>
      <c r="J34" s="19">
        <f>SUM(I34-G34)</f>
        <v>0</v>
      </c>
    </row>
    <row r="35" spans="1:10" x14ac:dyDescent="0.25">
      <c r="A35" s="26">
        <v>275.39999999999998</v>
      </c>
      <c r="B35" s="26" t="s">
        <v>4</v>
      </c>
      <c r="C35" s="27">
        <v>35446</v>
      </c>
      <c r="D35" s="28">
        <v>2.3599999999999999E-2</v>
      </c>
      <c r="E35" s="28">
        <v>836.52559999999994</v>
      </c>
      <c r="F35" s="18">
        <v>13.025</v>
      </c>
      <c r="G35" s="18">
        <v>10895.745940000001</v>
      </c>
      <c r="H35" s="18">
        <f>SUM((F35*0.33)+F35)</f>
        <v>17.323250000000002</v>
      </c>
      <c r="I35" s="18">
        <f>SUM(H35*D35*C35)</f>
        <v>14491.342100200001</v>
      </c>
      <c r="J35" s="19">
        <f t="shared" si="1"/>
        <v>3595.5961602000007</v>
      </c>
    </row>
    <row r="36" spans="1:10" x14ac:dyDescent="0.25">
      <c r="A36" s="26"/>
      <c r="B36" s="26"/>
      <c r="C36" s="30"/>
      <c r="D36" s="28"/>
      <c r="E36" s="28"/>
      <c r="F36" s="18"/>
      <c r="G36" s="18"/>
      <c r="H36" s="18"/>
      <c r="I36" s="18"/>
      <c r="J36" s="19">
        <f t="shared" si="1"/>
        <v>0</v>
      </c>
    </row>
    <row r="37" spans="1:10" ht="12" customHeight="1" x14ac:dyDescent="0.25">
      <c r="A37" s="109" t="s">
        <v>43</v>
      </c>
      <c r="B37" s="110"/>
      <c r="C37" s="110"/>
      <c r="D37" s="111"/>
      <c r="E37" s="31">
        <v>112491.42559999999</v>
      </c>
      <c r="F37" s="33"/>
      <c r="G37" s="34">
        <v>1465200.8184400003</v>
      </c>
      <c r="H37" s="33"/>
      <c r="I37" s="35">
        <f>SUM(I35,I33)</f>
        <v>1948717.0885252</v>
      </c>
      <c r="J37" s="25">
        <f t="shared" si="1"/>
        <v>483516.27008519974</v>
      </c>
    </row>
  </sheetData>
  <mergeCells count="9">
    <mergeCell ref="A37:D37"/>
    <mergeCell ref="A34:I34"/>
    <mergeCell ref="A28:I28"/>
    <mergeCell ref="A26:I26"/>
    <mergeCell ref="A2:E2"/>
    <mergeCell ref="A4:E4"/>
    <mergeCell ref="A9:C9"/>
    <mergeCell ref="A10:E10"/>
    <mergeCell ref="A13:D13"/>
  </mergeCells>
  <hyperlinks>
    <hyperlink ref="F18" r:id="rId1"/>
  </hyperlinks>
  <pageMargins left="0.7" right="0.7" top="0.75" bottom="0.75" header="0.3" footer="0.3"/>
  <pageSetup scale="7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D15" sqref="D15"/>
    </sheetView>
  </sheetViews>
  <sheetFormatPr defaultColWidth="8.90625" defaultRowHeight="15.5" x14ac:dyDescent="0.35"/>
  <cols>
    <col min="1" max="1" width="39.6328125" style="1" customWidth="1"/>
    <col min="2" max="6" width="15.6328125" style="1" customWidth="1"/>
    <col min="7" max="16384" width="8.90625" style="1"/>
  </cols>
  <sheetData>
    <row r="1" spans="1:6" ht="16" thickBot="1" x14ac:dyDescent="0.4"/>
    <row r="2" spans="1:6" ht="16" thickBot="1" x14ac:dyDescent="0.4">
      <c r="A2" s="124" t="s">
        <v>60</v>
      </c>
      <c r="B2" s="125"/>
      <c r="C2" s="125"/>
      <c r="D2" s="125"/>
      <c r="E2" s="125"/>
      <c r="F2" s="126"/>
    </row>
    <row r="3" spans="1:6" ht="39.5" thickBot="1" x14ac:dyDescent="0.4">
      <c r="A3" s="51" t="s">
        <v>10</v>
      </c>
      <c r="B3" s="52" t="s">
        <v>11</v>
      </c>
      <c r="C3" s="52" t="s">
        <v>53</v>
      </c>
      <c r="D3" s="52" t="s">
        <v>12</v>
      </c>
      <c r="E3" s="52" t="s">
        <v>13</v>
      </c>
      <c r="F3" s="52" t="s">
        <v>14</v>
      </c>
    </row>
    <row r="4" spans="1:6" ht="16" thickBot="1" x14ac:dyDescent="0.4">
      <c r="A4" s="53" t="s">
        <v>17</v>
      </c>
      <c r="B4" s="54" t="s">
        <v>15</v>
      </c>
      <c r="C4" s="55"/>
      <c r="D4" s="55">
        <v>2000</v>
      </c>
      <c r="E4" s="55" t="s">
        <v>15</v>
      </c>
      <c r="F4" s="55">
        <f>SUM(D4,E4)</f>
        <v>2000</v>
      </c>
    </row>
    <row r="5" spans="1:6" ht="26.5" thickBot="1" x14ac:dyDescent="0.4">
      <c r="A5" s="56" t="s">
        <v>18</v>
      </c>
      <c r="B5" s="57" t="s">
        <v>15</v>
      </c>
      <c r="C5" s="58"/>
      <c r="D5" s="55">
        <v>1465200.8184400003</v>
      </c>
      <c r="E5" s="58">
        <v>483516.27008519974</v>
      </c>
      <c r="F5" s="55">
        <f t="shared" ref="F5:F10" si="0">SUM(D5,E5)</f>
        <v>1948717.0885252</v>
      </c>
    </row>
    <row r="6" spans="1:6" ht="26.5" thickBot="1" x14ac:dyDescent="0.4">
      <c r="A6" s="56" t="s">
        <v>54</v>
      </c>
      <c r="B6" s="57" t="s">
        <v>15</v>
      </c>
      <c r="C6" s="58"/>
      <c r="D6" s="55">
        <f>SUM((B14*105)*(0.33))</f>
        <v>2315624.85</v>
      </c>
      <c r="E6" s="58">
        <f>SUM(D6*0.33)</f>
        <v>764156.20050000004</v>
      </c>
      <c r="F6" s="55">
        <f t="shared" si="0"/>
        <v>3079781.0504999999</v>
      </c>
    </row>
    <row r="7" spans="1:6" ht="39.5" thickBot="1" x14ac:dyDescent="0.4">
      <c r="A7" s="56" t="s">
        <v>49</v>
      </c>
      <c r="B7" s="57">
        <v>80</v>
      </c>
      <c r="C7" s="58">
        <f>SUM(B15)</f>
        <v>32.020000000000003</v>
      </c>
      <c r="D7" s="55">
        <v>36.99</v>
      </c>
      <c r="E7" s="58">
        <f>SUM(D7*0.33)</f>
        <v>12.206700000000001</v>
      </c>
      <c r="F7" s="55">
        <f t="shared" si="0"/>
        <v>49.196700000000007</v>
      </c>
    </row>
    <row r="8" spans="1:6" ht="39.5" thickBot="1" x14ac:dyDescent="0.4">
      <c r="A8" s="56" t="s">
        <v>19</v>
      </c>
      <c r="B8" s="57">
        <v>10</v>
      </c>
      <c r="C8" s="58">
        <f t="shared" ref="C8:C9" si="1">SUM(B16)</f>
        <v>45</v>
      </c>
      <c r="D8" s="55">
        <f t="shared" ref="D8:D9" si="2">SUM(B8*C8)</f>
        <v>450</v>
      </c>
      <c r="E8" s="58">
        <f t="shared" ref="E8:E9" si="3">SUM(D8*0.33)</f>
        <v>148.5</v>
      </c>
      <c r="F8" s="55">
        <f t="shared" si="0"/>
        <v>598.5</v>
      </c>
    </row>
    <row r="9" spans="1:6" ht="39.5" thickBot="1" x14ac:dyDescent="0.4">
      <c r="A9" s="56" t="s">
        <v>20</v>
      </c>
      <c r="B9" s="57">
        <v>5</v>
      </c>
      <c r="C9" s="58">
        <f t="shared" si="1"/>
        <v>52.93</v>
      </c>
      <c r="D9" s="55">
        <f t="shared" si="2"/>
        <v>264.64999999999998</v>
      </c>
      <c r="E9" s="58">
        <f t="shared" si="3"/>
        <v>87.334499999999991</v>
      </c>
      <c r="F9" s="55">
        <f t="shared" si="0"/>
        <v>351.98449999999997</v>
      </c>
    </row>
    <row r="10" spans="1:6" ht="26.5" thickBot="1" x14ac:dyDescent="0.4">
      <c r="A10" s="56" t="s">
        <v>21</v>
      </c>
      <c r="B10" s="57" t="s">
        <v>15</v>
      </c>
      <c r="C10" s="58">
        <v>180000</v>
      </c>
      <c r="D10" s="55">
        <v>180000</v>
      </c>
      <c r="E10" s="58" t="s">
        <v>15</v>
      </c>
      <c r="F10" s="55">
        <f t="shared" si="0"/>
        <v>180000</v>
      </c>
    </row>
    <row r="11" spans="1:6" ht="16" thickBot="1" x14ac:dyDescent="0.4">
      <c r="A11" s="59" t="s">
        <v>16</v>
      </c>
      <c r="B11" s="60"/>
      <c r="C11" s="61">
        <f>SUM(C4:C10)</f>
        <v>180129.95</v>
      </c>
      <c r="D11" s="61">
        <f>SUM(D4:D10)</f>
        <v>3963577.3084400003</v>
      </c>
      <c r="E11" s="61">
        <f>SUM(E4:E10)</f>
        <v>1247920.5117851999</v>
      </c>
      <c r="F11" s="62">
        <f>SUM(F4:F10)</f>
        <v>5211497.8202252006</v>
      </c>
    </row>
    <row r="14" spans="1:6" x14ac:dyDescent="0.35">
      <c r="A14" s="49" t="s">
        <v>56</v>
      </c>
      <c r="B14" s="46">
        <v>66829</v>
      </c>
      <c r="C14" s="4" t="s">
        <v>50</v>
      </c>
      <c r="D14" s="3" t="s">
        <v>52</v>
      </c>
    </row>
    <row r="15" spans="1:6" x14ac:dyDescent="0.35">
      <c r="A15" s="49" t="s">
        <v>57</v>
      </c>
      <c r="B15" s="47">
        <v>32.020000000000003</v>
      </c>
      <c r="C15" s="2" t="s">
        <v>51</v>
      </c>
      <c r="D15" s="50" t="s">
        <v>55</v>
      </c>
    </row>
    <row r="16" spans="1:6" x14ac:dyDescent="0.35">
      <c r="A16" s="49" t="s">
        <v>57</v>
      </c>
      <c r="B16" s="48">
        <v>45</v>
      </c>
      <c r="C16" s="1" t="s">
        <v>30</v>
      </c>
      <c r="D16"/>
    </row>
    <row r="17" spans="1:3" x14ac:dyDescent="0.35">
      <c r="A17" s="49" t="s">
        <v>57</v>
      </c>
      <c r="B17" s="47">
        <v>52.93</v>
      </c>
      <c r="C17" s="2" t="s">
        <v>31</v>
      </c>
    </row>
  </sheetData>
  <mergeCells count="1">
    <mergeCell ref="A2:F2"/>
  </mergeCells>
  <hyperlinks>
    <hyperlink ref="D14" r:id="rId1"/>
    <hyperlink ref="D15" r:id="rId2"/>
  </hyperlinks>
  <pageMargins left="0.7" right="0.7" top="0.75" bottom="0.75" header="0.3" footer="0.3"/>
  <pageSetup scale="76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="120" zoomScaleNormal="120" workbookViewId="0">
      <selection activeCell="H19" sqref="H19"/>
    </sheetView>
  </sheetViews>
  <sheetFormatPr defaultColWidth="8.90625" defaultRowHeight="11.5" x14ac:dyDescent="0.25"/>
  <cols>
    <col min="1" max="1" width="10.90625" style="5" customWidth="1"/>
    <col min="2" max="2" width="30.54296875" style="5" customWidth="1"/>
    <col min="3" max="5" width="11.81640625" style="5" customWidth="1"/>
    <col min="6" max="6" width="10.36328125" style="5" customWidth="1"/>
    <col min="7" max="7" width="11.08984375" style="5" customWidth="1"/>
    <col min="8" max="8" width="8.81640625" style="5" customWidth="1"/>
    <col min="9" max="9" width="10.1796875" style="5" customWidth="1"/>
    <col min="10" max="10" width="10.54296875" style="5" customWidth="1"/>
    <col min="11" max="11" width="15.81640625" style="5" customWidth="1"/>
    <col min="12" max="12" width="20.81640625" style="5" customWidth="1"/>
    <col min="13" max="13" width="15.81640625" style="5" customWidth="1"/>
    <col min="14" max="14" width="20.81640625" style="5" customWidth="1"/>
    <col min="15" max="15" width="15.81640625" style="5" customWidth="1"/>
    <col min="16" max="16384" width="8.90625" style="5"/>
  </cols>
  <sheetData>
    <row r="1" spans="1:15" ht="12" thickBot="1" x14ac:dyDescent="0.3"/>
    <row r="2" spans="1:15" ht="12" thickBot="1" x14ac:dyDescent="0.3">
      <c r="A2" s="118" t="s">
        <v>44</v>
      </c>
      <c r="B2" s="119"/>
      <c r="C2" s="119"/>
      <c r="D2" s="119"/>
      <c r="E2" s="119"/>
      <c r="F2" s="119"/>
      <c r="G2" s="119"/>
      <c r="H2" s="119"/>
      <c r="I2" s="119"/>
      <c r="J2" s="119"/>
      <c r="K2" s="6"/>
      <c r="L2" s="6"/>
      <c r="M2" s="6"/>
      <c r="N2" s="7"/>
    </row>
    <row r="3" spans="1:15" ht="21" customHeight="1" x14ac:dyDescent="0.25">
      <c r="A3" s="127" t="s">
        <v>3</v>
      </c>
      <c r="B3" s="128"/>
      <c r="C3" s="128"/>
      <c r="D3" s="128"/>
      <c r="E3" s="128"/>
      <c r="F3" s="128"/>
      <c r="G3" s="128"/>
      <c r="H3" s="128"/>
      <c r="I3" s="128"/>
      <c r="J3" s="128"/>
      <c r="K3" s="8"/>
      <c r="L3" s="8"/>
      <c r="M3" s="8"/>
      <c r="N3" s="9"/>
    </row>
    <row r="4" spans="1:15" s="12" customFormat="1" ht="60.65" customHeight="1" x14ac:dyDescent="0.25">
      <c r="A4" s="10" t="s">
        <v>33</v>
      </c>
      <c r="B4" s="10" t="s">
        <v>0</v>
      </c>
      <c r="C4" s="10" t="s">
        <v>45</v>
      </c>
      <c r="D4" s="10" t="s">
        <v>8</v>
      </c>
      <c r="E4" s="10" t="s">
        <v>46</v>
      </c>
      <c r="F4" s="10" t="s">
        <v>34</v>
      </c>
      <c r="G4" s="10" t="s">
        <v>39</v>
      </c>
      <c r="H4" s="11" t="s">
        <v>40</v>
      </c>
      <c r="I4" s="11" t="s">
        <v>41</v>
      </c>
      <c r="J4" s="11" t="s">
        <v>42</v>
      </c>
      <c r="K4" s="10" t="s">
        <v>9</v>
      </c>
      <c r="L4" s="10" t="s">
        <v>37</v>
      </c>
      <c r="M4" s="10" t="s">
        <v>32</v>
      </c>
      <c r="N4" s="10" t="s">
        <v>35</v>
      </c>
      <c r="O4" s="12" t="s">
        <v>38</v>
      </c>
    </row>
    <row r="5" spans="1:15" x14ac:dyDescent="0.25">
      <c r="A5" s="112" t="s">
        <v>5</v>
      </c>
      <c r="B5" s="113"/>
      <c r="C5" s="113"/>
      <c r="D5" s="113"/>
      <c r="E5" s="113"/>
      <c r="F5" s="113"/>
      <c r="G5" s="113"/>
      <c r="H5" s="113"/>
      <c r="I5" s="113"/>
      <c r="J5" s="114"/>
      <c r="K5" s="13"/>
      <c r="L5" s="13"/>
      <c r="M5" s="13"/>
      <c r="N5" s="13"/>
    </row>
    <row r="6" spans="1:15" ht="15" customHeight="1" thickBot="1" x14ac:dyDescent="0.3">
      <c r="A6" s="39" t="s">
        <v>22</v>
      </c>
      <c r="B6" s="14" t="s">
        <v>1</v>
      </c>
      <c r="C6" s="40">
        <v>53</v>
      </c>
      <c r="D6" s="15">
        <v>35446</v>
      </c>
      <c r="E6" s="15">
        <f>SUM(D6/C6)</f>
        <v>668.79245283018872</v>
      </c>
      <c r="F6" s="16">
        <v>1.5</v>
      </c>
      <c r="G6" s="16">
        <f>SUM(F6*D6)</f>
        <v>53169</v>
      </c>
      <c r="H6" s="17"/>
      <c r="I6" s="17"/>
      <c r="J6" s="17"/>
      <c r="K6" s="18">
        <f>SUM(D19/2)</f>
        <v>13.025</v>
      </c>
      <c r="L6" s="18">
        <f>SUM(K6*F6*D6)</f>
        <v>692526.22500000009</v>
      </c>
      <c r="M6" s="18">
        <f>SUM((K6*0.33)+K6)</f>
        <v>17.323250000000002</v>
      </c>
      <c r="N6" s="18">
        <f>SUM(M6*F6*D6)</f>
        <v>921059.87925000011</v>
      </c>
      <c r="O6" s="19">
        <f>SUM(N6-L6)</f>
        <v>228533.65425000002</v>
      </c>
    </row>
    <row r="7" spans="1:15" ht="15" customHeight="1" thickBot="1" x14ac:dyDescent="0.3">
      <c r="A7" s="39" t="s">
        <v>23</v>
      </c>
      <c r="B7" s="14" t="s">
        <v>2</v>
      </c>
      <c r="C7" s="40">
        <v>53</v>
      </c>
      <c r="D7" s="15">
        <v>35446</v>
      </c>
      <c r="E7" s="15">
        <f t="shared" ref="E7:E9" si="0">SUM(D7/C7)</f>
        <v>668.79245283018872</v>
      </c>
      <c r="F7" s="16">
        <v>1.1499999999999999</v>
      </c>
      <c r="G7" s="16">
        <f>SUM(F7*D7)</f>
        <v>40762.899999999994</v>
      </c>
      <c r="H7" s="17"/>
      <c r="I7" s="17"/>
      <c r="J7" s="17"/>
      <c r="K7" s="18">
        <f>SUM(D19/2)</f>
        <v>13.025</v>
      </c>
      <c r="L7" s="18">
        <f>SUM(K7*F7*D7)</f>
        <v>530936.77249999996</v>
      </c>
      <c r="M7" s="18">
        <f>SUM((K7*0.33)+K7)</f>
        <v>17.323250000000002</v>
      </c>
      <c r="N7" s="18">
        <f>SUM(M7*F7*D7)</f>
        <v>706145.90742499998</v>
      </c>
      <c r="O7" s="19">
        <f t="shared" ref="O7:O14" si="1">SUM(N7-L7)</f>
        <v>175209.13492500002</v>
      </c>
    </row>
    <row r="8" spans="1:15" ht="15" customHeight="1" thickBot="1" x14ac:dyDescent="0.3">
      <c r="A8" s="39" t="s">
        <v>24</v>
      </c>
      <c r="B8" s="14" t="s">
        <v>25</v>
      </c>
      <c r="C8" s="40">
        <v>53</v>
      </c>
      <c r="D8" s="15">
        <v>35446</v>
      </c>
      <c r="E8" s="15">
        <f t="shared" si="0"/>
        <v>668.79245283018872</v>
      </c>
      <c r="F8" s="16">
        <v>0.25</v>
      </c>
      <c r="G8" s="16">
        <f>SUM(F8*D8)</f>
        <v>8861.5</v>
      </c>
      <c r="H8" s="17"/>
      <c r="I8" s="17"/>
      <c r="J8" s="17"/>
      <c r="K8" s="18">
        <f>SUM(D19/2)</f>
        <v>13.025</v>
      </c>
      <c r="L8" s="18">
        <f>SUM(K8*F8*D8)</f>
        <v>115421.03750000001</v>
      </c>
      <c r="M8" s="18">
        <f>SUM((K8*0.33)+K8)</f>
        <v>17.323250000000002</v>
      </c>
      <c r="N8" s="18">
        <f>SUM(M8*F8*D8)</f>
        <v>153509.97987500002</v>
      </c>
      <c r="O8" s="19">
        <f t="shared" si="1"/>
        <v>38088.942375000013</v>
      </c>
    </row>
    <row r="9" spans="1:15" ht="15" customHeight="1" thickBot="1" x14ac:dyDescent="0.3">
      <c r="A9" s="39" t="s">
        <v>26</v>
      </c>
      <c r="B9" s="14" t="s">
        <v>27</v>
      </c>
      <c r="C9" s="40">
        <v>53</v>
      </c>
      <c r="D9" s="15">
        <v>35446</v>
      </c>
      <c r="E9" s="15">
        <f t="shared" si="0"/>
        <v>668.79245283018872</v>
      </c>
      <c r="F9" s="16">
        <v>0.25</v>
      </c>
      <c r="G9" s="16">
        <f>SUM(F9*D9)</f>
        <v>8861.5</v>
      </c>
      <c r="H9" s="17"/>
      <c r="I9" s="17"/>
      <c r="J9" s="17"/>
      <c r="K9" s="18">
        <f>SUM(D19/2)</f>
        <v>13.025</v>
      </c>
      <c r="L9" s="18">
        <f>SUM(K9*F9*D9)</f>
        <v>115421.03750000001</v>
      </c>
      <c r="M9" s="18">
        <f>SUM((K9*0.33)+K9)</f>
        <v>17.323250000000002</v>
      </c>
      <c r="N9" s="18">
        <f>SUM(M9*F9*D9)</f>
        <v>153509.97987500002</v>
      </c>
      <c r="O9" s="19">
        <f t="shared" si="1"/>
        <v>38088.942375000013</v>
      </c>
    </row>
    <row r="10" spans="1:15" x14ac:dyDescent="0.25">
      <c r="A10" s="120" t="s">
        <v>6</v>
      </c>
      <c r="B10" s="121"/>
      <c r="C10" s="121"/>
      <c r="D10" s="122"/>
      <c r="E10" s="41"/>
      <c r="F10" s="20">
        <f>SUM(F6:F9)</f>
        <v>3.15</v>
      </c>
      <c r="G10" s="20">
        <f>SUM(G6:G9)</f>
        <v>111654.9</v>
      </c>
      <c r="H10" s="21">
        <v>114594.71</v>
      </c>
      <c r="I10" s="21"/>
      <c r="J10" s="21">
        <f>SUM(G10-H10)</f>
        <v>-2939.8100000000122</v>
      </c>
      <c r="K10" s="22"/>
      <c r="L10" s="23">
        <f>SUM(L6:L9)</f>
        <v>1454305.0725000002</v>
      </c>
      <c r="M10" s="22"/>
      <c r="N10" s="24">
        <f>SUM(N6:N9)</f>
        <v>1934225.746425</v>
      </c>
      <c r="O10" s="25">
        <f t="shared" si="1"/>
        <v>479920.67392499978</v>
      </c>
    </row>
    <row r="11" spans="1:15" x14ac:dyDescent="0.25">
      <c r="A11" s="112" t="s">
        <v>7</v>
      </c>
      <c r="B11" s="113"/>
      <c r="C11" s="113"/>
      <c r="D11" s="113"/>
      <c r="E11" s="113"/>
      <c r="F11" s="113"/>
      <c r="G11" s="113"/>
      <c r="H11" s="113"/>
      <c r="I11" s="113"/>
      <c r="J11" s="114"/>
      <c r="K11" s="13"/>
      <c r="L11" s="13"/>
      <c r="M11" s="13"/>
      <c r="N11" s="13"/>
      <c r="O11" s="19">
        <f>SUM(N11-L11)</f>
        <v>0</v>
      </c>
    </row>
    <row r="12" spans="1:15" x14ac:dyDescent="0.25">
      <c r="A12" s="26">
        <v>275.39999999999998</v>
      </c>
      <c r="B12" s="26" t="s">
        <v>4</v>
      </c>
      <c r="C12" s="26">
        <v>53</v>
      </c>
      <c r="D12" s="27">
        <v>35446</v>
      </c>
      <c r="E12" s="15">
        <f>SUM(D12/C12)</f>
        <v>668.79245283018872</v>
      </c>
      <c r="F12" s="28">
        <v>2.3599999999999999E-2</v>
      </c>
      <c r="G12" s="28">
        <f>SUM(F12*D12)</f>
        <v>836.52559999999994</v>
      </c>
      <c r="H12" s="29">
        <v>919.68799999999999</v>
      </c>
      <c r="I12" s="29"/>
      <c r="J12" s="29">
        <f>SUM(G12-H12)</f>
        <v>-83.162400000000048</v>
      </c>
      <c r="K12" s="18">
        <f>SUM(D19/2)</f>
        <v>13.025</v>
      </c>
      <c r="L12" s="18">
        <f>SUM(K12*F12*D12)</f>
        <v>10895.745940000001</v>
      </c>
      <c r="M12" s="18">
        <f>SUM((K12*0.33)+K12)</f>
        <v>17.323250000000002</v>
      </c>
      <c r="N12" s="18">
        <f>SUM(M12*F12*D12)</f>
        <v>14491.342100200001</v>
      </c>
      <c r="O12" s="19">
        <f t="shared" si="1"/>
        <v>3595.5961602000007</v>
      </c>
    </row>
    <row r="13" spans="1:15" x14ac:dyDescent="0.25">
      <c r="A13" s="26"/>
      <c r="B13" s="26"/>
      <c r="C13" s="26"/>
      <c r="D13" s="30"/>
      <c r="E13" s="42"/>
      <c r="F13" s="28"/>
      <c r="G13" s="28"/>
      <c r="H13" s="29"/>
      <c r="I13" s="29"/>
      <c r="J13" s="29"/>
      <c r="K13" s="18"/>
      <c r="L13" s="18"/>
      <c r="M13" s="18"/>
      <c r="N13" s="18"/>
      <c r="O13" s="19">
        <f t="shared" si="1"/>
        <v>0</v>
      </c>
    </row>
    <row r="14" spans="1:15" x14ac:dyDescent="0.25">
      <c r="A14" s="123" t="s">
        <v>43</v>
      </c>
      <c r="B14" s="123"/>
      <c r="C14" s="123"/>
      <c r="D14" s="123"/>
      <c r="E14" s="123"/>
      <c r="F14" s="123"/>
      <c r="G14" s="31">
        <f>SUM(G10,G12)</f>
        <v>112491.42559999999</v>
      </c>
      <c r="H14" s="32">
        <f>SUM(H10,H12)</f>
        <v>115514.398</v>
      </c>
      <c r="I14" s="32"/>
      <c r="J14" s="32">
        <f>SUM(G14-H14)</f>
        <v>-3022.9724000000133</v>
      </c>
      <c r="K14" s="33"/>
      <c r="L14" s="34">
        <f>SUM(L12,L10)</f>
        <v>1465200.8184400003</v>
      </c>
      <c r="M14" s="33"/>
      <c r="N14" s="35">
        <f>SUM(N12,N10)</f>
        <v>1948717.0885252</v>
      </c>
      <c r="O14" s="25">
        <f t="shared" si="1"/>
        <v>483516.27008519974</v>
      </c>
    </row>
    <row r="18" spans="2:13" x14ac:dyDescent="0.25">
      <c r="B18" s="5" t="s">
        <v>36</v>
      </c>
    </row>
    <row r="19" spans="2:13" ht="24" x14ac:dyDescent="0.35">
      <c r="D19" s="36">
        <v>26.05</v>
      </c>
      <c r="E19" s="36"/>
      <c r="F19" s="36" t="s">
        <v>47</v>
      </c>
      <c r="G19" s="36"/>
      <c r="H19" s="36"/>
      <c r="I19" s="36"/>
      <c r="J19" s="36"/>
      <c r="K19" s="3" t="s">
        <v>28</v>
      </c>
      <c r="L19" s="37"/>
      <c r="M19" s="37"/>
    </row>
    <row r="20" spans="2:13" x14ac:dyDescent="0.25">
      <c r="D20" s="36"/>
      <c r="E20" s="36"/>
      <c r="F20" s="36"/>
      <c r="G20" s="36"/>
      <c r="H20" s="36"/>
      <c r="I20" s="36"/>
      <c r="J20" s="36"/>
      <c r="K20" s="38"/>
      <c r="L20" s="38"/>
      <c r="M20" s="38"/>
    </row>
    <row r="21" spans="2:13" ht="46" x14ac:dyDescent="0.25">
      <c r="D21" s="36">
        <v>59.15</v>
      </c>
      <c r="E21" s="36"/>
      <c r="F21" s="36" t="s">
        <v>48</v>
      </c>
      <c r="G21" s="36"/>
      <c r="H21" s="36"/>
      <c r="I21" s="36"/>
      <c r="J21" s="36"/>
      <c r="K21" s="38"/>
      <c r="L21" s="38"/>
      <c r="M21" s="38"/>
    </row>
    <row r="22" spans="2:13" x14ac:dyDescent="0.25">
      <c r="D22" s="36">
        <v>7.25</v>
      </c>
      <c r="E22" s="36"/>
      <c r="F22" s="36" t="s">
        <v>29</v>
      </c>
      <c r="G22" s="36"/>
      <c r="H22" s="36"/>
      <c r="I22" s="36"/>
      <c r="J22" s="36"/>
      <c r="K22" s="38"/>
      <c r="L22" s="38"/>
      <c r="M22" s="38"/>
    </row>
  </sheetData>
  <mergeCells count="6">
    <mergeCell ref="A14:F14"/>
    <mergeCell ref="A10:D10"/>
    <mergeCell ref="A3:J3"/>
    <mergeCell ref="A2:J2"/>
    <mergeCell ref="A5:J5"/>
    <mergeCell ref="A11:J11"/>
  </mergeCells>
  <hyperlinks>
    <hyperlink ref="K19" r:id="rId1"/>
  </hyperlinks>
  <pageMargins left="0.7" right="0.7" top="0.75" bottom="0.75" header="0.3" footer="0.3"/>
  <pageSetup scale="7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Reporting Recordkeeping Burden</vt:lpstr>
      <vt:lpstr>respondent costs</vt:lpstr>
      <vt:lpstr>Annualized Costs to Gov't</vt:lpstr>
      <vt:lpstr>burden and cost to respondents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Denwiddie, Evelyn - FNS</dc:creator>
  <cp:lastModifiedBy>Ragland-Greene, Rachelle - FNS</cp:lastModifiedBy>
  <cp:lastPrinted>2020-01-28T16:44:26Z</cp:lastPrinted>
  <dcterms:created xsi:type="dcterms:W3CDTF">2019-09-25T14:13:27Z</dcterms:created>
  <dcterms:modified xsi:type="dcterms:W3CDTF">2021-04-30T17:33:17Z</dcterms:modified>
</cp:coreProperties>
</file>