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S:\Innovation_Center\Regulations\Paperwork Reduction Act\RHS\0575-NEW\"/>
    </mc:Choice>
  </mc:AlternateContent>
  <xr:revisionPtr revIDLastSave="0" documentId="8_{A8F88A2F-7717-45E2-9F72-EBC8917D9020}" xr6:coauthVersionLast="45" xr6:coauthVersionMax="45" xr10:uidLastSave="{00000000-0000-0000-0000-000000000000}"/>
  <bookViews>
    <workbookView xWindow="28680" yWindow="-120" windowWidth="21840" windowHeight="13140" xr2:uid="{B270223C-39A1-4403-A4B3-7FA0342BDC0B}"/>
  </bookViews>
  <sheets>
    <sheet name="Public Burden -  Summary" sheetId="1" r:id="rId1"/>
    <sheet name="Staff Burden" sheetId="3" r:id="rId2"/>
    <sheet name="Est. Appl &amp; Grante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1" l="1"/>
  <c r="B6" i="2"/>
  <c r="F46" i="1" l="1"/>
  <c r="H46" i="1" s="1"/>
  <c r="D48" i="1"/>
  <c r="F48" i="1" s="1"/>
  <c r="H48" i="1" s="1"/>
  <c r="D47" i="1"/>
  <c r="F47" i="1" s="1"/>
  <c r="H47" i="1" s="1"/>
  <c r="F5" i="3"/>
  <c r="F6" i="3"/>
  <c r="F7" i="3"/>
  <c r="F8" i="3" s="1"/>
  <c r="F4" i="3"/>
  <c r="D17" i="1"/>
  <c r="K15" i="1"/>
  <c r="K16" i="1"/>
  <c r="K17" i="1"/>
  <c r="K18" i="1"/>
  <c r="K19" i="1"/>
  <c r="K20" i="1"/>
  <c r="K21" i="1"/>
  <c r="K22" i="1"/>
  <c r="K23" i="1"/>
  <c r="K24" i="1"/>
  <c r="K25" i="1"/>
  <c r="K43" i="1"/>
  <c r="K44" i="1"/>
  <c r="K45" i="1"/>
  <c r="K33" i="1"/>
  <c r="K34" i="1"/>
  <c r="K35" i="1"/>
  <c r="K36" i="1"/>
  <c r="K42" i="1"/>
  <c r="K49" i="1"/>
  <c r="K29" i="1"/>
  <c r="K14" i="1"/>
  <c r="L47" i="1" l="1"/>
  <c r="J47" i="1"/>
  <c r="L48" i="1"/>
  <c r="J48" i="1"/>
  <c r="L46" i="1"/>
  <c r="J46" i="1"/>
  <c r="F17" i="1"/>
  <c r="H17" i="1" s="1"/>
  <c r="G4" i="2"/>
  <c r="B10" i="2" s="1"/>
  <c r="F5" i="2"/>
  <c r="E5" i="2"/>
  <c r="G5" i="2" s="1"/>
  <c r="F4" i="2"/>
  <c r="E4" i="2"/>
  <c r="D16" i="1" l="1"/>
  <c r="F16" i="1" s="1"/>
  <c r="H16" i="1" s="1"/>
  <c r="B12" i="2"/>
  <c r="D14" i="1" s="1"/>
  <c r="D22" i="1"/>
  <c r="F22" i="1" s="1"/>
  <c r="H22" i="1" s="1"/>
  <c r="L22" i="1" s="1"/>
  <c r="G6" i="2"/>
  <c r="D19" i="1"/>
  <c r="F19" i="1" s="1"/>
  <c r="H19" i="1" s="1"/>
  <c r="J19" i="1" s="1"/>
  <c r="D33" i="1"/>
  <c r="F33" i="1" s="1"/>
  <c r="H33" i="1" s="1"/>
  <c r="J17" i="1"/>
  <c r="L17" i="1"/>
  <c r="D15" i="1" l="1"/>
  <c r="F15" i="1" s="1"/>
  <c r="H15" i="1" s="1"/>
  <c r="J15" i="1" s="1"/>
  <c r="D18" i="1"/>
  <c r="L19" i="1"/>
  <c r="D35" i="1"/>
  <c r="F35" i="1" s="1"/>
  <c r="H35" i="1" s="1"/>
  <c r="J35" i="1" s="1"/>
  <c r="D34" i="1"/>
  <c r="F34" i="1" s="1"/>
  <c r="H34" i="1" s="1"/>
  <c r="J34" i="1" s="1"/>
  <c r="J16" i="1"/>
  <c r="L16" i="1"/>
  <c r="J22" i="1"/>
  <c r="D21" i="1"/>
  <c r="F21" i="1" s="1"/>
  <c r="H21" i="1" s="1"/>
  <c r="J21" i="1" s="1"/>
  <c r="F14" i="1"/>
  <c r="D25" i="1"/>
  <c r="F25" i="1" s="1"/>
  <c r="D24" i="1"/>
  <c r="F24" i="1" s="1"/>
  <c r="H24" i="1" s="1"/>
  <c r="J24" i="1" s="1"/>
  <c r="D23" i="1"/>
  <c r="F23" i="1" s="1"/>
  <c r="H23" i="1" s="1"/>
  <c r="J23" i="1" s="1"/>
  <c r="D20" i="1"/>
  <c r="F20" i="1" s="1"/>
  <c r="H20" i="1" s="1"/>
  <c r="J20" i="1" s="1"/>
  <c r="D36" i="1"/>
  <c r="F36" i="1" s="1"/>
  <c r="H36" i="1" s="1"/>
  <c r="J36" i="1" s="1"/>
  <c r="D43" i="1"/>
  <c r="D29" i="1"/>
  <c r="F29" i="1" s="1"/>
  <c r="H29" i="1" s="1"/>
  <c r="D49" i="1"/>
  <c r="F49" i="1" s="1"/>
  <c r="H49" i="1" s="1"/>
  <c r="J49" i="1" s="1"/>
  <c r="D42" i="1"/>
  <c r="F42" i="1" s="1"/>
  <c r="H42" i="1" s="1"/>
  <c r="J42" i="1" s="1"/>
  <c r="J33" i="1"/>
  <c r="L33" i="1"/>
  <c r="L15" i="1" l="1"/>
  <c r="L20" i="1"/>
  <c r="H14" i="1"/>
  <c r="L14" i="1" s="1"/>
  <c r="H25" i="1"/>
  <c r="F18" i="1"/>
  <c r="L24" i="1"/>
  <c r="L35" i="1"/>
  <c r="L21" i="1"/>
  <c r="L34" i="1"/>
  <c r="L42" i="1"/>
  <c r="L36" i="1"/>
  <c r="L49" i="1"/>
  <c r="L23" i="1"/>
  <c r="L29" i="1"/>
  <c r="J29" i="1"/>
  <c r="D45" i="1"/>
  <c r="F45" i="1" s="1"/>
  <c r="H45" i="1" s="1"/>
  <c r="D44" i="1"/>
  <c r="F43" i="1"/>
  <c r="J14" i="1" l="1"/>
  <c r="H18" i="1"/>
  <c r="H26" i="1" s="1"/>
  <c r="F44" i="1"/>
  <c r="F52" i="1" s="1"/>
  <c r="J25" i="1"/>
  <c r="L25" i="1"/>
  <c r="H43" i="1"/>
  <c r="L45" i="1"/>
  <c r="J45" i="1"/>
  <c r="H44" i="1" l="1"/>
  <c r="L18" i="1"/>
  <c r="J18" i="1"/>
  <c r="J43" i="1"/>
  <c r="L43" i="1"/>
  <c r="L44" i="1" l="1"/>
  <c r="J44" i="1"/>
</calcChain>
</file>

<file path=xl/sharedStrings.xml><?xml version="1.0" encoding="utf-8"?>
<sst xmlns="http://schemas.openxmlformats.org/spreadsheetml/2006/main" count="155" uniqueCount="127">
  <si>
    <t xml:space="preserve">         IDENTIFICATION  OF  REPORTING  AND  RECORDKEEPPING  REQUIREMENTS</t>
  </si>
  <si>
    <t>ANNUAL  BURDEN</t>
  </si>
  <si>
    <t>https://www.bls.gov/oes/current/oes_stru.htm#13-0000</t>
  </si>
  <si>
    <t>FORM</t>
  </si>
  <si>
    <t>REPORTS</t>
  </si>
  <si>
    <t>hourly wage</t>
  </si>
  <si>
    <t>w/ benefits</t>
  </si>
  <si>
    <t>NO(s)</t>
  </si>
  <si>
    <t>NO.  OF</t>
  </si>
  <si>
    <t>TOTAL</t>
  </si>
  <si>
    <t>HOURS</t>
  </si>
  <si>
    <t>Wages</t>
  </si>
  <si>
    <t>Cost to</t>
  </si>
  <si>
    <t>Wage</t>
  </si>
  <si>
    <t>11-3031 Financial Manager</t>
  </si>
  <si>
    <t>Plan, direct, or coordinate accounting, investing, banking, insurance, securities, and other financial activities of a branch, office, or department of an establishment. Excludes "Financial Risk Specialists" (13-2054).</t>
  </si>
  <si>
    <t>SECTION  OF</t>
  </si>
  <si>
    <t>(If  "none"</t>
  </si>
  <si>
    <t>RESPON-</t>
  </si>
  <si>
    <t>RESPONSES</t>
  </si>
  <si>
    <t>ANNUAL</t>
  </si>
  <si>
    <t>PER</t>
  </si>
  <si>
    <t>Class</t>
  </si>
  <si>
    <t>the public</t>
  </si>
  <si>
    <t>incl benefits</t>
  </si>
  <si>
    <t>11-1021 General and Operations Mgrs</t>
  </si>
  <si>
    <t>Plan, direct, or coordinate the operations of public or private sector organizations, overseeing multiple departments or locations.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Usually manage through subordinate supervisors. Excludes First-Line Supervisors.</t>
  </si>
  <si>
    <t>REGULATIONS</t>
  </si>
  <si>
    <t>DESCRIPTION</t>
  </si>
  <si>
    <t>so  state)</t>
  </si>
  <si>
    <t>DENTS</t>
  </si>
  <si>
    <t>RESPONSE</t>
  </si>
  <si>
    <t>(Col.  f  &amp;  g)</t>
  </si>
  <si>
    <t>13-2098 Financial specialists</t>
  </si>
  <si>
    <t>(Col.  d  &amp;  e)</t>
  </si>
  <si>
    <t>$ / hr</t>
  </si>
  <si>
    <t>(h) x (i)</t>
  </si>
  <si>
    <t>(i) x 1.31</t>
  </si>
  <si>
    <t>(h) x (k)</t>
  </si>
  <si>
    <t>DENT</t>
  </si>
  <si>
    <t>(a)</t>
  </si>
  <si>
    <t>(b)</t>
  </si>
  <si>
    <t>(c)</t>
  </si>
  <si>
    <t>(d)</t>
  </si>
  <si>
    <t>(e)</t>
  </si>
  <si>
    <t>(f)</t>
  </si>
  <si>
    <t>(g)</t>
  </si>
  <si>
    <t>(h)</t>
  </si>
  <si>
    <t>(i)</t>
  </si>
  <si>
    <t>(j)</t>
  </si>
  <si>
    <t>(k)</t>
  </si>
  <si>
    <t>(l)</t>
  </si>
  <si>
    <t>APPLICATION SUBMISSIONS - NON FORMS</t>
  </si>
  <si>
    <t>Summary Page &amp; Table of Contents</t>
  </si>
  <si>
    <t>written</t>
  </si>
  <si>
    <t>Evidence of Legal Existence and Authority</t>
  </si>
  <si>
    <t>Narrative - Project Proposal, Track I</t>
  </si>
  <si>
    <t>Narrative - Project Proposal, Track II</t>
  </si>
  <si>
    <t>Environmental Information in response to 7 CFR 1970</t>
  </si>
  <si>
    <t>Preliminary Architectural Feasibility Report or Engineering Documentation</t>
  </si>
  <si>
    <t>Matching Funds Certification &amp; Documentation</t>
  </si>
  <si>
    <t>Audits/Financial Statements</t>
  </si>
  <si>
    <t>CPA Certifications Regarding Funds Requested</t>
  </si>
  <si>
    <t>Intergovernmental Review Comments</t>
  </si>
  <si>
    <t xml:space="preserve">Documentation of Assistance Provided to Rural Development Employees </t>
  </si>
  <si>
    <t>Indirect Cost Rate Agreement</t>
  </si>
  <si>
    <t xml:space="preserve">                                                                                                     Subtotal:</t>
  </si>
  <si>
    <r>
      <t>Form RD 3570-3</t>
    </r>
    <r>
      <rPr>
        <sz val="9"/>
        <color theme="1"/>
        <rFont val="Courier"/>
      </rPr>
      <t> </t>
    </r>
    <r>
      <rPr>
        <sz val="9"/>
        <color theme="1"/>
        <rFont val="Times New Roman"/>
        <family val="1"/>
      </rPr>
      <t>, “Community Facilities Grant Agreement.”</t>
    </r>
  </si>
  <si>
    <t>RD-3570</t>
  </si>
  <si>
    <r>
      <t>Form RD 400-1, “Equal Opportunity Agreement”</t>
    </r>
    <r>
      <rPr>
        <sz val="9"/>
        <color theme="1"/>
        <rFont val="Courier"/>
      </rPr>
      <t> </t>
    </r>
  </si>
  <si>
    <t>RD 400-1</t>
  </si>
  <si>
    <t>Form RD 400-4, “Assurance Agreement”</t>
  </si>
  <si>
    <t>RD 400-4</t>
  </si>
  <si>
    <t>Form RD 442-7, "Operating Budget"</t>
  </si>
  <si>
    <t>RD 442-7</t>
  </si>
  <si>
    <t>Form RD 442-2, "Statement of Budget, Income and Equity"</t>
  </si>
  <si>
    <t>RD 442-2</t>
  </si>
  <si>
    <t>Form RD 442-3, "Balance Sheet"</t>
  </si>
  <si>
    <t>RD 442-3</t>
  </si>
  <si>
    <t>REPORTING REQs - NON FORMS</t>
  </si>
  <si>
    <t xml:space="preserve">Lease/Management Agreement </t>
  </si>
  <si>
    <t xml:space="preserve">Liens on real property </t>
  </si>
  <si>
    <t xml:space="preserve">Interim Financing </t>
  </si>
  <si>
    <t xml:space="preserve">Audits/Financial Statements </t>
  </si>
  <si>
    <t xml:space="preserve">                                                                                                   Subtotal:</t>
  </si>
  <si>
    <t>Form SF 425 - “Federal Financial Report” (OMB No. 4040-0014)</t>
  </si>
  <si>
    <t>SF-425</t>
  </si>
  <si>
    <t>Form SF 424 - “Application for Federal Assistance” (OMB No. 4040-0004)</t>
  </si>
  <si>
    <t>SF-424</t>
  </si>
  <si>
    <t>AD Form 1047 – “Certification Regarding Debarment, Suspension, and Other Responsibility Matters”</t>
  </si>
  <si>
    <t>AD-1047</t>
  </si>
  <si>
    <t>Avg Grade Level</t>
  </si>
  <si>
    <t># Staff</t>
  </si>
  <si>
    <t>Annual Salary</t>
  </si>
  <si>
    <t>% of Time</t>
  </si>
  <si>
    <t>Cost to Administer</t>
  </si>
  <si>
    <t>Note</t>
  </si>
  <si>
    <t>National Office</t>
  </si>
  <si>
    <t>14/5</t>
  </si>
  <si>
    <t>13/5</t>
  </si>
  <si>
    <t>State Office (rest of US)</t>
  </si>
  <si>
    <t>11/5</t>
  </si>
  <si>
    <t>Revised 5/10/21 to GS 11/5</t>
  </si>
  <si>
    <t>Estimated Awardees</t>
  </si>
  <si>
    <t>Available Funding</t>
  </si>
  <si>
    <t>Avg Grant Size - Low</t>
  </si>
  <si>
    <t>Avg Grant Size - Hi</t>
  </si>
  <si>
    <t>Est. # Low</t>
  </si>
  <si>
    <t>Est. # High</t>
  </si>
  <si>
    <t>Est. # Total Awards</t>
  </si>
  <si>
    <t>Explanation</t>
  </si>
  <si>
    <t>Track I</t>
  </si>
  <si>
    <t>Estimating that approx 40% of the Track I funding will go to smaller projects requesting equipment, etc.; Estimating approx 60% of funding goes to projects involving construction.</t>
  </si>
  <si>
    <t>Track II</t>
  </si>
  <si>
    <t>Estimated Applicants</t>
  </si>
  <si>
    <t>Estimating slightly higher # of applicants than awardees, assuming  we will run out of available funding and stop accepting applications</t>
  </si>
  <si>
    <t>Estimated Time for RD Employees</t>
  </si>
  <si>
    <t>#</t>
  </si>
  <si>
    <t>National Office Employees</t>
  </si>
  <si>
    <t>State Office Specialists</t>
  </si>
  <si>
    <t xml:space="preserve">Subtotal </t>
  </si>
  <si>
    <t xml:space="preserve"> APPLICATION SUBMISSIONS - FORMS</t>
  </si>
  <si>
    <t>REPORTING REQUIREMENTS – FORMS APPROVED UNDER OTHER OMB DOCKET NUMBERS</t>
  </si>
  <si>
    <t>OMB No. 0575-NEW</t>
  </si>
  <si>
    <t>Estimated total for this collection</t>
  </si>
  <si>
    <t xml:space="preserve">                                                                                           Total</t>
  </si>
  <si>
    <t>American Rescue Plan Act (ARPA) Emergency Rural Health Care (ERHC) Grant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</si>
</sst>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font>
      <sz val="11"/>
      <color theme="1"/>
      <name val="Calibri"/>
      <family val="2"/>
      <scheme val="minor"/>
    </font>
    <font>
      <sz val="11"/>
      <color theme="1"/>
      <name val="Calibri"/>
      <family val="2"/>
      <scheme val="minor"/>
    </font>
    <font>
      <sz val="10"/>
      <name val="Arial"/>
    </font>
    <font>
      <sz val="7"/>
      <color indexed="8"/>
      <name val="DUTCH"/>
    </font>
    <font>
      <sz val="8"/>
      <color indexed="8"/>
      <name val="DUTCH"/>
    </font>
    <font>
      <i/>
      <sz val="8"/>
      <color indexed="8"/>
      <name val="DUTCH"/>
    </font>
    <font>
      <i/>
      <sz val="7"/>
      <color indexed="8"/>
      <name val="DUTCH"/>
    </font>
    <font>
      <b/>
      <sz val="10"/>
      <name val="Arial"/>
      <family val="2"/>
    </font>
    <font>
      <sz val="9"/>
      <name val="Arial"/>
      <family val="2"/>
    </font>
    <font>
      <sz val="9"/>
      <color theme="1"/>
      <name val="Calibri"/>
      <family val="2"/>
      <scheme val="minor"/>
    </font>
    <font>
      <sz val="9"/>
      <color theme="1"/>
      <name val="Times New Roman"/>
      <family val="1"/>
    </font>
    <font>
      <sz val="9"/>
      <color theme="1"/>
      <name val="Courier"/>
    </font>
    <font>
      <b/>
      <sz val="12"/>
      <color theme="1"/>
      <name val="Calibri"/>
      <family val="2"/>
      <scheme val="minor"/>
    </font>
    <font>
      <b/>
      <sz val="14"/>
      <color theme="1"/>
      <name val="Calibri"/>
      <family val="2"/>
      <scheme val="minor"/>
    </font>
    <font>
      <sz val="11"/>
      <color rgb="FF333333"/>
      <name val="Tahoma"/>
      <family val="2"/>
    </font>
    <font>
      <sz val="9"/>
      <name val="Calibri"/>
      <family val="2"/>
      <scheme val="minor"/>
    </font>
    <font>
      <b/>
      <sz val="9"/>
      <color theme="1"/>
      <name val="Times New Roman"/>
      <family val="1"/>
    </font>
    <font>
      <sz val="9"/>
      <color rgb="FFFF0000"/>
      <name val="Arial"/>
      <family val="2"/>
    </font>
    <font>
      <b/>
      <sz val="9"/>
      <name val="Arial"/>
      <family val="2"/>
    </font>
    <font>
      <b/>
      <sz val="9"/>
      <color theme="1"/>
      <name val="Calibri"/>
      <family val="2"/>
      <scheme val="minor"/>
    </font>
    <font>
      <sz val="9"/>
      <color rgb="FFFF0000"/>
      <name val="Calibri"/>
      <family val="2"/>
      <scheme val="minor"/>
    </font>
    <font>
      <b/>
      <u/>
      <sz val="9"/>
      <color rgb="FFFF0000"/>
      <name val="Times New Roman"/>
      <family val="1"/>
    </font>
    <font>
      <sz val="9"/>
      <color indexed="8"/>
      <name val="Times New Roman"/>
      <family val="1"/>
    </font>
    <font>
      <b/>
      <sz val="9"/>
      <color rgb="FF000000"/>
      <name val="Times New Roman"/>
      <family val="1"/>
    </font>
    <font>
      <sz val="9"/>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7">
    <border>
      <left/>
      <right/>
      <top/>
      <bottom/>
      <diagonal/>
    </border>
    <border>
      <left style="medium">
        <color indexed="8"/>
      </left>
      <right/>
      <top/>
      <bottom/>
      <diagonal/>
    </border>
    <border>
      <left style="thin">
        <color indexed="8"/>
      </left>
      <right/>
      <top/>
      <bottom/>
      <diagonal/>
    </border>
    <border>
      <left/>
      <right/>
      <top/>
      <bottom style="thin">
        <color indexed="8"/>
      </bottom>
      <diagonal/>
    </border>
    <border>
      <left style="medium">
        <color indexed="8"/>
      </left>
      <right/>
      <top/>
      <bottom style="thin">
        <color indexed="8"/>
      </bottom>
      <diagonal/>
    </border>
    <border>
      <left style="thin">
        <color indexed="8"/>
      </left>
      <right style="thin">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right/>
      <top/>
      <bottom style="medium">
        <color indexed="64"/>
      </bottom>
      <diagonal/>
    </border>
    <border>
      <left style="medium">
        <color indexed="8"/>
      </left>
      <right/>
      <top/>
      <bottom style="thin">
        <color indexed="64"/>
      </bottom>
      <diagonal/>
    </border>
    <border>
      <left/>
      <right/>
      <top/>
      <bottom style="thin">
        <color indexed="64"/>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130">
    <xf numFmtId="0" fontId="0" fillId="0" borderId="0" xfId="0"/>
    <xf numFmtId="37" fontId="4" fillId="0" borderId="0" xfId="3" applyNumberFormat="1" applyFont="1" applyProtection="1"/>
    <xf numFmtId="37" fontId="3" fillId="0" borderId="0" xfId="3" applyNumberFormat="1" applyFont="1" applyAlignment="1" applyProtection="1">
      <alignment horizontal="center"/>
    </xf>
    <xf numFmtId="37" fontId="4" fillId="0" borderId="6" xfId="3" applyNumberFormat="1" applyFont="1" applyBorder="1" applyProtection="1"/>
    <xf numFmtId="37" fontId="4" fillId="0" borderId="7" xfId="3" applyNumberFormat="1" applyFont="1" applyBorder="1" applyProtection="1"/>
    <xf numFmtId="37" fontId="4" fillId="0" borderId="7" xfId="3" applyNumberFormat="1" applyFont="1" applyBorder="1" applyAlignment="1" applyProtection="1">
      <alignment horizontal="center"/>
    </xf>
    <xf numFmtId="37" fontId="4" fillId="0" borderId="3" xfId="3" applyNumberFormat="1" applyFont="1" applyBorder="1" applyProtection="1"/>
    <xf numFmtId="37" fontId="4" fillId="0" borderId="3" xfId="3" applyNumberFormat="1" applyFont="1" applyBorder="1" applyAlignment="1" applyProtection="1">
      <alignment horizontal="center"/>
    </xf>
    <xf numFmtId="37" fontId="3" fillId="0" borderId="7" xfId="3" applyNumberFormat="1" applyFont="1" applyBorder="1" applyAlignment="1" applyProtection="1">
      <alignment horizontal="center"/>
    </xf>
    <xf numFmtId="37" fontId="4" fillId="0" borderId="6" xfId="3" applyNumberFormat="1" applyFont="1" applyBorder="1" applyAlignment="1" applyProtection="1">
      <alignment horizontal="center"/>
    </xf>
    <xf numFmtId="37" fontId="6" fillId="0" borderId="7" xfId="3" applyNumberFormat="1" applyFont="1" applyBorder="1" applyAlignment="1" applyProtection="1">
      <alignment horizontal="center"/>
    </xf>
    <xf numFmtId="37" fontId="6" fillId="0" borderId="0" xfId="3" applyNumberFormat="1" applyFont="1" applyAlignment="1" applyProtection="1">
      <alignment horizontal="center"/>
    </xf>
    <xf numFmtId="37" fontId="5" fillId="0" borderId="8" xfId="3" applyNumberFormat="1" applyFont="1" applyBorder="1" applyAlignment="1" applyProtection="1">
      <alignment horizontal="center"/>
    </xf>
    <xf numFmtId="37" fontId="5" fillId="0" borderId="9" xfId="3" applyNumberFormat="1" applyFont="1" applyBorder="1" applyAlignment="1" applyProtection="1">
      <alignment horizontal="center"/>
    </xf>
    <xf numFmtId="0" fontId="2" fillId="0" borderId="1" xfId="3" applyBorder="1"/>
    <xf numFmtId="0" fontId="7" fillId="0" borderId="0" xfId="3" applyFont="1"/>
    <xf numFmtId="0" fontId="2" fillId="0" borderId="0" xfId="3" applyBorder="1"/>
    <xf numFmtId="37" fontId="5" fillId="0" borderId="10" xfId="3" applyNumberFormat="1" applyFont="1" applyBorder="1" applyAlignment="1" applyProtection="1">
      <alignment horizontal="center"/>
    </xf>
    <xf numFmtId="37" fontId="5" fillId="0" borderId="11" xfId="3" applyNumberFormat="1" applyFont="1" applyBorder="1" applyAlignment="1" applyProtection="1">
      <alignment horizontal="center"/>
    </xf>
    <xf numFmtId="37" fontId="5" fillId="0" borderId="12" xfId="3" applyNumberFormat="1" applyFont="1" applyBorder="1" applyAlignment="1" applyProtection="1">
      <alignment horizontal="center"/>
    </xf>
    <xf numFmtId="0" fontId="8" fillId="0" borderId="1" xfId="3" applyFont="1" applyBorder="1"/>
    <xf numFmtId="0" fontId="8" fillId="0" borderId="5" xfId="3" applyFont="1" applyBorder="1"/>
    <xf numFmtId="0" fontId="8" fillId="0" borderId="5" xfId="3" applyFont="1" applyBorder="1" applyAlignment="1">
      <alignment horizontal="center"/>
    </xf>
    <xf numFmtId="0" fontId="8" fillId="0" borderId="2" xfId="3" applyFont="1" applyBorder="1"/>
    <xf numFmtId="0" fontId="9" fillId="0" borderId="0" xfId="0" applyFont="1"/>
    <xf numFmtId="0" fontId="10" fillId="0" borderId="0" xfId="0" applyFont="1" applyAlignment="1">
      <alignment vertical="center"/>
    </xf>
    <xf numFmtId="0" fontId="8" fillId="0" borderId="0" xfId="3" applyFont="1" applyBorder="1"/>
    <xf numFmtId="0" fontId="8" fillId="0" borderId="0" xfId="3" applyFont="1" applyBorder="1" applyAlignment="1">
      <alignment horizontal="center"/>
    </xf>
    <xf numFmtId="0" fontId="10" fillId="0" borderId="0" xfId="0" applyFont="1"/>
    <xf numFmtId="164" fontId="0" fillId="0" borderId="0" xfId="1" applyNumberFormat="1" applyFont="1"/>
    <xf numFmtId="0" fontId="0" fillId="0" borderId="0" xfId="0" applyAlignment="1">
      <alignment wrapText="1"/>
    </xf>
    <xf numFmtId="164" fontId="0" fillId="0" borderId="0" xfId="1" applyNumberFormat="1" applyFont="1" applyAlignment="1">
      <alignment wrapText="1"/>
    </xf>
    <xf numFmtId="1" fontId="0" fillId="0" borderId="0" xfId="0" applyNumberFormat="1" applyAlignment="1">
      <alignment wrapText="1"/>
    </xf>
    <xf numFmtId="164" fontId="0" fillId="0" borderId="0" xfId="1" applyNumberFormat="1" applyFont="1" applyAlignment="1">
      <alignment horizontal="right" wrapText="1"/>
    </xf>
    <xf numFmtId="1" fontId="0" fillId="0" borderId="13" xfId="0" applyNumberFormat="1" applyBorder="1" applyAlignment="1">
      <alignment wrapText="1"/>
    </xf>
    <xf numFmtId="164" fontId="4" fillId="0" borderId="3" xfId="1" applyNumberFormat="1" applyFont="1" applyBorder="1" applyAlignment="1" applyProtection="1">
      <alignment horizontal="center"/>
    </xf>
    <xf numFmtId="164" fontId="3" fillId="0" borderId="7" xfId="1" applyNumberFormat="1" applyFont="1" applyBorder="1" applyAlignment="1" applyProtection="1">
      <alignment horizontal="center"/>
    </xf>
    <xf numFmtId="164" fontId="6" fillId="0" borderId="7" xfId="1" applyNumberFormat="1" applyFont="1" applyBorder="1" applyAlignment="1" applyProtection="1">
      <alignment horizontal="center"/>
    </xf>
    <xf numFmtId="164" fontId="4" fillId="0" borderId="7" xfId="1" applyNumberFormat="1" applyFont="1" applyBorder="1" applyAlignment="1" applyProtection="1">
      <alignment horizontal="center"/>
    </xf>
    <xf numFmtId="164" fontId="5" fillId="0" borderId="11" xfId="1" applyNumberFormat="1" applyFont="1" applyBorder="1" applyAlignment="1" applyProtection="1">
      <alignment horizontal="center"/>
    </xf>
    <xf numFmtId="164" fontId="8" fillId="0" borderId="5" xfId="1" applyNumberFormat="1" applyFont="1" applyBorder="1" applyAlignment="1">
      <alignment horizontal="center"/>
    </xf>
    <xf numFmtId="164" fontId="8" fillId="0" borderId="0" xfId="1" applyNumberFormat="1" applyFont="1" applyBorder="1" applyAlignment="1">
      <alignment horizontal="center"/>
    </xf>
    <xf numFmtId="164" fontId="2" fillId="0" borderId="0" xfId="1" applyNumberFormat="1" applyFont="1" applyBorder="1" applyAlignment="1">
      <alignment horizontal="center"/>
    </xf>
    <xf numFmtId="164" fontId="8" fillId="0" borderId="0" xfId="3" applyNumberFormat="1" applyFont="1" applyBorder="1"/>
    <xf numFmtId="0" fontId="0" fillId="0" borderId="0" xfId="0" applyAlignment="1"/>
    <xf numFmtId="0" fontId="12" fillId="0" borderId="0" xfId="0" applyFont="1" applyAlignment="1"/>
    <xf numFmtId="0" fontId="13" fillId="0" borderId="0" xfId="0" applyFont="1" applyAlignment="1"/>
    <xf numFmtId="9" fontId="0" fillId="0" borderId="0" xfId="2" applyFont="1" applyAlignment="1">
      <alignment wrapText="1"/>
    </xf>
    <xf numFmtId="37" fontId="3" fillId="0" borderId="0" xfId="3" applyNumberFormat="1" applyFont="1" applyFill="1" applyBorder="1" applyAlignment="1" applyProtection="1">
      <alignment horizontal="center"/>
    </xf>
    <xf numFmtId="37" fontId="3" fillId="0" borderId="14" xfId="3" applyNumberFormat="1" applyFont="1" applyFill="1" applyBorder="1" applyAlignment="1" applyProtection="1">
      <alignment horizontal="center"/>
    </xf>
    <xf numFmtId="37" fontId="3" fillId="0" borderId="15" xfId="3" applyNumberFormat="1" applyFont="1" applyFill="1" applyBorder="1" applyAlignment="1" applyProtection="1">
      <alignment horizontal="center"/>
    </xf>
    <xf numFmtId="164" fontId="9" fillId="0" borderId="0" xfId="0" applyNumberFormat="1" applyFont="1"/>
    <xf numFmtId="164" fontId="0" fillId="0" borderId="0" xfId="0" applyNumberFormat="1"/>
    <xf numFmtId="164" fontId="3" fillId="0" borderId="0" xfId="3" applyNumberFormat="1" applyFont="1" applyFill="1" applyBorder="1" applyAlignment="1" applyProtection="1">
      <alignment horizontal="center"/>
    </xf>
    <xf numFmtId="164" fontId="3" fillId="0" borderId="15" xfId="3" applyNumberFormat="1" applyFont="1" applyFill="1" applyBorder="1" applyAlignment="1" applyProtection="1">
      <alignment horizontal="center"/>
    </xf>
    <xf numFmtId="0" fontId="8" fillId="0" borderId="13" xfId="3" applyFont="1" applyBorder="1"/>
    <xf numFmtId="164" fontId="8" fillId="0" borderId="13" xfId="1" applyNumberFormat="1" applyFont="1" applyBorder="1" applyAlignment="1">
      <alignment horizontal="center"/>
    </xf>
    <xf numFmtId="0" fontId="8" fillId="0" borderId="13" xfId="3" applyFont="1" applyBorder="1" applyAlignment="1">
      <alignment horizontal="center"/>
    </xf>
    <xf numFmtId="164" fontId="8" fillId="0" borderId="13" xfId="3" applyNumberFormat="1" applyFont="1" applyBorder="1"/>
    <xf numFmtId="0" fontId="9" fillId="0" borderId="13" xfId="0" applyFont="1" applyBorder="1"/>
    <xf numFmtId="164" fontId="9" fillId="0" borderId="13" xfId="0" applyNumberFormat="1" applyFont="1" applyBorder="1"/>
    <xf numFmtId="9" fontId="3" fillId="0" borderId="0" xfId="3" applyNumberFormat="1" applyFont="1" applyFill="1" applyBorder="1" applyAlignment="1" applyProtection="1">
      <alignment horizontal="center"/>
    </xf>
    <xf numFmtId="2" fontId="9" fillId="0" borderId="0" xfId="0" applyNumberFormat="1" applyFont="1"/>
    <xf numFmtId="2" fontId="9" fillId="0" borderId="13" xfId="0" applyNumberFormat="1" applyFont="1" applyBorder="1"/>
    <xf numFmtId="0" fontId="15" fillId="0" borderId="0" xfId="0" applyFont="1"/>
    <xf numFmtId="37" fontId="15" fillId="0" borderId="0" xfId="3" applyNumberFormat="1" applyFont="1" applyFill="1" applyBorder="1" applyAlignment="1" applyProtection="1">
      <alignment horizontal="left"/>
    </xf>
    <xf numFmtId="0" fontId="15" fillId="0" borderId="0" xfId="0" applyFont="1" applyAlignment="1"/>
    <xf numFmtId="164" fontId="0" fillId="0" borderId="13" xfId="1" applyNumberFormat="1" applyFont="1" applyBorder="1" applyAlignment="1">
      <alignment wrapText="1"/>
    </xf>
    <xf numFmtId="0" fontId="0" fillId="0" borderId="0" xfId="0" applyAlignment="1">
      <alignment horizontal="center"/>
    </xf>
    <xf numFmtId="164" fontId="0" fillId="0" borderId="0" xfId="1" applyNumberFormat="1" applyFont="1" applyAlignment="1">
      <alignment horizontal="center"/>
    </xf>
    <xf numFmtId="0" fontId="0" fillId="0" borderId="13" xfId="0" applyBorder="1" applyAlignment="1">
      <alignment horizontal="center"/>
    </xf>
    <xf numFmtId="164" fontId="0" fillId="0" borderId="13" xfId="0" applyNumberFormat="1" applyBorder="1"/>
    <xf numFmtId="43" fontId="0" fillId="0" borderId="0" xfId="0" applyNumberFormat="1"/>
    <xf numFmtId="164" fontId="0" fillId="2" borderId="13" xfId="1" applyNumberFormat="1" applyFont="1" applyFill="1" applyBorder="1" applyAlignment="1">
      <alignment horizontal="center"/>
    </xf>
    <xf numFmtId="49" fontId="0" fillId="2" borderId="13" xfId="0" applyNumberFormat="1" applyFill="1" applyBorder="1" applyAlignment="1">
      <alignment horizontal="center"/>
    </xf>
    <xf numFmtId="164" fontId="8" fillId="3" borderId="0" xfId="3" applyNumberFormat="1" applyFont="1" applyFill="1" applyBorder="1"/>
    <xf numFmtId="0" fontId="8" fillId="0" borderId="20" xfId="3" applyFont="1" applyBorder="1"/>
    <xf numFmtId="0" fontId="8" fillId="0" borderId="20" xfId="3" applyFont="1" applyBorder="1" applyAlignment="1">
      <alignment horizontal="center"/>
    </xf>
    <xf numFmtId="0" fontId="16" fillId="0" borderId="17" xfId="0" applyFont="1" applyBorder="1" applyAlignment="1">
      <alignment vertical="center"/>
    </xf>
    <xf numFmtId="3" fontId="17" fillId="0" borderId="21" xfId="3" applyNumberFormat="1" applyFont="1" applyBorder="1"/>
    <xf numFmtId="164" fontId="17" fillId="0" borderId="20" xfId="1" applyNumberFormat="1" applyFont="1" applyBorder="1" applyAlignment="1">
      <alignment horizontal="center"/>
    </xf>
    <xf numFmtId="0" fontId="14" fillId="0" borderId="0" xfId="0" applyFont="1" applyAlignment="1"/>
    <xf numFmtId="0" fontId="18" fillId="0" borderId="1" xfId="3" applyFont="1" applyBorder="1"/>
    <xf numFmtId="0" fontId="19" fillId="0" borderId="0" xfId="0" applyFont="1"/>
    <xf numFmtId="164" fontId="19" fillId="0" borderId="0" xfId="0" applyNumberFormat="1" applyFont="1"/>
    <xf numFmtId="2" fontId="19" fillId="0" borderId="0" xfId="0" applyNumberFormat="1" applyFont="1"/>
    <xf numFmtId="0" fontId="18" fillId="0" borderId="16" xfId="3" applyFont="1" applyBorder="1"/>
    <xf numFmtId="164" fontId="18" fillId="0" borderId="16" xfId="1" applyNumberFormat="1" applyFont="1" applyBorder="1" applyAlignment="1">
      <alignment horizontal="center"/>
    </xf>
    <xf numFmtId="0" fontId="18" fillId="0" borderId="16" xfId="3" applyFont="1" applyBorder="1" applyAlignment="1">
      <alignment horizontal="center"/>
    </xf>
    <xf numFmtId="164" fontId="18" fillId="3" borderId="18" xfId="3" applyNumberFormat="1" applyFont="1" applyFill="1" applyBorder="1"/>
    <xf numFmtId="164" fontId="20" fillId="0" borderId="0" xfId="0" applyNumberFormat="1" applyFont="1"/>
    <xf numFmtId="3" fontId="0" fillId="0" borderId="0" xfId="0" applyNumberFormat="1"/>
    <xf numFmtId="0" fontId="16" fillId="0" borderId="0" xfId="0" applyFont="1" applyBorder="1"/>
    <xf numFmtId="0" fontId="18" fillId="0" borderId="0" xfId="3" applyFont="1" applyBorder="1"/>
    <xf numFmtId="164" fontId="18" fillId="0" borderId="0" xfId="1" applyNumberFormat="1" applyFont="1" applyBorder="1" applyAlignment="1">
      <alignment horizontal="center"/>
    </xf>
    <xf numFmtId="0" fontId="18" fillId="0" borderId="0" xfId="3" applyFont="1" applyBorder="1" applyAlignment="1">
      <alignment horizontal="center"/>
    </xf>
    <xf numFmtId="164" fontId="18" fillId="3" borderId="0" xfId="3" applyNumberFormat="1" applyFont="1" applyFill="1" applyBorder="1"/>
    <xf numFmtId="0" fontId="18" fillId="0" borderId="0" xfId="3" applyFont="1"/>
    <xf numFmtId="0" fontId="16" fillId="0" borderId="0" xfId="0" applyFont="1" applyAlignment="1">
      <alignment vertical="center"/>
    </xf>
    <xf numFmtId="0" fontId="16" fillId="0" borderId="22" xfId="0" applyFont="1" applyBorder="1"/>
    <xf numFmtId="0" fontId="18" fillId="0" borderId="23" xfId="3" applyFont="1" applyBorder="1"/>
    <xf numFmtId="164" fontId="18" fillId="0" borderId="23" xfId="1" applyNumberFormat="1" applyFont="1" applyBorder="1" applyAlignment="1">
      <alignment horizontal="center"/>
    </xf>
    <xf numFmtId="0" fontId="18" fillId="0" borderId="23" xfId="3" applyFont="1" applyBorder="1" applyAlignment="1">
      <alignment horizontal="center"/>
    </xf>
    <xf numFmtId="164" fontId="18" fillId="0" borderId="24" xfId="1" applyNumberFormat="1" applyFont="1" applyBorder="1" applyAlignment="1">
      <alignment horizontal="center"/>
    </xf>
    <xf numFmtId="0" fontId="18" fillId="0" borderId="25" xfId="3" applyFont="1" applyBorder="1"/>
    <xf numFmtId="164" fontId="18" fillId="3" borderId="25" xfId="3" applyNumberFormat="1" applyFont="1" applyFill="1" applyBorder="1"/>
    <xf numFmtId="0" fontId="19" fillId="0" borderId="23" xfId="0" applyFont="1" applyBorder="1"/>
    <xf numFmtId="164" fontId="19" fillId="0" borderId="23" xfId="0" applyNumberFormat="1" applyFont="1" applyBorder="1"/>
    <xf numFmtId="2" fontId="19" fillId="0" borderId="23" xfId="0" applyNumberFormat="1" applyFont="1" applyBorder="1"/>
    <xf numFmtId="164" fontId="19" fillId="0" borderId="26" xfId="0" applyNumberFormat="1" applyFont="1" applyBorder="1"/>
    <xf numFmtId="0" fontId="10" fillId="0" borderId="0" xfId="0" applyFont="1" applyBorder="1" applyAlignment="1">
      <alignment vertical="center"/>
    </xf>
    <xf numFmtId="0" fontId="9" fillId="0" borderId="0" xfId="0" applyFont="1" applyBorder="1"/>
    <xf numFmtId="164" fontId="9" fillId="0" borderId="0" xfId="0" applyNumberFormat="1" applyFont="1" applyBorder="1"/>
    <xf numFmtId="2" fontId="9" fillId="0" borderId="0" xfId="0" applyNumberFormat="1" applyFont="1" applyBorder="1"/>
    <xf numFmtId="0" fontId="16" fillId="0" borderId="22" xfId="0" applyFont="1" applyBorder="1" applyAlignment="1">
      <alignment horizontal="right" vertical="center"/>
    </xf>
    <xf numFmtId="0" fontId="10" fillId="0" borderId="13" xfId="0" applyFont="1" applyBorder="1" applyAlignment="1">
      <alignment vertical="center" wrapText="1"/>
    </xf>
    <xf numFmtId="164" fontId="18" fillId="0" borderId="23" xfId="3" applyNumberFormat="1" applyFont="1" applyBorder="1"/>
    <xf numFmtId="0" fontId="16" fillId="0" borderId="22" xfId="0" applyFont="1" applyBorder="1" applyAlignment="1">
      <alignment vertical="center"/>
    </xf>
    <xf numFmtId="0" fontId="21" fillId="0" borderId="19" xfId="0" applyFont="1" applyBorder="1" applyAlignment="1">
      <alignment horizontal="left" vertical="center" indent="6"/>
    </xf>
    <xf numFmtId="0" fontId="0" fillId="0" borderId="0" xfId="0" applyAlignment="1">
      <alignment vertical="center"/>
    </xf>
    <xf numFmtId="37" fontId="22" fillId="0" borderId="4" xfId="3" applyNumberFormat="1" applyFont="1" applyBorder="1" applyProtection="1"/>
    <xf numFmtId="37" fontId="22" fillId="0" borderId="3" xfId="3" applyNumberFormat="1" applyFont="1" applyBorder="1" applyProtection="1"/>
    <xf numFmtId="37" fontId="22" fillId="0" borderId="5" xfId="3" applyNumberFormat="1" applyFont="1" applyBorder="1" applyProtection="1"/>
    <xf numFmtId="164" fontId="22" fillId="0" borderId="3" xfId="1" applyNumberFormat="1" applyFont="1" applyBorder="1" applyAlignment="1" applyProtection="1">
      <alignment horizontal="center"/>
    </xf>
    <xf numFmtId="37" fontId="22" fillId="0" borderId="3" xfId="3" applyNumberFormat="1" applyFont="1" applyBorder="1" applyAlignment="1" applyProtection="1">
      <alignment horizontal="center"/>
    </xf>
    <xf numFmtId="37" fontId="23" fillId="0" borderId="3" xfId="3" applyNumberFormat="1" applyFont="1" applyBorder="1" applyProtection="1"/>
    <xf numFmtId="164" fontId="10" fillId="0" borderId="0" xfId="0" applyNumberFormat="1" applyFont="1"/>
    <xf numFmtId="0" fontId="24" fillId="0" borderId="0" xfId="0" applyFont="1"/>
    <xf numFmtId="0" fontId="14" fillId="0" borderId="0" xfId="0" applyFont="1" applyAlignment="1"/>
    <xf numFmtId="164" fontId="0" fillId="0" borderId="0" xfId="1" applyNumberFormat="1" applyFont="1" applyAlignment="1">
      <alignment horizontal="left" wrapText="1"/>
    </xf>
  </cellXfs>
  <cellStyles count="4">
    <cellStyle name="Comma" xfId="1" builtinId="3"/>
    <cellStyle name="Normal" xfId="0" builtinId="0"/>
    <cellStyle name="Normal 2" xfId="3" xr:uid="{79831FDC-330D-4F83-BF21-6ADC8F8BC9C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C8FF-6AA9-4041-AC51-6D6A52CB7ED5}">
  <dimension ref="A1:P53"/>
  <sheetViews>
    <sheetView tabSelected="1" topLeftCell="C1" zoomScale="191" zoomScaleNormal="191" workbookViewId="0">
      <selection activeCell="D4" sqref="D4"/>
    </sheetView>
  </sheetViews>
  <sheetFormatPr defaultRowHeight="14.4"/>
  <cols>
    <col min="1" max="1" width="15.33203125" customWidth="1"/>
    <col min="2" max="2" width="50.5546875" customWidth="1"/>
    <col min="4" max="4" width="11.44140625" style="29" customWidth="1"/>
    <col min="6" max="6" width="9.33203125" style="29" customWidth="1"/>
    <col min="8" max="8" width="10.6640625" bestFit="1" customWidth="1"/>
    <col min="10" max="10" width="11.88671875" style="52" customWidth="1"/>
    <col min="12" max="12" width="11.6640625" style="52" customWidth="1"/>
    <col min="14" max="14" width="24.6640625" customWidth="1"/>
  </cols>
  <sheetData>
    <row r="1" spans="1:16">
      <c r="E1" s="119" t="s">
        <v>123</v>
      </c>
    </row>
    <row r="2" spans="1:16">
      <c r="D2" s="29" t="s">
        <v>126</v>
      </c>
    </row>
    <row r="3" spans="1:16">
      <c r="C3" s="119"/>
    </row>
    <row r="5" spans="1:16" s="28" customFormat="1" ht="12">
      <c r="A5" s="120" t="s">
        <v>0</v>
      </c>
      <c r="B5" s="121"/>
      <c r="C5" s="122"/>
      <c r="D5" s="123"/>
      <c r="E5" s="124"/>
      <c r="F5" s="123"/>
      <c r="G5" s="125" t="s">
        <v>1</v>
      </c>
      <c r="H5" s="121"/>
      <c r="J5" s="126"/>
      <c r="L5" s="126"/>
      <c r="N5" s="127" t="s">
        <v>2</v>
      </c>
      <c r="O5" s="127"/>
      <c r="P5" s="127"/>
    </row>
    <row r="6" spans="1:16">
      <c r="A6" s="3"/>
      <c r="B6" s="4"/>
      <c r="C6" s="5" t="s">
        <v>3</v>
      </c>
      <c r="D6" s="35"/>
      <c r="E6" s="7"/>
      <c r="F6" s="35" t="s">
        <v>4</v>
      </c>
      <c r="G6" s="6"/>
      <c r="H6" s="6"/>
      <c r="N6" s="64"/>
      <c r="O6" s="64" t="s">
        <v>5</v>
      </c>
      <c r="P6" s="64" t="s">
        <v>6</v>
      </c>
    </row>
    <row r="7" spans="1:16">
      <c r="A7" s="3"/>
      <c r="B7" s="4"/>
      <c r="C7" s="5" t="s">
        <v>7</v>
      </c>
      <c r="D7" s="36" t="s">
        <v>8</v>
      </c>
      <c r="E7" s="8" t="s">
        <v>8</v>
      </c>
      <c r="F7" s="36" t="s">
        <v>9</v>
      </c>
      <c r="G7" s="8" t="s">
        <v>10</v>
      </c>
      <c r="H7" s="2" t="s">
        <v>9</v>
      </c>
      <c r="I7" s="48" t="s">
        <v>11</v>
      </c>
      <c r="J7" s="53" t="s">
        <v>12</v>
      </c>
      <c r="K7" s="48" t="s">
        <v>13</v>
      </c>
      <c r="L7" s="53" t="s">
        <v>12</v>
      </c>
      <c r="N7" s="64" t="s">
        <v>14</v>
      </c>
      <c r="O7" s="64">
        <v>72.84</v>
      </c>
      <c r="P7" s="64" t="s">
        <v>15</v>
      </c>
    </row>
    <row r="8" spans="1:16">
      <c r="A8" s="9" t="s">
        <v>16</v>
      </c>
      <c r="B8" s="4"/>
      <c r="C8" s="10" t="s">
        <v>17</v>
      </c>
      <c r="D8" s="36" t="s">
        <v>18</v>
      </c>
      <c r="E8" s="8" t="s">
        <v>19</v>
      </c>
      <c r="F8" s="36" t="s">
        <v>20</v>
      </c>
      <c r="G8" s="8" t="s">
        <v>21</v>
      </c>
      <c r="H8" s="2" t="s">
        <v>10</v>
      </c>
      <c r="I8" s="48" t="s">
        <v>22</v>
      </c>
      <c r="J8" s="53" t="s">
        <v>23</v>
      </c>
      <c r="K8" s="48" t="s">
        <v>24</v>
      </c>
      <c r="L8" s="53" t="s">
        <v>23</v>
      </c>
      <c r="N8" s="65" t="s">
        <v>25</v>
      </c>
      <c r="O8" s="64">
        <v>60.45</v>
      </c>
      <c r="P8" s="66" t="s">
        <v>26</v>
      </c>
    </row>
    <row r="9" spans="1:16">
      <c r="A9" s="9" t="s">
        <v>27</v>
      </c>
      <c r="B9" s="5" t="s">
        <v>28</v>
      </c>
      <c r="C9" s="10" t="s">
        <v>29</v>
      </c>
      <c r="D9" s="36" t="s">
        <v>30</v>
      </c>
      <c r="E9" s="8" t="s">
        <v>21</v>
      </c>
      <c r="F9" s="36" t="s">
        <v>19</v>
      </c>
      <c r="G9" s="8" t="s">
        <v>31</v>
      </c>
      <c r="H9" s="11" t="s">
        <v>32</v>
      </c>
      <c r="I9" s="48"/>
      <c r="J9" s="53"/>
      <c r="K9" s="61">
        <v>0.31</v>
      </c>
      <c r="L9" s="53" t="s">
        <v>24</v>
      </c>
      <c r="N9" s="64" t="s">
        <v>33</v>
      </c>
      <c r="O9" s="64">
        <v>46.46</v>
      </c>
      <c r="P9" s="66"/>
    </row>
    <row r="10" spans="1:16">
      <c r="A10" s="3"/>
      <c r="B10" s="5"/>
      <c r="C10" s="4"/>
      <c r="D10" s="36"/>
      <c r="E10" s="8" t="s">
        <v>18</v>
      </c>
      <c r="F10" s="37" t="s">
        <v>34</v>
      </c>
      <c r="G10" s="4"/>
      <c r="H10" s="1"/>
      <c r="I10" s="48" t="s">
        <v>35</v>
      </c>
      <c r="J10" s="53" t="s">
        <v>36</v>
      </c>
      <c r="K10" s="48" t="s">
        <v>37</v>
      </c>
      <c r="L10" s="53" t="s">
        <v>38</v>
      </c>
      <c r="P10" s="81"/>
    </row>
    <row r="11" spans="1:16">
      <c r="A11" s="3"/>
      <c r="B11" s="5"/>
      <c r="C11" s="4"/>
      <c r="D11" s="36"/>
      <c r="E11" s="8" t="s">
        <v>39</v>
      </c>
      <c r="F11" s="38"/>
      <c r="G11" s="4"/>
      <c r="H11" s="1"/>
      <c r="I11" s="48"/>
      <c r="J11" s="53"/>
      <c r="K11" s="48"/>
      <c r="L11" s="53"/>
    </row>
    <row r="12" spans="1:16">
      <c r="A12" s="12" t="s">
        <v>40</v>
      </c>
      <c r="B12" s="13" t="s">
        <v>41</v>
      </c>
      <c r="C12" s="17" t="s">
        <v>42</v>
      </c>
      <c r="D12" s="39" t="s">
        <v>43</v>
      </c>
      <c r="E12" s="18" t="s">
        <v>44</v>
      </c>
      <c r="F12" s="39" t="s">
        <v>45</v>
      </c>
      <c r="G12" s="18" t="s">
        <v>46</v>
      </c>
      <c r="H12" s="19" t="s">
        <v>47</v>
      </c>
      <c r="I12" s="49" t="s">
        <v>48</v>
      </c>
      <c r="J12" s="54" t="s">
        <v>49</v>
      </c>
      <c r="K12" s="50" t="s">
        <v>50</v>
      </c>
      <c r="L12" s="54" t="s">
        <v>51</v>
      </c>
    </row>
    <row r="13" spans="1:16" s="24" customFormat="1" ht="12">
      <c r="A13" s="20"/>
      <c r="B13" s="97" t="s">
        <v>52</v>
      </c>
      <c r="C13" s="21"/>
      <c r="D13" s="40"/>
      <c r="E13" s="22"/>
      <c r="F13" s="40"/>
      <c r="G13" s="21"/>
      <c r="H13" s="23"/>
      <c r="J13" s="51"/>
      <c r="L13" s="51"/>
    </row>
    <row r="14" spans="1:16" s="24" customFormat="1">
      <c r="A14" s="20"/>
      <c r="B14" s="25" t="s">
        <v>53</v>
      </c>
      <c r="C14" s="26" t="s">
        <v>54</v>
      </c>
      <c r="D14" s="41">
        <f>'Est. Appl &amp; Grantees'!B12</f>
        <v>3391.7647058823532</v>
      </c>
      <c r="E14" s="27">
        <v>1</v>
      </c>
      <c r="F14" s="41">
        <f>D14*E14</f>
        <v>3391.7647058823532</v>
      </c>
      <c r="G14" s="26">
        <v>0.16700000000000001</v>
      </c>
      <c r="H14" s="43">
        <f>F14*G14</f>
        <v>566.42470588235301</v>
      </c>
      <c r="I14" s="24">
        <v>46.46</v>
      </c>
      <c r="J14" s="51">
        <f>H14*I14</f>
        <v>26316.091835294123</v>
      </c>
      <c r="K14" s="62">
        <f>I14*1.31</f>
        <v>60.8626</v>
      </c>
      <c r="L14" s="51">
        <f>K14*H14</f>
        <v>34474.0803042353</v>
      </c>
      <c r="N14"/>
    </row>
    <row r="15" spans="1:16" s="24" customFormat="1" ht="12">
      <c r="A15" s="20"/>
      <c r="B15" s="28" t="s">
        <v>55</v>
      </c>
      <c r="C15" s="26" t="s">
        <v>54</v>
      </c>
      <c r="D15" s="41">
        <f>D14</f>
        <v>3391.7647058823532</v>
      </c>
      <c r="E15" s="27">
        <v>1</v>
      </c>
      <c r="F15" s="41">
        <f t="shared" ref="F15:F25" si="0">D15*E15</f>
        <v>3391.7647058823532</v>
      </c>
      <c r="G15" s="26">
        <v>0.25</v>
      </c>
      <c r="H15" s="43">
        <f t="shared" ref="H15:H25" si="1">F15*G15</f>
        <v>847.94117647058829</v>
      </c>
      <c r="I15" s="24">
        <v>46.46</v>
      </c>
      <c r="J15" s="51">
        <f t="shared" ref="J15:J42" si="2">H15*I15</f>
        <v>39395.347058823536</v>
      </c>
      <c r="K15" s="62">
        <f t="shared" ref="K15:K42" si="3">I15*1.31</f>
        <v>60.8626</v>
      </c>
      <c r="L15" s="51">
        <f t="shared" ref="L15:L42" si="4">K15*H15</f>
        <v>51607.904647058829</v>
      </c>
      <c r="N15" s="128"/>
    </row>
    <row r="16" spans="1:16" s="24" customFormat="1" ht="12">
      <c r="A16" s="20"/>
      <c r="B16" s="25" t="s">
        <v>56</v>
      </c>
      <c r="C16" s="26" t="s">
        <v>54</v>
      </c>
      <c r="D16" s="41">
        <f>'Est. Appl &amp; Grantees'!B10</f>
        <v>3351.7647058823532</v>
      </c>
      <c r="E16" s="27">
        <v>1</v>
      </c>
      <c r="F16" s="41">
        <f t="shared" si="0"/>
        <v>3351.7647058823532</v>
      </c>
      <c r="G16" s="26">
        <v>20</v>
      </c>
      <c r="H16" s="43">
        <f t="shared" si="1"/>
        <v>67035.294117647063</v>
      </c>
      <c r="I16" s="24">
        <v>60.45</v>
      </c>
      <c r="J16" s="51">
        <f t="shared" si="2"/>
        <v>4052283.5294117653</v>
      </c>
      <c r="K16" s="62">
        <f t="shared" si="3"/>
        <v>79.18950000000001</v>
      </c>
      <c r="L16" s="51">
        <f t="shared" si="4"/>
        <v>5308491.4235294126</v>
      </c>
      <c r="N16" s="128"/>
    </row>
    <row r="17" spans="1:12" s="24" customFormat="1" ht="12">
      <c r="A17" s="20"/>
      <c r="B17" s="25" t="s">
        <v>57</v>
      </c>
      <c r="C17" s="26" t="s">
        <v>54</v>
      </c>
      <c r="D17" s="41">
        <f>'Est. Appl &amp; Grantees'!B11</f>
        <v>40</v>
      </c>
      <c r="E17" s="27">
        <v>1</v>
      </c>
      <c r="F17" s="41">
        <f t="shared" si="0"/>
        <v>40</v>
      </c>
      <c r="G17" s="26">
        <v>120</v>
      </c>
      <c r="H17" s="43">
        <f t="shared" si="1"/>
        <v>4800</v>
      </c>
      <c r="I17" s="24">
        <v>60.45</v>
      </c>
      <c r="J17" s="51">
        <f t="shared" si="2"/>
        <v>290160</v>
      </c>
      <c r="K17" s="62">
        <f t="shared" si="3"/>
        <v>79.18950000000001</v>
      </c>
      <c r="L17" s="51">
        <f t="shared" si="4"/>
        <v>380109.60000000003</v>
      </c>
    </row>
    <row r="18" spans="1:12" s="24" customFormat="1" ht="12">
      <c r="A18" s="20"/>
      <c r="B18" s="25" t="s">
        <v>58</v>
      </c>
      <c r="C18" s="26" t="s">
        <v>54</v>
      </c>
      <c r="D18" s="41">
        <f>D14</f>
        <v>3391.7647058823532</v>
      </c>
      <c r="E18" s="27">
        <v>1</v>
      </c>
      <c r="F18" s="41">
        <f t="shared" si="0"/>
        <v>3391.7647058823532</v>
      </c>
      <c r="G18" s="26">
        <v>5</v>
      </c>
      <c r="H18" s="43">
        <f t="shared" si="1"/>
        <v>16958.823529411766</v>
      </c>
      <c r="I18" s="24">
        <v>46.46</v>
      </c>
      <c r="J18" s="51">
        <f t="shared" si="2"/>
        <v>787906.9411764706</v>
      </c>
      <c r="K18" s="62">
        <f t="shared" si="3"/>
        <v>60.8626</v>
      </c>
      <c r="L18" s="51">
        <f t="shared" si="4"/>
        <v>1032158.0929411765</v>
      </c>
    </row>
    <row r="19" spans="1:12" s="24" customFormat="1" ht="12">
      <c r="A19" s="20"/>
      <c r="B19" s="28" t="s">
        <v>59</v>
      </c>
      <c r="C19" s="26" t="s">
        <v>54</v>
      </c>
      <c r="D19" s="41">
        <f>('Est. Appl &amp; Grantees'!F4+'Est. Appl &amp; Grantees'!F5)*1.1</f>
        <v>278.63970588235298</v>
      </c>
      <c r="E19" s="27">
        <v>1</v>
      </c>
      <c r="F19" s="41">
        <f t="shared" si="0"/>
        <v>278.63970588235298</v>
      </c>
      <c r="G19" s="26">
        <v>10</v>
      </c>
      <c r="H19" s="43">
        <f t="shared" si="1"/>
        <v>2786.3970588235297</v>
      </c>
      <c r="I19" s="24">
        <v>60.45</v>
      </c>
      <c r="J19" s="51">
        <f t="shared" si="2"/>
        <v>168437.70220588238</v>
      </c>
      <c r="K19" s="62">
        <f t="shared" si="3"/>
        <v>79.18950000000001</v>
      </c>
      <c r="L19" s="51">
        <f t="shared" si="4"/>
        <v>220653.38988970593</v>
      </c>
    </row>
    <row r="20" spans="1:12" s="24" customFormat="1" ht="12">
      <c r="A20" s="20"/>
      <c r="B20" s="25" t="s">
        <v>60</v>
      </c>
      <c r="C20" s="26" t="s">
        <v>54</v>
      </c>
      <c r="D20" s="41">
        <f>D14</f>
        <v>3391.7647058823532</v>
      </c>
      <c r="E20" s="27">
        <v>1</v>
      </c>
      <c r="F20" s="41">
        <f t="shared" si="0"/>
        <v>3391.7647058823532</v>
      </c>
      <c r="G20" s="26">
        <v>1</v>
      </c>
      <c r="H20" s="43">
        <f t="shared" si="1"/>
        <v>3391.7647058823532</v>
      </c>
      <c r="I20" s="24">
        <v>46.46</v>
      </c>
      <c r="J20" s="51">
        <f t="shared" si="2"/>
        <v>157581.38823529414</v>
      </c>
      <c r="K20" s="62">
        <f t="shared" si="3"/>
        <v>60.8626</v>
      </c>
      <c r="L20" s="51">
        <f t="shared" si="4"/>
        <v>206431.61858823532</v>
      </c>
    </row>
    <row r="21" spans="1:12" s="24" customFormat="1" ht="12">
      <c r="A21" s="20"/>
      <c r="B21" s="28" t="s">
        <v>61</v>
      </c>
      <c r="C21" s="26" t="s">
        <v>54</v>
      </c>
      <c r="D21" s="41">
        <f>D14</f>
        <v>3391.7647058823532</v>
      </c>
      <c r="E21" s="27">
        <v>1</v>
      </c>
      <c r="F21" s="41">
        <f t="shared" si="0"/>
        <v>3391.7647058823532</v>
      </c>
      <c r="G21" s="26">
        <v>7</v>
      </c>
      <c r="H21" s="43">
        <f t="shared" si="1"/>
        <v>23742.352941176472</v>
      </c>
      <c r="I21" s="24">
        <v>46.46</v>
      </c>
      <c r="J21" s="51">
        <f t="shared" si="2"/>
        <v>1103069.7176470589</v>
      </c>
      <c r="K21" s="62">
        <f t="shared" si="3"/>
        <v>60.8626</v>
      </c>
      <c r="L21" s="51">
        <f t="shared" si="4"/>
        <v>1445021.3301176471</v>
      </c>
    </row>
    <row r="22" spans="1:12" s="24" customFormat="1" ht="12">
      <c r="A22" s="20"/>
      <c r="B22" s="25" t="s">
        <v>62</v>
      </c>
      <c r="C22" s="26" t="s">
        <v>54</v>
      </c>
      <c r="D22" s="41">
        <f>0.5*'Est. Appl &amp; Grantees'!B10</f>
        <v>1675.8823529411766</v>
      </c>
      <c r="E22" s="27">
        <v>1</v>
      </c>
      <c r="F22" s="41">
        <f t="shared" si="0"/>
        <v>1675.8823529411766</v>
      </c>
      <c r="G22" s="26">
        <v>4</v>
      </c>
      <c r="H22" s="43">
        <f t="shared" si="1"/>
        <v>6703.5294117647063</v>
      </c>
      <c r="I22" s="24">
        <v>72.84</v>
      </c>
      <c r="J22" s="51">
        <f t="shared" si="2"/>
        <v>488285.08235294122</v>
      </c>
      <c r="K22" s="62">
        <f t="shared" si="3"/>
        <v>95.420400000000015</v>
      </c>
      <c r="L22" s="51">
        <f t="shared" si="4"/>
        <v>639653.4578823531</v>
      </c>
    </row>
    <row r="23" spans="1:12" s="24" customFormat="1" ht="12">
      <c r="A23" s="20"/>
      <c r="B23" s="28" t="s">
        <v>63</v>
      </c>
      <c r="C23" s="26" t="s">
        <v>54</v>
      </c>
      <c r="D23" s="41">
        <f>D14</f>
        <v>3391.7647058823532</v>
      </c>
      <c r="E23" s="27">
        <v>1</v>
      </c>
      <c r="F23" s="41">
        <f t="shared" si="0"/>
        <v>3391.7647058823532</v>
      </c>
      <c r="G23" s="26">
        <v>0.25</v>
      </c>
      <c r="H23" s="43">
        <f t="shared" si="1"/>
        <v>847.94117647058829</v>
      </c>
      <c r="I23" s="24">
        <v>46.46</v>
      </c>
      <c r="J23" s="51">
        <f t="shared" si="2"/>
        <v>39395.347058823536</v>
      </c>
      <c r="K23" s="62">
        <f t="shared" si="3"/>
        <v>60.8626</v>
      </c>
      <c r="L23" s="51">
        <f t="shared" si="4"/>
        <v>51607.904647058829</v>
      </c>
    </row>
    <row r="24" spans="1:12" s="24" customFormat="1" ht="12">
      <c r="A24" s="20"/>
      <c r="B24" s="25" t="s">
        <v>64</v>
      </c>
      <c r="C24" s="26" t="s">
        <v>54</v>
      </c>
      <c r="D24" s="41">
        <f>D14</f>
        <v>3391.7647058823532</v>
      </c>
      <c r="E24" s="27">
        <v>1</v>
      </c>
      <c r="F24" s="41">
        <f t="shared" si="0"/>
        <v>3391.7647058823532</v>
      </c>
      <c r="G24" s="26">
        <v>0.25</v>
      </c>
      <c r="H24" s="43">
        <f t="shared" si="1"/>
        <v>847.94117647058829</v>
      </c>
      <c r="I24" s="24">
        <v>46.46</v>
      </c>
      <c r="J24" s="51">
        <f t="shared" si="2"/>
        <v>39395.347058823536</v>
      </c>
      <c r="K24" s="62">
        <f t="shared" si="3"/>
        <v>60.8626</v>
      </c>
      <c r="L24" s="51">
        <f t="shared" si="4"/>
        <v>51607.904647058829</v>
      </c>
    </row>
    <row r="25" spans="1:12" s="24" customFormat="1" ht="12.6" thickBot="1">
      <c r="A25" s="20"/>
      <c r="B25" s="28" t="s">
        <v>65</v>
      </c>
      <c r="C25" s="26" t="s">
        <v>54</v>
      </c>
      <c r="D25" s="41">
        <f>0.75*D14</f>
        <v>2543.8235294117649</v>
      </c>
      <c r="E25" s="27">
        <v>1</v>
      </c>
      <c r="F25" s="41">
        <f t="shared" si="0"/>
        <v>2543.8235294117649</v>
      </c>
      <c r="G25" s="26">
        <v>1</v>
      </c>
      <c r="H25" s="75">
        <f t="shared" si="1"/>
        <v>2543.8235294117649</v>
      </c>
      <c r="I25" s="24">
        <v>46.46</v>
      </c>
      <c r="J25" s="51">
        <f t="shared" si="2"/>
        <v>118186.04117647059</v>
      </c>
      <c r="K25" s="62">
        <f t="shared" si="3"/>
        <v>60.8626</v>
      </c>
      <c r="L25" s="51">
        <f t="shared" si="4"/>
        <v>154823.71394117648</v>
      </c>
    </row>
    <row r="26" spans="1:12" s="83" customFormat="1" ht="12.6" thickBot="1">
      <c r="A26" s="82"/>
      <c r="B26" s="99" t="s">
        <v>66</v>
      </c>
      <c r="C26" s="100"/>
      <c r="D26" s="101"/>
      <c r="E26" s="102"/>
      <c r="F26" s="103">
        <v>31635</v>
      </c>
      <c r="G26" s="104"/>
      <c r="H26" s="105">
        <f>SUM(H14:H25)</f>
        <v>131072.23352941178</v>
      </c>
      <c r="I26" s="106"/>
      <c r="J26" s="107">
        <v>7244701</v>
      </c>
      <c r="K26" s="108"/>
      <c r="L26" s="109">
        <v>9576640</v>
      </c>
    </row>
    <row r="27" spans="1:12" s="83" customFormat="1" ht="12">
      <c r="A27" s="82"/>
      <c r="B27" s="92"/>
      <c r="C27" s="93"/>
      <c r="D27" s="94"/>
      <c r="E27" s="95"/>
      <c r="F27" s="94"/>
      <c r="G27" s="93"/>
      <c r="H27" s="96"/>
      <c r="J27" s="84"/>
      <c r="K27" s="85"/>
      <c r="L27" s="84"/>
    </row>
    <row r="28" spans="1:12" s="83" customFormat="1" ht="12">
      <c r="A28" s="82"/>
      <c r="B28" s="92" t="s">
        <v>121</v>
      </c>
      <c r="C28" s="93"/>
      <c r="D28" s="94"/>
      <c r="E28" s="95"/>
      <c r="F28" s="94"/>
      <c r="G28" s="93"/>
      <c r="H28" s="96"/>
      <c r="J28" s="84"/>
      <c r="K28" s="85"/>
      <c r="L28" s="84"/>
    </row>
    <row r="29" spans="1:12" s="83" customFormat="1" ht="24.6" thickBot="1">
      <c r="A29" s="82"/>
      <c r="B29" s="115" t="s">
        <v>89</v>
      </c>
      <c r="C29" s="55" t="s">
        <v>90</v>
      </c>
      <c r="D29" s="56">
        <f>'Est. Appl &amp; Grantees'!G6</f>
        <v>3061.6421568627452</v>
      </c>
      <c r="E29" s="57">
        <v>1</v>
      </c>
      <c r="F29" s="56">
        <f>D29*E29</f>
        <v>3061.6421568627452</v>
      </c>
      <c r="G29" s="55">
        <v>0.25</v>
      </c>
      <c r="H29" s="58">
        <f>F29*G29</f>
        <v>765.4105392156863</v>
      </c>
      <c r="I29" s="59">
        <v>46.46</v>
      </c>
      <c r="J29" s="60">
        <f>H29*I29</f>
        <v>35560.973651960783</v>
      </c>
      <c r="K29" s="63">
        <f>I29*1.31</f>
        <v>60.8626</v>
      </c>
      <c r="L29" s="60">
        <f>K29*H29</f>
        <v>46584.875484068631</v>
      </c>
    </row>
    <row r="30" spans="1:12" s="83" customFormat="1" ht="12.6" thickBot="1">
      <c r="A30" s="82"/>
      <c r="B30" s="114" t="s">
        <v>120</v>
      </c>
      <c r="C30" s="100"/>
      <c r="D30" s="101">
        <v>3061.6421568627452</v>
      </c>
      <c r="E30" s="102">
        <v>1</v>
      </c>
      <c r="F30" s="101">
        <v>3061.6421568627452</v>
      </c>
      <c r="G30" s="100">
        <v>0.25</v>
      </c>
      <c r="H30" s="116">
        <v>765.4105392156863</v>
      </c>
      <c r="I30" s="106">
        <v>46.46</v>
      </c>
      <c r="J30" s="107">
        <v>35560.973651960783</v>
      </c>
      <c r="K30" s="108">
        <v>60.8626</v>
      </c>
      <c r="L30" s="109">
        <v>46584.875484068631</v>
      </c>
    </row>
    <row r="31" spans="1:12" s="83" customFormat="1" ht="12">
      <c r="A31" s="82"/>
      <c r="B31" s="110"/>
      <c r="C31" s="26"/>
      <c r="D31" s="41"/>
      <c r="E31" s="27"/>
      <c r="F31" s="41"/>
      <c r="G31" s="26"/>
      <c r="H31" s="43"/>
      <c r="I31" s="111"/>
      <c r="J31" s="112"/>
      <c r="K31" s="113"/>
      <c r="L31" s="112"/>
    </row>
    <row r="32" spans="1:12" s="24" customFormat="1" ht="12">
      <c r="A32" s="20"/>
      <c r="B32" s="98" t="s">
        <v>79</v>
      </c>
      <c r="C32" s="26"/>
      <c r="D32" s="41"/>
      <c r="E32" s="27"/>
      <c r="F32" s="41"/>
      <c r="G32" s="26"/>
      <c r="H32" s="26"/>
      <c r="J32" s="51"/>
      <c r="K32" s="62"/>
      <c r="L32" s="51"/>
    </row>
    <row r="33" spans="1:12" s="24" customFormat="1" ht="12">
      <c r="A33" s="20"/>
      <c r="B33" s="25" t="s">
        <v>80</v>
      </c>
      <c r="C33" s="26" t="s">
        <v>54</v>
      </c>
      <c r="D33" s="41">
        <f>'Est. Appl &amp; Grantees'!F4+'Est. Appl &amp; Grantees'!F5</f>
        <v>253.30882352941177</v>
      </c>
      <c r="E33" s="27">
        <v>1</v>
      </c>
      <c r="F33" s="41">
        <f>D33*E33</f>
        <v>253.30882352941177</v>
      </c>
      <c r="G33" s="26">
        <v>5</v>
      </c>
      <c r="H33" s="43">
        <f>F33*G33</f>
        <v>1266.5441176470588</v>
      </c>
      <c r="I33" s="24">
        <v>46.46</v>
      </c>
      <c r="J33" s="51">
        <f t="shared" si="2"/>
        <v>58843.63970588235</v>
      </c>
      <c r="K33" s="62">
        <f t="shared" si="3"/>
        <v>60.8626</v>
      </c>
      <c r="L33" s="51">
        <f t="shared" si="4"/>
        <v>77085.16801470588</v>
      </c>
    </row>
    <row r="34" spans="1:12" s="24" customFormat="1" ht="12">
      <c r="A34" s="20"/>
      <c r="B34" s="25" t="s">
        <v>81</v>
      </c>
      <c r="C34" s="26" t="s">
        <v>54</v>
      </c>
      <c r="D34" s="41">
        <f>D19</f>
        <v>278.63970588235298</v>
      </c>
      <c r="E34" s="27">
        <v>1</v>
      </c>
      <c r="F34" s="41">
        <f t="shared" ref="F34:F36" si="5">D34*E34</f>
        <v>278.63970588235298</v>
      </c>
      <c r="G34" s="26">
        <v>1</v>
      </c>
      <c r="H34" s="43">
        <f t="shared" ref="H34:H36" si="6">F34*G34</f>
        <v>278.63970588235298</v>
      </c>
      <c r="I34" s="24">
        <v>46.46</v>
      </c>
      <c r="J34" s="51">
        <f t="shared" si="2"/>
        <v>12945.60073529412</v>
      </c>
      <c r="K34" s="62">
        <f t="shared" si="3"/>
        <v>60.8626</v>
      </c>
      <c r="L34" s="51">
        <f t="shared" si="4"/>
        <v>16958.736963235297</v>
      </c>
    </row>
    <row r="35" spans="1:12" s="24" customFormat="1" ht="12">
      <c r="A35" s="20"/>
      <c r="B35" s="25" t="s">
        <v>82</v>
      </c>
      <c r="C35" s="26" t="s">
        <v>54</v>
      </c>
      <c r="D35" s="41">
        <f>D19</f>
        <v>278.63970588235298</v>
      </c>
      <c r="E35" s="27">
        <v>1</v>
      </c>
      <c r="F35" s="41">
        <f t="shared" si="5"/>
        <v>278.63970588235298</v>
      </c>
      <c r="G35" s="26">
        <v>4</v>
      </c>
      <c r="H35" s="43">
        <f t="shared" si="6"/>
        <v>1114.5588235294119</v>
      </c>
      <c r="I35" s="24">
        <v>46.46</v>
      </c>
      <c r="J35" s="51">
        <f t="shared" si="2"/>
        <v>51782.402941176479</v>
      </c>
      <c r="K35" s="62">
        <f t="shared" si="3"/>
        <v>60.8626</v>
      </c>
      <c r="L35" s="51">
        <f t="shared" si="4"/>
        <v>67834.947852941186</v>
      </c>
    </row>
    <row r="36" spans="1:12" s="24" customFormat="1" ht="12">
      <c r="A36" s="20"/>
      <c r="B36" s="25" t="s">
        <v>83</v>
      </c>
      <c r="C36" s="26" t="s">
        <v>54</v>
      </c>
      <c r="D36" s="41">
        <f>'Est. Appl &amp; Grantees'!G6</f>
        <v>3061.6421568627452</v>
      </c>
      <c r="E36" s="27">
        <v>3</v>
      </c>
      <c r="F36" s="41">
        <f t="shared" si="5"/>
        <v>9184.926470588236</v>
      </c>
      <c r="G36" s="26">
        <v>7</v>
      </c>
      <c r="H36" s="75">
        <f t="shared" si="6"/>
        <v>64294.48529411765</v>
      </c>
      <c r="I36" s="24">
        <v>46.46</v>
      </c>
      <c r="J36" s="51">
        <f t="shared" si="2"/>
        <v>2987121.786764706</v>
      </c>
      <c r="K36" s="62">
        <f t="shared" si="3"/>
        <v>60.8626</v>
      </c>
      <c r="L36" s="51">
        <f t="shared" si="4"/>
        <v>3913129.5406617648</v>
      </c>
    </row>
    <row r="37" spans="1:12" s="83" customFormat="1" ht="12">
      <c r="A37" s="82"/>
      <c r="B37" s="78" t="s">
        <v>84</v>
      </c>
      <c r="C37" s="86"/>
      <c r="D37" s="87"/>
      <c r="E37" s="88"/>
      <c r="F37" s="87">
        <v>9996</v>
      </c>
      <c r="G37" s="86"/>
      <c r="H37" s="89">
        <v>66955</v>
      </c>
      <c r="J37" s="84">
        <v>3110694</v>
      </c>
      <c r="K37" s="85"/>
      <c r="L37" s="84">
        <v>4075009</v>
      </c>
    </row>
    <row r="38" spans="1:12" s="24" customFormat="1" ht="12">
      <c r="A38" s="20"/>
      <c r="B38" s="118" t="s">
        <v>124</v>
      </c>
      <c r="C38" s="76"/>
      <c r="D38" s="80">
        <v>3392</v>
      </c>
      <c r="E38" s="77"/>
      <c r="F38" s="80">
        <v>44693</v>
      </c>
      <c r="G38" s="76"/>
      <c r="H38" s="79">
        <v>198792</v>
      </c>
      <c r="J38" s="90">
        <v>10390956</v>
      </c>
      <c r="K38" s="62"/>
      <c r="L38" s="90">
        <v>13698234</v>
      </c>
    </row>
    <row r="39" spans="1:12" s="24" customFormat="1" ht="12">
      <c r="A39" s="20"/>
      <c r="E39" s="27"/>
      <c r="F39" s="41"/>
      <c r="G39" s="26"/>
      <c r="H39" s="26"/>
      <c r="J39" s="51"/>
      <c r="K39" s="62"/>
      <c r="L39" s="51"/>
    </row>
    <row r="40" spans="1:12" s="24" customFormat="1" ht="12">
      <c r="A40" s="20"/>
      <c r="B40" s="25"/>
      <c r="C40" s="26"/>
      <c r="D40" s="41"/>
      <c r="E40" s="27"/>
      <c r="F40" s="41"/>
      <c r="G40" s="26"/>
      <c r="H40" s="26"/>
      <c r="J40" s="51"/>
      <c r="K40" s="62"/>
      <c r="L40" s="51"/>
    </row>
    <row r="41" spans="1:12" s="24" customFormat="1" ht="12">
      <c r="A41" s="20"/>
      <c r="B41" s="98" t="s">
        <v>122</v>
      </c>
      <c r="C41" s="93"/>
      <c r="D41" s="94"/>
      <c r="E41" s="27"/>
      <c r="F41" s="41"/>
      <c r="G41" s="26"/>
      <c r="H41" s="26"/>
      <c r="J41" s="51"/>
      <c r="K41" s="62"/>
      <c r="L41" s="51"/>
    </row>
    <row r="42" spans="1:12" s="24" customFormat="1" ht="12">
      <c r="A42" s="20"/>
      <c r="B42" s="25" t="s">
        <v>85</v>
      </c>
      <c r="C42" s="26" t="s">
        <v>86</v>
      </c>
      <c r="D42" s="41">
        <f>'Est. Appl &amp; Grantees'!G6</f>
        <v>3061.6421568627452</v>
      </c>
      <c r="E42" s="27">
        <v>12</v>
      </c>
      <c r="F42" s="41">
        <f>D42*E42</f>
        <v>36739.705882352944</v>
      </c>
      <c r="G42" s="26">
        <v>1</v>
      </c>
      <c r="H42" s="43">
        <f>F42*G42</f>
        <v>36739.705882352944</v>
      </c>
      <c r="I42" s="24">
        <v>46.46</v>
      </c>
      <c r="J42" s="51">
        <f t="shared" si="2"/>
        <v>1706926.7352941178</v>
      </c>
      <c r="K42" s="62">
        <f t="shared" si="3"/>
        <v>60.8626</v>
      </c>
      <c r="L42" s="51">
        <f t="shared" si="4"/>
        <v>2236074.0232352945</v>
      </c>
    </row>
    <row r="43" spans="1:12" s="24" customFormat="1" ht="12">
      <c r="A43" s="20"/>
      <c r="B43" s="25" t="s">
        <v>67</v>
      </c>
      <c r="C43" s="26" t="s">
        <v>68</v>
      </c>
      <c r="D43" s="41">
        <f>'Est. Appl &amp; Grantees'!G6</f>
        <v>3061.6421568627452</v>
      </c>
      <c r="E43" s="27">
        <v>1</v>
      </c>
      <c r="F43" s="41">
        <f>D43*E43</f>
        <v>3061.6421568627452</v>
      </c>
      <c r="G43" s="26">
        <v>0.25</v>
      </c>
      <c r="H43" s="43">
        <f>F43*G43</f>
        <v>765.4105392156863</v>
      </c>
      <c r="I43" s="24">
        <v>60.45</v>
      </c>
      <c r="J43" s="51">
        <f t="shared" ref="J43:J49" si="7">H43*I43</f>
        <v>46269.067095588238</v>
      </c>
      <c r="K43" s="62">
        <f>I43*1.31</f>
        <v>79.18950000000001</v>
      </c>
      <c r="L43" s="51">
        <f t="shared" ref="L43:L49" si="8">K43*H43</f>
        <v>60612.477895220596</v>
      </c>
    </row>
    <row r="44" spans="1:12" s="24" customFormat="1" ht="12">
      <c r="A44" s="20"/>
      <c r="B44" s="25" t="s">
        <v>69</v>
      </c>
      <c r="C44" s="26" t="s">
        <v>70</v>
      </c>
      <c r="D44" s="41">
        <f>D43</f>
        <v>3061.6421568627452</v>
      </c>
      <c r="E44" s="27">
        <v>1</v>
      </c>
      <c r="F44" s="41">
        <f t="shared" ref="F44:F48" si="9">D44*E44</f>
        <v>3061.6421568627452</v>
      </c>
      <c r="G44" s="26">
        <v>0.16700000000000001</v>
      </c>
      <c r="H44" s="43">
        <f t="shared" ref="H44:H45" si="10">F44*G44</f>
        <v>511.29424019607848</v>
      </c>
      <c r="I44" s="24">
        <v>60.45</v>
      </c>
      <c r="J44" s="51">
        <f t="shared" si="7"/>
        <v>30907.736819852944</v>
      </c>
      <c r="K44" s="62">
        <f>I44*1.31</f>
        <v>79.18950000000001</v>
      </c>
      <c r="L44" s="51">
        <f t="shared" si="8"/>
        <v>40489.135234007364</v>
      </c>
    </row>
    <row r="45" spans="1:12" s="24" customFormat="1" ht="12">
      <c r="A45" s="20"/>
      <c r="B45" s="25" t="s">
        <v>71</v>
      </c>
      <c r="C45" s="26" t="s">
        <v>72</v>
      </c>
      <c r="D45" s="41">
        <f>D43</f>
        <v>3061.6421568627452</v>
      </c>
      <c r="E45" s="27">
        <v>1</v>
      </c>
      <c r="F45" s="41">
        <f t="shared" si="9"/>
        <v>3061.6421568627452</v>
      </c>
      <c r="G45" s="26">
        <v>0.25</v>
      </c>
      <c r="H45" s="43">
        <f t="shared" si="10"/>
        <v>765.4105392156863</v>
      </c>
      <c r="I45" s="24">
        <v>60.45</v>
      </c>
      <c r="J45" s="51">
        <f t="shared" si="7"/>
        <v>46269.067095588238</v>
      </c>
      <c r="K45" s="62">
        <f>I45*1.31</f>
        <v>79.18950000000001</v>
      </c>
      <c r="L45" s="51">
        <f t="shared" si="8"/>
        <v>60612.477895220596</v>
      </c>
    </row>
    <row r="46" spans="1:12" s="24" customFormat="1" ht="12">
      <c r="A46" s="20"/>
      <c r="B46" s="25" t="s">
        <v>73</v>
      </c>
      <c r="C46" s="26" t="s">
        <v>74</v>
      </c>
      <c r="D46" s="41">
        <f>'Est. Appl &amp; Grantees'!E4*0.05</f>
        <v>140</v>
      </c>
      <c r="E46" s="27">
        <v>1</v>
      </c>
      <c r="F46" s="41">
        <f t="shared" si="9"/>
        <v>140</v>
      </c>
      <c r="G46" s="26">
        <v>1</v>
      </c>
      <c r="H46" s="43">
        <f>F46*G46</f>
        <v>140</v>
      </c>
      <c r="I46" s="24">
        <v>46.46</v>
      </c>
      <c r="J46" s="51">
        <f t="shared" si="7"/>
        <v>6504.4000000000005</v>
      </c>
      <c r="K46" s="62">
        <v>60.86</v>
      </c>
      <c r="L46" s="51">
        <f t="shared" si="8"/>
        <v>8520.4</v>
      </c>
    </row>
    <row r="47" spans="1:12" s="24" customFormat="1" ht="12">
      <c r="A47" s="20"/>
      <c r="B47" s="25" t="s">
        <v>75</v>
      </c>
      <c r="C47" s="26" t="s">
        <v>76</v>
      </c>
      <c r="D47" s="41">
        <f>D46</f>
        <v>140</v>
      </c>
      <c r="E47" s="27">
        <v>1</v>
      </c>
      <c r="F47" s="41">
        <f t="shared" si="9"/>
        <v>140</v>
      </c>
      <c r="G47" s="26">
        <v>1</v>
      </c>
      <c r="H47" s="43">
        <f t="shared" ref="H47:H48" si="11">F47*G47</f>
        <v>140</v>
      </c>
      <c r="I47" s="24">
        <v>46.46</v>
      </c>
      <c r="J47" s="51">
        <f t="shared" si="7"/>
        <v>6504.4000000000005</v>
      </c>
      <c r="K47" s="62">
        <v>60.86</v>
      </c>
      <c r="L47" s="51">
        <f t="shared" si="8"/>
        <v>8520.4</v>
      </c>
    </row>
    <row r="48" spans="1:12" s="24" customFormat="1" ht="12">
      <c r="A48" s="20"/>
      <c r="B48" s="25" t="s">
        <v>77</v>
      </c>
      <c r="C48" s="26" t="s">
        <v>78</v>
      </c>
      <c r="D48" s="41">
        <f>D46</f>
        <v>140</v>
      </c>
      <c r="E48" s="27">
        <v>1</v>
      </c>
      <c r="F48" s="41">
        <f t="shared" si="9"/>
        <v>140</v>
      </c>
      <c r="G48" s="26">
        <v>1</v>
      </c>
      <c r="H48" s="75">
        <f t="shared" si="11"/>
        <v>140</v>
      </c>
      <c r="I48" s="24">
        <v>46.46</v>
      </c>
      <c r="J48" s="51">
        <f t="shared" si="7"/>
        <v>6504.4000000000005</v>
      </c>
      <c r="K48" s="62">
        <v>60.86</v>
      </c>
      <c r="L48" s="51">
        <f t="shared" si="8"/>
        <v>8520.4</v>
      </c>
    </row>
    <row r="49" spans="1:12" s="24" customFormat="1" ht="12.6" thickBot="1">
      <c r="A49" s="20"/>
      <c r="B49" s="25" t="s">
        <v>87</v>
      </c>
      <c r="C49" s="26" t="s">
        <v>88</v>
      </c>
      <c r="D49" s="41">
        <f>'Est. Appl &amp; Grantees'!G6</f>
        <v>3061.6421568627452</v>
      </c>
      <c r="E49" s="27">
        <v>1</v>
      </c>
      <c r="F49" s="41">
        <f>D49*E49</f>
        <v>3061.6421568627452</v>
      </c>
      <c r="G49" s="26">
        <v>1</v>
      </c>
      <c r="H49" s="43">
        <f>F49*G49</f>
        <v>3061.6421568627452</v>
      </c>
      <c r="I49" s="24">
        <v>46.46</v>
      </c>
      <c r="J49" s="51">
        <f t="shared" si="7"/>
        <v>142243.89460784313</v>
      </c>
      <c r="K49" s="62">
        <f>I49*1.31</f>
        <v>60.8626</v>
      </c>
      <c r="L49" s="51">
        <f t="shared" si="8"/>
        <v>186339.50193627452</v>
      </c>
    </row>
    <row r="50" spans="1:12" s="24" customFormat="1" ht="12.6" thickBot="1">
      <c r="A50" s="20"/>
      <c r="B50" s="117" t="s">
        <v>125</v>
      </c>
      <c r="C50" s="100"/>
      <c r="D50" s="101"/>
      <c r="E50" s="102"/>
      <c r="F50" s="101">
        <v>49408</v>
      </c>
      <c r="G50" s="100"/>
      <c r="H50" s="105">
        <v>42263</v>
      </c>
      <c r="I50" s="106"/>
      <c r="J50" s="107">
        <v>1992129</v>
      </c>
      <c r="K50" s="108"/>
      <c r="L50" s="109">
        <v>2609687</v>
      </c>
    </row>
    <row r="51" spans="1:12">
      <c r="A51" s="14"/>
      <c r="B51" s="15"/>
      <c r="C51" s="16"/>
      <c r="D51" s="42">
        <v>3062</v>
      </c>
      <c r="E51" s="42"/>
      <c r="F51" s="42"/>
      <c r="G51" s="42"/>
      <c r="H51" s="42"/>
      <c r="K51" s="52"/>
    </row>
    <row r="52" spans="1:12">
      <c r="F52" s="29">
        <f>F51/3392</f>
        <v>0</v>
      </c>
      <c r="H52" s="72"/>
    </row>
    <row r="53" spans="1:12">
      <c r="H53" s="91"/>
    </row>
  </sheetData>
  <mergeCells count="1">
    <mergeCell ref="N15:N1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86CE-4C08-4F75-B37D-0E3238FC1686}">
  <dimension ref="A3:G8"/>
  <sheetViews>
    <sheetView workbookViewId="0">
      <selection activeCell="F7" sqref="F7"/>
    </sheetView>
  </sheetViews>
  <sheetFormatPr defaultRowHeight="14.4"/>
  <cols>
    <col min="1" max="1" width="18.6640625" customWidth="1"/>
    <col min="2" max="2" width="14.33203125" style="68" customWidth="1"/>
    <col min="3" max="3" width="12.109375" style="68" customWidth="1"/>
    <col min="4" max="4" width="14.33203125" style="69" customWidth="1"/>
    <col min="5" max="5" width="13.33203125" style="68" customWidth="1"/>
    <col min="6" max="6" width="17.33203125" customWidth="1"/>
  </cols>
  <sheetData>
    <row r="3" spans="1:7">
      <c r="B3" s="68" t="s">
        <v>91</v>
      </c>
      <c r="C3" s="68" t="s">
        <v>92</v>
      </c>
      <c r="D3" s="69" t="s">
        <v>93</v>
      </c>
      <c r="E3" s="68" t="s">
        <v>94</v>
      </c>
      <c r="F3" s="68" t="s">
        <v>95</v>
      </c>
      <c r="G3" s="68" t="s">
        <v>96</v>
      </c>
    </row>
    <row r="4" spans="1:7">
      <c r="A4" t="s">
        <v>97</v>
      </c>
      <c r="B4" s="68" t="s">
        <v>98</v>
      </c>
      <c r="C4" s="68">
        <v>1</v>
      </c>
      <c r="D4" s="69">
        <v>138866</v>
      </c>
      <c r="E4" s="68">
        <v>75</v>
      </c>
      <c r="F4" s="52">
        <f>D4*C4*0.8</f>
        <v>111092.8</v>
      </c>
    </row>
    <row r="5" spans="1:7">
      <c r="B5" s="68" t="s">
        <v>99</v>
      </c>
      <c r="C5" s="68">
        <v>5</v>
      </c>
      <c r="D5" s="69">
        <v>117516</v>
      </c>
      <c r="E5" s="68">
        <v>75</v>
      </c>
      <c r="F5" s="52">
        <f t="shared" ref="F5:F7" si="0">D5*C5*0.8</f>
        <v>470064</v>
      </c>
    </row>
    <row r="6" spans="1:7">
      <c r="A6" t="s">
        <v>100</v>
      </c>
      <c r="B6" s="68" t="s">
        <v>99</v>
      </c>
      <c r="C6" s="68">
        <v>47</v>
      </c>
      <c r="D6" s="69">
        <v>104429</v>
      </c>
      <c r="E6" s="68">
        <v>75</v>
      </c>
      <c r="F6" s="52">
        <f t="shared" si="0"/>
        <v>3926530.4000000004</v>
      </c>
    </row>
    <row r="7" spans="1:7" ht="15" thickBot="1">
      <c r="B7" s="74" t="s">
        <v>101</v>
      </c>
      <c r="C7" s="70">
        <v>47</v>
      </c>
      <c r="D7" s="73">
        <v>73271</v>
      </c>
      <c r="E7" s="70">
        <v>75</v>
      </c>
      <c r="F7" s="71">
        <f t="shared" si="0"/>
        <v>2754989.6</v>
      </c>
      <c r="G7" t="s">
        <v>102</v>
      </c>
    </row>
    <row r="8" spans="1:7">
      <c r="F8" s="52">
        <f>SUM(F4:F7)</f>
        <v>7262676.8000000007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00A9-6020-471C-95D7-08CE013F82C0}">
  <dimension ref="A2:H17"/>
  <sheetViews>
    <sheetView workbookViewId="0">
      <selection activeCell="E4" sqref="E4"/>
    </sheetView>
  </sheetViews>
  <sheetFormatPr defaultColWidth="8.88671875" defaultRowHeight="14.4"/>
  <cols>
    <col min="1" max="1" width="8.88671875" style="30"/>
    <col min="2" max="2" width="14.6640625" style="31" bestFit="1" customWidth="1"/>
    <col min="3" max="3" width="12.5546875" style="31" customWidth="1"/>
    <col min="4" max="4" width="11.44140625" style="31" customWidth="1"/>
    <col min="5" max="5" width="8.109375" style="30" customWidth="1"/>
    <col min="6" max="6" width="7.5546875" style="30" customWidth="1"/>
    <col min="7" max="7" width="10.33203125" style="30" customWidth="1"/>
    <col min="8" max="8" width="100.6640625" style="30" customWidth="1"/>
    <col min="9" max="16384" width="8.88671875" style="30"/>
  </cols>
  <sheetData>
    <row r="2" spans="1:8" ht="18">
      <c r="A2" s="46" t="s">
        <v>103</v>
      </c>
    </row>
    <row r="3" spans="1:8" ht="43.2">
      <c r="B3" s="33" t="s">
        <v>104</v>
      </c>
      <c r="C3" s="33" t="s">
        <v>105</v>
      </c>
      <c r="D3" s="33" t="s">
        <v>106</v>
      </c>
      <c r="E3" s="33" t="s">
        <v>107</v>
      </c>
      <c r="F3" s="33" t="s">
        <v>108</v>
      </c>
      <c r="G3" s="33" t="s">
        <v>109</v>
      </c>
      <c r="H3" s="31" t="s">
        <v>110</v>
      </c>
    </row>
    <row r="4" spans="1:8" ht="28.8">
      <c r="A4" s="30" t="s">
        <v>111</v>
      </c>
      <c r="B4" s="31">
        <v>350000000</v>
      </c>
      <c r="C4" s="31">
        <v>50000</v>
      </c>
      <c r="D4" s="31">
        <v>850000</v>
      </c>
      <c r="E4" s="32">
        <f>(B4*0.4)/C4</f>
        <v>2800</v>
      </c>
      <c r="F4" s="32">
        <f>(B4*0.6)/D4</f>
        <v>247.05882352941177</v>
      </c>
      <c r="G4" s="32">
        <f>SUM(E4:F4)</f>
        <v>3047.0588235294117</v>
      </c>
      <c r="H4" s="30" t="s">
        <v>112</v>
      </c>
    </row>
    <row r="5" spans="1:8" ht="15" thickBot="1">
      <c r="A5" s="30" t="s">
        <v>113</v>
      </c>
      <c r="B5" s="67">
        <v>125000000</v>
      </c>
      <c r="C5" s="31">
        <v>7500000</v>
      </c>
      <c r="D5" s="31">
        <v>10000000</v>
      </c>
      <c r="E5" s="30">
        <f>(B5*0.5)/C5</f>
        <v>8.3333333333333339</v>
      </c>
      <c r="F5" s="32">
        <f>(B5*0.5)/D5</f>
        <v>6.25</v>
      </c>
      <c r="G5" s="34">
        <f>SUM(E5:F5)</f>
        <v>14.583333333333334</v>
      </c>
    </row>
    <row r="6" spans="1:8">
      <c r="B6" s="31">
        <f>SUM(B4:B5)</f>
        <v>475000000</v>
      </c>
      <c r="G6" s="32">
        <f>SUM(G4:G5)</f>
        <v>3061.6421568627452</v>
      </c>
    </row>
    <row r="9" spans="1:8" ht="18">
      <c r="A9" s="46" t="s">
        <v>114</v>
      </c>
    </row>
    <row r="10" spans="1:8">
      <c r="A10" s="30" t="s">
        <v>111</v>
      </c>
      <c r="B10" s="31">
        <f>G4*1.1</f>
        <v>3351.7647058823532</v>
      </c>
      <c r="C10" s="129" t="s">
        <v>115</v>
      </c>
      <c r="D10" s="129"/>
      <c r="E10" s="129"/>
      <c r="F10" s="129"/>
      <c r="G10" s="129"/>
      <c r="H10" s="129"/>
    </row>
    <row r="11" spans="1:8" ht="15" thickBot="1">
      <c r="A11" s="30" t="s">
        <v>113</v>
      </c>
      <c r="B11" s="67">
        <v>40</v>
      </c>
    </row>
    <row r="12" spans="1:8">
      <c r="B12" s="31">
        <f>SUM(B10:B11)</f>
        <v>3391.7647058823532</v>
      </c>
    </row>
    <row r="14" spans="1:8" ht="15.6">
      <c r="A14" s="45" t="s">
        <v>116</v>
      </c>
    </row>
    <row r="15" spans="1:8">
      <c r="C15" s="31" t="s">
        <v>117</v>
      </c>
      <c r="D15" s="31" t="s">
        <v>94</v>
      </c>
    </row>
    <row r="16" spans="1:8">
      <c r="A16" s="44" t="s">
        <v>118</v>
      </c>
    </row>
    <row r="17" spans="1:4">
      <c r="A17" s="44" t="s">
        <v>119</v>
      </c>
      <c r="D17" s="47"/>
    </row>
  </sheetData>
  <mergeCells count="1">
    <mergeCell ref="C10:H1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CD0D9AE0AFB448BCDD12387900488D" ma:contentTypeVersion="2" ma:contentTypeDescription="Create a new document." ma:contentTypeScope="" ma:versionID="d9346512737c1a6c1d1bbb8bd9d801d9">
  <xsd:schema xmlns:xsd="http://www.w3.org/2001/XMLSchema" xmlns:xs="http://www.w3.org/2001/XMLSchema" xmlns:p="http://schemas.microsoft.com/office/2006/metadata/properties" xmlns:ns2="ed794db5-9c03-458c-833b-8d3badc4ad5f" targetNamespace="http://schemas.microsoft.com/office/2006/metadata/properties" ma:root="true" ma:fieldsID="8d922d7f8639333c4b9151c678387a77" ns2:_="">
    <xsd:import namespace="ed794db5-9c03-458c-833b-8d3badc4ad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94db5-9c03-458c-833b-8d3badc4a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66751-5EF0-4056-939F-007F68966E7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ed794db5-9c03-458c-833b-8d3badc4ad5f"/>
    <ds:schemaRef ds:uri="http://www.w3.org/XML/1998/namespace"/>
  </ds:schemaRefs>
</ds:datastoreItem>
</file>

<file path=customXml/itemProps2.xml><?xml version="1.0" encoding="utf-8"?>
<ds:datastoreItem xmlns:ds="http://schemas.openxmlformats.org/officeDocument/2006/customXml" ds:itemID="{F49CD832-C204-44E3-9454-A78AA773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94db5-9c03-458c-833b-8d3badc4ad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5E9942-8C8F-4EC4-847A-6C23191F2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Public Burden -  Summary</vt:lpstr>
      <vt:lpstr>Staff Burden</vt:lpstr>
      <vt:lpstr>Est. Appl &amp; Grantees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Davenport, Jamie - RD, Washington, DC</dc:creator>
  <cp:keywords/>
  <dc:description/>
  <cp:lastModifiedBy>Mussington, Arlette - RD, Washington, DC</cp:lastModifiedBy>
  <cp:revision/>
  <dcterms:created xsi:type="dcterms:W3CDTF">2021-04-26T21:10:50Z</dcterms:created>
  <dcterms:modified xsi:type="dcterms:W3CDTF">2021-07-01T15:02:00Z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0x01010007CD0D9AE0AFB448BCDD12387900488D</vt:lpwstr>
  </property>
</Properties>
</file>