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Christina.Sandberg\OneDrive - USDA\Documents\0584-0447 WIC Farmer's Market\ICR from PO 5.19.21\"/>
    </mc:Choice>
  </mc:AlternateContent>
  <bookViews>
    <workbookView xWindow="0" yWindow="0" windowWidth="19200" windowHeight="7060"/>
  </bookViews>
  <sheets>
    <sheet name="2021" sheetId="6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" i="6" l="1"/>
  <c r="H51" i="6" l="1"/>
  <c r="F52" i="6"/>
  <c r="H52" i="6" s="1"/>
  <c r="J52" i="6" s="1"/>
  <c r="F51" i="6"/>
  <c r="F50" i="6"/>
  <c r="H50" i="6" s="1"/>
  <c r="F49" i="6"/>
  <c r="H49" i="6" s="1"/>
  <c r="F46" i="6"/>
  <c r="H46" i="6" s="1"/>
  <c r="F45" i="6"/>
  <c r="H45" i="6" s="1"/>
  <c r="F44" i="6"/>
  <c r="H44" i="6" s="1"/>
  <c r="F42" i="6"/>
  <c r="F33" i="6"/>
  <c r="F13" i="6"/>
  <c r="F10" i="6"/>
  <c r="E48" i="6" l="1"/>
  <c r="F48" i="6" s="1"/>
  <c r="H48" i="6" s="1"/>
  <c r="E16" i="6"/>
  <c r="D35" i="6"/>
  <c r="F22" i="6" l="1"/>
  <c r="H22" i="6" s="1"/>
  <c r="K22" i="6" s="1"/>
  <c r="L22" i="6" s="1"/>
  <c r="E43" i="6" l="1"/>
  <c r="F43" i="6" s="1"/>
  <c r="H43" i="6" s="1"/>
  <c r="I38" i="6" l="1"/>
  <c r="D31" i="6" l="1"/>
  <c r="F31" i="6" l="1"/>
  <c r="H31" i="6" s="1"/>
  <c r="J31" i="6" s="1"/>
  <c r="D38" i="6"/>
  <c r="I53" i="6"/>
  <c r="L31" i="6" l="1"/>
  <c r="K29" i="6"/>
  <c r="D29" i="6"/>
  <c r="D36" i="6"/>
  <c r="F36" i="6" s="1"/>
  <c r="H36" i="6" s="1"/>
  <c r="L36" i="6" s="1"/>
  <c r="F32" i="6"/>
  <c r="H32" i="6" l="1"/>
  <c r="E8" i="6"/>
  <c r="E19" i="6"/>
  <c r="I29" i="6"/>
  <c r="F35" i="6"/>
  <c r="H35" i="6" s="1"/>
  <c r="K35" i="6" s="1"/>
  <c r="L35" i="6" s="1"/>
  <c r="E20" i="6"/>
  <c r="F20" i="6" s="1"/>
  <c r="H20" i="6" s="1"/>
  <c r="K20" i="6" s="1"/>
  <c r="L20" i="6" s="1"/>
  <c r="F12" i="6"/>
  <c r="H12" i="6" s="1"/>
  <c r="K12" i="6" s="1"/>
  <c r="L12" i="6" s="1"/>
  <c r="F11" i="6"/>
  <c r="D6" i="6"/>
  <c r="D26" i="6" s="1"/>
  <c r="E47" i="6"/>
  <c r="F47" i="6" s="1"/>
  <c r="H47" i="6" s="1"/>
  <c r="J47" i="6" s="1"/>
  <c r="E15" i="6"/>
  <c r="E9" i="6"/>
  <c r="K32" i="6" l="1"/>
  <c r="L32" i="6" s="1"/>
  <c r="L46" i="6"/>
  <c r="H33" i="6" l="1"/>
  <c r="K33" i="6" s="1"/>
  <c r="L33" i="6" s="1"/>
  <c r="H42" i="6" l="1"/>
  <c r="L42" i="6" s="1"/>
  <c r="F28" i="6" l="1"/>
  <c r="F29" i="6" s="1"/>
  <c r="H28" i="6" l="1"/>
  <c r="H29" i="6" s="1"/>
  <c r="F37" i="6"/>
  <c r="J28" i="6" l="1"/>
  <c r="J29" i="6" s="1"/>
  <c r="H37" i="6"/>
  <c r="K44" i="6"/>
  <c r="L44" i="6" s="1"/>
  <c r="L29" i="6" l="1"/>
  <c r="L28" i="6"/>
  <c r="K37" i="6"/>
  <c r="F19" i="6"/>
  <c r="H19" i="6" s="1"/>
  <c r="K19" i="6" s="1"/>
  <c r="L19" i="6" s="1"/>
  <c r="K38" i="6" l="1"/>
  <c r="L37" i="6"/>
  <c r="F14" i="6"/>
  <c r="H14" i="6" s="1"/>
  <c r="K14" i="6" s="1"/>
  <c r="L14" i="6" s="1"/>
  <c r="H13" i="6"/>
  <c r="K13" i="6" s="1"/>
  <c r="L13" i="6" s="1"/>
  <c r="H11" i="6"/>
  <c r="K11" i="6" s="1"/>
  <c r="L11" i="6" s="1"/>
  <c r="H10" i="6"/>
  <c r="K10" i="6" s="1"/>
  <c r="L10" i="6" s="1"/>
  <c r="F24" i="6" l="1"/>
  <c r="H24" i="6" s="1"/>
  <c r="K24" i="6" s="1"/>
  <c r="L24" i="6" s="1"/>
  <c r="L47" i="6" l="1"/>
  <c r="F16" i="6" l="1"/>
  <c r="H16" i="6" s="1"/>
  <c r="K16" i="6" s="1"/>
  <c r="L16" i="6" s="1"/>
  <c r="D53" i="6" l="1"/>
  <c r="C59" i="6" l="1"/>
  <c r="L52" i="6"/>
  <c r="J45" i="6"/>
  <c r="L45" i="6" s="1"/>
  <c r="F53" i="6"/>
  <c r="F34" i="6"/>
  <c r="F38" i="6" s="1"/>
  <c r="K26" i="6"/>
  <c r="K39" i="6" s="1"/>
  <c r="I26" i="6"/>
  <c r="F25" i="6"/>
  <c r="H25" i="6" s="1"/>
  <c r="J25" i="6" s="1"/>
  <c r="L25" i="6" s="1"/>
  <c r="F23" i="6"/>
  <c r="H23" i="6" s="1"/>
  <c r="J23" i="6" s="1"/>
  <c r="L23" i="6" s="1"/>
  <c r="F21" i="6"/>
  <c r="H21" i="6" s="1"/>
  <c r="J21" i="6" s="1"/>
  <c r="L21" i="6" s="1"/>
  <c r="F18" i="6"/>
  <c r="H18" i="6" s="1"/>
  <c r="J18" i="6" s="1"/>
  <c r="L18" i="6" s="1"/>
  <c r="F17" i="6"/>
  <c r="H17" i="6" s="1"/>
  <c r="J17" i="6" s="1"/>
  <c r="L17" i="6" s="1"/>
  <c r="F15" i="6"/>
  <c r="H15" i="6" s="1"/>
  <c r="L15" i="6" s="1"/>
  <c r="F9" i="6"/>
  <c r="H9" i="6" s="1"/>
  <c r="J9" i="6" s="1"/>
  <c r="L9" i="6" s="1"/>
  <c r="F8" i="6"/>
  <c r="H8" i="6" s="1"/>
  <c r="L8" i="6" s="1"/>
  <c r="F7" i="6"/>
  <c r="H7" i="6" s="1"/>
  <c r="J7" i="6" s="1"/>
  <c r="L7" i="6" s="1"/>
  <c r="F6" i="6"/>
  <c r="H34" i="6" l="1"/>
  <c r="H38" i="6" s="1"/>
  <c r="E29" i="6"/>
  <c r="D39" i="6"/>
  <c r="I39" i="6"/>
  <c r="I54" i="6" s="1"/>
  <c r="D63" i="6" s="1"/>
  <c r="H6" i="6"/>
  <c r="F26" i="6"/>
  <c r="J34" i="6" l="1"/>
  <c r="J38" i="6" s="1"/>
  <c r="D54" i="6"/>
  <c r="C60" i="6" s="1"/>
  <c r="C58" i="6"/>
  <c r="E26" i="6"/>
  <c r="H26" i="6"/>
  <c r="G29" i="6"/>
  <c r="E59" i="6"/>
  <c r="D59" i="6" s="1"/>
  <c r="E53" i="6"/>
  <c r="J43" i="6"/>
  <c r="J26" i="6" l="1"/>
  <c r="L6" i="6"/>
  <c r="L26" i="6" s="1"/>
  <c r="L34" i="6"/>
  <c r="L38" i="6" s="1"/>
  <c r="L43" i="6"/>
  <c r="G26" i="6"/>
  <c r="H39" i="6"/>
  <c r="L39" i="6" l="1"/>
  <c r="J39" i="6"/>
  <c r="G58" i="6"/>
  <c r="E38" i="6" l="1"/>
  <c r="G38" i="6"/>
  <c r="F39" i="6"/>
  <c r="E39" i="6" s="1"/>
  <c r="E58" i="6" l="1"/>
  <c r="D58" i="6" s="1"/>
  <c r="F54" i="6"/>
  <c r="G39" i="6"/>
  <c r="F58" i="6" l="1"/>
  <c r="E60" i="6"/>
  <c r="C64" i="6" s="1"/>
  <c r="C65" i="6" s="1"/>
  <c r="E54" i="6"/>
  <c r="D60" i="6" l="1"/>
  <c r="K51" i="6"/>
  <c r="K53" i="6" s="1"/>
  <c r="K54" i="6" l="1"/>
  <c r="L51" i="6"/>
  <c r="J49" i="6"/>
  <c r="L49" i="6" s="1"/>
  <c r="H53" i="6"/>
  <c r="G59" i="6" s="1"/>
  <c r="J50" i="6"/>
  <c r="L50" i="6" s="1"/>
  <c r="J53" i="6" l="1"/>
  <c r="H54" i="6"/>
  <c r="G54" i="6" s="1"/>
  <c r="J54" i="6"/>
  <c r="L54" i="6" s="1"/>
  <c r="L53" i="6"/>
  <c r="G53" i="6"/>
  <c r="G60" i="6"/>
  <c r="F59" i="6"/>
  <c r="F60" i="6" l="1"/>
  <c r="D64" i="6"/>
</calcChain>
</file>

<file path=xl/sharedStrings.xml><?xml version="1.0" encoding="utf-8"?>
<sst xmlns="http://schemas.openxmlformats.org/spreadsheetml/2006/main" count="159" uniqueCount="112">
  <si>
    <t>ESTIMATE OF THE COLLECTION OF INFORMATION BURDEN TABLE</t>
  </si>
  <si>
    <t>Regulatory Section</t>
  </si>
  <si>
    <t>Information Collected</t>
  </si>
  <si>
    <t>Form(s)</t>
  </si>
  <si>
    <t>Estimated Number of Respondents</t>
  </si>
  <si>
    <t>Annual Responses per Respondent</t>
  </si>
  <si>
    <t>Total Annual Responses</t>
  </si>
  <si>
    <t>Hours per Response</t>
  </si>
  <si>
    <t>Total Annual Burden Hours</t>
  </si>
  <si>
    <r>
      <rPr>
        <b/>
        <i/>
        <sz val="10"/>
        <color theme="1"/>
        <rFont val="Arial"/>
        <family val="2"/>
      </rPr>
      <t xml:space="preserve">Previous Submission: </t>
    </r>
    <r>
      <rPr>
        <b/>
        <sz val="10"/>
        <color theme="1"/>
        <rFont val="Arial"/>
        <family val="2"/>
      </rPr>
      <t>Total Annual Burden Hours</t>
    </r>
  </si>
  <si>
    <t>Difference Due to Adjustments</t>
  </si>
  <si>
    <t>Difference Due to Program Changes</t>
  </si>
  <si>
    <t>Reason for Difference (See also Narrative Statement)</t>
  </si>
  <si>
    <t>REPORTING BURDEN ESTIMATES</t>
  </si>
  <si>
    <t>Affected Public:  STATE &amp; LOCAL AGENCIES (Including Indian Tribal Organizations and U.S. Territories)</t>
  </si>
  <si>
    <t>248.3(e), 246.5</t>
  </si>
  <si>
    <t>Local Agency Applications</t>
  </si>
  <si>
    <t>Decrease by including estimate of nonprofit businesses in authorized outlets</t>
  </si>
  <si>
    <t>State Plan</t>
  </si>
  <si>
    <t>N/A</t>
  </si>
  <si>
    <t>Certification Data for Participants</t>
  </si>
  <si>
    <t>Decrease in participation rates</t>
  </si>
  <si>
    <t>248.10(a)(2),(3),(b)(c)</t>
  </si>
  <si>
    <t>Authorization - Review of Outlet Applications (Farmers, Farmers' Market, Roadside Stand)</t>
  </si>
  <si>
    <t xml:space="preserve">Decrease in the number of farmers, farmers' markets, roadside stands.  </t>
  </si>
  <si>
    <t>Face-to-Face Training Development</t>
  </si>
  <si>
    <t>Increase due to not being reported in previous submission</t>
  </si>
  <si>
    <t xml:space="preserve">Face-to-Face Training </t>
  </si>
  <si>
    <t>248.10(b)(5)</t>
  </si>
  <si>
    <t xml:space="preserve">Disqualification of Authorized Outlets </t>
  </si>
  <si>
    <t>248.10(d)</t>
  </si>
  <si>
    <t>Annual Training for Authorized Outlets Development</t>
  </si>
  <si>
    <t xml:space="preserve">Annual Training for Authorized Outlets </t>
  </si>
  <si>
    <t xml:space="preserve">248.10(e)(2),(3); 248.17(c)(1)(i) </t>
  </si>
  <si>
    <t>Monitoring/Review of Authorized Outlets</t>
  </si>
  <si>
    <t>248.10(e)(4); 248.17(c)(1)(ii)</t>
  </si>
  <si>
    <t xml:space="preserve">Monitoring/Review of Local Agencies </t>
  </si>
  <si>
    <t>248.10(f)</t>
  </si>
  <si>
    <t>Coupon Management System</t>
  </si>
  <si>
    <t>248.10(h)</t>
  </si>
  <si>
    <t xml:space="preserve">Coupon Reconciliation </t>
  </si>
  <si>
    <t>248.10(j)</t>
  </si>
  <si>
    <t>Recipients and Authorized Outlet Complaints</t>
  </si>
  <si>
    <t>248.10(k)</t>
  </si>
  <si>
    <t>Farmer/farmers' market sanctions</t>
  </si>
  <si>
    <t>248.11(a)</t>
  </si>
  <si>
    <t>Disclosure of Financial Expenditures</t>
  </si>
  <si>
    <t>248.17(b)(2)(ii)</t>
  </si>
  <si>
    <t>State Agency Corrective Action Plan</t>
  </si>
  <si>
    <t>248.17(c)(2)</t>
  </si>
  <si>
    <t>Special Reports</t>
  </si>
  <si>
    <t>248.18(b)</t>
  </si>
  <si>
    <t>Audit Responses</t>
  </si>
  <si>
    <t>Affected Public:  INDIVIDUALS/HOUSEHOLDS (Applicants for Program Benefits)</t>
  </si>
  <si>
    <t xml:space="preserve">Slight increase due to use of standardized conversion of minutes to hours but greater overall decrease in participation rates </t>
  </si>
  <si>
    <t>Subtotal Reporting: Individuals/Households</t>
  </si>
  <si>
    <t>Farmer/farmers' market complaints</t>
  </si>
  <si>
    <t>248.10(b)(c)</t>
  </si>
  <si>
    <t xml:space="preserve">Appeal of Denial </t>
  </si>
  <si>
    <t>Non-profit businesses Applications</t>
  </si>
  <si>
    <t>248.10(e)(1)</t>
  </si>
  <si>
    <t>Coupon Reimbursement</t>
  </si>
  <si>
    <t>Subtotal Reporting: Authorized outlets</t>
  </si>
  <si>
    <t>GRAND SUBTOTAL: REPORTING</t>
  </si>
  <si>
    <t>RECORDKEEPING BURDEN ESTIMATES</t>
  </si>
  <si>
    <t>Affected Public:  STATE &amp; LOCAL AGENCIES (Including Indian Tribal Organizations and U.S.Territories)</t>
  </si>
  <si>
    <t xml:space="preserve">248.4(c) </t>
  </si>
  <si>
    <t xml:space="preserve">State Plan Record Maintenance </t>
  </si>
  <si>
    <t>Nutrition Education</t>
  </si>
  <si>
    <t>Decrease in number of participants</t>
  </si>
  <si>
    <t>248.10(a)(4)(d)</t>
  </si>
  <si>
    <t>Authorized Outlet Training Content</t>
  </si>
  <si>
    <t>Authorized Outlet Agreements</t>
  </si>
  <si>
    <t>Maintenance of Disqualification and Sanction Records</t>
  </si>
  <si>
    <t>248.10(e)(2),(3); 248.17(c)(1)(i)</t>
  </si>
  <si>
    <t>Monitoring and Review of Authorized Outlets</t>
  </si>
  <si>
    <t xml:space="preserve">Increase due to more accurate calcuation </t>
  </si>
  <si>
    <t xml:space="preserve">248.11(c) </t>
  </si>
  <si>
    <t>Record of Financial Expenditures</t>
  </si>
  <si>
    <t>FNS-683B</t>
  </si>
  <si>
    <t>248.17(a)</t>
  </si>
  <si>
    <t>Maintenance of Management Evaluations</t>
  </si>
  <si>
    <t>248.16(a)</t>
  </si>
  <si>
    <t>Fair Hearings</t>
  </si>
  <si>
    <t>248.23(a)</t>
  </si>
  <si>
    <t>Record of Program Operations</t>
  </si>
  <si>
    <t>GRAND SUBTOTAL: RECORDKEEPING</t>
  </si>
  <si>
    <t>GRAND TOTAL:  REPORTING AND RECORDKEEPING</t>
  </si>
  <si>
    <t>Note: FNS-683B, OMB Control Number: 0584-0594 Food Programs Reporting System (FPRS), Expiration Date: 07/31/2023</t>
  </si>
  <si>
    <t xml:space="preserve"> </t>
  </si>
  <si>
    <t>Estimated # Respondents</t>
  </si>
  <si>
    <t>Responses Per Respondent</t>
  </si>
  <si>
    <t xml:space="preserve">Total Annual Responses </t>
  </si>
  <si>
    <t>Estimated Avg. # of Hours Per Response</t>
  </si>
  <si>
    <t>Estimated Total Hours (Col. DxE)</t>
  </si>
  <si>
    <t>Total Reporting Burden</t>
  </si>
  <si>
    <t>Total Recordkeeping Burden</t>
  </si>
  <si>
    <t>TOTAL BURDEN FOR #0584-0447</t>
  </si>
  <si>
    <t>Responses</t>
  </si>
  <si>
    <t>Hours</t>
  </si>
  <si>
    <t>Currently approved burden</t>
  </si>
  <si>
    <t>Burden Requested with this ICR</t>
  </si>
  <si>
    <t>Difference</t>
  </si>
  <si>
    <t>Affected Public: Authorized Outlets (Farmers/Markets/Roadside Stands) and Businesses</t>
  </si>
  <si>
    <t>248.10(b)(1)(xi)</t>
  </si>
  <si>
    <t>Total Difference</t>
  </si>
  <si>
    <t>Increase due to the fact that some of the WIC local agencies, which are actually non-profit organizations, were counted as part of the SLT respondent group.</t>
  </si>
  <si>
    <t>Establishment of ME System</t>
  </si>
  <si>
    <t>Subtotal Reporting: State and Local Agencies (Including Indian Tribal Organizations and U.S. Territories)</t>
  </si>
  <si>
    <t>248.6, 248.10(i)</t>
  </si>
  <si>
    <t>Appendix F,G</t>
  </si>
  <si>
    <t>Appendix D
FMNP Burden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</si>
</sst>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(* #,##0.00_);_(* \(#,##0.00\);_(* &quot;-&quot;??_);_(@_)"/>
    <numFmt numFmtId="164" formatCode="_(* #,##0_);_(* \(#,##0\);_(* &quot;-&quot;??_);_(@_)"/>
    <numFmt numFmtId="165" formatCode="_(* #,##0.000_);_(* \(#,##0.000\);_(* &quot;-&quot;??_);_(@_)"/>
    <numFmt numFmtId="166" formatCode="#,##0.000_);\(#,##0.000\)"/>
    <numFmt numFmtId="167" formatCode="#,##0.0000000"/>
    <numFmt numFmtId="168" formatCode="#,##0.00000_);\(#,##0.00000\)"/>
    <numFmt numFmtId="169" formatCode="0.000000"/>
    <numFmt numFmtId="170" formatCode="_(* #,##0.000000_);_(* \(#,##0.000000\);_(* &quot;-&quot;??_);_(@_)"/>
    <numFmt numFmtId="171" formatCode="#,##0.0_);\(#,##0.0\)"/>
  </numFmts>
  <fonts count="18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4"/>
      <color theme="1"/>
      <name val="Arial"/>
      <family val="2"/>
    </font>
    <font>
      <sz val="10"/>
      <color rgb="FF000000"/>
      <name val="Arial"/>
      <family val="2"/>
    </font>
    <font>
      <sz val="8"/>
      <color theme="1"/>
      <name val="Times New Roman"/>
      <family val="1"/>
    </font>
    <font>
      <b/>
      <sz val="10"/>
      <color rgb="FF000000"/>
      <name val="Arial"/>
      <charset val="1"/>
    </font>
    <font>
      <b/>
      <sz val="12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5" fillId="0" borderId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228">
    <xf numFmtId="0" fontId="0" fillId="0" borderId="0" xfId="0"/>
    <xf numFmtId="0" fontId="0" fillId="0" borderId="0" xfId="0" applyBorder="1"/>
    <xf numFmtId="0" fontId="0" fillId="0" borderId="0" xfId="0" applyFill="1" applyBorder="1"/>
    <xf numFmtId="0" fontId="4" fillId="0" borderId="0" xfId="0" applyFont="1" applyBorder="1"/>
    <xf numFmtId="0" fontId="6" fillId="0" borderId="0" xfId="2" applyFont="1" applyBorder="1" applyAlignment="1">
      <alignment horizontal="left" vertical="center"/>
    </xf>
    <xf numFmtId="3" fontId="6" fillId="0" borderId="0" xfId="2" applyNumberFormat="1" applyFont="1" applyBorder="1" applyAlignment="1">
      <alignment vertical="center"/>
    </xf>
    <xf numFmtId="168" fontId="5" fillId="0" borderId="0" xfId="2" applyNumberFormat="1" applyFont="1" applyBorder="1" applyAlignment="1">
      <alignment vertical="center"/>
    </xf>
    <xf numFmtId="165" fontId="6" fillId="0" borderId="0" xfId="2" applyNumberFormat="1" applyFont="1" applyBorder="1" applyAlignment="1">
      <alignment vertical="center"/>
    </xf>
    <xf numFmtId="167" fontId="5" fillId="0" borderId="0" xfId="2" applyNumberFormat="1" applyFont="1" applyBorder="1" applyAlignment="1">
      <alignment vertical="center"/>
    </xf>
    <xf numFmtId="43" fontId="6" fillId="0" borderId="0" xfId="5" applyFont="1" applyBorder="1"/>
    <xf numFmtId="169" fontId="6" fillId="0" borderId="0" xfId="2" applyNumberFormat="1" applyFont="1" applyBorder="1"/>
    <xf numFmtId="0" fontId="6" fillId="0" borderId="20" xfId="2" applyFont="1" applyFill="1" applyBorder="1"/>
    <xf numFmtId="0" fontId="0" fillId="0" borderId="0" xfId="0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4" borderId="2" xfId="0" applyFont="1" applyFill="1" applyBorder="1"/>
    <xf numFmtId="0" fontId="1" fillId="6" borderId="2" xfId="0" applyFont="1" applyFill="1" applyBorder="1" applyAlignment="1">
      <alignment horizontal="center" vertical="center" wrapText="1"/>
    </xf>
    <xf numFmtId="43" fontId="2" fillId="0" borderId="2" xfId="1" applyFont="1" applyBorder="1" applyAlignment="1">
      <alignment horizontal="right"/>
    </xf>
    <xf numFmtId="0" fontId="2" fillId="5" borderId="2" xfId="0" applyFont="1" applyFill="1" applyBorder="1"/>
    <xf numFmtId="0" fontId="2" fillId="0" borderId="0" xfId="0" applyFont="1" applyBorder="1" applyAlignment="1">
      <alignment horizontal="left"/>
    </xf>
    <xf numFmtId="0" fontId="2" fillId="0" borderId="0" xfId="0" applyFont="1" applyBorder="1"/>
    <xf numFmtId="3" fontId="2" fillId="0" borderId="0" xfId="0" applyNumberFormat="1" applyFont="1" applyBorder="1"/>
    <xf numFmtId="164" fontId="1" fillId="4" borderId="2" xfId="1" applyNumberFormat="1" applyFont="1" applyFill="1" applyBorder="1"/>
    <xf numFmtId="165" fontId="1" fillId="4" borderId="2" xfId="0" applyNumberFormat="1" applyFont="1" applyFill="1" applyBorder="1" applyAlignment="1">
      <alignment horizontal="right"/>
    </xf>
    <xf numFmtId="164" fontId="2" fillId="0" borderId="0" xfId="0" applyNumberFormat="1" applyFont="1" applyBorder="1"/>
    <xf numFmtId="170" fontId="2" fillId="0" borderId="0" xfId="0" applyNumberFormat="1" applyFont="1" applyBorder="1"/>
    <xf numFmtId="43" fontId="6" fillId="0" borderId="0" xfId="5" applyFont="1" applyFill="1" applyBorder="1"/>
    <xf numFmtId="164" fontId="6" fillId="0" borderId="0" xfId="5" applyNumberFormat="1" applyFont="1" applyFill="1" applyBorder="1"/>
    <xf numFmtId="0" fontId="2" fillId="0" borderId="0" xfId="0" applyFont="1" applyBorder="1" applyAlignment="1">
      <alignment wrapText="1"/>
    </xf>
    <xf numFmtId="43" fontId="2" fillId="0" borderId="2" xfId="1" applyFont="1" applyFill="1" applyBorder="1"/>
    <xf numFmtId="0" fontId="12" fillId="0" borderId="0" xfId="0" applyFont="1" applyBorder="1"/>
    <xf numFmtId="166" fontId="2" fillId="0" borderId="0" xfId="0" applyNumberFormat="1" applyFont="1" applyBorder="1"/>
    <xf numFmtId="43" fontId="2" fillId="0" borderId="0" xfId="0" applyNumberFormat="1" applyFont="1" applyBorder="1"/>
    <xf numFmtId="164" fontId="11" fillId="0" borderId="2" xfId="0" applyNumberFormat="1" applyFont="1" applyFill="1" applyBorder="1"/>
    <xf numFmtId="0" fontId="1" fillId="0" borderId="2" xfId="0" applyFont="1" applyFill="1" applyBorder="1"/>
    <xf numFmtId="0" fontId="2" fillId="0" borderId="2" xfId="0" applyFont="1" applyFill="1" applyBorder="1"/>
    <xf numFmtId="0" fontId="9" fillId="0" borderId="7" xfId="2" applyFont="1" applyFill="1" applyBorder="1" applyAlignment="1">
      <alignment horizontal="center" vertical="center" wrapText="1"/>
    </xf>
    <xf numFmtId="0" fontId="9" fillId="0" borderId="10" xfId="2" applyFont="1" applyFill="1" applyBorder="1" applyAlignment="1">
      <alignment horizontal="center" vertical="center" wrapText="1"/>
    </xf>
    <xf numFmtId="0" fontId="9" fillId="0" borderId="9" xfId="2" applyFont="1" applyFill="1" applyBorder="1" applyAlignment="1">
      <alignment horizontal="center" vertical="center" wrapText="1"/>
    </xf>
    <xf numFmtId="0" fontId="8" fillId="0" borderId="11" xfId="2" applyFont="1" applyFill="1" applyBorder="1" applyAlignment="1">
      <alignment vertical="center"/>
    </xf>
    <xf numFmtId="0" fontId="8" fillId="0" borderId="14" xfId="2" applyFont="1" applyFill="1" applyBorder="1" applyAlignment="1">
      <alignment horizontal="left" vertical="center"/>
    </xf>
    <xf numFmtId="0" fontId="6" fillId="0" borderId="7" xfId="2" applyFont="1" applyFill="1" applyBorder="1" applyAlignment="1">
      <alignment horizontal="left" vertical="center"/>
    </xf>
    <xf numFmtId="0" fontId="2" fillId="0" borderId="8" xfId="0" applyFont="1" applyFill="1" applyBorder="1"/>
    <xf numFmtId="0" fontId="9" fillId="0" borderId="18" xfId="2" applyFont="1" applyFill="1" applyBorder="1" applyAlignment="1">
      <alignment horizontal="center" vertical="center" wrapText="1"/>
    </xf>
    <xf numFmtId="0" fontId="6" fillId="0" borderId="22" xfId="2" applyFont="1" applyFill="1" applyBorder="1"/>
    <xf numFmtId="0" fontId="6" fillId="0" borderId="19" xfId="2" applyFont="1" applyFill="1" applyBorder="1"/>
    <xf numFmtId="0" fontId="2" fillId="0" borderId="0" xfId="0" applyFont="1" applyFill="1" applyBorder="1"/>
    <xf numFmtId="0" fontId="2" fillId="7" borderId="2" xfId="0" applyFont="1" applyFill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0" borderId="2" xfId="0" applyFont="1" applyBorder="1" applyAlignment="1">
      <alignment horizontal="right" vertical="center"/>
    </xf>
    <xf numFmtId="164" fontId="2" fillId="6" borderId="2" xfId="1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/>
    </xf>
    <xf numFmtId="43" fontId="2" fillId="7" borderId="2" xfId="1" applyFont="1" applyFill="1" applyBorder="1" applyAlignment="1">
      <alignment horizontal="right"/>
    </xf>
    <xf numFmtId="0" fontId="1" fillId="0" borderId="2" xfId="0" applyFont="1" applyBorder="1" applyAlignment="1">
      <alignment horizontal="left" vertical="center" wrapText="1"/>
    </xf>
    <xf numFmtId="0" fontId="2" fillId="7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" fillId="7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7" borderId="2" xfId="0" applyFont="1" applyFill="1" applyBorder="1" applyAlignment="1">
      <alignment vertical="center" wrapText="1"/>
    </xf>
    <xf numFmtId="43" fontId="2" fillId="7" borderId="2" xfId="1" applyNumberFormat="1" applyFont="1" applyFill="1" applyBorder="1" applyAlignment="1">
      <alignment horizontal="right" vertical="center"/>
    </xf>
    <xf numFmtId="164" fontId="5" fillId="7" borderId="2" xfId="1" applyNumberFormat="1" applyFont="1" applyFill="1" applyBorder="1" applyAlignment="1">
      <alignment vertical="center"/>
    </xf>
    <xf numFmtId="0" fontId="2" fillId="7" borderId="2" xfId="0" applyFont="1" applyFill="1" applyBorder="1" applyAlignment="1">
      <alignment vertical="center"/>
    </xf>
    <xf numFmtId="2" fontId="2" fillId="7" borderId="2" xfId="1" applyNumberFormat="1" applyFont="1" applyFill="1" applyBorder="1" applyAlignment="1">
      <alignment horizontal="right" vertical="center"/>
    </xf>
    <xf numFmtId="2" fontId="2" fillId="0" borderId="2" xfId="1" applyNumberFormat="1" applyFont="1" applyBorder="1" applyAlignment="1">
      <alignment horizontal="right" vertical="center"/>
    </xf>
    <xf numFmtId="0" fontId="1" fillId="4" borderId="2" xfId="0" applyFont="1" applyFill="1" applyBorder="1" applyAlignment="1">
      <alignment vertical="center"/>
    </xf>
    <xf numFmtId="39" fontId="5" fillId="6" borderId="2" xfId="1" applyNumberFormat="1" applyFont="1" applyFill="1" applyBorder="1" applyAlignment="1">
      <alignment horizontal="right" vertical="center"/>
    </xf>
    <xf numFmtId="0" fontId="1" fillId="5" borderId="2" xfId="0" applyFont="1" applyFill="1" applyBorder="1"/>
    <xf numFmtId="0" fontId="2" fillId="0" borderId="2" xfId="0" applyFont="1" applyFill="1" applyBorder="1" applyAlignment="1">
      <alignment vertical="top" wrapText="1"/>
    </xf>
    <xf numFmtId="2" fontId="2" fillId="0" borderId="2" xfId="1" applyNumberFormat="1" applyFont="1" applyFill="1" applyBorder="1" applyAlignment="1">
      <alignment horizontal="right" vertical="center"/>
    </xf>
    <xf numFmtId="2" fontId="1" fillId="5" borderId="2" xfId="1" applyNumberFormat="1" applyFont="1" applyFill="1" applyBorder="1" applyAlignment="1">
      <alignment horizontal="right"/>
    </xf>
    <xf numFmtId="2" fontId="1" fillId="0" borderId="2" xfId="1" applyNumberFormat="1" applyFont="1" applyFill="1" applyBorder="1" applyAlignment="1">
      <alignment horizontal="right"/>
    </xf>
    <xf numFmtId="2" fontId="2" fillId="6" borderId="2" xfId="1" applyNumberFormat="1" applyFont="1" applyFill="1" applyBorder="1" applyAlignment="1">
      <alignment horizontal="right" vertical="center"/>
    </xf>
    <xf numFmtId="2" fontId="5" fillId="0" borderId="2" xfId="1" applyNumberFormat="1" applyFont="1" applyBorder="1" applyAlignment="1">
      <alignment horizontal="right" vertical="center"/>
    </xf>
    <xf numFmtId="2" fontId="2" fillId="0" borderId="2" xfId="0" applyNumberFormat="1" applyFont="1" applyFill="1" applyBorder="1" applyAlignment="1">
      <alignment horizontal="right" vertical="center"/>
    </xf>
    <xf numFmtId="2" fontId="2" fillId="7" borderId="2" xfId="1" applyNumberFormat="1" applyFont="1" applyFill="1" applyBorder="1" applyAlignment="1">
      <alignment vertical="center"/>
    </xf>
    <xf numFmtId="2" fontId="2" fillId="0" borderId="2" xfId="1" applyNumberFormat="1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2" fillId="7" borderId="5" xfId="0" applyNumberFormat="1" applyFont="1" applyFill="1" applyBorder="1" applyAlignment="1">
      <alignment vertical="center"/>
    </xf>
    <xf numFmtId="0" fontId="1" fillId="7" borderId="6" xfId="0" applyFont="1" applyFill="1" applyBorder="1" applyAlignment="1">
      <alignment horizontal="left" vertical="center"/>
    </xf>
    <xf numFmtId="0" fontId="2" fillId="7" borderId="6" xfId="0" applyFont="1" applyFill="1" applyBorder="1" applyAlignment="1">
      <alignment horizontal="left" vertical="center" wrapText="1"/>
    </xf>
    <xf numFmtId="0" fontId="2" fillId="7" borderId="6" xfId="0" applyFont="1" applyFill="1" applyBorder="1" applyAlignment="1">
      <alignment vertical="center" wrapText="1"/>
    </xf>
    <xf numFmtId="164" fontId="2" fillId="7" borderId="6" xfId="1" applyNumberFormat="1" applyFont="1" applyFill="1" applyBorder="1" applyAlignment="1">
      <alignment horizontal="right" vertical="center"/>
    </xf>
    <xf numFmtId="43" fontId="2" fillId="7" borderId="6" xfId="1" applyNumberFormat="1" applyFont="1" applyFill="1" applyBorder="1" applyAlignment="1">
      <alignment horizontal="right" vertical="center"/>
    </xf>
    <xf numFmtId="164" fontId="2" fillId="6" borderId="6" xfId="1" applyNumberFormat="1" applyFont="1" applyFill="1" applyBorder="1" applyAlignment="1">
      <alignment horizontal="right" vertical="center"/>
    </xf>
    <xf numFmtId="39" fontId="5" fillId="6" borderId="6" xfId="1" applyNumberFormat="1" applyFont="1" applyFill="1" applyBorder="1" applyAlignment="1">
      <alignment horizontal="right" vertical="center"/>
    </xf>
    <xf numFmtId="0" fontId="2" fillId="7" borderId="25" xfId="0" applyNumberFormat="1" applyFont="1" applyFill="1" applyBorder="1" applyAlignment="1">
      <alignment vertical="center"/>
    </xf>
    <xf numFmtId="0" fontId="2" fillId="7" borderId="26" xfId="0" applyFont="1" applyFill="1" applyBorder="1" applyAlignment="1">
      <alignment vertical="top" wrapText="1"/>
    </xf>
    <xf numFmtId="43" fontId="2" fillId="0" borderId="5" xfId="1" applyFont="1" applyBorder="1"/>
    <xf numFmtId="0" fontId="2" fillId="7" borderId="23" xfId="0" applyFont="1" applyFill="1" applyBorder="1" applyAlignment="1">
      <alignment vertical="top" wrapText="1"/>
    </xf>
    <xf numFmtId="2" fontId="1" fillId="8" borderId="2" xfId="0" applyNumberFormat="1" applyFont="1" applyFill="1" applyBorder="1" applyAlignment="1">
      <alignment horizontal="center" vertical="center"/>
    </xf>
    <xf numFmtId="2" fontId="2" fillId="8" borderId="2" xfId="0" applyNumberFormat="1" applyFont="1" applyFill="1" applyBorder="1" applyAlignment="1">
      <alignment horizontal="right" vertical="center"/>
    </xf>
    <xf numFmtId="43" fontId="1" fillId="8" borderId="23" xfId="1" applyFont="1" applyFill="1" applyBorder="1" applyAlignment="1">
      <alignment horizontal="center" vertical="center"/>
    </xf>
    <xf numFmtId="43" fontId="2" fillId="8" borderId="23" xfId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 wrapText="1"/>
    </xf>
    <xf numFmtId="164" fontId="2" fillId="0" borderId="2" xfId="1" applyNumberFormat="1" applyFont="1" applyFill="1" applyBorder="1" applyAlignment="1">
      <alignment horizontal="right" vertical="center"/>
    </xf>
    <xf numFmtId="43" fontId="2" fillId="0" borderId="2" xfId="1" applyNumberFormat="1" applyFont="1" applyFill="1" applyBorder="1" applyAlignment="1">
      <alignment horizontal="right" vertical="center"/>
    </xf>
    <xf numFmtId="164" fontId="5" fillId="0" borderId="2" xfId="1" applyNumberFormat="1" applyFont="1" applyFill="1" applyBorder="1" applyAlignment="1">
      <alignment vertical="center"/>
    </xf>
    <xf numFmtId="43" fontId="2" fillId="0" borderId="5" xfId="0" applyNumberFormat="1" applyFont="1" applyFill="1" applyBorder="1" applyAlignment="1">
      <alignment vertical="center"/>
    </xf>
    <xf numFmtId="164" fontId="11" fillId="0" borderId="3" xfId="1" applyNumberFormat="1" applyFont="1" applyBorder="1"/>
    <xf numFmtId="0" fontId="2" fillId="7" borderId="3" xfId="0" applyFont="1" applyFill="1" applyBorder="1" applyAlignment="1">
      <alignment vertical="center" wrapText="1"/>
    </xf>
    <xf numFmtId="164" fontId="5" fillId="7" borderId="6" xfId="1" applyNumberFormat="1" applyFont="1" applyFill="1" applyBorder="1" applyAlignment="1">
      <alignment horizontal="right" vertical="center"/>
    </xf>
    <xf numFmtId="2" fontId="1" fillId="4" borderId="2" xfId="1" applyNumberFormat="1" applyFont="1" applyFill="1" applyBorder="1" applyAlignment="1"/>
    <xf numFmtId="2" fontId="1" fillId="4" borderId="2" xfId="1" applyNumberFormat="1" applyFont="1" applyFill="1" applyBorder="1" applyAlignment="1">
      <alignment vertical="center"/>
    </xf>
    <xf numFmtId="43" fontId="1" fillId="4" borderId="2" xfId="1" applyFont="1" applyFill="1" applyBorder="1" applyAlignment="1"/>
    <xf numFmtId="2" fontId="2" fillId="6" borderId="2" xfId="0" applyNumberFormat="1" applyFont="1" applyFill="1" applyBorder="1" applyAlignment="1">
      <alignment horizontal="right" vertical="center"/>
    </xf>
    <xf numFmtId="43" fontId="2" fillId="6" borderId="23" xfId="1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left" vertical="center" wrapText="1"/>
    </xf>
    <xf numFmtId="0" fontId="1" fillId="7" borderId="23" xfId="0" applyFont="1" applyFill="1" applyBorder="1" applyAlignment="1">
      <alignment horizontal="left" vertical="center" wrapText="1"/>
    </xf>
    <xf numFmtId="0" fontId="2" fillId="7" borderId="23" xfId="0" applyFont="1" applyFill="1" applyBorder="1" applyAlignment="1">
      <alignment horizontal="left" vertical="center" wrapText="1"/>
    </xf>
    <xf numFmtId="43" fontId="1" fillId="7" borderId="23" xfId="1" applyFont="1" applyFill="1" applyBorder="1" applyAlignment="1">
      <alignment horizontal="left" vertical="center"/>
    </xf>
    <xf numFmtId="43" fontId="2" fillId="7" borderId="23" xfId="1" applyFont="1" applyFill="1" applyBorder="1" applyAlignment="1">
      <alignment horizontal="left" vertical="center"/>
    </xf>
    <xf numFmtId="0" fontId="1" fillId="7" borderId="29" xfId="0" applyFont="1" applyFill="1" applyBorder="1" applyAlignment="1">
      <alignment horizontal="left" vertical="center"/>
    </xf>
    <xf numFmtId="0" fontId="2" fillId="7" borderId="29" xfId="0" applyFont="1" applyFill="1" applyBorder="1" applyAlignment="1">
      <alignment horizontal="left" vertical="center" wrapText="1"/>
    </xf>
    <xf numFmtId="0" fontId="1" fillId="7" borderId="2" xfId="0" applyNumberFormat="1" applyFont="1" applyFill="1" applyBorder="1" applyAlignment="1">
      <alignment horizontal="left" vertical="center"/>
    </xf>
    <xf numFmtId="2" fontId="2" fillId="7" borderId="2" xfId="0" applyNumberFormat="1" applyFont="1" applyFill="1" applyBorder="1" applyAlignment="1">
      <alignment horizontal="left" vertical="center"/>
    </xf>
    <xf numFmtId="2" fontId="9" fillId="7" borderId="11" xfId="2" applyNumberFormat="1" applyFont="1" applyFill="1" applyBorder="1" applyAlignment="1">
      <alignment horizontal="right" vertical="center"/>
    </xf>
    <xf numFmtId="2" fontId="9" fillId="0" borderId="17" xfId="2" applyNumberFormat="1" applyFont="1" applyFill="1" applyBorder="1" applyAlignment="1">
      <alignment horizontal="right" vertical="center"/>
    </xf>
    <xf numFmtId="2" fontId="9" fillId="7" borderId="17" xfId="2" applyNumberFormat="1" applyFont="1" applyFill="1" applyBorder="1" applyAlignment="1">
      <alignment horizontal="right" vertical="center"/>
    </xf>
    <xf numFmtId="2" fontId="5" fillId="7" borderId="7" xfId="2" applyNumberFormat="1" applyFont="1" applyFill="1" applyBorder="1" applyAlignment="1">
      <alignment horizontal="right" vertical="center"/>
    </xf>
    <xf numFmtId="2" fontId="5" fillId="7" borderId="10" xfId="2" applyNumberFormat="1" applyFont="1" applyFill="1" applyBorder="1" applyAlignment="1">
      <alignment horizontal="right" vertical="center"/>
    </xf>
    <xf numFmtId="43" fontId="2" fillId="8" borderId="30" xfId="1" applyFont="1" applyFill="1" applyBorder="1" applyAlignment="1">
      <alignment horizontal="center" vertical="center"/>
    </xf>
    <xf numFmtId="164" fontId="5" fillId="7" borderId="31" xfId="0" applyNumberFormat="1" applyFont="1" applyFill="1" applyBorder="1"/>
    <xf numFmtId="164" fontId="5" fillId="7" borderId="30" xfId="0" applyNumberFormat="1" applyFont="1" applyFill="1" applyBorder="1" applyAlignment="1">
      <alignment vertical="center"/>
    </xf>
    <xf numFmtId="164" fontId="5" fillId="0" borderId="30" xfId="0" applyNumberFormat="1" applyFont="1" applyFill="1" applyBorder="1" applyAlignment="1">
      <alignment vertical="center"/>
    </xf>
    <xf numFmtId="0" fontId="2" fillId="7" borderId="32" xfId="0" applyFont="1" applyFill="1" applyBorder="1" applyAlignment="1">
      <alignment vertical="top" wrapText="1"/>
    </xf>
    <xf numFmtId="0" fontId="2" fillId="7" borderId="3" xfId="0" applyFont="1" applyFill="1" applyBorder="1" applyAlignment="1">
      <alignment vertical="top" wrapText="1"/>
    </xf>
    <xf numFmtId="0" fontId="1" fillId="4" borderId="3" xfId="0" applyFont="1" applyFill="1" applyBorder="1"/>
    <xf numFmtId="0" fontId="2" fillId="4" borderId="3" xfId="0" applyFont="1" applyFill="1" applyBorder="1"/>
    <xf numFmtId="164" fontId="5" fillId="7" borderId="2" xfId="0" applyNumberFormat="1" applyFont="1" applyFill="1" applyBorder="1" applyAlignment="1">
      <alignment vertical="center"/>
    </xf>
    <xf numFmtId="2" fontId="2" fillId="8" borderId="5" xfId="0" applyNumberFormat="1" applyFont="1" applyFill="1" applyBorder="1" applyAlignment="1">
      <alignment horizontal="right" vertical="center"/>
    </xf>
    <xf numFmtId="43" fontId="2" fillId="7" borderId="5" xfId="1" applyFont="1" applyFill="1" applyBorder="1"/>
    <xf numFmtId="0" fontId="2" fillId="0" borderId="3" xfId="0" applyFont="1" applyBorder="1" applyAlignment="1">
      <alignment vertical="top" wrapText="1"/>
    </xf>
    <xf numFmtId="0" fontId="2" fillId="0" borderId="28" xfId="0" applyFont="1" applyBorder="1" applyAlignment="1">
      <alignment vertical="top" wrapText="1"/>
    </xf>
    <xf numFmtId="0" fontId="2" fillId="0" borderId="26" xfId="0" applyFont="1" applyBorder="1" applyAlignment="1">
      <alignment vertical="top" wrapText="1"/>
    </xf>
    <xf numFmtId="43" fontId="1" fillId="0" borderId="2" xfId="1" applyFont="1" applyFill="1" applyBorder="1" applyAlignment="1">
      <alignment horizontal="right"/>
    </xf>
    <xf numFmtId="43" fontId="1" fillId="8" borderId="2" xfId="1" applyFont="1" applyFill="1" applyBorder="1" applyAlignment="1">
      <alignment horizontal="right"/>
    </xf>
    <xf numFmtId="43" fontId="1" fillId="5" borderId="2" xfId="1" applyFont="1" applyFill="1" applyBorder="1" applyAlignment="1">
      <alignment horizontal="right"/>
    </xf>
    <xf numFmtId="43" fontId="1" fillId="4" borderId="2" xfId="1" applyFont="1" applyFill="1" applyBorder="1" applyAlignment="1">
      <alignment vertical="center"/>
    </xf>
    <xf numFmtId="43" fontId="2" fillId="6" borderId="2" xfId="1" applyFont="1" applyFill="1" applyBorder="1" applyAlignment="1">
      <alignment horizontal="right" vertical="center"/>
    </xf>
    <xf numFmtId="4" fontId="1" fillId="5" borderId="2" xfId="1" applyNumberFormat="1" applyFont="1" applyFill="1" applyBorder="1" applyAlignment="1">
      <alignment horizontal="right"/>
    </xf>
    <xf numFmtId="4" fontId="1" fillId="0" borderId="2" xfId="1" applyNumberFormat="1" applyFont="1" applyFill="1" applyBorder="1" applyAlignment="1">
      <alignment horizontal="right"/>
    </xf>
    <xf numFmtId="4" fontId="1" fillId="5" borderId="2" xfId="1" applyNumberFormat="1" applyFont="1" applyFill="1" applyBorder="1" applyAlignment="1">
      <alignment horizontal="right" vertical="center"/>
    </xf>
    <xf numFmtId="43" fontId="8" fillId="0" borderId="12" xfId="1" applyFont="1" applyFill="1" applyBorder="1" applyAlignment="1">
      <alignment horizontal="right" vertical="center"/>
    </xf>
    <xf numFmtId="43" fontId="8" fillId="0" borderId="13" xfId="1" applyFont="1" applyFill="1" applyBorder="1" applyAlignment="1">
      <alignment horizontal="right" vertical="center"/>
    </xf>
    <xf numFmtId="43" fontId="6" fillId="0" borderId="9" xfId="1" applyFont="1" applyFill="1" applyBorder="1" applyAlignment="1">
      <alignment horizontal="right" vertical="center"/>
    </xf>
    <xf numFmtId="43" fontId="9" fillId="0" borderId="11" xfId="1" applyFont="1" applyFill="1" applyBorder="1" applyAlignment="1">
      <alignment horizontal="right" vertical="center"/>
    </xf>
    <xf numFmtId="43" fontId="5" fillId="0" borderId="17" xfId="1" applyFont="1" applyFill="1" applyBorder="1" applyAlignment="1">
      <alignment horizontal="right" vertical="center"/>
    </xf>
    <xf numFmtId="43" fontId="6" fillId="0" borderId="7" xfId="1" applyFont="1" applyFill="1" applyBorder="1" applyAlignment="1">
      <alignment horizontal="right" vertical="center"/>
    </xf>
    <xf numFmtId="43" fontId="6" fillId="0" borderId="6" xfId="1" applyFont="1" applyFill="1" applyBorder="1" applyAlignment="1"/>
    <xf numFmtId="43" fontId="6" fillId="0" borderId="15" xfId="1" applyFont="1" applyFill="1" applyBorder="1" applyAlignment="1"/>
    <xf numFmtId="43" fontId="6" fillId="0" borderId="2" xfId="1" applyFont="1" applyFill="1" applyBorder="1" applyAlignment="1"/>
    <xf numFmtId="43" fontId="6" fillId="0" borderId="16" xfId="1" applyFont="1" applyFill="1" applyBorder="1" applyAlignment="1"/>
    <xf numFmtId="4" fontId="6" fillId="0" borderId="17" xfId="5" applyNumberFormat="1" applyFont="1" applyFill="1" applyBorder="1" applyAlignment="1"/>
    <xf numFmtId="43" fontId="2" fillId="7" borderId="2" xfId="1" applyFont="1" applyFill="1" applyBorder="1" applyAlignment="1">
      <alignment horizontal="right" vertical="center"/>
    </xf>
    <xf numFmtId="43" fontId="2" fillId="7" borderId="2" xfId="1" applyFont="1" applyFill="1" applyBorder="1" applyAlignment="1">
      <alignment vertical="center"/>
    </xf>
    <xf numFmtId="4" fontId="2" fillId="7" borderId="2" xfId="1" applyNumberFormat="1" applyFont="1" applyFill="1" applyBorder="1" applyAlignment="1">
      <alignment vertical="center"/>
    </xf>
    <xf numFmtId="4" fontId="1" fillId="4" borderId="2" xfId="1" applyNumberFormat="1" applyFont="1" applyFill="1" applyBorder="1" applyAlignment="1">
      <alignment vertical="center"/>
    </xf>
    <xf numFmtId="4" fontId="1" fillId="4" borderId="2" xfId="1" applyNumberFormat="1" applyFont="1" applyFill="1" applyBorder="1" applyAlignment="1"/>
    <xf numFmtId="43" fontId="1" fillId="4" borderId="25" xfId="1" applyFont="1" applyFill="1" applyBorder="1" applyAlignment="1"/>
    <xf numFmtId="43" fontId="1" fillId="4" borderId="5" xfId="1" applyFont="1" applyFill="1" applyBorder="1" applyAlignment="1"/>
    <xf numFmtId="4" fontId="2" fillId="0" borderId="23" xfId="0" applyNumberFormat="1" applyFont="1" applyFill="1" applyBorder="1" applyAlignment="1">
      <alignment vertical="center"/>
    </xf>
    <xf numFmtId="43" fontId="5" fillId="0" borderId="5" xfId="1" applyFont="1" applyBorder="1" applyAlignment="1">
      <alignment vertical="center"/>
    </xf>
    <xf numFmtId="43" fontId="2" fillId="0" borderId="2" xfId="1" applyFont="1" applyBorder="1" applyAlignment="1">
      <alignment horizontal="right" vertical="center"/>
    </xf>
    <xf numFmtId="43" fontId="2" fillId="9" borderId="2" xfId="1" applyFont="1" applyFill="1" applyBorder="1" applyAlignment="1">
      <alignment horizontal="right" vertical="center"/>
    </xf>
    <xf numFmtId="43" fontId="2" fillId="0" borderId="2" xfId="1" applyFont="1" applyFill="1" applyBorder="1" applyAlignment="1">
      <alignment horizontal="right" vertical="center"/>
    </xf>
    <xf numFmtId="4" fontId="2" fillId="0" borderId="2" xfId="0" applyNumberFormat="1" applyFont="1" applyFill="1" applyBorder="1" applyAlignment="1">
      <alignment horizontal="right" vertical="center"/>
    </xf>
    <xf numFmtId="4" fontId="2" fillId="0" borderId="0" xfId="0" applyNumberFormat="1" applyFont="1" applyFill="1" applyBorder="1" applyAlignment="1">
      <alignment horizontal="right" vertical="center"/>
    </xf>
    <xf numFmtId="4" fontId="2" fillId="0" borderId="2" xfId="1" applyNumberFormat="1" applyFont="1" applyBorder="1" applyAlignment="1">
      <alignment horizontal="right" vertical="center"/>
    </xf>
    <xf numFmtId="4" fontId="5" fillId="0" borderId="3" xfId="1" applyNumberFormat="1" applyFont="1" applyBorder="1" applyAlignment="1">
      <alignment vertical="center"/>
    </xf>
    <xf numFmtId="4" fontId="6" fillId="0" borderId="3" xfId="1" applyNumberFormat="1" applyFont="1" applyBorder="1" applyAlignment="1"/>
    <xf numFmtId="4" fontId="5" fillId="7" borderId="2" xfId="0" applyNumberFormat="1" applyFont="1" applyFill="1" applyBorder="1" applyAlignment="1">
      <alignment vertical="center"/>
    </xf>
    <xf numFmtId="4" fontId="2" fillId="8" borderId="2" xfId="0" applyNumberFormat="1" applyFont="1" applyFill="1" applyBorder="1" applyAlignment="1">
      <alignment horizontal="right" vertical="center"/>
    </xf>
    <xf numFmtId="0" fontId="4" fillId="10" borderId="0" xfId="0" applyFont="1" applyFill="1" applyBorder="1"/>
    <xf numFmtId="2" fontId="6" fillId="4" borderId="2" xfId="0" applyNumberFormat="1" applyFont="1" applyFill="1" applyBorder="1" applyAlignment="1"/>
    <xf numFmtId="2" fontId="2" fillId="7" borderId="5" xfId="0" applyNumberFormat="1" applyFont="1" applyFill="1" applyBorder="1" applyAlignment="1">
      <alignment vertical="center"/>
    </xf>
    <xf numFmtId="43" fontId="1" fillId="7" borderId="2" xfId="1" applyFont="1" applyFill="1" applyBorder="1" applyAlignment="1">
      <alignment horizontal="right" vertical="center"/>
    </xf>
    <xf numFmtId="43" fontId="6" fillId="7" borderId="7" xfId="1" applyFont="1" applyFill="1" applyBorder="1" applyAlignment="1">
      <alignment horizontal="right" vertical="center"/>
    </xf>
    <xf numFmtId="43" fontId="6" fillId="7" borderId="21" xfId="1" applyFont="1" applyFill="1" applyBorder="1" applyAlignment="1"/>
    <xf numFmtId="43" fontId="1" fillId="7" borderId="2" xfId="1" applyFont="1" applyFill="1" applyBorder="1" applyAlignment="1">
      <alignment horizontal="right"/>
    </xf>
    <xf numFmtId="0" fontId="4" fillId="7" borderId="0" xfId="0" applyFont="1" applyFill="1" applyBorder="1"/>
    <xf numFmtId="4" fontId="1" fillId="4" borderId="2" xfId="1" applyNumberFormat="1" applyFont="1" applyFill="1" applyBorder="1" applyAlignment="1">
      <alignment horizontal="right"/>
    </xf>
    <xf numFmtId="43" fontId="9" fillId="7" borderId="17" xfId="1" applyFont="1" applyFill="1" applyBorder="1" applyAlignment="1"/>
    <xf numFmtId="0" fontId="2" fillId="0" borderId="3" xfId="0" applyFont="1" applyBorder="1" applyAlignment="1">
      <alignment horizontal="left" vertical="center"/>
    </xf>
    <xf numFmtId="0" fontId="14" fillId="0" borderId="2" xfId="0" applyFont="1" applyBorder="1" applyAlignment="1">
      <alignment vertical="center"/>
    </xf>
    <xf numFmtId="2" fontId="5" fillId="7" borderId="2" xfId="1" applyNumberFormat="1" applyFont="1" applyFill="1" applyBorder="1" applyAlignment="1">
      <alignment vertical="center"/>
    </xf>
    <xf numFmtId="2" fontId="2" fillId="8" borderId="23" xfId="1" applyNumberFormat="1" applyFont="1" applyFill="1" applyBorder="1" applyAlignment="1">
      <alignment vertical="center"/>
    </xf>
    <xf numFmtId="2" fontId="5" fillId="7" borderId="6" xfId="1" applyNumberFormat="1" applyFont="1" applyFill="1" applyBorder="1" applyAlignment="1">
      <alignment vertical="center"/>
    </xf>
    <xf numFmtId="2" fontId="5" fillId="0" borderId="2" xfId="1" applyNumberFormat="1" applyFont="1" applyFill="1" applyBorder="1" applyAlignment="1">
      <alignment vertical="center"/>
    </xf>
    <xf numFmtId="43" fontId="5" fillId="7" borderId="2" xfId="0" applyNumberFormat="1" applyFont="1" applyFill="1" applyBorder="1" applyAlignment="1">
      <alignment vertical="center"/>
    </xf>
    <xf numFmtId="43" fontId="5" fillId="7" borderId="30" xfId="0" applyNumberFormat="1" applyFont="1" applyFill="1" applyBorder="1" applyAlignment="1">
      <alignment vertical="center"/>
    </xf>
    <xf numFmtId="0" fontId="1" fillId="7" borderId="2" xfId="0" applyFont="1" applyFill="1" applyBorder="1" applyAlignment="1">
      <alignment horizontal="left" vertical="center"/>
    </xf>
    <xf numFmtId="0" fontId="16" fillId="7" borderId="23" xfId="0" applyFont="1" applyFill="1" applyBorder="1"/>
    <xf numFmtId="4" fontId="2" fillId="0" borderId="0" xfId="0" applyNumberFormat="1" applyFont="1" applyBorder="1"/>
    <xf numFmtId="0" fontId="17" fillId="0" borderId="0" xfId="0" applyFont="1" applyBorder="1" applyAlignment="1">
      <alignment horizontal="center" wrapText="1"/>
    </xf>
    <xf numFmtId="0" fontId="1" fillId="0" borderId="5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43" fontId="1" fillId="3" borderId="27" xfId="1" applyFont="1" applyFill="1" applyBorder="1" applyAlignment="1">
      <alignment horizontal="center" vertical="center"/>
    </xf>
    <xf numFmtId="43" fontId="1" fillId="3" borderId="24" xfId="1" applyFont="1" applyFill="1" applyBorder="1" applyAlignment="1">
      <alignment horizontal="center" vertical="center"/>
    </xf>
    <xf numFmtId="43" fontId="1" fillId="3" borderId="28" xfId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  <xf numFmtId="0" fontId="1" fillId="4" borderId="5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37" fontId="2" fillId="0" borderId="2" xfId="1" applyNumberFormat="1" applyFont="1" applyFill="1" applyBorder="1" applyAlignment="1">
      <alignment horizontal="right" vertical="center"/>
    </xf>
    <xf numFmtId="43" fontId="2" fillId="0" borderId="23" xfId="1" applyFont="1" applyFill="1" applyBorder="1" applyAlignment="1">
      <alignment horizontal="center" vertical="center"/>
    </xf>
    <xf numFmtId="43" fontId="2" fillId="0" borderId="23" xfId="1" applyFont="1" applyFill="1" applyBorder="1" applyAlignment="1">
      <alignment horizontal="right" vertical="center"/>
    </xf>
    <xf numFmtId="171" fontId="2" fillId="0" borderId="2" xfId="1" applyNumberFormat="1" applyFont="1" applyFill="1" applyBorder="1" applyAlignment="1">
      <alignment horizontal="right" vertical="center"/>
    </xf>
  </cellXfs>
  <cellStyles count="6">
    <cellStyle name="Comma" xfId="1" builtinId="3"/>
    <cellStyle name="Comma 2" xfId="3"/>
    <cellStyle name="Comma 2 2" xfId="5"/>
    <cellStyle name="Comma 3" xfId="4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ordon, Anna - FNS" id="{B3012CCA-9E70-48CD-B941-432710B718F3}" userId="S::anna.gordon@usda.gov::5779f16c-c016-4d4c-bbb3-5f60919a4e59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35" dT="2020-10-08T20:02:10.11" personId="{B3012CCA-9E70-48CD-B941-432710B718F3}" id="{456CD162-95E9-4D5B-8F8D-F772AAB88688}">
    <text>I was unsure if we needed a line item for this.  Totally made up these numbers</text>
  </threadedComment>
  <threadedComment ref="D36" dT="2020-10-19T12:44:31.77" personId="{B3012CCA-9E70-48CD-B941-432710B718F3}" id="{EBADD896-B1FF-417A-B406-EF5AC48DD203}">
    <text>Should possibly be 19884 depending on what we do with coupon reimbursement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T70"/>
  <sheetViews>
    <sheetView tabSelected="1" zoomScale="90" zoomScaleNormal="90" workbookViewId="0">
      <pane ySplit="3" topLeftCell="A4" activePane="bottomLeft" state="frozen"/>
      <selection pane="bottomLeft" activeCell="A71" sqref="A71:XFD89"/>
    </sheetView>
  </sheetViews>
  <sheetFormatPr defaultColWidth="9.1796875" defaultRowHeight="14.5" x14ac:dyDescent="0.35"/>
  <cols>
    <col min="1" max="1" width="17.453125" style="20" customWidth="1"/>
    <col min="2" max="2" width="41.81640625" style="21" customWidth="1"/>
    <col min="3" max="3" width="13.81640625" style="21" customWidth="1"/>
    <col min="4" max="4" width="15.1796875" style="21" customWidth="1"/>
    <col min="5" max="5" width="21.54296875" style="21" customWidth="1"/>
    <col min="6" max="6" width="17.1796875" style="21" customWidth="1"/>
    <col min="7" max="7" width="14" style="21" bestFit="1" customWidth="1"/>
    <col min="8" max="8" width="13.81640625" style="21" customWidth="1"/>
    <col min="9" max="9" width="15.453125" style="21" customWidth="1"/>
    <col min="10" max="10" width="16.81640625" style="21" customWidth="1"/>
    <col min="11" max="12" width="12.81640625" style="21" customWidth="1"/>
    <col min="13" max="13" width="21.1796875" style="21" customWidth="1"/>
    <col min="14" max="14" width="3.1796875" style="1" customWidth="1"/>
    <col min="15" max="16384" width="9.1796875" style="1"/>
  </cols>
  <sheetData>
    <row r="1" spans="1:13" ht="30.5" customHeight="1" x14ac:dyDescent="0.35">
      <c r="A1" s="199" t="s">
        <v>111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</row>
    <row r="2" spans="1:13" s="12" customFormat="1" ht="18" x14ac:dyDescent="0.35">
      <c r="A2" s="217" t="s">
        <v>0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</row>
    <row r="3" spans="1:13" s="12" customFormat="1" ht="120.65" customHeight="1" x14ac:dyDescent="0.35">
      <c r="A3" s="13" t="s">
        <v>1</v>
      </c>
      <c r="B3" s="13" t="s">
        <v>2</v>
      </c>
      <c r="C3" s="14" t="s">
        <v>3</v>
      </c>
      <c r="D3" s="13" t="s">
        <v>4</v>
      </c>
      <c r="E3" s="13" t="s">
        <v>5</v>
      </c>
      <c r="F3" s="17" t="s">
        <v>6</v>
      </c>
      <c r="G3" s="13" t="s">
        <v>7</v>
      </c>
      <c r="H3" s="17" t="s">
        <v>8</v>
      </c>
      <c r="I3" s="15" t="s">
        <v>9</v>
      </c>
      <c r="J3" s="15" t="s">
        <v>10</v>
      </c>
      <c r="K3" s="15" t="s">
        <v>11</v>
      </c>
      <c r="L3" s="15" t="s">
        <v>105</v>
      </c>
      <c r="M3" s="15" t="s">
        <v>12</v>
      </c>
    </row>
    <row r="4" spans="1:13" s="12" customFormat="1" x14ac:dyDescent="0.35">
      <c r="A4" s="209" t="s">
        <v>13</v>
      </c>
      <c r="B4" s="218"/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9"/>
    </row>
    <row r="5" spans="1:13" s="12" customFormat="1" x14ac:dyDescent="0.35">
      <c r="A5" s="220" t="s">
        <v>14</v>
      </c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0"/>
      <c r="M5" s="220"/>
    </row>
    <row r="6" spans="1:13" ht="64" customHeight="1" x14ac:dyDescent="0.35">
      <c r="A6" s="61" t="s">
        <v>15</v>
      </c>
      <c r="B6" s="58" t="s">
        <v>16</v>
      </c>
      <c r="C6" s="53"/>
      <c r="D6" s="67">
        <f>994*0.7</f>
        <v>695.8</v>
      </c>
      <c r="E6" s="68">
        <v>0.5</v>
      </c>
      <c r="F6" s="76">
        <f>D6*E6</f>
        <v>347.9</v>
      </c>
      <c r="G6" s="68">
        <v>2</v>
      </c>
      <c r="H6" s="76">
        <f>F6*G6</f>
        <v>695.8</v>
      </c>
      <c r="I6" s="77">
        <v>980</v>
      </c>
      <c r="J6" s="68">
        <v>-284</v>
      </c>
      <c r="K6" s="18"/>
      <c r="L6" s="68">
        <f>J6+K6</f>
        <v>-284</v>
      </c>
      <c r="M6" s="48" t="s">
        <v>17</v>
      </c>
    </row>
    <row r="7" spans="1:13" ht="47.5" customHeight="1" x14ac:dyDescent="0.35">
      <c r="A7" s="57">
        <v>248.4</v>
      </c>
      <c r="B7" s="62" t="s">
        <v>18</v>
      </c>
      <c r="C7" s="55" t="s">
        <v>110</v>
      </c>
      <c r="D7" s="68">
        <v>49</v>
      </c>
      <c r="E7" s="68">
        <v>1</v>
      </c>
      <c r="F7" s="76">
        <f t="shared" ref="F7:F25" si="0">D7*E7</f>
        <v>49</v>
      </c>
      <c r="G7" s="68">
        <v>40</v>
      </c>
      <c r="H7" s="144">
        <f t="shared" ref="H7:H25" si="1">F7*G7</f>
        <v>1960</v>
      </c>
      <c r="I7" s="168">
        <v>1960</v>
      </c>
      <c r="J7" s="68">
        <f t="shared" ref="J7:J25" si="2">H7-I7</f>
        <v>0</v>
      </c>
      <c r="K7" s="18"/>
      <c r="L7" s="68">
        <f t="shared" ref="L7:L25" si="3">J7+K7</f>
        <v>0</v>
      </c>
      <c r="M7" s="72" t="s">
        <v>19</v>
      </c>
    </row>
    <row r="8" spans="1:13" ht="44" customHeight="1" x14ac:dyDescent="0.35">
      <c r="A8" s="61" t="s">
        <v>109</v>
      </c>
      <c r="B8" s="58" t="s">
        <v>20</v>
      </c>
      <c r="C8" s="53"/>
      <c r="D8" s="68">
        <v>49</v>
      </c>
      <c r="E8" s="168">
        <f>1560475/49</f>
        <v>31846.428571428572</v>
      </c>
      <c r="F8" s="144">
        <f t="shared" ref="F8:F14" si="4">D8*E8</f>
        <v>1560475</v>
      </c>
      <c r="G8" s="68">
        <v>0.25</v>
      </c>
      <c r="H8" s="144">
        <f t="shared" ref="H8:H14" si="5">F8*G8</f>
        <v>390118.75</v>
      </c>
      <c r="I8" s="168">
        <v>411647.25</v>
      </c>
      <c r="J8" s="172">
        <v>-21528</v>
      </c>
      <c r="K8" s="34"/>
      <c r="L8" s="173">
        <f t="shared" si="3"/>
        <v>-21528</v>
      </c>
      <c r="M8" s="48" t="s">
        <v>21</v>
      </c>
    </row>
    <row r="9" spans="1:13" ht="50" x14ac:dyDescent="0.35">
      <c r="A9" s="59" t="s">
        <v>22</v>
      </c>
      <c r="B9" s="60" t="s">
        <v>23</v>
      </c>
      <c r="C9" s="54"/>
      <c r="D9" s="73">
        <v>49</v>
      </c>
      <c r="E9" s="73">
        <f>(9942/49)</f>
        <v>202.89795918367346</v>
      </c>
      <c r="F9" s="144">
        <f t="shared" si="4"/>
        <v>9942</v>
      </c>
      <c r="G9" s="73">
        <v>1</v>
      </c>
      <c r="H9" s="144">
        <f t="shared" si="5"/>
        <v>9942</v>
      </c>
      <c r="I9" s="170">
        <v>12560</v>
      </c>
      <c r="J9" s="171">
        <f>H9-I9</f>
        <v>-2618</v>
      </c>
      <c r="K9" s="30"/>
      <c r="L9" s="173">
        <f t="shared" si="3"/>
        <v>-2618</v>
      </c>
      <c r="M9" s="49" t="s">
        <v>24</v>
      </c>
    </row>
    <row r="10" spans="1:13" ht="37.5" x14ac:dyDescent="0.35">
      <c r="A10" s="61" t="s">
        <v>70</v>
      </c>
      <c r="B10" s="112" t="s">
        <v>25</v>
      </c>
      <c r="C10" s="54"/>
      <c r="D10" s="73">
        <v>49</v>
      </c>
      <c r="E10" s="73">
        <v>1</v>
      </c>
      <c r="F10" s="73">
        <f t="shared" si="4"/>
        <v>49</v>
      </c>
      <c r="G10" s="73">
        <v>8</v>
      </c>
      <c r="H10" s="76">
        <f t="shared" si="5"/>
        <v>392</v>
      </c>
      <c r="I10" s="73">
        <v>0</v>
      </c>
      <c r="J10" s="78"/>
      <c r="K10" s="30">
        <f>H10-I10</f>
        <v>392</v>
      </c>
      <c r="L10" s="68">
        <f t="shared" si="3"/>
        <v>392</v>
      </c>
      <c r="M10" s="48" t="s">
        <v>26</v>
      </c>
    </row>
    <row r="11" spans="1:13" ht="37.5" x14ac:dyDescent="0.35">
      <c r="A11" s="61" t="s">
        <v>70</v>
      </c>
      <c r="B11" s="112" t="s">
        <v>27</v>
      </c>
      <c r="C11" s="54"/>
      <c r="D11" s="73">
        <v>49</v>
      </c>
      <c r="E11" s="73">
        <v>15</v>
      </c>
      <c r="F11" s="73">
        <f t="shared" si="4"/>
        <v>735</v>
      </c>
      <c r="G11" s="73">
        <v>2</v>
      </c>
      <c r="H11" s="144">
        <f t="shared" si="5"/>
        <v>1470</v>
      </c>
      <c r="I11" s="73">
        <v>0</v>
      </c>
      <c r="J11" s="78"/>
      <c r="K11" s="30">
        <f>H11-I11</f>
        <v>1470</v>
      </c>
      <c r="L11" s="168">
        <f t="shared" si="3"/>
        <v>1470</v>
      </c>
      <c r="M11" s="48" t="s">
        <v>26</v>
      </c>
    </row>
    <row r="12" spans="1:13" ht="37.5" x14ac:dyDescent="0.35">
      <c r="A12" s="61" t="s">
        <v>28</v>
      </c>
      <c r="B12" s="112" t="s">
        <v>29</v>
      </c>
      <c r="C12" s="54"/>
      <c r="D12" s="73">
        <v>5</v>
      </c>
      <c r="E12" s="73">
        <v>1</v>
      </c>
      <c r="F12" s="73">
        <f t="shared" si="4"/>
        <v>5</v>
      </c>
      <c r="G12" s="73">
        <v>8.3500000000000005E-2</v>
      </c>
      <c r="H12" s="76">
        <f t="shared" si="5"/>
        <v>0.41750000000000004</v>
      </c>
      <c r="I12" s="73">
        <v>0</v>
      </c>
      <c r="J12" s="78"/>
      <c r="K12" s="30">
        <f>H12-I12</f>
        <v>0.41750000000000004</v>
      </c>
      <c r="L12" s="68">
        <f t="shared" si="3"/>
        <v>0.41750000000000004</v>
      </c>
      <c r="M12" s="94" t="s">
        <v>26</v>
      </c>
    </row>
    <row r="13" spans="1:13" ht="37.5" x14ac:dyDescent="0.35">
      <c r="A13" s="61" t="s">
        <v>30</v>
      </c>
      <c r="B13" s="112" t="s">
        <v>31</v>
      </c>
      <c r="C13" s="54"/>
      <c r="D13" s="73">
        <v>49</v>
      </c>
      <c r="E13" s="73">
        <v>1</v>
      </c>
      <c r="F13" s="73">
        <f t="shared" si="4"/>
        <v>49</v>
      </c>
      <c r="G13" s="73">
        <v>8</v>
      </c>
      <c r="H13" s="76">
        <f t="shared" si="5"/>
        <v>392</v>
      </c>
      <c r="I13" s="73">
        <v>0</v>
      </c>
      <c r="J13" s="78"/>
      <c r="K13" s="30">
        <f>H13-I13</f>
        <v>392</v>
      </c>
      <c r="L13" s="68">
        <f t="shared" si="3"/>
        <v>392</v>
      </c>
      <c r="M13" s="48" t="s">
        <v>26</v>
      </c>
    </row>
    <row r="14" spans="1:13" ht="37.5" x14ac:dyDescent="0.35">
      <c r="A14" s="61" t="s">
        <v>30</v>
      </c>
      <c r="B14" s="112" t="s">
        <v>32</v>
      </c>
      <c r="C14" s="54"/>
      <c r="D14" s="73">
        <v>49</v>
      </c>
      <c r="E14" s="73">
        <v>15</v>
      </c>
      <c r="F14" s="73">
        <f t="shared" si="4"/>
        <v>735</v>
      </c>
      <c r="G14" s="73">
        <v>2</v>
      </c>
      <c r="H14" s="169">
        <f t="shared" si="5"/>
        <v>1470</v>
      </c>
      <c r="I14" s="73">
        <v>0</v>
      </c>
      <c r="J14" s="78"/>
      <c r="K14" s="30">
        <f>H14-I14</f>
        <v>1470</v>
      </c>
      <c r="L14" s="168">
        <f t="shared" si="3"/>
        <v>1470</v>
      </c>
      <c r="M14" s="48" t="s">
        <v>26</v>
      </c>
    </row>
    <row r="15" spans="1:13" ht="50" x14ac:dyDescent="0.35">
      <c r="A15" s="61" t="s">
        <v>33</v>
      </c>
      <c r="B15" s="58" t="s">
        <v>34</v>
      </c>
      <c r="C15" s="55"/>
      <c r="D15" s="67">
        <v>49</v>
      </c>
      <c r="E15" s="67">
        <f>((19884)/49)*0.1</f>
        <v>40.579591836734693</v>
      </c>
      <c r="F15" s="144">
        <f t="shared" si="0"/>
        <v>1988.3999999999999</v>
      </c>
      <c r="G15" s="67">
        <v>1.5</v>
      </c>
      <c r="H15" s="144">
        <f t="shared" si="1"/>
        <v>2982.6</v>
      </c>
      <c r="I15" s="159">
        <v>3768</v>
      </c>
      <c r="J15" s="67">
        <v>-785</v>
      </c>
      <c r="K15" s="56"/>
      <c r="L15" s="68">
        <f t="shared" si="3"/>
        <v>-785</v>
      </c>
      <c r="M15" s="48" t="s">
        <v>24</v>
      </c>
    </row>
    <row r="16" spans="1:13" ht="37.5" x14ac:dyDescent="0.35">
      <c r="A16" s="61" t="s">
        <v>35</v>
      </c>
      <c r="B16" s="58" t="s">
        <v>36</v>
      </c>
      <c r="C16" s="55"/>
      <c r="D16" s="67">
        <v>49</v>
      </c>
      <c r="E16" s="67">
        <f>(994/49)*0.5</f>
        <v>10.142857142857142</v>
      </c>
      <c r="F16" s="73">
        <f>D16*E16</f>
        <v>497</v>
      </c>
      <c r="G16" s="67">
        <v>2</v>
      </c>
      <c r="H16" s="76">
        <f t="shared" si="1"/>
        <v>994</v>
      </c>
      <c r="I16" s="67">
        <v>0</v>
      </c>
      <c r="J16" s="67"/>
      <c r="K16" s="56">
        <f>H16-I16</f>
        <v>994</v>
      </c>
      <c r="L16" s="68">
        <f t="shared" si="3"/>
        <v>994</v>
      </c>
      <c r="M16" s="48" t="s">
        <v>26</v>
      </c>
    </row>
    <row r="17" spans="1:13" ht="48.75" customHeight="1" x14ac:dyDescent="0.35">
      <c r="A17" s="57" t="s">
        <v>37</v>
      </c>
      <c r="B17" s="62" t="s">
        <v>38</v>
      </c>
      <c r="C17" s="50"/>
      <c r="D17" s="68">
        <v>49</v>
      </c>
      <c r="E17" s="68">
        <v>1</v>
      </c>
      <c r="F17" s="76">
        <f t="shared" si="0"/>
        <v>49</v>
      </c>
      <c r="G17" s="68">
        <v>5</v>
      </c>
      <c r="H17" s="76">
        <f t="shared" si="1"/>
        <v>245</v>
      </c>
      <c r="I17" s="68">
        <v>245</v>
      </c>
      <c r="J17" s="68">
        <f t="shared" si="2"/>
        <v>0</v>
      </c>
      <c r="K17" s="18"/>
      <c r="L17" s="68">
        <f t="shared" si="3"/>
        <v>0</v>
      </c>
      <c r="M17" s="49" t="s">
        <v>19</v>
      </c>
    </row>
    <row r="18" spans="1:13" x14ac:dyDescent="0.35">
      <c r="A18" s="57" t="s">
        <v>39</v>
      </c>
      <c r="B18" s="58" t="s">
        <v>40</v>
      </c>
      <c r="C18" s="50"/>
      <c r="D18" s="68">
        <v>49</v>
      </c>
      <c r="E18" s="68">
        <v>1</v>
      </c>
      <c r="F18" s="76">
        <f t="shared" si="0"/>
        <v>49</v>
      </c>
      <c r="G18" s="68">
        <v>3</v>
      </c>
      <c r="H18" s="76">
        <f t="shared" si="1"/>
        <v>147</v>
      </c>
      <c r="I18" s="68">
        <v>147</v>
      </c>
      <c r="J18" s="68">
        <f t="shared" si="2"/>
        <v>0</v>
      </c>
      <c r="K18" s="18"/>
      <c r="L18" s="68">
        <f t="shared" si="3"/>
        <v>0</v>
      </c>
      <c r="M18" s="48" t="s">
        <v>19</v>
      </c>
    </row>
    <row r="19" spans="1:13" ht="37.5" x14ac:dyDescent="0.35">
      <c r="A19" s="61" t="s">
        <v>41</v>
      </c>
      <c r="B19" s="58" t="s">
        <v>42</v>
      </c>
      <c r="C19" s="50"/>
      <c r="D19" s="68">
        <v>49</v>
      </c>
      <c r="E19" s="68">
        <f>500/49</f>
        <v>10.204081632653061</v>
      </c>
      <c r="F19" s="73">
        <f>D19*E19</f>
        <v>500</v>
      </c>
      <c r="G19" s="68">
        <v>1</v>
      </c>
      <c r="H19" s="76">
        <f>F19*G19</f>
        <v>500</v>
      </c>
      <c r="I19" s="68">
        <v>0</v>
      </c>
      <c r="J19" s="68"/>
      <c r="K19" s="18">
        <f>H19-I19</f>
        <v>500</v>
      </c>
      <c r="L19" s="68">
        <f t="shared" si="3"/>
        <v>500</v>
      </c>
      <c r="M19" s="48" t="s">
        <v>26</v>
      </c>
    </row>
    <row r="20" spans="1:13" ht="37.5" x14ac:dyDescent="0.35">
      <c r="A20" s="61" t="s">
        <v>43</v>
      </c>
      <c r="B20" s="58" t="s">
        <v>44</v>
      </c>
      <c r="C20" s="50"/>
      <c r="D20" s="68">
        <v>49</v>
      </c>
      <c r="E20" s="68">
        <f>(19884*0.02)/49</f>
        <v>8.1159183673469393</v>
      </c>
      <c r="F20" s="73">
        <f>D20*E20</f>
        <v>397.68</v>
      </c>
      <c r="G20" s="68">
        <v>8.3500000000000005E-2</v>
      </c>
      <c r="H20" s="76">
        <f>F20*G20</f>
        <v>33.20628</v>
      </c>
      <c r="I20" s="68">
        <v>0</v>
      </c>
      <c r="J20" s="68"/>
      <c r="K20" s="18">
        <f>H20-I20</f>
        <v>33.20628</v>
      </c>
      <c r="L20" s="68">
        <f t="shared" si="3"/>
        <v>33.20628</v>
      </c>
      <c r="M20" s="94" t="s">
        <v>26</v>
      </c>
    </row>
    <row r="21" spans="1:13" x14ac:dyDescent="0.35">
      <c r="A21" s="57" t="s">
        <v>45</v>
      </c>
      <c r="B21" s="189" t="s">
        <v>46</v>
      </c>
      <c r="C21" s="188"/>
      <c r="D21" s="68">
        <v>49</v>
      </c>
      <c r="E21" s="68">
        <v>1</v>
      </c>
      <c r="F21" s="76">
        <f t="shared" si="0"/>
        <v>49</v>
      </c>
      <c r="G21" s="68">
        <v>10</v>
      </c>
      <c r="H21" s="76">
        <f t="shared" si="1"/>
        <v>490</v>
      </c>
      <c r="I21" s="68">
        <v>490</v>
      </c>
      <c r="J21" s="68">
        <f t="shared" si="2"/>
        <v>0</v>
      </c>
      <c r="K21" s="18"/>
      <c r="L21" s="68">
        <f t="shared" si="3"/>
        <v>0</v>
      </c>
      <c r="M21" s="49" t="s">
        <v>19</v>
      </c>
    </row>
    <row r="22" spans="1:13" ht="37.5" x14ac:dyDescent="0.35">
      <c r="A22" s="57" t="s">
        <v>80</v>
      </c>
      <c r="B22" s="81" t="s">
        <v>107</v>
      </c>
      <c r="C22" s="62"/>
      <c r="D22" s="68">
        <v>1</v>
      </c>
      <c r="E22" s="68">
        <v>1</v>
      </c>
      <c r="F22" s="73">
        <f>D22*E22</f>
        <v>1</v>
      </c>
      <c r="G22" s="68">
        <v>24</v>
      </c>
      <c r="H22" s="76">
        <f t="shared" si="1"/>
        <v>24</v>
      </c>
      <c r="I22" s="68">
        <v>0</v>
      </c>
      <c r="J22" s="68"/>
      <c r="K22" s="18">
        <f>H22-I22</f>
        <v>24</v>
      </c>
      <c r="L22" s="68">
        <f>J22+K22</f>
        <v>24</v>
      </c>
      <c r="M22" s="49" t="s">
        <v>26</v>
      </c>
    </row>
    <row r="23" spans="1:13" x14ac:dyDescent="0.35">
      <c r="A23" s="57" t="s">
        <v>47</v>
      </c>
      <c r="B23" s="62" t="s">
        <v>48</v>
      </c>
      <c r="C23" s="62"/>
      <c r="D23" s="68">
        <v>7</v>
      </c>
      <c r="E23" s="68">
        <v>1</v>
      </c>
      <c r="F23" s="76">
        <f t="shared" si="0"/>
        <v>7</v>
      </c>
      <c r="G23" s="68">
        <v>10</v>
      </c>
      <c r="H23" s="76">
        <f t="shared" si="1"/>
        <v>70</v>
      </c>
      <c r="I23" s="68">
        <v>70</v>
      </c>
      <c r="J23" s="68">
        <f t="shared" si="2"/>
        <v>0</v>
      </c>
      <c r="K23" s="18"/>
      <c r="L23" s="68">
        <f t="shared" si="3"/>
        <v>0</v>
      </c>
      <c r="M23" s="49" t="s">
        <v>19</v>
      </c>
    </row>
    <row r="24" spans="1:13" ht="37.5" x14ac:dyDescent="0.35">
      <c r="A24" s="59" t="s">
        <v>49</v>
      </c>
      <c r="B24" s="81" t="s">
        <v>50</v>
      </c>
      <c r="C24" s="62"/>
      <c r="D24" s="68">
        <v>2</v>
      </c>
      <c r="E24" s="68">
        <v>1</v>
      </c>
      <c r="F24" s="73">
        <f t="shared" ref="F24" si="6">D24*E24</f>
        <v>2</v>
      </c>
      <c r="G24" s="68">
        <v>10</v>
      </c>
      <c r="H24" s="76">
        <f t="shared" ref="H24" si="7">F24*G24</f>
        <v>20</v>
      </c>
      <c r="I24" s="68">
        <v>0</v>
      </c>
      <c r="J24" s="68"/>
      <c r="K24" s="18">
        <f>H24-I24</f>
        <v>20</v>
      </c>
      <c r="L24" s="68">
        <f t="shared" si="3"/>
        <v>20</v>
      </c>
      <c r="M24" s="49" t="s">
        <v>26</v>
      </c>
    </row>
    <row r="25" spans="1:13" s="3" customFormat="1" ht="42.75" customHeight="1" x14ac:dyDescent="0.35">
      <c r="A25" s="57" t="s">
        <v>51</v>
      </c>
      <c r="B25" s="62" t="s">
        <v>52</v>
      </c>
      <c r="C25" s="50"/>
      <c r="D25" s="68">
        <v>1</v>
      </c>
      <c r="E25" s="68">
        <v>1</v>
      </c>
      <c r="F25" s="76">
        <f t="shared" si="0"/>
        <v>1</v>
      </c>
      <c r="G25" s="68">
        <v>15</v>
      </c>
      <c r="H25" s="76">
        <f t="shared" si="1"/>
        <v>15</v>
      </c>
      <c r="I25" s="68">
        <v>15</v>
      </c>
      <c r="J25" s="68">
        <f t="shared" si="2"/>
        <v>0</v>
      </c>
      <c r="K25" s="18"/>
      <c r="L25" s="68">
        <f t="shared" si="3"/>
        <v>0</v>
      </c>
      <c r="M25" s="49" t="s">
        <v>19</v>
      </c>
    </row>
    <row r="26" spans="1:13" ht="40.5" customHeight="1" x14ac:dyDescent="0.35">
      <c r="A26" s="205" t="s">
        <v>108</v>
      </c>
      <c r="B26" s="206"/>
      <c r="C26" s="24"/>
      <c r="D26" s="109">
        <f>49+D6</f>
        <v>744.8</v>
      </c>
      <c r="E26" s="109">
        <f>+F26/D26</f>
        <v>2115.9075993555316</v>
      </c>
      <c r="F26" s="109">
        <f>SUM(F6:F25)</f>
        <v>1575927.9799999997</v>
      </c>
      <c r="G26" s="107">
        <f>+H26/F26</f>
        <v>0.26140901044221576</v>
      </c>
      <c r="H26" s="109">
        <f>SUM(H6:H25)</f>
        <v>411961.77377999993</v>
      </c>
      <c r="I26" s="109">
        <f>SUM(I6:I25)</f>
        <v>431882.25</v>
      </c>
      <c r="J26" s="163">
        <f>SUM(J6:J25)</f>
        <v>-25215</v>
      </c>
      <c r="K26" s="109">
        <f>SUM(K6:K25)</f>
        <v>5295.6237799999999</v>
      </c>
      <c r="L26" s="186">
        <f>SUM(L6:L25)</f>
        <v>-19919.376220000002</v>
      </c>
      <c r="M26" s="16"/>
    </row>
    <row r="27" spans="1:13" x14ac:dyDescent="0.35">
      <c r="A27" s="221" t="s">
        <v>53</v>
      </c>
      <c r="B27" s="222"/>
      <c r="C27" s="222"/>
      <c r="D27" s="222"/>
      <c r="E27" s="222"/>
      <c r="F27" s="222"/>
      <c r="G27" s="222"/>
      <c r="H27" s="222"/>
      <c r="I27" s="222"/>
      <c r="J27" s="222"/>
      <c r="K27" s="222"/>
      <c r="L27" s="222"/>
      <c r="M27" s="223"/>
    </row>
    <row r="28" spans="1:13" ht="75" x14ac:dyDescent="0.35">
      <c r="A28" s="196" t="s">
        <v>109</v>
      </c>
      <c r="B28" s="58" t="s">
        <v>20</v>
      </c>
      <c r="C28" s="52"/>
      <c r="D28" s="168">
        <v>1560475</v>
      </c>
      <c r="E28" s="68">
        <v>1</v>
      </c>
      <c r="F28" s="144">
        <f>D28*E28</f>
        <v>1560475</v>
      </c>
      <c r="G28" s="68">
        <v>5.0099999999999999E-2</v>
      </c>
      <c r="H28" s="144">
        <f>F28*G28</f>
        <v>78179.797500000001</v>
      </c>
      <c r="I28" s="167">
        <v>82329.45</v>
      </c>
      <c r="J28" s="166">
        <f>H28-I28</f>
        <v>-4149.6524999999965</v>
      </c>
      <c r="K28" s="104"/>
      <c r="L28" s="174">
        <f>J28+K28</f>
        <v>-4149.6524999999965</v>
      </c>
      <c r="M28" s="48" t="s">
        <v>54</v>
      </c>
    </row>
    <row r="29" spans="1:13" ht="37.5" customHeight="1" x14ac:dyDescent="0.35">
      <c r="A29" s="205" t="s">
        <v>55</v>
      </c>
      <c r="B29" s="206"/>
      <c r="C29" s="16"/>
      <c r="D29" s="109">
        <f>D28</f>
        <v>1560475</v>
      </c>
      <c r="E29" s="107">
        <f>+F29/D29</f>
        <v>1</v>
      </c>
      <c r="F29" s="109">
        <f>F28</f>
        <v>1560475</v>
      </c>
      <c r="G29" s="107">
        <f>+H29/F29</f>
        <v>5.0099999999999999E-2</v>
      </c>
      <c r="H29" s="109">
        <f>H28</f>
        <v>78179.797500000001</v>
      </c>
      <c r="I29" s="109">
        <f>I28</f>
        <v>82329.45</v>
      </c>
      <c r="J29" s="163">
        <f>J28</f>
        <v>-4149.6524999999965</v>
      </c>
      <c r="K29" s="23">
        <f>K28</f>
        <v>0</v>
      </c>
      <c r="L29" s="175">
        <f>J29+K29</f>
        <v>-4149.6524999999965</v>
      </c>
      <c r="M29" s="16"/>
    </row>
    <row r="30" spans="1:13" x14ac:dyDescent="0.35">
      <c r="A30" s="202" t="s">
        <v>103</v>
      </c>
      <c r="B30" s="203"/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4"/>
    </row>
    <row r="31" spans="1:13" ht="98" customHeight="1" x14ac:dyDescent="0.35">
      <c r="A31" s="197" t="s">
        <v>15</v>
      </c>
      <c r="B31" s="114" t="s">
        <v>59</v>
      </c>
      <c r="C31" s="105"/>
      <c r="D31" s="67">
        <f>994*0.3</f>
        <v>298.2</v>
      </c>
      <c r="E31" s="64">
        <v>0.5</v>
      </c>
      <c r="F31" s="224">
        <f t="shared" ref="F31:F37" si="8">D31*E31</f>
        <v>149.1</v>
      </c>
      <c r="G31" s="190">
        <v>2</v>
      </c>
      <c r="H31" s="70">
        <f t="shared" ref="H31" si="9">F31*G31</f>
        <v>298.2</v>
      </c>
      <c r="I31" s="65">
        <v>0</v>
      </c>
      <c r="J31" s="180">
        <f>H31-I31</f>
        <v>298.2</v>
      </c>
      <c r="K31" s="128"/>
      <c r="L31" s="194">
        <f>J31+K31</f>
        <v>298.2</v>
      </c>
      <c r="M31" s="131" t="s">
        <v>106</v>
      </c>
    </row>
    <row r="32" spans="1:13" ht="37.5" x14ac:dyDescent="0.35">
      <c r="A32" s="113" t="s">
        <v>70</v>
      </c>
      <c r="B32" s="114" t="s">
        <v>27</v>
      </c>
      <c r="C32" s="97"/>
      <c r="D32" s="98">
        <f>19884*0.1</f>
        <v>1988.4</v>
      </c>
      <c r="E32" s="98">
        <v>1</v>
      </c>
      <c r="F32" s="225">
        <f t="shared" si="8"/>
        <v>1988.4</v>
      </c>
      <c r="G32" s="191">
        <v>2</v>
      </c>
      <c r="H32" s="111">
        <f t="shared" ref="H32:H37" si="10">F32*G32</f>
        <v>3976.8</v>
      </c>
      <c r="I32" s="98">
        <v>0</v>
      </c>
      <c r="J32" s="98"/>
      <c r="K32" s="126">
        <f>H32-I32</f>
        <v>3976.8</v>
      </c>
      <c r="L32" s="134">
        <f t="shared" ref="L32:L37" si="11">J32+K32</f>
        <v>3976.8</v>
      </c>
      <c r="M32" s="130" t="s">
        <v>26</v>
      </c>
    </row>
    <row r="33" spans="1:98" s="3" customFormat="1" ht="37.5" x14ac:dyDescent="0.35">
      <c r="A33" s="115" t="s">
        <v>104</v>
      </c>
      <c r="B33" s="116" t="s">
        <v>56</v>
      </c>
      <c r="C33" s="97"/>
      <c r="D33" s="98">
        <v>500</v>
      </c>
      <c r="E33" s="98">
        <v>1</v>
      </c>
      <c r="F33" s="226">
        <f t="shared" si="8"/>
        <v>500</v>
      </c>
      <c r="G33" s="191">
        <v>0.5</v>
      </c>
      <c r="H33" s="111">
        <f t="shared" si="10"/>
        <v>250</v>
      </c>
      <c r="I33" s="98"/>
      <c r="J33" s="98"/>
      <c r="K33" s="126">
        <f>H33-I33</f>
        <v>250</v>
      </c>
      <c r="L33" s="134">
        <f t="shared" si="11"/>
        <v>250</v>
      </c>
      <c r="M33" s="130" t="s">
        <v>26</v>
      </c>
    </row>
    <row r="34" spans="1:98" s="3" customFormat="1" ht="50" x14ac:dyDescent="0.35">
      <c r="A34" s="84" t="s">
        <v>57</v>
      </c>
      <c r="B34" s="66" t="s">
        <v>72</v>
      </c>
      <c r="C34" s="86"/>
      <c r="D34" s="87">
        <v>9942</v>
      </c>
      <c r="E34" s="88">
        <v>1</v>
      </c>
      <c r="F34" s="89">
        <f t="shared" si="8"/>
        <v>9942</v>
      </c>
      <c r="G34" s="192">
        <v>8.3500000000000005E-2</v>
      </c>
      <c r="H34" s="90">
        <f t="shared" si="10"/>
        <v>830.15700000000004</v>
      </c>
      <c r="I34" s="106">
        <v>1048.76</v>
      </c>
      <c r="J34" s="91">
        <f>H34-I34</f>
        <v>-218.60299999999995</v>
      </c>
      <c r="K34" s="127"/>
      <c r="L34" s="176">
        <f t="shared" si="11"/>
        <v>-218.60299999999995</v>
      </c>
      <c r="M34" s="92" t="s">
        <v>24</v>
      </c>
    </row>
    <row r="35" spans="1:98" s="3" customFormat="1" ht="37.5" x14ac:dyDescent="0.35">
      <c r="A35" s="117" t="s">
        <v>28</v>
      </c>
      <c r="B35" s="118" t="s">
        <v>58</v>
      </c>
      <c r="C35" s="63"/>
      <c r="D35" s="67">
        <f>397.68*0.02</f>
        <v>7.9536000000000007</v>
      </c>
      <c r="E35" s="64">
        <v>1</v>
      </c>
      <c r="F35" s="51">
        <f t="shared" si="8"/>
        <v>7.9536000000000007</v>
      </c>
      <c r="G35" s="190">
        <v>2</v>
      </c>
      <c r="H35" s="70">
        <f t="shared" si="10"/>
        <v>15.907200000000001</v>
      </c>
      <c r="I35" s="65">
        <v>0</v>
      </c>
      <c r="J35" s="83"/>
      <c r="K35" s="195">
        <f>H35-I35</f>
        <v>15.907200000000001</v>
      </c>
      <c r="L35" s="194">
        <f t="shared" si="11"/>
        <v>15.907200000000001</v>
      </c>
      <c r="M35" s="130" t="s">
        <v>26</v>
      </c>
    </row>
    <row r="36" spans="1:98" s="178" customFormat="1" ht="37.5" x14ac:dyDescent="0.35">
      <c r="A36" s="61" t="s">
        <v>30</v>
      </c>
      <c r="B36" s="112" t="s">
        <v>32</v>
      </c>
      <c r="C36" s="105"/>
      <c r="D36" s="159">
        <f>19884*0.9</f>
        <v>17895.600000000002</v>
      </c>
      <c r="E36" s="64">
        <v>1</v>
      </c>
      <c r="F36" s="227">
        <f t="shared" si="8"/>
        <v>17895.600000000002</v>
      </c>
      <c r="G36" s="190">
        <v>2</v>
      </c>
      <c r="H36" s="70">
        <f t="shared" si="10"/>
        <v>35791.200000000004</v>
      </c>
      <c r="I36" s="65">
        <v>0</v>
      </c>
      <c r="J36" s="83"/>
      <c r="K36" s="195">
        <v>35791</v>
      </c>
      <c r="L36" s="194">
        <f t="shared" si="11"/>
        <v>35791</v>
      </c>
      <c r="M36" s="131" t="s">
        <v>26</v>
      </c>
      <c r="N36" s="185"/>
      <c r="O36" s="185"/>
      <c r="P36" s="185"/>
      <c r="Q36" s="185"/>
      <c r="R36" s="185"/>
      <c r="S36" s="185"/>
      <c r="T36" s="185"/>
      <c r="U36" s="185"/>
      <c r="V36" s="185"/>
      <c r="W36" s="185"/>
      <c r="X36" s="185"/>
      <c r="Y36" s="185"/>
      <c r="Z36" s="185"/>
      <c r="AA36" s="185"/>
      <c r="AB36" s="185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</row>
    <row r="37" spans="1:98" s="2" customFormat="1" ht="41" customHeight="1" x14ac:dyDescent="0.35">
      <c r="A37" s="84" t="s">
        <v>60</v>
      </c>
      <c r="B37" s="85" t="s">
        <v>61</v>
      </c>
      <c r="C37" s="99"/>
      <c r="D37" s="100">
        <v>19884</v>
      </c>
      <c r="E37" s="101">
        <v>9</v>
      </c>
      <c r="F37" s="100">
        <f t="shared" si="8"/>
        <v>178956</v>
      </c>
      <c r="G37" s="193">
        <v>4</v>
      </c>
      <c r="H37" s="70">
        <f t="shared" si="10"/>
        <v>715824</v>
      </c>
      <c r="I37" s="102">
        <v>0</v>
      </c>
      <c r="J37" s="103"/>
      <c r="K37" s="129">
        <f>H37-I37</f>
        <v>715824</v>
      </c>
      <c r="L37" s="134">
        <f t="shared" si="11"/>
        <v>715824</v>
      </c>
      <c r="M37" s="131" t="s">
        <v>26</v>
      </c>
    </row>
    <row r="38" spans="1:98" ht="30.75" customHeight="1" x14ac:dyDescent="0.35">
      <c r="A38" s="205" t="s">
        <v>62</v>
      </c>
      <c r="B38" s="206"/>
      <c r="C38" s="16"/>
      <c r="D38" s="109">
        <f>19884+D31</f>
        <v>20182.2</v>
      </c>
      <c r="E38" s="107">
        <f>+F38/D38</f>
        <v>10.37741443450169</v>
      </c>
      <c r="F38" s="109">
        <f>SUM(F31:F37)</f>
        <v>209439.05360000001</v>
      </c>
      <c r="G38" s="107">
        <f>+H38/F38</f>
        <v>3.6143510543441453</v>
      </c>
      <c r="H38" s="109">
        <f>SUM(H31:H37)</f>
        <v>756986.26419999998</v>
      </c>
      <c r="I38" s="109">
        <f>SUM(I31:I37)</f>
        <v>1048.76</v>
      </c>
      <c r="J38" s="163">
        <f>SUM(J31:J37)</f>
        <v>79.597000000000037</v>
      </c>
      <c r="K38" s="164">
        <f>SUM(K31:K37)</f>
        <v>755857.70719999995</v>
      </c>
      <c r="L38" s="179">
        <f>SUM(L31:L37)</f>
        <v>755937.30420000001</v>
      </c>
      <c r="M38" s="132"/>
    </row>
    <row r="39" spans="1:98" x14ac:dyDescent="0.35">
      <c r="A39" s="207" t="s">
        <v>63</v>
      </c>
      <c r="B39" s="208"/>
      <c r="C39" s="69"/>
      <c r="D39" s="143">
        <f>SUM(D26+D29+D38)</f>
        <v>1581402</v>
      </c>
      <c r="E39" s="108">
        <f>F39/D39</f>
        <v>2.1157441520878306</v>
      </c>
      <c r="F39" s="143">
        <f>SUM(F26+F29+F38)</f>
        <v>3345842.0335999997</v>
      </c>
      <c r="G39" s="108">
        <f>+H39/F39</f>
        <v>0.37273960424788416</v>
      </c>
      <c r="H39" s="143">
        <f>SUM(H26+H29+H38)</f>
        <v>1247127.8354799999</v>
      </c>
      <c r="I39" s="143">
        <f>SUM(I26+I29+I38)</f>
        <v>515260.46</v>
      </c>
      <c r="J39" s="162">
        <f>SUM(J26+J29+J38)</f>
        <v>-29285.055499999995</v>
      </c>
      <c r="K39" s="165">
        <f>SUM(K38+K29+K26)</f>
        <v>761153.33097999997</v>
      </c>
      <c r="L39" s="179">
        <f>L38+L29+L26</f>
        <v>731868.27548000007</v>
      </c>
      <c r="M39" s="133"/>
    </row>
    <row r="40" spans="1:98" ht="14.5" customHeight="1" x14ac:dyDescent="0.35">
      <c r="A40" s="209" t="s">
        <v>64</v>
      </c>
      <c r="B40" s="210"/>
      <c r="C40" s="210"/>
      <c r="D40" s="210"/>
      <c r="E40" s="210"/>
      <c r="F40" s="210"/>
      <c r="G40" s="210"/>
      <c r="H40" s="210"/>
      <c r="I40" s="210"/>
      <c r="J40" s="210"/>
      <c r="K40" s="210"/>
      <c r="L40" s="210"/>
      <c r="M40" s="211"/>
    </row>
    <row r="41" spans="1:98" x14ac:dyDescent="0.35">
      <c r="A41" s="212" t="s">
        <v>65</v>
      </c>
      <c r="B41" s="213"/>
      <c r="C41" s="213"/>
      <c r="D41" s="213"/>
      <c r="E41" s="213"/>
      <c r="F41" s="213"/>
      <c r="G41" s="213"/>
      <c r="H41" s="213"/>
      <c r="I41" s="213"/>
      <c r="J41" s="213"/>
      <c r="K41" s="213"/>
      <c r="L41" s="213"/>
      <c r="M41" s="214"/>
    </row>
    <row r="42" spans="1:98" ht="37.5" x14ac:dyDescent="0.35">
      <c r="A42" s="119" t="s">
        <v>66</v>
      </c>
      <c r="B42" s="120" t="s">
        <v>67</v>
      </c>
      <c r="C42" s="95"/>
      <c r="D42" s="96">
        <v>49</v>
      </c>
      <c r="E42" s="96">
        <v>1</v>
      </c>
      <c r="F42" s="78">
        <f>D42*E42</f>
        <v>49</v>
      </c>
      <c r="G42" s="96">
        <v>0.16700000000000001</v>
      </c>
      <c r="H42" s="110">
        <f>F42*G42</f>
        <v>8.1829999999999998</v>
      </c>
      <c r="I42" s="96">
        <v>0</v>
      </c>
      <c r="J42" s="95"/>
      <c r="K42" s="135">
        <v>8</v>
      </c>
      <c r="L42" s="96">
        <f>J42+K42</f>
        <v>8</v>
      </c>
      <c r="M42" s="131" t="s">
        <v>26</v>
      </c>
    </row>
    <row r="43" spans="1:98" ht="25" x14ac:dyDescent="0.35">
      <c r="A43" s="61">
        <v>248.9</v>
      </c>
      <c r="B43" s="66" t="s">
        <v>68</v>
      </c>
      <c r="C43" s="66"/>
      <c r="D43" s="67">
        <v>49</v>
      </c>
      <c r="E43" s="159">
        <f>1560475/49</f>
        <v>31846.428571428572</v>
      </c>
      <c r="F43" s="110">
        <f t="shared" ref="F43:F52" si="12">D43*E43</f>
        <v>1560475</v>
      </c>
      <c r="G43" s="67">
        <v>0.25</v>
      </c>
      <c r="H43" s="110">
        <f t="shared" ref="H43:H52" si="13">F43*G43</f>
        <v>390118.75</v>
      </c>
      <c r="I43" s="160">
        <v>411647.25</v>
      </c>
      <c r="J43" s="161">
        <f>+H43-I43</f>
        <v>-21528.5</v>
      </c>
      <c r="K43" s="136"/>
      <c r="L43" s="177">
        <f t="shared" ref="L43:L53" si="14">J43+K43</f>
        <v>-21528.5</v>
      </c>
      <c r="M43" s="131" t="s">
        <v>69</v>
      </c>
    </row>
    <row r="44" spans="1:98" ht="37.5" x14ac:dyDescent="0.35">
      <c r="A44" s="61" t="s">
        <v>70</v>
      </c>
      <c r="B44" s="66" t="s">
        <v>71</v>
      </c>
      <c r="C44" s="66"/>
      <c r="D44" s="67">
        <v>49</v>
      </c>
      <c r="E44" s="67">
        <v>1</v>
      </c>
      <c r="F44" s="78">
        <f t="shared" si="12"/>
        <v>49</v>
      </c>
      <c r="G44" s="67">
        <v>2</v>
      </c>
      <c r="H44" s="110">
        <f t="shared" si="13"/>
        <v>98</v>
      </c>
      <c r="I44" s="79">
        <v>0</v>
      </c>
      <c r="J44" s="79"/>
      <c r="K44" s="136">
        <f>H44-I44</f>
        <v>98</v>
      </c>
      <c r="L44" s="96">
        <f t="shared" si="14"/>
        <v>98</v>
      </c>
      <c r="M44" s="131" t="s">
        <v>26</v>
      </c>
    </row>
    <row r="45" spans="1:98" x14ac:dyDescent="0.35">
      <c r="A45" s="61" t="s">
        <v>57</v>
      </c>
      <c r="B45" s="66" t="s">
        <v>72</v>
      </c>
      <c r="C45" s="52"/>
      <c r="D45" s="68">
        <v>49</v>
      </c>
      <c r="E45" s="68">
        <v>1</v>
      </c>
      <c r="F45" s="110">
        <f t="shared" si="12"/>
        <v>49</v>
      </c>
      <c r="G45" s="68">
        <v>2</v>
      </c>
      <c r="H45" s="110">
        <f t="shared" si="13"/>
        <v>98</v>
      </c>
      <c r="I45" s="80">
        <v>98</v>
      </c>
      <c r="J45" s="80">
        <f t="shared" ref="J45:J52" si="15">+H45-I45</f>
        <v>0</v>
      </c>
      <c r="K45" s="93"/>
      <c r="L45" s="96">
        <f t="shared" si="14"/>
        <v>0</v>
      </c>
      <c r="M45" s="137" t="s">
        <v>19</v>
      </c>
    </row>
    <row r="46" spans="1:98" ht="37.5" x14ac:dyDescent="0.35">
      <c r="A46" s="61" t="s">
        <v>28</v>
      </c>
      <c r="B46" s="63" t="s">
        <v>73</v>
      </c>
      <c r="C46" s="52"/>
      <c r="D46" s="68">
        <v>49</v>
      </c>
      <c r="E46" s="68">
        <v>1</v>
      </c>
      <c r="F46" s="78">
        <f t="shared" si="12"/>
        <v>49</v>
      </c>
      <c r="G46" s="68">
        <v>0.16700000000000001</v>
      </c>
      <c r="H46" s="110">
        <f t="shared" si="13"/>
        <v>8.1829999999999998</v>
      </c>
      <c r="I46" s="80">
        <v>0</v>
      </c>
      <c r="J46" s="80"/>
      <c r="K46" s="93">
        <v>8</v>
      </c>
      <c r="L46" s="96">
        <f t="shared" si="14"/>
        <v>8</v>
      </c>
      <c r="M46" s="130" t="s">
        <v>26</v>
      </c>
    </row>
    <row r="47" spans="1:98" ht="26" x14ac:dyDescent="0.35">
      <c r="A47" s="61" t="s">
        <v>74</v>
      </c>
      <c r="B47" s="66" t="s">
        <v>75</v>
      </c>
      <c r="C47" s="52"/>
      <c r="D47" s="68">
        <v>49</v>
      </c>
      <c r="E47" s="68">
        <f>(19884/49)*0.1</f>
        <v>40.579591836734693</v>
      </c>
      <c r="F47" s="78">
        <f t="shared" si="12"/>
        <v>1988.3999999999999</v>
      </c>
      <c r="G47" s="68">
        <v>0.5</v>
      </c>
      <c r="H47" s="110">
        <f t="shared" si="13"/>
        <v>994.19999999999993</v>
      </c>
      <c r="I47" s="80">
        <v>98</v>
      </c>
      <c r="J47" s="80">
        <f>+H47-I47</f>
        <v>896.19999999999993</v>
      </c>
      <c r="K47" s="93"/>
      <c r="L47" s="96">
        <f t="shared" si="14"/>
        <v>896.19999999999993</v>
      </c>
      <c r="M47" s="137" t="s">
        <v>76</v>
      </c>
    </row>
    <row r="48" spans="1:98" ht="37.5" x14ac:dyDescent="0.35">
      <c r="A48" s="61" t="s">
        <v>35</v>
      </c>
      <c r="B48" s="58" t="s">
        <v>36</v>
      </c>
      <c r="C48" s="52"/>
      <c r="D48" s="68">
        <v>49</v>
      </c>
      <c r="E48" s="68">
        <f>(994/49)*0.5</f>
        <v>10.142857142857142</v>
      </c>
      <c r="F48" s="78">
        <f t="shared" si="12"/>
        <v>497</v>
      </c>
      <c r="G48" s="68">
        <v>0.5</v>
      </c>
      <c r="H48" s="110">
        <f t="shared" si="13"/>
        <v>248.5</v>
      </c>
      <c r="I48" s="80">
        <v>0</v>
      </c>
      <c r="J48" s="80"/>
      <c r="K48" s="93">
        <v>248</v>
      </c>
      <c r="L48" s="96">
        <v>248.5</v>
      </c>
      <c r="M48" s="130" t="s">
        <v>26</v>
      </c>
    </row>
    <row r="49" spans="1:13" ht="29.5" customHeight="1" x14ac:dyDescent="0.35">
      <c r="A49" s="57" t="s">
        <v>77</v>
      </c>
      <c r="B49" s="52" t="s">
        <v>78</v>
      </c>
      <c r="C49" s="53" t="s">
        <v>79</v>
      </c>
      <c r="D49" s="68">
        <v>49</v>
      </c>
      <c r="E49" s="68">
        <v>1</v>
      </c>
      <c r="F49" s="110">
        <f t="shared" si="12"/>
        <v>49</v>
      </c>
      <c r="G49" s="68">
        <v>2</v>
      </c>
      <c r="H49" s="110">
        <f t="shared" si="13"/>
        <v>98</v>
      </c>
      <c r="I49" s="80">
        <v>98</v>
      </c>
      <c r="J49" s="80">
        <f t="shared" si="15"/>
        <v>0</v>
      </c>
      <c r="K49" s="93"/>
      <c r="L49" s="96">
        <f t="shared" si="14"/>
        <v>0</v>
      </c>
      <c r="M49" s="138" t="s">
        <v>19</v>
      </c>
    </row>
    <row r="50" spans="1:13" x14ac:dyDescent="0.35">
      <c r="A50" s="57" t="s">
        <v>82</v>
      </c>
      <c r="B50" s="52" t="s">
        <v>83</v>
      </c>
      <c r="C50" s="52"/>
      <c r="D50" s="68">
        <v>49</v>
      </c>
      <c r="E50" s="68">
        <v>1</v>
      </c>
      <c r="F50" s="110">
        <f t="shared" si="12"/>
        <v>49</v>
      </c>
      <c r="G50" s="68">
        <v>1</v>
      </c>
      <c r="H50" s="110">
        <f t="shared" si="13"/>
        <v>49</v>
      </c>
      <c r="I50" s="80">
        <v>49</v>
      </c>
      <c r="J50" s="80">
        <f t="shared" si="15"/>
        <v>0</v>
      </c>
      <c r="K50" s="93"/>
      <c r="L50" s="96">
        <f t="shared" si="14"/>
        <v>0</v>
      </c>
      <c r="M50" s="139" t="s">
        <v>19</v>
      </c>
    </row>
    <row r="51" spans="1:13" ht="37.5" x14ac:dyDescent="0.35">
      <c r="A51" s="59" t="s">
        <v>80</v>
      </c>
      <c r="B51" s="52" t="s">
        <v>81</v>
      </c>
      <c r="C51" s="52"/>
      <c r="D51" s="68">
        <v>49</v>
      </c>
      <c r="E51" s="68">
        <v>1</v>
      </c>
      <c r="F51" s="78">
        <f t="shared" si="12"/>
        <v>49</v>
      </c>
      <c r="G51" s="68">
        <v>2</v>
      </c>
      <c r="H51" s="110">
        <f t="shared" si="13"/>
        <v>98</v>
      </c>
      <c r="I51" s="80">
        <v>0</v>
      </c>
      <c r="J51" s="80">
        <v>0</v>
      </c>
      <c r="K51" s="93">
        <f>H51-I51</f>
        <v>98</v>
      </c>
      <c r="L51" s="96">
        <f t="shared" ref="L51" si="16">J51+K51</f>
        <v>98</v>
      </c>
      <c r="M51" s="130" t="s">
        <v>26</v>
      </c>
    </row>
    <row r="52" spans="1:13" ht="14.5" customHeight="1" x14ac:dyDescent="0.35">
      <c r="A52" s="57" t="s">
        <v>84</v>
      </c>
      <c r="B52" s="52" t="s">
        <v>85</v>
      </c>
      <c r="C52" s="52"/>
      <c r="D52" s="68">
        <v>49</v>
      </c>
      <c r="E52" s="68">
        <v>1</v>
      </c>
      <c r="F52" s="110">
        <f t="shared" si="12"/>
        <v>49</v>
      </c>
      <c r="G52" s="68">
        <v>40</v>
      </c>
      <c r="H52" s="110">
        <f t="shared" si="13"/>
        <v>1960</v>
      </c>
      <c r="I52" s="80">
        <v>1960</v>
      </c>
      <c r="J52" s="80">
        <f t="shared" si="15"/>
        <v>0</v>
      </c>
      <c r="K52" s="93"/>
      <c r="L52" s="96">
        <f t="shared" si="14"/>
        <v>0</v>
      </c>
      <c r="M52" s="137" t="s">
        <v>19</v>
      </c>
    </row>
    <row r="53" spans="1:13" ht="14.5" customHeight="1" x14ac:dyDescent="0.35">
      <c r="A53" s="215" t="s">
        <v>86</v>
      </c>
      <c r="B53" s="216"/>
      <c r="C53" s="71"/>
      <c r="D53" s="74">
        <f>49</f>
        <v>49</v>
      </c>
      <c r="E53" s="142">
        <f>+F53/D53</f>
        <v>31905.151020408161</v>
      </c>
      <c r="F53" s="142">
        <f>SUM(F42:F52)</f>
        <v>1563352.4</v>
      </c>
      <c r="G53" s="74">
        <f>+H53/F53</f>
        <v>0.25188103206928908</v>
      </c>
      <c r="H53" s="142">
        <f>SUM(H42:H52)</f>
        <v>393778.81600000005</v>
      </c>
      <c r="I53" s="142">
        <f>SUM(I42:I52)</f>
        <v>413950.25</v>
      </c>
      <c r="J53" s="145">
        <f>SUM(J42:J52)</f>
        <v>-20632.3</v>
      </c>
      <c r="K53" s="74">
        <f>SUM(K42:K52)</f>
        <v>460</v>
      </c>
      <c r="L53" s="147">
        <f t="shared" si="14"/>
        <v>-20172.3</v>
      </c>
      <c r="M53" s="19"/>
    </row>
    <row r="54" spans="1:13" x14ac:dyDescent="0.35">
      <c r="A54" s="200" t="s">
        <v>87</v>
      </c>
      <c r="B54" s="201"/>
      <c r="C54" s="35"/>
      <c r="D54" s="184">
        <f>D39</f>
        <v>1581402</v>
      </c>
      <c r="E54" s="75">
        <f>F54/D54</f>
        <v>3.1043304824453233</v>
      </c>
      <c r="F54" s="140">
        <f>SUM(F39+F53)</f>
        <v>4909194.4335999992</v>
      </c>
      <c r="G54" s="75">
        <f>H54/F54</f>
        <v>0.33425171352944238</v>
      </c>
      <c r="H54" s="140">
        <f>SUM(H39+H53)</f>
        <v>1640906.65148</v>
      </c>
      <c r="I54" s="141">
        <f>SUM(I39+I53)</f>
        <v>929210.71</v>
      </c>
      <c r="J54" s="146">
        <f>SUM(J53+J39)</f>
        <v>-49917.355499999991</v>
      </c>
      <c r="K54" s="140">
        <f>SUM(K39+K53)</f>
        <v>761613.33097999997</v>
      </c>
      <c r="L54" s="181">
        <f>J54+K54</f>
        <v>711695.97548000002</v>
      </c>
      <c r="M54" s="36"/>
    </row>
    <row r="55" spans="1:13" x14ac:dyDescent="0.35">
      <c r="A55" s="82" t="s">
        <v>88</v>
      </c>
      <c r="D55" s="22"/>
    </row>
    <row r="56" spans="1:13" ht="15" thickBot="1" x14ac:dyDescent="0.4">
      <c r="D56" s="25"/>
      <c r="E56" s="26"/>
      <c r="F56" s="25"/>
      <c r="G56" s="26"/>
      <c r="H56" s="25"/>
      <c r="I56" s="25"/>
      <c r="J56" s="25"/>
      <c r="K56" s="25"/>
      <c r="L56" s="25"/>
    </row>
    <row r="57" spans="1:13" ht="38" thickBot="1" x14ac:dyDescent="0.4">
      <c r="B57" s="37" t="s">
        <v>89</v>
      </c>
      <c r="C57" s="37" t="s">
        <v>90</v>
      </c>
      <c r="D57" s="37" t="s">
        <v>91</v>
      </c>
      <c r="E57" s="37" t="s">
        <v>92</v>
      </c>
      <c r="F57" s="38" t="s">
        <v>93</v>
      </c>
      <c r="G57" s="39" t="s">
        <v>94</v>
      </c>
      <c r="I57" s="29"/>
      <c r="J57" s="32"/>
    </row>
    <row r="58" spans="1:13" x14ac:dyDescent="0.35">
      <c r="B58" s="40" t="s">
        <v>95</v>
      </c>
      <c r="C58" s="151">
        <f>+D39</f>
        <v>1581402</v>
      </c>
      <c r="D58" s="121">
        <f>+E58/C58</f>
        <v>2.1157441520878306</v>
      </c>
      <c r="E58" s="151">
        <f>+F39</f>
        <v>3345842.0335999997</v>
      </c>
      <c r="F58" s="121">
        <f>+G58/E58</f>
        <v>0.37273960424788416</v>
      </c>
      <c r="G58" s="148">
        <f>+H39</f>
        <v>1247127.8354799999</v>
      </c>
    </row>
    <row r="59" spans="1:13" ht="15" thickBot="1" x14ac:dyDescent="0.4">
      <c r="B59" s="41" t="s">
        <v>96</v>
      </c>
      <c r="C59" s="122">
        <f>+D53</f>
        <v>49</v>
      </c>
      <c r="D59" s="187">
        <f>+E59/C59</f>
        <v>31905.151020408161</v>
      </c>
      <c r="E59" s="152">
        <f>+F53</f>
        <v>1563352.4</v>
      </c>
      <c r="F59" s="123">
        <f>+G59/E59</f>
        <v>0.25188103206928908</v>
      </c>
      <c r="G59" s="149">
        <f>+H53</f>
        <v>393778.81600000005</v>
      </c>
    </row>
    <row r="60" spans="1:13" ht="15" thickBot="1" x14ac:dyDescent="0.4">
      <c r="B60" s="42" t="s">
        <v>97</v>
      </c>
      <c r="C60" s="182">
        <f>D54</f>
        <v>1581402</v>
      </c>
      <c r="D60" s="124">
        <f>+E60/C60</f>
        <v>3.1043304824453233</v>
      </c>
      <c r="E60" s="153">
        <f>SUM(E58:E59)</f>
        <v>4909194.4335999992</v>
      </c>
      <c r="F60" s="125">
        <f>+G60/E60</f>
        <v>0.33425171352944238</v>
      </c>
      <c r="G60" s="150">
        <f>SUM(G58:G59)</f>
        <v>1640906.65148</v>
      </c>
      <c r="J60" s="25"/>
    </row>
    <row r="61" spans="1:13" ht="15" thickBot="1" x14ac:dyDescent="0.4">
      <c r="B61" s="4"/>
      <c r="C61" s="5"/>
      <c r="D61" s="6"/>
      <c r="E61" s="7"/>
      <c r="F61" s="8"/>
      <c r="G61" s="7"/>
      <c r="J61" s="33"/>
    </row>
    <row r="62" spans="1:13" ht="15" thickBot="1" x14ac:dyDescent="0.4">
      <c r="B62" s="43"/>
      <c r="C62" s="37" t="s">
        <v>98</v>
      </c>
      <c r="D62" s="44" t="s">
        <v>99</v>
      </c>
    </row>
    <row r="63" spans="1:13" x14ac:dyDescent="0.35">
      <c r="B63" s="45" t="s">
        <v>100</v>
      </c>
      <c r="C63" s="154">
        <v>4968339</v>
      </c>
      <c r="D63" s="155">
        <f>I54</f>
        <v>929210.71</v>
      </c>
      <c r="E63" s="9"/>
      <c r="F63" s="10"/>
      <c r="G63" s="27"/>
    </row>
    <row r="64" spans="1:13" x14ac:dyDescent="0.35">
      <c r="B64" s="46" t="s">
        <v>101</v>
      </c>
      <c r="C64" s="156">
        <f>+E60</f>
        <v>4909194.4335999992</v>
      </c>
      <c r="D64" s="157">
        <f>+G60</f>
        <v>1640906.65148</v>
      </c>
      <c r="E64" s="9"/>
      <c r="F64" s="10"/>
      <c r="G64" s="28"/>
    </row>
    <row r="65" spans="1:14" ht="15" thickBot="1" x14ac:dyDescent="0.4">
      <c r="B65" s="11" t="s">
        <v>102</v>
      </c>
      <c r="C65" s="158">
        <f>+C64-C63</f>
        <v>-59144.566400000826</v>
      </c>
      <c r="D65" s="183">
        <v>711695.98</v>
      </c>
      <c r="E65" s="9"/>
      <c r="F65" s="10"/>
      <c r="G65" s="9"/>
    </row>
    <row r="66" spans="1:14" x14ac:dyDescent="0.35">
      <c r="I66" s="22"/>
    </row>
    <row r="67" spans="1:14" x14ac:dyDescent="0.35">
      <c r="N67" s="31"/>
    </row>
    <row r="68" spans="1:14" x14ac:dyDescent="0.35">
      <c r="I68" s="198"/>
      <c r="J68" s="198"/>
      <c r="N68" s="31"/>
    </row>
    <row r="69" spans="1:14" x14ac:dyDescent="0.35">
      <c r="A69" s="1"/>
      <c r="B69" s="47"/>
      <c r="C69" s="47"/>
      <c r="D69" s="47"/>
      <c r="E69" s="47"/>
      <c r="F69" s="47"/>
      <c r="G69" s="47"/>
      <c r="N69" s="31"/>
    </row>
    <row r="70" spans="1:14" x14ac:dyDescent="0.35">
      <c r="N70" s="31"/>
    </row>
  </sheetData>
  <mergeCells count="14">
    <mergeCell ref="A1:M1"/>
    <mergeCell ref="A54:B54"/>
    <mergeCell ref="A30:M30"/>
    <mergeCell ref="A38:B38"/>
    <mergeCell ref="A39:B39"/>
    <mergeCell ref="A40:M40"/>
    <mergeCell ref="A41:M41"/>
    <mergeCell ref="A53:B53"/>
    <mergeCell ref="A29:B29"/>
    <mergeCell ref="A2:M2"/>
    <mergeCell ref="A4:M4"/>
    <mergeCell ref="A5:M5"/>
    <mergeCell ref="A26:B26"/>
    <mergeCell ref="A27:M27"/>
  </mergeCells>
  <pageMargins left="0.7" right="0.7" top="0.75" bottom="0.75" header="0.3" footer="0.3"/>
  <pageSetup scale="55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B41968DED4DE44B6F3F891104B3069" ma:contentTypeVersion="5" ma:contentTypeDescription="Create a new document." ma:contentTypeScope="" ma:versionID="187678fa4cf0e63361ccd8a3036399fb">
  <xsd:schema xmlns:xsd="http://www.w3.org/2001/XMLSchema" xmlns:xs="http://www.w3.org/2001/XMLSchema" xmlns:p="http://schemas.microsoft.com/office/2006/metadata/properties" xmlns:ns2="e41e6e7a-d9a4-4f8c-8eb9-556f918ff3f4" targetNamespace="http://schemas.microsoft.com/office/2006/metadata/properties" ma:root="true" ma:fieldsID="0d9d39eb9afe5155c99c9f6d0a8e2fdf" ns2:_="">
    <xsd:import namespace="e41e6e7a-d9a4-4f8c-8eb9-556f918ff3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1e6e7a-d9a4-4f8c-8eb9-556f918ff3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FCFD5BC-758B-410A-AC47-EC2AC4899A0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A83C6E-6C99-4CE3-A114-8B23A0E431CA}">
  <ds:schemaRefs>
    <ds:schemaRef ds:uri="http://purl.org/dc/terms/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e41e6e7a-d9a4-4f8c-8eb9-556f918ff3f4"/>
    <ds:schemaRef ds:uri="http://schemas.microsoft.com/office/2006/metadata/properties"/>
    <ds:schemaRef ds:uri="http://schemas.microsoft.com/office/2006/documentManagement/typ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81FB2C4-2315-486F-92A1-7D56F6F21E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1e6e7a-d9a4-4f8c-8eb9-556f918ff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lywilliams</dc:creator>
  <cp:keywords/>
  <dc:description/>
  <cp:lastModifiedBy>Sandberg, Christina - FNS</cp:lastModifiedBy>
  <cp:revision/>
  <dcterms:created xsi:type="dcterms:W3CDTF">2012-09-04T15:22:05Z</dcterms:created>
  <dcterms:modified xsi:type="dcterms:W3CDTF">2021-05-27T14:07:13Z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0x010100FBB41968DED4DE44B6F3F891104B3069</vt:lpwstr>
  </property>
</Properties>
</file>