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swann_kristine_epa_gov/Documents/Desktop/"/>
    </mc:Choice>
  </mc:AlternateContent>
  <xr:revisionPtr revIDLastSave="0" documentId="8_{B9634C4B-CF3C-46BE-92D7-F925E5877C58}" xr6:coauthVersionLast="45" xr6:coauthVersionMax="45" xr10:uidLastSave="{00000000-0000-0000-0000-000000000000}"/>
  <bookViews>
    <workbookView xWindow="-110" yWindow="-110" windowWidth="19420" windowHeight="10420" activeTab="3" xr2:uid="{33C2D1AC-E66F-46A9-941F-E65561A7D75D}"/>
  </bookViews>
  <sheets>
    <sheet name="READ ME" sheetId="9" r:id="rId1"/>
    <sheet name="Proposed Calcs" sheetId="2" r:id="rId2"/>
    <sheet name="Proposed Table" sheetId="1" r:id="rId3"/>
    <sheet name="Final Calcs" sheetId="3" r:id="rId4"/>
    <sheet name="Final Table" sheetId="4" r:id="rId5"/>
    <sheet name="Florida Summary"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 i="3" l="1"/>
  <c r="O17" i="2" l="1"/>
  <c r="O16" i="2"/>
  <c r="H20" i="2"/>
  <c r="M3" i="3"/>
  <c r="F29" i="3" s="1"/>
  <c r="B10" i="5" l="1"/>
  <c r="C10" i="5"/>
  <c r="C5" i="5"/>
  <c r="B5" i="5"/>
  <c r="G23" i="3"/>
  <c r="D20" i="3"/>
  <c r="B46" i="3" s="1"/>
  <c r="D19" i="3"/>
  <c r="B38" i="3" s="1"/>
  <c r="D17" i="3"/>
  <c r="B32" i="3" s="1"/>
  <c r="C9" i="3"/>
  <c r="D9" i="3" s="1"/>
  <c r="K8" i="3"/>
  <c r="G14" i="3" s="1"/>
  <c r="J8" i="3"/>
  <c r="I8" i="3"/>
  <c r="C8" i="3"/>
  <c r="D8" i="3" s="1"/>
  <c r="C7" i="3"/>
  <c r="D7" i="3" s="1"/>
  <c r="C6" i="3"/>
  <c r="D6" i="3" s="1"/>
  <c r="C5" i="3"/>
  <c r="D5" i="3" s="1"/>
  <c r="I4" i="3"/>
  <c r="B30" i="3" s="1"/>
  <c r="C30" i="3" s="1"/>
  <c r="C4" i="3"/>
  <c r="D4" i="3" s="1"/>
  <c r="I3" i="3"/>
  <c r="C3" i="3"/>
  <c r="D3" i="3" s="1"/>
  <c r="G12" i="3" s="1"/>
  <c r="K3" i="3" l="1"/>
  <c r="B16" i="4"/>
  <c r="H15" i="3"/>
  <c r="C31" i="4"/>
  <c r="B39" i="3"/>
  <c r="B40" i="3" s="1"/>
  <c r="C11" i="4" s="1"/>
  <c r="C12" i="4" s="1"/>
  <c r="C46" i="3"/>
  <c r="B33" i="3"/>
  <c r="C33" i="3" s="1"/>
  <c r="B31" i="4"/>
  <c r="L4" i="3"/>
  <c r="J4" i="3"/>
  <c r="G15" i="3" s="1"/>
  <c r="J3" i="3"/>
  <c r="C32" i="3"/>
  <c r="B25" i="4"/>
  <c r="K4" i="3"/>
  <c r="B37" i="3"/>
  <c r="C37" i="3" s="1"/>
  <c r="D32" i="3"/>
  <c r="E32" i="3"/>
  <c r="C38" i="3"/>
  <c r="E30" i="3"/>
  <c r="D30" i="3"/>
  <c r="B47" i="3"/>
  <c r="E46" i="3"/>
  <c r="D46" i="3"/>
  <c r="B28" i="3"/>
  <c r="B43" i="3"/>
  <c r="L3" i="3"/>
  <c r="B24" i="3"/>
  <c r="B10" i="4" s="1"/>
  <c r="H26" i="2"/>
  <c r="D14" i="2"/>
  <c r="B39" i="2" s="1"/>
  <c r="D13" i="2"/>
  <c r="B31" i="2" s="1"/>
  <c r="C9" i="2"/>
  <c r="D9" i="2" s="1"/>
  <c r="D11" i="2"/>
  <c r="B25" i="2" s="1"/>
  <c r="D25" i="2" s="1"/>
  <c r="L8" i="2"/>
  <c r="K8" i="2"/>
  <c r="J8" i="2"/>
  <c r="J4" i="2"/>
  <c r="L4" i="2" s="1"/>
  <c r="J3" i="2"/>
  <c r="M3" i="2" s="1"/>
  <c r="H17" i="2" s="1"/>
  <c r="C4" i="2"/>
  <c r="F4" i="2" s="1"/>
  <c r="C5" i="2"/>
  <c r="D5" i="2" s="1"/>
  <c r="C6" i="2"/>
  <c r="D6" i="2" s="1"/>
  <c r="C7" i="2"/>
  <c r="F7" i="2" s="1"/>
  <c r="C8" i="2"/>
  <c r="E8" i="2" s="1"/>
  <c r="C3" i="2"/>
  <c r="E3" i="2" s="1"/>
  <c r="C10" i="4" l="1"/>
  <c r="C40" i="3"/>
  <c r="H20" i="3" s="1"/>
  <c r="C39" i="3"/>
  <c r="G13" i="3"/>
  <c r="B17" i="4"/>
  <c r="B24" i="4"/>
  <c r="C47" i="3"/>
  <c r="C9" i="5"/>
  <c r="C19" i="4"/>
  <c r="C43" i="3"/>
  <c r="C28" i="3"/>
  <c r="B19" i="4"/>
  <c r="C6" i="5"/>
  <c r="B9" i="5"/>
  <c r="B32" i="4"/>
  <c r="C24" i="3"/>
  <c r="C25" i="3" s="1"/>
  <c r="H12" i="3" s="1"/>
  <c r="B25" i="3"/>
  <c r="B11" i="4" s="1"/>
  <c r="B12" i="4" s="1"/>
  <c r="B29" i="3"/>
  <c r="E28" i="3"/>
  <c r="D28" i="3"/>
  <c r="B44" i="3"/>
  <c r="E43" i="3"/>
  <c r="D43" i="3"/>
  <c r="E47" i="3"/>
  <c r="D47" i="3"/>
  <c r="E33" i="3"/>
  <c r="H14" i="3" s="1"/>
  <c r="D33" i="3"/>
  <c r="B36" i="2"/>
  <c r="D36" i="2" s="1"/>
  <c r="E39" i="2"/>
  <c r="B40" i="2"/>
  <c r="C40" i="2" s="1"/>
  <c r="B21" i="2"/>
  <c r="C21" i="2" s="1"/>
  <c r="C22" i="2" s="1"/>
  <c r="D39" i="2"/>
  <c r="C39" i="2"/>
  <c r="B18" i="2"/>
  <c r="C18" i="2" s="1"/>
  <c r="C19" i="2" s="1"/>
  <c r="I16" i="2" s="1"/>
  <c r="I19" i="2" s="1"/>
  <c r="C31" i="2"/>
  <c r="E31" i="2"/>
  <c r="D31" i="2"/>
  <c r="B26" i="2"/>
  <c r="B32" i="2"/>
  <c r="E25" i="2"/>
  <c r="C25" i="2"/>
  <c r="B30" i="2"/>
  <c r="B23" i="2"/>
  <c r="C23" i="2" s="1"/>
  <c r="D23" i="2" s="1"/>
  <c r="E23" i="2" s="1"/>
  <c r="F9" i="2"/>
  <c r="E9" i="2"/>
  <c r="D4" i="2"/>
  <c r="L3" i="2"/>
  <c r="M4" i="2"/>
  <c r="K4" i="2"/>
  <c r="K3" i="2"/>
  <c r="E4" i="2"/>
  <c r="E6" i="2"/>
  <c r="E7" i="2"/>
  <c r="D7" i="2"/>
  <c r="F6" i="2"/>
  <c r="F5" i="2"/>
  <c r="F3" i="2"/>
  <c r="D8" i="2"/>
  <c r="E5" i="2"/>
  <c r="F8" i="2"/>
  <c r="D3" i="2"/>
  <c r="H16" i="2" s="1"/>
  <c r="H19" i="2" s="1"/>
  <c r="G16" i="3" l="1"/>
  <c r="G18" i="3" s="1"/>
  <c r="F31" i="3"/>
  <c r="C11" i="5"/>
  <c r="C29" i="3"/>
  <c r="B20" i="4"/>
  <c r="B6" i="5"/>
  <c r="B11" i="5" s="1"/>
  <c r="H22" i="3"/>
  <c r="C32" i="4"/>
  <c r="C20" i="4"/>
  <c r="C44" i="3"/>
  <c r="E44" i="3"/>
  <c r="D44" i="3"/>
  <c r="D29" i="3"/>
  <c r="E29" i="3"/>
  <c r="D40" i="2"/>
  <c r="E40" i="2"/>
  <c r="E36" i="2"/>
  <c r="C36" i="2"/>
  <c r="B37" i="2"/>
  <c r="D37" i="2" s="1"/>
  <c r="B22" i="2"/>
  <c r="E18" i="2"/>
  <c r="E19" i="2" s="1"/>
  <c r="B19" i="2"/>
  <c r="D18" i="2"/>
  <c r="D19" i="2" s="1"/>
  <c r="D21" i="2"/>
  <c r="D22" i="2" s="1"/>
  <c r="E21" i="2"/>
  <c r="E22" i="2" s="1"/>
  <c r="D26" i="2"/>
  <c r="E26" i="2"/>
  <c r="C26" i="2"/>
  <c r="C30" i="2"/>
  <c r="E30" i="2"/>
  <c r="D30" i="2"/>
  <c r="B33" i="2"/>
  <c r="C32" i="2"/>
  <c r="E32" i="2"/>
  <c r="D32" i="2"/>
  <c r="H21" i="3" l="1"/>
  <c r="H23" i="3" s="1"/>
  <c r="C21" i="4"/>
  <c r="H13" i="3"/>
  <c r="H16" i="3" s="1"/>
  <c r="B21" i="4"/>
  <c r="C37" i="2"/>
  <c r="E37" i="2"/>
  <c r="D33" i="2"/>
  <c r="C33" i="2"/>
  <c r="I23" i="2" s="1"/>
  <c r="I26" i="2" s="1"/>
  <c r="E33" i="2"/>
</calcChain>
</file>

<file path=xl/sharedStrings.xml><?xml version="1.0" encoding="utf-8"?>
<sst xmlns="http://schemas.openxmlformats.org/spreadsheetml/2006/main" count="322" uniqueCount="156">
  <si>
    <t>Respondent Burden &amp; Cost</t>
  </si>
  <si>
    <t>Agency Burden &amp; Cost</t>
  </si>
  <si>
    <t>A: Program Assumption Request</t>
  </si>
  <si>
    <t>States</t>
  </si>
  <si>
    <t>Modifications</t>
  </si>
  <si>
    <t>Application Hours per Request</t>
  </si>
  <si>
    <t>Total Hours Requested</t>
  </si>
  <si>
    <t>2,024 (675 annually)</t>
  </si>
  <si>
    <t>884 (295 annually)</t>
  </si>
  <si>
    <t>Current OMB Inventory (Hours)</t>
  </si>
  <si>
    <t>TAS Request for Tribes if Any Were to Assume</t>
  </si>
  <si>
    <t>0 (No tribes currently expected to assume)</t>
  </si>
  <si>
    <t>Cost per Request</t>
  </si>
  <si>
    <t>Cost per Request with Overhead</t>
  </si>
  <si>
    <t xml:space="preserve">Total Cost </t>
  </si>
  <si>
    <t>B. 1: Permit Review (4 states)</t>
  </si>
  <si>
    <t>State Review of Permits</t>
  </si>
  <si>
    <t>Agency Review of Permits</t>
  </si>
  <si>
    <t>Permit Applications Reviewed per State Annually</t>
  </si>
  <si>
    <t>Application Hours per Permit</t>
  </si>
  <si>
    <t>Total Hours Requested per State</t>
  </si>
  <si>
    <t>Total Hours Requested for 4 State Assumed Programs</t>
  </si>
  <si>
    <t>Cost of Review per State</t>
  </si>
  <si>
    <t>Total Annual Cost with Overhead for 4 State Assumed Programs</t>
  </si>
  <si>
    <t xml:space="preserve">B. 2: Permittee Information  </t>
  </si>
  <si>
    <t>Public Burden</t>
  </si>
  <si>
    <t>N/A</t>
  </si>
  <si>
    <t>Total Hours for MI and NJ applicants</t>
  </si>
  <si>
    <t>Total Cost to Permittees in MI &amp; NJ</t>
  </si>
  <si>
    <t>C: Annual Report</t>
  </si>
  <si>
    <t>State Development of Annual Report</t>
  </si>
  <si>
    <t>Agency Review of Annual Report</t>
  </si>
  <si>
    <t>Number of States That Have Assumed the Program</t>
  </si>
  <si>
    <t>Hours per Report</t>
  </si>
  <si>
    <t>Cost per Report</t>
  </si>
  <si>
    <t>Total Cost with Overhead</t>
  </si>
  <si>
    <t>State Total Hours</t>
  </si>
  <si>
    <t>State 404(g) Hours</t>
  </si>
  <si>
    <t xml:space="preserve">State consult hours NHPA </t>
  </si>
  <si>
    <t>State consult hours ESA</t>
  </si>
  <si>
    <t>epa/usfws/nmfs consult</t>
  </si>
  <si>
    <t>Consult agreement</t>
  </si>
  <si>
    <t>3 year</t>
  </si>
  <si>
    <t>1 year</t>
  </si>
  <si>
    <t>2 states</t>
  </si>
  <si>
    <t>3 states</t>
  </si>
  <si>
    <t>4 states</t>
  </si>
  <si>
    <t>Program Assumption</t>
  </si>
  <si>
    <t>Hours</t>
  </si>
  <si>
    <t>Number per state</t>
  </si>
  <si>
    <t>Total hours per state</t>
  </si>
  <si>
    <t>3 states 4 states</t>
  </si>
  <si>
    <t>Permit filing (permittee)</t>
  </si>
  <si>
    <t>Permit review (State)</t>
  </si>
  <si>
    <t>Permit Application</t>
  </si>
  <si>
    <t>Report</t>
  </si>
  <si>
    <t>Annual Report</t>
  </si>
  <si>
    <t>GS 11 Salary</t>
  </si>
  <si>
    <t>hours</t>
  </si>
  <si>
    <t>salary</t>
  </si>
  <si>
    <t>hour wage</t>
  </si>
  <si>
    <t>Program Assumption (GS11)</t>
  </si>
  <si>
    <t>3 year/1 State</t>
  </si>
  <si>
    <t>2 state</t>
  </si>
  <si>
    <t>3 state</t>
  </si>
  <si>
    <t>4 state</t>
  </si>
  <si>
    <t>Program assumption (1.6 overhead)</t>
  </si>
  <si>
    <t>Program Assumption Cost</t>
  </si>
  <si>
    <t>Permit Application (GS11)</t>
  </si>
  <si>
    <t>Permit Application (1.6 overhead)</t>
  </si>
  <si>
    <t>Permittee burden</t>
  </si>
  <si>
    <t>Hourly envt consultant</t>
  </si>
  <si>
    <t>Permit Applications</t>
  </si>
  <si>
    <t>Annual report (GS11)</t>
  </si>
  <si>
    <t>Annual report (1.6 overhead)</t>
  </si>
  <si>
    <t>Agency Burden</t>
  </si>
  <si>
    <t>corps consult</t>
  </si>
  <si>
    <t>200 Corps hours</t>
  </si>
  <si>
    <t>242 ESA/NHPA hours</t>
  </si>
  <si>
    <t>Total 442 hours</t>
  </si>
  <si>
    <t>GS 13 Salary</t>
  </si>
  <si>
    <t>Per State</t>
  </si>
  <si>
    <t>2000 hrs gs12</t>
  </si>
  <si>
    <t>GS 12 Salary</t>
  </si>
  <si>
    <t>permit review w 1.6 overhead</t>
  </si>
  <si>
    <t>Annual Reports</t>
  </si>
  <si>
    <t>40 hrs gs12</t>
  </si>
  <si>
    <t>annual reports w 1.6 overhead</t>
  </si>
  <si>
    <t xml:space="preserve">Green are numbers called out for cost estimates. Sometimes the costs orginally are estimated for one state and then projected to 4 states. Sometimes they're estimated for only 2 states. </t>
  </si>
  <si>
    <t>Yellow are numbers called out for hours but not actually used later in cost estimates.</t>
  </si>
  <si>
    <t xml:space="preserve">Total hours to states </t>
  </si>
  <si>
    <t>Total cost to states</t>
  </si>
  <si>
    <t>99657.09/3</t>
  </si>
  <si>
    <t>2 states (annual)</t>
  </si>
  <si>
    <t>Burden to EPA</t>
  </si>
  <si>
    <t>Total hours</t>
  </si>
  <si>
    <t>Total cost</t>
  </si>
  <si>
    <t>program assumption</t>
  </si>
  <si>
    <t>permit application</t>
  </si>
  <si>
    <t>annual report</t>
  </si>
  <si>
    <t>total</t>
  </si>
  <si>
    <t>62037.08/3</t>
  </si>
  <si>
    <t>State and Permitee burden</t>
  </si>
  <si>
    <t>Burden with 1.6 overhead</t>
  </si>
  <si>
    <t>5 states</t>
  </si>
  <si>
    <t>Notes: in any given ICR, we model for 2 new states applying for assumption; consults over NHPA, ESA are new. These hours are double counted - both the state and federal governments are expected to need 242 hours. Corps consult only applies to federal burden.</t>
  </si>
  <si>
    <t>5 state</t>
  </si>
  <si>
    <t>1 state</t>
  </si>
  <si>
    <t>Note: Program assumption is modeled for 2 new states; permit application and annual reports are modeled for 3 states (existing assumed), 4 states (what was used in draft), and 5 states (what needs to go in new draft)</t>
  </si>
  <si>
    <t>Note: updated to 2021 rates</t>
  </si>
  <si>
    <t>Total Hours Requested for 5 State Assumed Programs</t>
  </si>
  <si>
    <t>Total Hours for MI, NJ and FL applicants</t>
  </si>
  <si>
    <t>Total Cost to Permittees in MI, NJ &amp;FL</t>
  </si>
  <si>
    <t>Total Annual Cost with Overhead for 5 State Assumed Programs</t>
  </si>
  <si>
    <t>B. 1: Permit Review (5 states)</t>
  </si>
  <si>
    <t>Table 1: Burden and Cost Overview</t>
  </si>
  <si>
    <t>Table 2: Florida Burden and Cost</t>
  </si>
  <si>
    <t>B. 1: Permit Review</t>
  </si>
  <si>
    <t>Total Burden Hours</t>
  </si>
  <si>
    <t>Total Cost</t>
  </si>
  <si>
    <t>Note: these values are extrapolated from averages derived from NJ and MI. In effect, these are the projected averages per state. Updated data that includes FL input will be in future ICRs.</t>
  </si>
  <si>
    <t>Total Cost per Report with Overhead</t>
  </si>
  <si>
    <t>Total Cost of Review with Overhead</t>
  </si>
  <si>
    <t>prior total</t>
  </si>
  <si>
    <t>permittee applications</t>
  </si>
  <si>
    <t>permit application review</t>
  </si>
  <si>
    <t>These change in the no consult version</t>
  </si>
  <si>
    <t>SUMMARY INFO</t>
  </si>
  <si>
    <t>c40/3</t>
  </si>
  <si>
    <t>c25/3</t>
  </si>
  <si>
    <t>Burden to State</t>
  </si>
  <si>
    <t>Difference</t>
  </si>
  <si>
    <t xml:space="preserve">This excludes permittee application costs which are noted separately. </t>
  </si>
  <si>
    <t>Hourly Wages</t>
  </si>
  <si>
    <t>Draft Calcs</t>
  </si>
  <si>
    <t>This sheet was derived from reviewing the first FRN and supporting statement associated with the 2021 ICR</t>
  </si>
  <si>
    <t>Draft Table</t>
  </si>
  <si>
    <t>This came directly from the supporting statement</t>
  </si>
  <si>
    <t>Revised Calcs</t>
  </si>
  <si>
    <t>This sheet adds Florida into the calculations, bumping up annual report and permit review to 5 states; no impact on program assumption (static at 2 new states)</t>
  </si>
  <si>
    <t>Revised Table</t>
  </si>
  <si>
    <t>Updated off revised calcs</t>
  </si>
  <si>
    <t>Florida Summary</t>
  </si>
  <si>
    <t>This is really a summary of what each state's burdens are based on MI and NJ input, it's the impact that adding Florida had to our burden estimates.</t>
  </si>
  <si>
    <t>Annual Burden for Permit Review including permittee applications</t>
  </si>
  <si>
    <t xml:space="preserve"> (143224.25+74431.5)</t>
  </si>
  <si>
    <t>(11277.5+6766.5)</t>
  </si>
  <si>
    <t>Permit Review ROCIS</t>
  </si>
  <si>
    <t>Annual Report ROCIS</t>
  </si>
  <si>
    <t>Program Assumption ROCIS</t>
  </si>
  <si>
    <t>Number of Respondents: 2</t>
  </si>
  <si>
    <t>Number of respondents: 5</t>
  </si>
  <si>
    <t>Number of respondents = number of permit reviewers and permittees in 5 states for state govts and in 3 states for permittees</t>
  </si>
  <si>
    <t>Burden: 337.3 per respondent (674.67 total)</t>
  </si>
  <si>
    <t>Burden: 110 per respondent (550 total)</t>
  </si>
  <si>
    <t>Number of permits in all applicable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</si>
</sst>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8"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sz val="12"/>
      <color rgb="FF000000"/>
      <name val="Times New Roman"/>
      <family val="1"/>
    </font>
    <font>
      <sz val="11"/>
      <color theme="1"/>
      <name val="Calibri"/>
      <family val="2"/>
      <scheme val="minor"/>
    </font>
    <font>
      <sz val="10"/>
      <color theme="1"/>
      <name val="Calibri"/>
      <family val="2"/>
      <scheme val="minor"/>
    </font>
    <font>
      <b/>
      <sz val="11"/>
      <color theme="1"/>
      <name val="Times New Roman"/>
      <family val="1"/>
    </font>
  </fonts>
  <fills count="12">
    <fill>
      <patternFill patternType="none"/>
    </fill>
    <fill>
      <patternFill patternType="gray125"/>
    </fill>
    <fill>
      <patternFill patternType="solid">
        <fgColor rgb="FFCCCCCC"/>
        <bgColor indexed="64"/>
      </patternFill>
    </fill>
    <fill>
      <patternFill patternType="solid">
        <fgColor rgb="FFE0E0E0"/>
        <bgColor indexed="64"/>
      </patternFill>
    </fill>
    <fill>
      <patternFill patternType="solid">
        <fgColor rgb="FFDBDBDB"/>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7"/>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37">
    <border>
      <left/>
      <right/>
      <top/>
      <bottom/>
      <diagonal/>
    </border>
    <border>
      <left style="double">
        <color rgb="FF000000"/>
      </left>
      <right style="medium">
        <color rgb="FF000000"/>
      </right>
      <top style="double">
        <color rgb="FF000000"/>
      </top>
      <bottom style="medium">
        <color rgb="FF000000"/>
      </bottom>
      <diagonal/>
    </border>
    <border>
      <left/>
      <right style="medium">
        <color rgb="FF000000"/>
      </right>
      <top style="double">
        <color rgb="FF000000"/>
      </top>
      <bottom style="medium">
        <color rgb="FF000000"/>
      </bottom>
      <diagonal/>
    </border>
    <border>
      <left/>
      <right style="double">
        <color rgb="FF000000"/>
      </right>
      <top style="double">
        <color rgb="FF000000"/>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medium">
        <color rgb="FF000000"/>
      </bottom>
      <diagonal/>
    </border>
    <border>
      <left/>
      <right style="medium">
        <color rgb="FF000000"/>
      </right>
      <top/>
      <bottom style="medium">
        <color rgb="FF000000"/>
      </bottom>
      <diagonal/>
    </border>
    <border>
      <left style="double">
        <color rgb="FF000000"/>
      </left>
      <right style="medium">
        <color rgb="FF000000"/>
      </right>
      <top/>
      <bottom style="thick">
        <color rgb="FF000000"/>
      </bottom>
      <diagonal/>
    </border>
    <border>
      <left/>
      <right style="medium">
        <color rgb="FF000000"/>
      </right>
      <top/>
      <bottom style="thick">
        <color rgb="FF000000"/>
      </bottom>
      <diagonal/>
    </border>
    <border>
      <left/>
      <right style="double">
        <color rgb="FF000000"/>
      </right>
      <top/>
      <bottom style="thick">
        <color rgb="FF000000"/>
      </bottom>
      <diagonal/>
    </border>
    <border>
      <left style="double">
        <color rgb="FF000000"/>
      </left>
      <right style="medium">
        <color rgb="FF000000"/>
      </right>
      <top/>
      <bottom/>
      <diagonal/>
    </border>
    <border>
      <left/>
      <right style="medium">
        <color rgb="FF000000"/>
      </right>
      <top/>
      <bottom/>
      <diagonal/>
    </border>
    <border>
      <left/>
      <right style="double">
        <color rgb="FF000000"/>
      </right>
      <top/>
      <bottom/>
      <diagonal/>
    </border>
    <border>
      <left style="double">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double">
        <color rgb="FF000000"/>
      </left>
      <right/>
      <top style="medium">
        <color rgb="FF000000"/>
      </top>
      <bottom style="medium">
        <color rgb="FF000000"/>
      </bottom>
      <diagonal/>
    </border>
    <border>
      <left/>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diagonal/>
    </border>
    <border>
      <left style="double">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style="medium">
        <color rgb="FF000000"/>
      </left>
      <right style="double">
        <color rgb="FF000000"/>
      </right>
      <top style="thick">
        <color rgb="FF000000"/>
      </top>
      <bottom/>
      <diagonal/>
    </border>
    <border>
      <left style="medium">
        <color rgb="FF000000"/>
      </left>
      <right style="double">
        <color rgb="FF000000"/>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129">
    <xf numFmtId="0" fontId="0" fillId="0" borderId="0" xfId="0"/>
    <xf numFmtId="0" fontId="1"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wrapText="1"/>
    </xf>
    <xf numFmtId="3" fontId="1" fillId="0" borderId="6" xfId="0" applyNumberFormat="1" applyFont="1" applyBorder="1" applyAlignment="1">
      <alignment vertical="center" wrapText="1"/>
    </xf>
    <xf numFmtId="0" fontId="2" fillId="0" borderId="5" xfId="0" applyFont="1" applyBorder="1" applyAlignment="1">
      <alignment vertical="center" wrapText="1"/>
    </xf>
    <xf numFmtId="8" fontId="1" fillId="0" borderId="6" xfId="0" applyNumberFormat="1" applyFont="1" applyBorder="1" applyAlignment="1">
      <alignment vertical="center" wrapText="1"/>
    </xf>
    <xf numFmtId="8" fontId="1" fillId="0" borderId="4" xfId="0" applyNumberFormat="1" applyFont="1" applyBorder="1" applyAlignment="1">
      <alignment vertical="center" wrapText="1"/>
    </xf>
    <xf numFmtId="0" fontId="2" fillId="0" borderId="7" xfId="0" applyFont="1" applyBorder="1" applyAlignment="1">
      <alignment vertical="center" wrapText="1"/>
    </xf>
    <xf numFmtId="8" fontId="2" fillId="0" borderId="8" xfId="0" applyNumberFormat="1" applyFont="1" applyBorder="1" applyAlignment="1">
      <alignment vertical="center" wrapText="1"/>
    </xf>
    <xf numFmtId="8" fontId="2" fillId="0" borderId="9" xfId="0" applyNumberFormat="1" applyFont="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4" xfId="0" applyFont="1" applyFill="1" applyBorder="1" applyAlignment="1">
      <alignment vertical="center" wrapText="1"/>
    </xf>
    <xf numFmtId="0" fontId="1" fillId="0" borderId="11" xfId="0" applyFont="1" applyBorder="1" applyAlignment="1">
      <alignment vertical="center" wrapText="1"/>
    </xf>
    <xf numFmtId="4" fontId="1" fillId="0" borderId="6" xfId="0" applyNumberFormat="1" applyFont="1" applyBorder="1" applyAlignment="1">
      <alignment vertical="center" wrapText="1"/>
    </xf>
    <xf numFmtId="0" fontId="1" fillId="0" borderId="12" xfId="0" applyFont="1" applyBorder="1" applyAlignment="1">
      <alignment vertical="center" wrapText="1"/>
    </xf>
    <xf numFmtId="3" fontId="1" fillId="0" borderId="4" xfId="0" applyNumberFormat="1" applyFont="1" applyBorder="1" applyAlignment="1">
      <alignment vertical="center" wrapText="1"/>
    </xf>
    <xf numFmtId="8" fontId="1" fillId="0" borderId="8" xfId="0" applyNumberFormat="1" applyFont="1" applyBorder="1" applyAlignment="1">
      <alignment vertical="center" wrapText="1"/>
    </xf>
    <xf numFmtId="8" fontId="1" fillId="0" borderId="9" xfId="0" applyNumberFormat="1"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3" fillId="4" borderId="9" xfId="0" applyFont="1" applyFill="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3" fontId="1" fillId="0" borderId="8" xfId="0" applyNumberFormat="1" applyFont="1" applyBorder="1" applyAlignment="1">
      <alignment vertical="center" wrapText="1"/>
    </xf>
    <xf numFmtId="0" fontId="2" fillId="3" borderId="10" xfId="0" applyFont="1" applyFill="1" applyBorder="1" applyAlignment="1">
      <alignment vertical="center" wrapText="1"/>
    </xf>
    <xf numFmtId="0" fontId="4" fillId="0" borderId="6" xfId="0" applyFont="1" applyBorder="1" applyAlignment="1">
      <alignment vertical="center" wrapText="1"/>
    </xf>
    <xf numFmtId="0" fontId="2" fillId="0" borderId="13" xfId="0" applyFont="1" applyBorder="1" applyAlignment="1">
      <alignment vertical="center" wrapText="1"/>
    </xf>
    <xf numFmtId="8" fontId="2" fillId="0" borderId="14" xfId="0" applyNumberFormat="1" applyFont="1" applyBorder="1" applyAlignment="1">
      <alignment vertical="center" wrapText="1"/>
    </xf>
    <xf numFmtId="8" fontId="2" fillId="0" borderId="15" xfId="0" applyNumberFormat="1" applyFont="1" applyBorder="1" applyAlignment="1">
      <alignment vertical="center" wrapText="1"/>
    </xf>
    <xf numFmtId="0" fontId="0" fillId="5" borderId="0" xfId="0" applyFill="1"/>
    <xf numFmtId="0" fontId="0" fillId="6" borderId="0" xfId="0" applyFill="1"/>
    <xf numFmtId="0" fontId="0" fillId="0" borderId="0" xfId="0" applyFill="1"/>
    <xf numFmtId="0" fontId="0" fillId="7" borderId="0" xfId="0" applyFill="1"/>
    <xf numFmtId="0" fontId="0" fillId="8" borderId="0" xfId="0" applyFill="1"/>
    <xf numFmtId="0" fontId="0" fillId="0" borderId="28" xfId="0" applyBorder="1"/>
    <xf numFmtId="0" fontId="0" fillId="0" borderId="0" xfId="0" applyBorder="1"/>
    <xf numFmtId="0" fontId="0" fillId="0" borderId="29" xfId="0" applyBorder="1"/>
    <xf numFmtId="0" fontId="0" fillId="6" borderId="0" xfId="0" applyFill="1" applyBorder="1"/>
    <xf numFmtId="0" fontId="0" fillId="5" borderId="0" xfId="0" applyFill="1" applyBorder="1"/>
    <xf numFmtId="0" fontId="0" fillId="0" borderId="30" xfId="0" applyBorder="1"/>
    <xf numFmtId="0" fontId="0" fillId="0" borderId="31" xfId="0" applyBorder="1"/>
    <xf numFmtId="0" fontId="0" fillId="0" borderId="32" xfId="0" applyBorder="1"/>
    <xf numFmtId="0" fontId="0" fillId="5" borderId="29" xfId="0" applyFill="1" applyBorder="1"/>
    <xf numFmtId="0" fontId="0" fillId="6" borderId="31" xfId="0" applyFill="1" applyBorder="1"/>
    <xf numFmtId="0" fontId="0" fillId="6" borderId="32" xfId="0" applyFill="1" applyBorder="1"/>
    <xf numFmtId="0" fontId="0" fillId="0" borderId="29" xfId="0" applyBorder="1" applyAlignment="1">
      <alignment horizontal="center"/>
    </xf>
    <xf numFmtId="0" fontId="0" fillId="6" borderId="29" xfId="0" applyFill="1" applyBorder="1"/>
    <xf numFmtId="0" fontId="0" fillId="0" borderId="0" xfId="0" applyFill="1" applyBorder="1"/>
    <xf numFmtId="0" fontId="0" fillId="0" borderId="29" xfId="0" applyFill="1" applyBorder="1"/>
    <xf numFmtId="0" fontId="0" fillId="0" borderId="28" xfId="0" applyBorder="1" applyAlignment="1">
      <alignment horizontal="center"/>
    </xf>
    <xf numFmtId="0" fontId="0" fillId="0" borderId="31" xfId="0" applyFill="1" applyBorder="1"/>
    <xf numFmtId="0" fontId="0" fillId="0" borderId="0" xfId="0" applyAlignment="1">
      <alignment horizontal="center"/>
    </xf>
    <xf numFmtId="44" fontId="0" fillId="6" borderId="0" xfId="2" applyFont="1" applyFill="1"/>
    <xf numFmtId="44" fontId="0" fillId="0" borderId="0" xfId="2" applyFont="1"/>
    <xf numFmtId="44" fontId="0" fillId="0" borderId="29" xfId="2" applyFont="1" applyBorder="1"/>
    <xf numFmtId="44" fontId="0" fillId="0" borderId="31" xfId="2" applyFont="1" applyBorder="1"/>
    <xf numFmtId="44" fontId="0" fillId="6" borderId="31" xfId="2" applyFont="1" applyFill="1" applyBorder="1"/>
    <xf numFmtId="44" fontId="0" fillId="0" borderId="32" xfId="2" applyFont="1" applyBorder="1"/>
    <xf numFmtId="8" fontId="0" fillId="0" borderId="0" xfId="0" applyNumberFormat="1"/>
    <xf numFmtId="44" fontId="0" fillId="6" borderId="0" xfId="0" applyNumberFormat="1" applyFill="1"/>
    <xf numFmtId="44" fontId="0" fillId="6" borderId="31" xfId="0" applyNumberFormat="1" applyFill="1" applyBorder="1"/>
    <xf numFmtId="44" fontId="0" fillId="6" borderId="32" xfId="2" applyFont="1" applyFill="1" applyBorder="1"/>
    <xf numFmtId="0" fontId="1" fillId="2" borderId="36" xfId="0" applyFont="1" applyFill="1" applyBorder="1" applyAlignment="1">
      <alignment vertical="center" wrapText="1"/>
    </xf>
    <xf numFmtId="0" fontId="3" fillId="2" borderId="36" xfId="0" applyFont="1" applyFill="1" applyBorder="1" applyAlignment="1">
      <alignment vertical="center" wrapText="1"/>
    </xf>
    <xf numFmtId="0" fontId="1" fillId="0" borderId="36" xfId="0" applyFont="1" applyBorder="1" applyAlignment="1">
      <alignment vertical="center" wrapText="1"/>
    </xf>
    <xf numFmtId="3" fontId="1" fillId="0" borderId="36" xfId="0" applyNumberFormat="1" applyFont="1" applyBorder="1" applyAlignment="1">
      <alignment vertical="center" wrapText="1"/>
    </xf>
    <xf numFmtId="0" fontId="2" fillId="0" borderId="36" xfId="0" applyFont="1" applyBorder="1" applyAlignment="1">
      <alignment vertical="center" wrapText="1"/>
    </xf>
    <xf numFmtId="0" fontId="3" fillId="3" borderId="36" xfId="0" applyFont="1" applyFill="1" applyBorder="1" applyAlignment="1">
      <alignment vertical="center" wrapText="1"/>
    </xf>
    <xf numFmtId="4" fontId="1" fillId="0" borderId="36" xfId="0" applyNumberFormat="1" applyFont="1" applyBorder="1" applyAlignment="1">
      <alignment vertical="center" wrapText="1"/>
    </xf>
    <xf numFmtId="0" fontId="3" fillId="4" borderId="36" xfId="0" applyFont="1" applyFill="1" applyBorder="1" applyAlignment="1">
      <alignment vertical="center" wrapText="1"/>
    </xf>
    <xf numFmtId="0" fontId="4" fillId="0" borderId="36" xfId="0" applyFont="1" applyBorder="1" applyAlignment="1">
      <alignment vertical="center" wrapText="1"/>
    </xf>
    <xf numFmtId="164" fontId="1" fillId="0" borderId="36" xfId="2" applyNumberFormat="1" applyFont="1" applyBorder="1" applyAlignment="1">
      <alignment vertical="center" wrapText="1"/>
    </xf>
    <xf numFmtId="164" fontId="2" fillId="0" borderId="36" xfId="2" applyNumberFormat="1" applyFont="1" applyBorder="1" applyAlignment="1">
      <alignment vertical="center" wrapText="1"/>
    </xf>
    <xf numFmtId="164" fontId="1" fillId="0" borderId="36" xfId="0" applyNumberFormat="1" applyFont="1" applyBorder="1" applyAlignment="1">
      <alignment vertical="center" wrapText="1"/>
    </xf>
    <xf numFmtId="164" fontId="2" fillId="0" borderId="36" xfId="0" applyNumberFormat="1" applyFont="1" applyBorder="1" applyAlignment="1">
      <alignment vertical="center" wrapText="1"/>
    </xf>
    <xf numFmtId="164" fontId="2" fillId="11" borderId="36" xfId="0" applyNumberFormat="1" applyFont="1" applyFill="1" applyBorder="1" applyAlignment="1">
      <alignment vertical="center" wrapText="1"/>
    </xf>
    <xf numFmtId="0" fontId="2" fillId="11" borderId="36" xfId="0" applyFont="1" applyFill="1" applyBorder="1" applyAlignment="1">
      <alignment horizontal="right" vertical="center" wrapText="1"/>
    </xf>
    <xf numFmtId="2" fontId="2" fillId="11" borderId="36" xfId="0" applyNumberFormat="1" applyFont="1" applyFill="1" applyBorder="1" applyAlignment="1">
      <alignment vertical="center" wrapText="1"/>
    </xf>
    <xf numFmtId="43" fontId="2" fillId="11" borderId="36" xfId="1" applyFont="1" applyFill="1" applyBorder="1" applyAlignment="1">
      <alignment vertical="center" wrapText="1"/>
    </xf>
    <xf numFmtId="44" fontId="0" fillId="8" borderId="0" xfId="2" applyFont="1" applyFill="1"/>
    <xf numFmtId="44" fontId="0" fillId="0" borderId="0" xfId="2" applyFont="1" applyBorder="1"/>
    <xf numFmtId="0" fontId="0" fillId="0" borderId="28" xfId="0" applyBorder="1" applyAlignment="1">
      <alignment horizontal="center"/>
    </xf>
    <xf numFmtId="0" fontId="0" fillId="0" borderId="0" xfId="0" applyBorder="1" applyAlignment="1">
      <alignment horizontal="center"/>
    </xf>
    <xf numFmtId="0" fontId="0" fillId="0" borderId="29"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0" xfId="0" applyAlignment="1">
      <alignment horizontal="center" wrapText="1"/>
    </xf>
    <xf numFmtId="0" fontId="0" fillId="9" borderId="33" xfId="0" applyFill="1" applyBorder="1" applyAlignment="1">
      <alignment horizontal="center"/>
    </xf>
    <xf numFmtId="0" fontId="0" fillId="9" borderId="34" xfId="0" applyFill="1" applyBorder="1" applyAlignment="1">
      <alignment horizontal="center"/>
    </xf>
    <xf numFmtId="0" fontId="0" fillId="9" borderId="35" xfId="0" applyFill="1" applyBorder="1" applyAlignment="1">
      <alignment horizontal="center"/>
    </xf>
    <xf numFmtId="0" fontId="0" fillId="9" borderId="25" xfId="0" applyFill="1" applyBorder="1" applyAlignment="1">
      <alignment horizontal="center"/>
    </xf>
    <xf numFmtId="0" fontId="0" fillId="9" borderId="26" xfId="0" applyFill="1" applyBorder="1" applyAlignment="1">
      <alignment horizontal="center"/>
    </xf>
    <xf numFmtId="0" fontId="0" fillId="9" borderId="27" xfId="0" applyFill="1" applyBorder="1" applyAlignment="1">
      <alignment horizontal="center"/>
    </xf>
    <xf numFmtId="0" fontId="3" fillId="3" borderId="16" xfId="0" applyFont="1" applyFill="1" applyBorder="1" applyAlignment="1">
      <alignment vertical="center" wrapText="1"/>
    </xf>
    <xf numFmtId="0" fontId="3" fillId="3" borderId="17" xfId="0" applyFont="1" applyFill="1" applyBorder="1" applyAlignment="1">
      <alignment vertical="center" wrapText="1"/>
    </xf>
    <xf numFmtId="0" fontId="3" fillId="3" borderId="18" xfId="0" applyFont="1" applyFill="1" applyBorder="1" applyAlignment="1">
      <alignment vertical="center" wrapText="1"/>
    </xf>
    <xf numFmtId="0" fontId="1" fillId="0" borderId="19" xfId="0" applyFont="1" applyBorder="1" applyAlignment="1">
      <alignment vertical="center" wrapText="1"/>
    </xf>
    <xf numFmtId="0" fontId="1" fillId="0" borderId="5" xfId="0" applyFont="1" applyBorder="1" applyAlignment="1">
      <alignment vertical="center" wrapText="1"/>
    </xf>
    <xf numFmtId="0" fontId="2" fillId="0" borderId="20" xfId="0" applyFont="1" applyBorder="1" applyAlignment="1">
      <alignment vertical="center" wrapText="1"/>
    </xf>
    <xf numFmtId="0" fontId="2" fillId="0" borderId="7" xfId="0" applyFont="1" applyBorder="1" applyAlignment="1">
      <alignment vertical="center" wrapText="1"/>
    </xf>
    <xf numFmtId="0" fontId="3" fillId="3" borderId="21" xfId="0" applyFont="1" applyFill="1" applyBorder="1" applyAlignment="1">
      <alignment vertical="center" wrapText="1"/>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0" fillId="0" borderId="0" xfId="0" applyAlignment="1">
      <alignment horizontal="center"/>
    </xf>
    <xf numFmtId="0" fontId="0" fillId="0" borderId="26" xfId="0"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Alignment="1">
      <alignment horizontal="left" vertical="top" wrapText="1"/>
    </xf>
    <xf numFmtId="0" fontId="0" fillId="0" borderId="31" xfId="0" applyFill="1" applyBorder="1" applyAlignment="1">
      <alignment horizontal="left" vertical="top" wrapText="1"/>
    </xf>
    <xf numFmtId="0" fontId="0" fillId="9" borderId="0" xfId="0" applyFill="1" applyBorder="1" applyAlignment="1">
      <alignment horizontal="center"/>
    </xf>
    <xf numFmtId="0" fontId="0" fillId="9" borderId="0" xfId="0" applyFill="1" applyAlignment="1">
      <alignment horizontal="center"/>
    </xf>
    <xf numFmtId="0" fontId="6" fillId="0" borderId="26" xfId="0" applyFont="1" applyBorder="1" applyAlignment="1">
      <alignment horizontal="left" vertical="top" wrapText="1"/>
    </xf>
    <xf numFmtId="0" fontId="6" fillId="0" borderId="0" xfId="0" applyFont="1" applyAlignment="1">
      <alignment horizontal="left" vertical="top" wrapText="1"/>
    </xf>
    <xf numFmtId="0" fontId="0" fillId="0" borderId="28" xfId="0" applyBorder="1" applyAlignment="1">
      <alignment horizontal="center" wrapText="1"/>
    </xf>
    <xf numFmtId="0" fontId="3" fillId="3" borderId="36" xfId="0" applyFont="1" applyFill="1" applyBorder="1" applyAlignment="1">
      <alignment vertical="center" wrapText="1"/>
    </xf>
    <xf numFmtId="0" fontId="2" fillId="10" borderId="36" xfId="0" applyFont="1" applyFill="1" applyBorder="1" applyAlignment="1">
      <alignment horizontal="left"/>
    </xf>
    <xf numFmtId="0" fontId="1" fillId="0" borderId="36" xfId="0" applyFont="1" applyFill="1" applyBorder="1" applyAlignment="1">
      <alignment horizontal="left" vertical="top" wrapText="1"/>
    </xf>
    <xf numFmtId="0" fontId="7" fillId="10" borderId="33" xfId="0" applyFont="1" applyFill="1" applyBorder="1" applyAlignment="1">
      <alignment horizontal="left"/>
    </xf>
    <xf numFmtId="0" fontId="7" fillId="10" borderId="34" xfId="0" applyFont="1" applyFill="1" applyBorder="1" applyAlignment="1">
      <alignment horizontal="left"/>
    </xf>
    <xf numFmtId="0" fontId="7" fillId="10" borderId="35"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E1E7D-F346-46CC-930C-73633B63AA1E}">
  <dimension ref="A1:A10"/>
  <sheetViews>
    <sheetView workbookViewId="0">
      <selection activeCell="D25" sqref="D25"/>
    </sheetView>
  </sheetViews>
  <sheetFormatPr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F6C83-946A-4A0E-B8A8-8837E39D30B4}">
  <dimension ref="A1:O40"/>
  <sheetViews>
    <sheetView workbookViewId="0">
      <selection activeCell="G31" sqref="G31"/>
    </sheetView>
  </sheetViews>
  <sheetFormatPr defaultRowHeight="14.5" x14ac:dyDescent="0.35"/>
  <cols>
    <col min="1" max="1" width="22.08984375" customWidth="1"/>
    <col min="7" max="7" width="21.36328125" customWidth="1"/>
    <col min="8" max="8" width="11.08984375" customWidth="1"/>
    <col min="9" max="9" width="11.6328125" customWidth="1"/>
    <col min="10" max="10" width="12.54296875" customWidth="1"/>
  </cols>
  <sheetData>
    <row r="1" spans="1:15" x14ac:dyDescent="0.35">
      <c r="A1" s="92" t="s">
        <v>47</v>
      </c>
      <c r="B1" s="93"/>
      <c r="C1" s="93"/>
      <c r="D1" s="93"/>
      <c r="E1" s="93"/>
      <c r="F1" s="94"/>
      <c r="G1" s="92" t="s">
        <v>54</v>
      </c>
      <c r="H1" s="93"/>
      <c r="I1" s="93"/>
      <c r="J1" s="93"/>
      <c r="K1" s="93"/>
      <c r="L1" s="93"/>
      <c r="M1" s="94"/>
    </row>
    <row r="2" spans="1:15" x14ac:dyDescent="0.35">
      <c r="A2" s="42"/>
      <c r="B2" s="43" t="s">
        <v>42</v>
      </c>
      <c r="C2" s="43" t="s">
        <v>43</v>
      </c>
      <c r="D2" s="43" t="s">
        <v>44</v>
      </c>
      <c r="E2" s="43" t="s">
        <v>45</v>
      </c>
      <c r="F2" s="44" t="s">
        <v>46</v>
      </c>
      <c r="G2" s="42"/>
      <c r="H2" s="43" t="s">
        <v>48</v>
      </c>
      <c r="I2" s="43" t="s">
        <v>49</v>
      </c>
      <c r="J2" s="43" t="s">
        <v>50</v>
      </c>
      <c r="K2" s="43" t="s">
        <v>44</v>
      </c>
      <c r="L2" s="43" t="s">
        <v>51</v>
      </c>
      <c r="M2" s="44"/>
    </row>
    <row r="3" spans="1:15" x14ac:dyDescent="0.35">
      <c r="A3" s="42" t="s">
        <v>36</v>
      </c>
      <c r="B3" s="45">
        <v>1012</v>
      </c>
      <c r="C3" s="43">
        <f>B3/3</f>
        <v>337.33333333333331</v>
      </c>
      <c r="D3" s="46">
        <f>C3*2</f>
        <v>674.66666666666663</v>
      </c>
      <c r="E3" s="43">
        <f>C3*3</f>
        <v>1012</v>
      </c>
      <c r="F3" s="44">
        <f>C3*4</f>
        <v>1349.3333333333333</v>
      </c>
      <c r="G3" s="42" t="s">
        <v>53</v>
      </c>
      <c r="H3" s="43">
        <v>12.7</v>
      </c>
      <c r="I3" s="43">
        <v>2255.5</v>
      </c>
      <c r="J3" s="45">
        <f>I3*H3</f>
        <v>28644.85</v>
      </c>
      <c r="K3" s="43">
        <f>J3*2</f>
        <v>57289.7</v>
      </c>
      <c r="L3" s="43">
        <f>J3*3</f>
        <v>85934.549999999988</v>
      </c>
      <c r="M3" s="50">
        <f>J3*4</f>
        <v>114579.4</v>
      </c>
    </row>
    <row r="4" spans="1:15" x14ac:dyDescent="0.35">
      <c r="A4" s="42" t="s">
        <v>37</v>
      </c>
      <c r="B4" s="43">
        <v>770</v>
      </c>
      <c r="C4" s="43">
        <f t="shared" ref="C4:C9" si="0">B4/3</f>
        <v>256.66666666666669</v>
      </c>
      <c r="D4" s="43">
        <f>C4*2</f>
        <v>513.33333333333337</v>
      </c>
      <c r="E4" s="43">
        <f>C4*3</f>
        <v>770</v>
      </c>
      <c r="F4" s="44">
        <f>C4*4</f>
        <v>1026.6666666666667</v>
      </c>
      <c r="G4" s="47" t="s">
        <v>52</v>
      </c>
      <c r="H4" s="48">
        <v>11</v>
      </c>
      <c r="I4" s="48">
        <v>2255.5</v>
      </c>
      <c r="J4" s="48">
        <f>I4*H4</f>
        <v>24810.5</v>
      </c>
      <c r="K4" s="51">
        <f>J4*2</f>
        <v>49621</v>
      </c>
      <c r="L4" s="48">
        <f>J4*3</f>
        <v>74431.5</v>
      </c>
      <c r="M4" s="49">
        <f>J4*4</f>
        <v>99242</v>
      </c>
    </row>
    <row r="5" spans="1:15" x14ac:dyDescent="0.35">
      <c r="A5" s="42" t="s">
        <v>41</v>
      </c>
      <c r="B5" s="43">
        <v>34</v>
      </c>
      <c r="C5" s="43">
        <f t="shared" si="0"/>
        <v>11.333333333333334</v>
      </c>
      <c r="D5" s="43">
        <f t="shared" ref="D5:D9" si="1">C5*2</f>
        <v>22.666666666666668</v>
      </c>
      <c r="E5" s="43">
        <f t="shared" ref="E5:E9" si="2">C5*3</f>
        <v>34</v>
      </c>
      <c r="F5" s="44">
        <f t="shared" ref="F5:F9" si="3">C5*4</f>
        <v>45.333333333333336</v>
      </c>
    </row>
    <row r="6" spans="1:15" x14ac:dyDescent="0.35">
      <c r="A6" s="42" t="s">
        <v>38</v>
      </c>
      <c r="B6" s="43">
        <v>4</v>
      </c>
      <c r="C6" s="43">
        <f t="shared" si="0"/>
        <v>1.3333333333333333</v>
      </c>
      <c r="D6" s="43">
        <f t="shared" si="1"/>
        <v>2.6666666666666665</v>
      </c>
      <c r="E6" s="43">
        <f t="shared" si="2"/>
        <v>4</v>
      </c>
      <c r="F6" s="44">
        <f t="shared" si="3"/>
        <v>5.333333333333333</v>
      </c>
      <c r="H6" s="92" t="s">
        <v>56</v>
      </c>
      <c r="I6" s="93"/>
      <c r="J6" s="93"/>
      <c r="K6" s="93"/>
      <c r="L6" s="94"/>
    </row>
    <row r="7" spans="1:15" x14ac:dyDescent="0.35">
      <c r="A7" s="42" t="s">
        <v>39</v>
      </c>
      <c r="B7" s="43">
        <v>4</v>
      </c>
      <c r="C7" s="43">
        <f t="shared" si="0"/>
        <v>1.3333333333333333</v>
      </c>
      <c r="D7" s="43">
        <f t="shared" si="1"/>
        <v>2.6666666666666665</v>
      </c>
      <c r="E7" s="43">
        <f t="shared" si="2"/>
        <v>4</v>
      </c>
      <c r="F7" s="44">
        <f t="shared" si="3"/>
        <v>5.333333333333333</v>
      </c>
      <c r="H7" s="42"/>
      <c r="I7" s="43" t="s">
        <v>48</v>
      </c>
      <c r="J7" s="43" t="s">
        <v>44</v>
      </c>
      <c r="K7" s="43" t="s">
        <v>45</v>
      </c>
      <c r="L7" s="44" t="s">
        <v>46</v>
      </c>
    </row>
    <row r="8" spans="1:15" x14ac:dyDescent="0.35">
      <c r="A8" s="42" t="s">
        <v>40</v>
      </c>
      <c r="B8" s="43">
        <v>200</v>
      </c>
      <c r="C8" s="43">
        <f t="shared" si="0"/>
        <v>66.666666666666671</v>
      </c>
      <c r="D8" s="43">
        <f t="shared" si="1"/>
        <v>133.33333333333334</v>
      </c>
      <c r="E8" s="43">
        <f t="shared" si="2"/>
        <v>200</v>
      </c>
      <c r="F8" s="44">
        <f t="shared" si="3"/>
        <v>266.66666666666669</v>
      </c>
      <c r="H8" s="47" t="s">
        <v>55</v>
      </c>
      <c r="I8" s="51">
        <v>110</v>
      </c>
      <c r="J8" s="48">
        <f>I8*2</f>
        <v>220</v>
      </c>
      <c r="K8" s="48">
        <f>I8*3</f>
        <v>330</v>
      </c>
      <c r="L8" s="52">
        <f>I8*4</f>
        <v>440</v>
      </c>
    </row>
    <row r="9" spans="1:15" x14ac:dyDescent="0.35">
      <c r="A9" s="47" t="s">
        <v>76</v>
      </c>
      <c r="B9" s="48">
        <v>200</v>
      </c>
      <c r="C9" s="48">
        <f t="shared" si="0"/>
        <v>66.666666666666671</v>
      </c>
      <c r="D9" s="48">
        <f t="shared" si="1"/>
        <v>133.33333333333334</v>
      </c>
      <c r="E9" s="48">
        <f t="shared" si="2"/>
        <v>200</v>
      </c>
      <c r="F9" s="49">
        <f t="shared" si="3"/>
        <v>266.66666666666669</v>
      </c>
    </row>
    <row r="10" spans="1:15" x14ac:dyDescent="0.35">
      <c r="B10" t="s">
        <v>59</v>
      </c>
      <c r="C10" t="s">
        <v>58</v>
      </c>
      <c r="D10" t="s">
        <v>60</v>
      </c>
    </row>
    <row r="11" spans="1:15" x14ac:dyDescent="0.35">
      <c r="A11" t="s">
        <v>57</v>
      </c>
      <c r="B11">
        <v>64009</v>
      </c>
      <c r="C11">
        <v>2080</v>
      </c>
      <c r="D11">
        <f>B11/C11</f>
        <v>30.773557692307691</v>
      </c>
    </row>
    <row r="12" spans="1:15" x14ac:dyDescent="0.35">
      <c r="A12" t="s">
        <v>71</v>
      </c>
      <c r="D12">
        <v>25.53</v>
      </c>
      <c r="G12" s="38"/>
      <c r="H12" s="95" t="s">
        <v>88</v>
      </c>
      <c r="I12" s="95"/>
      <c r="J12" s="95"/>
      <c r="K12" s="95"/>
      <c r="L12" s="95"/>
      <c r="M12" s="95"/>
      <c r="N12" s="95"/>
    </row>
    <row r="13" spans="1:15" x14ac:dyDescent="0.35">
      <c r="A13" t="s">
        <v>80</v>
      </c>
      <c r="B13">
        <v>91231</v>
      </c>
      <c r="C13">
        <v>2080</v>
      </c>
      <c r="D13">
        <f>B13/C13</f>
        <v>43.861057692307689</v>
      </c>
      <c r="H13" s="95"/>
      <c r="I13" s="95"/>
      <c r="J13" s="95"/>
      <c r="K13" s="95"/>
      <c r="L13" s="95"/>
      <c r="M13" s="95"/>
      <c r="N13" s="95"/>
    </row>
    <row r="14" spans="1:15" x14ac:dyDescent="0.35">
      <c r="A14" t="s">
        <v>83</v>
      </c>
      <c r="B14">
        <v>76721</v>
      </c>
      <c r="C14">
        <v>2080</v>
      </c>
      <c r="D14">
        <f>B14/C14</f>
        <v>36.885096153846156</v>
      </c>
      <c r="G14" s="37"/>
      <c r="H14" t="s">
        <v>89</v>
      </c>
    </row>
    <row r="15" spans="1:15" x14ac:dyDescent="0.35">
      <c r="A15" s="96" t="s">
        <v>102</v>
      </c>
      <c r="B15" s="97"/>
      <c r="C15" s="97"/>
      <c r="D15" s="97"/>
      <c r="E15" s="98"/>
      <c r="H15" t="s">
        <v>90</v>
      </c>
      <c r="I15" t="s">
        <v>91</v>
      </c>
    </row>
    <row r="16" spans="1:15" x14ac:dyDescent="0.35">
      <c r="A16" s="92" t="s">
        <v>67</v>
      </c>
      <c r="B16" s="93"/>
      <c r="C16" s="93"/>
      <c r="D16" s="93"/>
      <c r="E16" s="94"/>
      <c r="G16" t="s">
        <v>97</v>
      </c>
      <c r="H16">
        <f>D3</f>
        <v>674.66666666666663</v>
      </c>
      <c r="I16">
        <f>C19/3</f>
        <v>33219.029743589745</v>
      </c>
      <c r="J16" t="s">
        <v>92</v>
      </c>
      <c r="K16" s="40" t="s">
        <v>93</v>
      </c>
      <c r="N16">
        <v>675</v>
      </c>
      <c r="O16">
        <f>SUM(N16:N20)</f>
        <v>173770.4</v>
      </c>
    </row>
    <row r="17" spans="1:15" x14ac:dyDescent="0.35">
      <c r="A17" s="42"/>
      <c r="B17" s="43" t="s">
        <v>62</v>
      </c>
      <c r="C17" s="43" t="s">
        <v>63</v>
      </c>
      <c r="D17" s="43" t="s">
        <v>64</v>
      </c>
      <c r="E17" s="44" t="s">
        <v>65</v>
      </c>
      <c r="G17" t="s">
        <v>98</v>
      </c>
      <c r="H17">
        <f>M3</f>
        <v>114579.4</v>
      </c>
      <c r="I17">
        <v>5641625.21</v>
      </c>
      <c r="K17" s="40" t="s">
        <v>46</v>
      </c>
      <c r="N17">
        <v>114579.4</v>
      </c>
      <c r="O17">
        <f>O16-128960</f>
        <v>44810.399999999994</v>
      </c>
    </row>
    <row r="18" spans="1:15" x14ac:dyDescent="0.35">
      <c r="A18" s="42" t="s">
        <v>61</v>
      </c>
      <c r="B18" s="43">
        <f>D11*B3</f>
        <v>31142.840384615381</v>
      </c>
      <c r="C18" s="43">
        <f>B18*2</f>
        <v>62285.680769230763</v>
      </c>
      <c r="D18" s="43">
        <f>B18*3</f>
        <v>93428.521153846144</v>
      </c>
      <c r="E18" s="44">
        <f>B18*4</f>
        <v>124571.36153846153</v>
      </c>
      <c r="G18" t="s">
        <v>99</v>
      </c>
      <c r="H18">
        <v>440</v>
      </c>
      <c r="I18">
        <v>21664.58</v>
      </c>
      <c r="K18" s="40" t="s">
        <v>46</v>
      </c>
      <c r="N18">
        <v>49621</v>
      </c>
    </row>
    <row r="19" spans="1:15" x14ac:dyDescent="0.35">
      <c r="A19" s="42" t="s">
        <v>66</v>
      </c>
      <c r="B19" s="43">
        <f>B18*1.6</f>
        <v>49828.544615384613</v>
      </c>
      <c r="C19" s="45">
        <f>C18*1.6</f>
        <v>99657.089230769227</v>
      </c>
      <c r="D19" s="43">
        <f>D18*1.6</f>
        <v>149485.63384615383</v>
      </c>
      <c r="E19" s="44">
        <f>E18*1.6</f>
        <v>199314.17846153845</v>
      </c>
      <c r="G19" t="s">
        <v>100</v>
      </c>
      <c r="H19">
        <f>SUM(H16:H18)</f>
        <v>115694.06666666667</v>
      </c>
      <c r="I19">
        <f>SUM(I16:I18)</f>
        <v>5696508.8197435895</v>
      </c>
      <c r="N19">
        <v>8455</v>
      </c>
    </row>
    <row r="20" spans="1:15" x14ac:dyDescent="0.35">
      <c r="A20" s="89" t="s">
        <v>72</v>
      </c>
      <c r="B20" s="90"/>
      <c r="C20" s="90"/>
      <c r="D20" s="90"/>
      <c r="E20" s="91"/>
      <c r="H20">
        <f>128960-H19</f>
        <v>13265.933333333334</v>
      </c>
      <c r="N20">
        <v>440</v>
      </c>
    </row>
    <row r="21" spans="1:15" x14ac:dyDescent="0.35">
      <c r="A21" s="42" t="s">
        <v>68</v>
      </c>
      <c r="B21" s="45">
        <f>D11*J3</f>
        <v>881503.94406249991</v>
      </c>
      <c r="C21" s="43">
        <f>B21*2</f>
        <v>1763007.8881249998</v>
      </c>
      <c r="D21" s="43">
        <f>B21*3</f>
        <v>2644511.8321874999</v>
      </c>
      <c r="E21" s="44">
        <f>B21*4</f>
        <v>3526015.7762499996</v>
      </c>
    </row>
    <row r="22" spans="1:15" x14ac:dyDescent="0.35">
      <c r="A22" s="42" t="s">
        <v>69</v>
      </c>
      <c r="B22" s="45">
        <f>B21*1.6</f>
        <v>1410406.3104999999</v>
      </c>
      <c r="C22" s="43">
        <f t="shared" ref="C22:E22" si="4">C21*1.6</f>
        <v>2820812.6209999998</v>
      </c>
      <c r="D22" s="43">
        <f t="shared" si="4"/>
        <v>4231218.9314999999</v>
      </c>
      <c r="E22" s="54">
        <f t="shared" si="4"/>
        <v>5641625.2419999996</v>
      </c>
      <c r="G22" t="s">
        <v>94</v>
      </c>
      <c r="H22" t="s">
        <v>95</v>
      </c>
      <c r="I22" s="39" t="s">
        <v>96</v>
      </c>
    </row>
    <row r="23" spans="1:15" x14ac:dyDescent="0.35">
      <c r="A23" s="42" t="s">
        <v>70</v>
      </c>
      <c r="B23" s="43">
        <f>D12*J4</f>
        <v>633412.06500000006</v>
      </c>
      <c r="C23" s="45">
        <f>B23*2</f>
        <v>1266824.1300000001</v>
      </c>
      <c r="D23" s="55">
        <f t="shared" ref="D23:E23" si="5">C23*2</f>
        <v>2533648.2600000002</v>
      </c>
      <c r="E23" s="56">
        <f t="shared" si="5"/>
        <v>5067296.5200000005</v>
      </c>
      <c r="G23" t="s">
        <v>97</v>
      </c>
      <c r="H23">
        <v>295</v>
      </c>
      <c r="I23">
        <f>C33/3</f>
        <v>20679.026666666665</v>
      </c>
      <c r="J23" t="s">
        <v>101</v>
      </c>
      <c r="K23" s="41" t="s">
        <v>93</v>
      </c>
    </row>
    <row r="24" spans="1:15" x14ac:dyDescent="0.35">
      <c r="A24" s="89" t="s">
        <v>56</v>
      </c>
      <c r="B24" s="90"/>
      <c r="C24" s="90"/>
      <c r="D24" s="90"/>
      <c r="E24" s="91"/>
      <c r="G24" t="s">
        <v>98</v>
      </c>
      <c r="H24">
        <v>8000</v>
      </c>
      <c r="I24">
        <v>472129.2</v>
      </c>
      <c r="K24" s="41" t="s">
        <v>46</v>
      </c>
    </row>
    <row r="25" spans="1:15" x14ac:dyDescent="0.35">
      <c r="A25" s="42" t="s">
        <v>73</v>
      </c>
      <c r="B25" s="45">
        <f>D11*I8</f>
        <v>3385.0913461538457</v>
      </c>
      <c r="C25" s="43">
        <f>B25*2</f>
        <v>6770.1826923076915</v>
      </c>
      <c r="D25" s="43">
        <f>B25*3</f>
        <v>10155.274038461537</v>
      </c>
      <c r="E25" s="44">
        <f>B25*4</f>
        <v>13540.365384615383</v>
      </c>
      <c r="G25" t="s">
        <v>99</v>
      </c>
      <c r="H25">
        <v>160</v>
      </c>
      <c r="I25">
        <v>9442.59</v>
      </c>
      <c r="K25" s="41" t="s">
        <v>46</v>
      </c>
    </row>
    <row r="26" spans="1:15" x14ac:dyDescent="0.35">
      <c r="A26" s="47" t="s">
        <v>74</v>
      </c>
      <c r="B26" s="51">
        <f>B25*1.6</f>
        <v>5416.1461538461535</v>
      </c>
      <c r="C26" s="48">
        <f>B26*2</f>
        <v>10832.292307692307</v>
      </c>
      <c r="D26" s="48">
        <f>B26*3</f>
        <v>16248.438461538461</v>
      </c>
      <c r="E26" s="52">
        <f>B26*4</f>
        <v>21664.584615384614</v>
      </c>
      <c r="G26" t="s">
        <v>100</v>
      </c>
      <c r="H26">
        <f>SUM(H23:H25)</f>
        <v>8455</v>
      </c>
      <c r="I26">
        <f>SUM(I23:I25)</f>
        <v>502250.81666666671</v>
      </c>
    </row>
    <row r="27" spans="1:15" x14ac:dyDescent="0.35">
      <c r="A27" s="99" t="s">
        <v>75</v>
      </c>
      <c r="B27" s="100"/>
      <c r="C27" s="100"/>
      <c r="D27" s="100"/>
      <c r="E27" s="101"/>
    </row>
    <row r="28" spans="1:15" x14ac:dyDescent="0.35">
      <c r="A28" s="89" t="s">
        <v>47</v>
      </c>
      <c r="B28" s="90"/>
      <c r="C28" s="90"/>
      <c r="D28" s="90"/>
      <c r="E28" s="91"/>
    </row>
    <row r="29" spans="1:15" x14ac:dyDescent="0.35">
      <c r="A29" s="42"/>
      <c r="B29" s="43" t="s">
        <v>81</v>
      </c>
      <c r="C29" s="43" t="s">
        <v>63</v>
      </c>
      <c r="D29" s="43" t="s">
        <v>64</v>
      </c>
      <c r="E29" s="44" t="s">
        <v>65</v>
      </c>
    </row>
    <row r="30" spans="1:15" x14ac:dyDescent="0.35">
      <c r="A30" s="42" t="s">
        <v>77</v>
      </c>
      <c r="B30" s="43">
        <f>200*D13</f>
        <v>8772.2115384615372</v>
      </c>
      <c r="C30" s="43">
        <f>B30*2</f>
        <v>17544.423076923074</v>
      </c>
      <c r="D30" s="43">
        <f>B30*3</f>
        <v>26316.63461538461</v>
      </c>
      <c r="E30" s="56">
        <f>B30*4</f>
        <v>35088.846153846149</v>
      </c>
    </row>
    <row r="31" spans="1:15" x14ac:dyDescent="0.35">
      <c r="A31" s="42" t="s">
        <v>78</v>
      </c>
      <c r="B31" s="43">
        <f>242*D13</f>
        <v>10614.375961538461</v>
      </c>
      <c r="C31" s="43">
        <f>B31*2</f>
        <v>21228.751923076921</v>
      </c>
      <c r="D31" s="43">
        <f>B31*3</f>
        <v>31843.12788461538</v>
      </c>
      <c r="E31" s="56">
        <f>B31*4</f>
        <v>42457.503846153842</v>
      </c>
      <c r="G31" s="39"/>
    </row>
    <row r="32" spans="1:15" x14ac:dyDescent="0.35">
      <c r="A32" s="42" t="s">
        <v>79</v>
      </c>
      <c r="B32" s="45">
        <f>442*D13</f>
        <v>19386.587499999998</v>
      </c>
      <c r="C32" s="45">
        <f>B32*2</f>
        <v>38773.174999999996</v>
      </c>
      <c r="D32" s="43">
        <f>B32*3</f>
        <v>58159.762499999997</v>
      </c>
      <c r="E32" s="56">
        <f>B32*4</f>
        <v>77546.349999999991</v>
      </c>
    </row>
    <row r="33" spans="1:5" x14ac:dyDescent="0.35">
      <c r="A33" s="42" t="s">
        <v>103</v>
      </c>
      <c r="B33" s="55">
        <f>B32*1.6</f>
        <v>31018.539999999997</v>
      </c>
      <c r="C33" s="45">
        <f>B33*2</f>
        <v>62037.079999999994</v>
      </c>
      <c r="D33" s="43">
        <f>B33*3</f>
        <v>93055.62</v>
      </c>
      <c r="E33" s="56">
        <f>B33*4</f>
        <v>124074.15999999999</v>
      </c>
    </row>
    <row r="34" spans="1:5" x14ac:dyDescent="0.35">
      <c r="A34" s="89" t="s">
        <v>72</v>
      </c>
      <c r="B34" s="90"/>
      <c r="C34" s="90"/>
      <c r="D34" s="90"/>
      <c r="E34" s="91"/>
    </row>
    <row r="35" spans="1:5" x14ac:dyDescent="0.35">
      <c r="A35" s="57"/>
      <c r="B35" s="43" t="s">
        <v>81</v>
      </c>
      <c r="C35" s="43" t="s">
        <v>63</v>
      </c>
      <c r="D35" s="43" t="s">
        <v>64</v>
      </c>
      <c r="E35" s="44" t="s">
        <v>65</v>
      </c>
    </row>
    <row r="36" spans="1:5" x14ac:dyDescent="0.35">
      <c r="A36" s="42" t="s">
        <v>82</v>
      </c>
      <c r="B36" s="45">
        <f>2000*D14</f>
        <v>73770.192307692312</v>
      </c>
      <c r="C36" s="43">
        <f>B36*2</f>
        <v>147540.38461538462</v>
      </c>
      <c r="D36" s="43">
        <f>B36*3</f>
        <v>221310.57692307694</v>
      </c>
      <c r="E36" s="56">
        <f>B36*4</f>
        <v>295080.76923076925</v>
      </c>
    </row>
    <row r="37" spans="1:5" x14ac:dyDescent="0.35">
      <c r="A37" s="42" t="s">
        <v>84</v>
      </c>
      <c r="B37" s="45">
        <f>B36*1.6</f>
        <v>118032.3076923077</v>
      </c>
      <c r="C37" s="43">
        <f>B37*2</f>
        <v>236064.6153846154</v>
      </c>
      <c r="D37" s="43">
        <f>B37*3</f>
        <v>354096.92307692312</v>
      </c>
      <c r="E37" s="54">
        <f>B37*4</f>
        <v>472129.23076923081</v>
      </c>
    </row>
    <row r="38" spans="1:5" x14ac:dyDescent="0.35">
      <c r="A38" s="89" t="s">
        <v>85</v>
      </c>
      <c r="B38" s="90"/>
      <c r="C38" s="90"/>
      <c r="D38" s="90"/>
      <c r="E38" s="91"/>
    </row>
    <row r="39" spans="1:5" x14ac:dyDescent="0.35">
      <c r="A39" s="42" t="s">
        <v>86</v>
      </c>
      <c r="B39" s="45">
        <f>40*D14</f>
        <v>1475.4038461538462</v>
      </c>
      <c r="C39" s="43">
        <f>B39*2</f>
        <v>2950.8076923076924</v>
      </c>
      <c r="D39" s="43">
        <f>B39*3</f>
        <v>4426.211538461539</v>
      </c>
      <c r="E39" s="54">
        <f>B39*4</f>
        <v>5901.6153846153848</v>
      </c>
    </row>
    <row r="40" spans="1:5" x14ac:dyDescent="0.35">
      <c r="A40" s="47" t="s">
        <v>87</v>
      </c>
      <c r="B40" s="58">
        <f>B39*1.6</f>
        <v>2360.646153846154</v>
      </c>
      <c r="C40" s="48">
        <f>B40*2</f>
        <v>4721.292307692308</v>
      </c>
      <c r="D40" s="48">
        <f>B40*3</f>
        <v>7081.9384615384624</v>
      </c>
      <c r="E40" s="52">
        <f>B40*4</f>
        <v>9442.584615384616</v>
      </c>
    </row>
  </sheetData>
  <mergeCells count="12">
    <mergeCell ref="A38:E38"/>
    <mergeCell ref="A1:F1"/>
    <mergeCell ref="G1:M1"/>
    <mergeCell ref="H6:L6"/>
    <mergeCell ref="A16:E16"/>
    <mergeCell ref="H12:N13"/>
    <mergeCell ref="A15:E15"/>
    <mergeCell ref="A20:E20"/>
    <mergeCell ref="A24:E24"/>
    <mergeCell ref="A27:E27"/>
    <mergeCell ref="A28:E28"/>
    <mergeCell ref="A34:E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BDF1-338C-4B9D-9E03-B99B4381C96E}">
  <dimension ref="A1:D35"/>
  <sheetViews>
    <sheetView workbookViewId="0">
      <selection activeCell="B16" sqref="B16"/>
    </sheetView>
  </sheetViews>
  <sheetFormatPr defaultRowHeight="14.5" x14ac:dyDescent="0.35"/>
  <cols>
    <col min="1" max="1" width="22.54296875" customWidth="1"/>
    <col min="2" max="2" width="35.453125" bestFit="1" customWidth="1"/>
    <col min="3" max="3" width="32.1796875" bestFit="1" customWidth="1"/>
    <col min="4" max="4" width="10.453125" bestFit="1" customWidth="1"/>
  </cols>
  <sheetData>
    <row r="1" spans="1:4" ht="16.5" thickTop="1" thickBot="1" x14ac:dyDescent="0.4">
      <c r="A1" s="1"/>
      <c r="B1" s="2" t="s">
        <v>0</v>
      </c>
      <c r="C1" s="3" t="s">
        <v>1</v>
      </c>
    </row>
    <row r="2" spans="1:4" ht="15.5" thickBot="1" x14ac:dyDescent="0.4">
      <c r="A2" s="102" t="s">
        <v>2</v>
      </c>
      <c r="B2" s="103"/>
      <c r="C2" s="104"/>
    </row>
    <row r="3" spans="1:4" ht="16" thickBot="1" x14ac:dyDescent="0.4">
      <c r="A3" s="4" t="s">
        <v>3</v>
      </c>
      <c r="B3" s="5">
        <v>2</v>
      </c>
      <c r="C3" s="6">
        <v>2</v>
      </c>
    </row>
    <row r="4" spans="1:4" ht="16" thickBot="1" x14ac:dyDescent="0.4">
      <c r="A4" s="4" t="s">
        <v>4</v>
      </c>
      <c r="B4" s="5">
        <v>0</v>
      </c>
      <c r="C4" s="6">
        <v>0</v>
      </c>
    </row>
    <row r="5" spans="1:4" ht="31.5" thickBot="1" x14ac:dyDescent="0.4">
      <c r="A5" s="4" t="s">
        <v>5</v>
      </c>
      <c r="B5" s="7">
        <v>1012</v>
      </c>
      <c r="C5" s="6">
        <v>442</v>
      </c>
    </row>
    <row r="6" spans="1:4" ht="16" thickBot="1" x14ac:dyDescent="0.4">
      <c r="A6" s="4" t="s">
        <v>6</v>
      </c>
      <c r="B6" s="5" t="s">
        <v>7</v>
      </c>
      <c r="C6" s="6" t="s">
        <v>8</v>
      </c>
    </row>
    <row r="7" spans="1:4" ht="31.5" thickBot="1" x14ac:dyDescent="0.4">
      <c r="A7" s="4" t="s">
        <v>9</v>
      </c>
      <c r="B7" s="7">
        <v>1040</v>
      </c>
      <c r="C7" s="6">
        <v>400</v>
      </c>
    </row>
    <row r="8" spans="1:4" ht="31.5" thickBot="1" x14ac:dyDescent="0.4">
      <c r="A8" s="4" t="s">
        <v>10</v>
      </c>
      <c r="B8" s="5" t="s">
        <v>11</v>
      </c>
      <c r="C8" s="6" t="s">
        <v>11</v>
      </c>
    </row>
    <row r="9" spans="1:4" ht="16" thickBot="1" x14ac:dyDescent="0.4">
      <c r="A9" s="8" t="s">
        <v>12</v>
      </c>
      <c r="B9" s="9">
        <v>31142.84</v>
      </c>
      <c r="C9" s="10">
        <v>19386.580000000002</v>
      </c>
    </row>
    <row r="10" spans="1:4" ht="30.5" thickBot="1" x14ac:dyDescent="0.4">
      <c r="A10" s="8" t="s">
        <v>13</v>
      </c>
      <c r="B10" s="9">
        <v>49828.54</v>
      </c>
      <c r="C10" s="10">
        <v>31018.52</v>
      </c>
    </row>
    <row r="11" spans="1:4" ht="15.5" thickBot="1" x14ac:dyDescent="0.4">
      <c r="A11" s="11" t="s">
        <v>14</v>
      </c>
      <c r="B11" s="12">
        <v>99657.08</v>
      </c>
      <c r="C11" s="13">
        <v>62037.04</v>
      </c>
      <c r="D11" s="66"/>
    </row>
    <row r="12" spans="1:4" ht="31" thickTop="1" thickBot="1" x14ac:dyDescent="0.4">
      <c r="A12" s="14" t="s">
        <v>15</v>
      </c>
      <c r="B12" s="15" t="s">
        <v>16</v>
      </c>
      <c r="C12" s="16" t="s">
        <v>17</v>
      </c>
    </row>
    <row r="13" spans="1:4" ht="15.5" x14ac:dyDescent="0.35">
      <c r="A13" s="105" t="s">
        <v>18</v>
      </c>
      <c r="B13" s="17"/>
      <c r="C13" s="19"/>
    </row>
    <row r="14" spans="1:4" ht="16" thickBot="1" x14ac:dyDescent="0.4">
      <c r="A14" s="106"/>
      <c r="B14" s="18">
        <v>2255.5</v>
      </c>
      <c r="C14" s="6">
        <v>25</v>
      </c>
    </row>
    <row r="15" spans="1:4" ht="31.5" thickBot="1" x14ac:dyDescent="0.4">
      <c r="A15" s="4" t="s">
        <v>19</v>
      </c>
      <c r="B15" s="5">
        <v>12.7</v>
      </c>
      <c r="C15" s="6">
        <v>80</v>
      </c>
    </row>
    <row r="16" spans="1:4" ht="31.5" thickBot="1" x14ac:dyDescent="0.4">
      <c r="A16" s="4" t="s">
        <v>20</v>
      </c>
      <c r="B16" s="18">
        <v>28644.85</v>
      </c>
      <c r="C16" s="20">
        <v>2000</v>
      </c>
    </row>
    <row r="17" spans="1:3" ht="47" thickBot="1" x14ac:dyDescent="0.4">
      <c r="A17" s="4" t="s">
        <v>21</v>
      </c>
      <c r="B17" s="18">
        <v>114579.4</v>
      </c>
      <c r="C17" s="20">
        <v>8000</v>
      </c>
    </row>
    <row r="18" spans="1:3" ht="31.5" thickBot="1" x14ac:dyDescent="0.4">
      <c r="A18" s="4" t="s">
        <v>9</v>
      </c>
      <c r="B18" s="7">
        <v>119000</v>
      </c>
      <c r="C18" s="20">
        <v>8000</v>
      </c>
    </row>
    <row r="19" spans="1:3" ht="30.5" thickBot="1" x14ac:dyDescent="0.4">
      <c r="A19" s="8" t="s">
        <v>22</v>
      </c>
      <c r="B19" s="9">
        <v>881503.94</v>
      </c>
      <c r="C19" s="10">
        <v>73770.19</v>
      </c>
    </row>
    <row r="20" spans="1:3" ht="30.5" thickBot="1" x14ac:dyDescent="0.4">
      <c r="A20" s="11" t="s">
        <v>13</v>
      </c>
      <c r="B20" s="21">
        <v>1410406.3</v>
      </c>
      <c r="C20" s="22">
        <v>118032.3</v>
      </c>
    </row>
    <row r="21" spans="1:3" ht="15.5" thickTop="1" x14ac:dyDescent="0.35">
      <c r="A21" s="107" t="s">
        <v>23</v>
      </c>
      <c r="B21" s="23"/>
      <c r="C21" s="24"/>
    </row>
    <row r="22" spans="1:3" ht="15.5" thickBot="1" x14ac:dyDescent="0.4">
      <c r="A22" s="108"/>
      <c r="B22" s="12">
        <v>5641625.21</v>
      </c>
      <c r="C22" s="13">
        <v>472129.2</v>
      </c>
    </row>
    <row r="23" spans="1:3" ht="31" thickTop="1" thickBot="1" x14ac:dyDescent="0.4">
      <c r="A23" s="25" t="s">
        <v>24</v>
      </c>
      <c r="B23" s="26" t="s">
        <v>25</v>
      </c>
      <c r="C23" s="27" t="s">
        <v>26</v>
      </c>
    </row>
    <row r="24" spans="1:3" ht="32" thickTop="1" thickBot="1" x14ac:dyDescent="0.4">
      <c r="A24" s="28" t="s">
        <v>19</v>
      </c>
      <c r="B24" s="29">
        <v>11</v>
      </c>
      <c r="C24" s="30" t="s">
        <v>26</v>
      </c>
    </row>
    <row r="25" spans="1:3" ht="32" thickTop="1" thickBot="1" x14ac:dyDescent="0.4">
      <c r="A25" s="28" t="s">
        <v>27</v>
      </c>
      <c r="B25" s="31">
        <v>49621</v>
      </c>
      <c r="C25" s="30" t="s">
        <v>26</v>
      </c>
    </row>
    <row r="26" spans="1:3" ht="31" thickTop="1" thickBot="1" x14ac:dyDescent="0.4">
      <c r="A26" s="11" t="s">
        <v>28</v>
      </c>
      <c r="B26" s="12">
        <v>1266824.1299999999</v>
      </c>
      <c r="C26" s="30" t="s">
        <v>26</v>
      </c>
    </row>
    <row r="27" spans="1:3" ht="15.5" thickTop="1" x14ac:dyDescent="0.35">
      <c r="A27" s="32"/>
      <c r="B27" s="109" t="s">
        <v>30</v>
      </c>
      <c r="C27" s="111" t="s">
        <v>31</v>
      </c>
    </row>
    <row r="28" spans="1:3" ht="15.5" thickBot="1" x14ac:dyDescent="0.4">
      <c r="A28" s="14" t="s">
        <v>29</v>
      </c>
      <c r="B28" s="110"/>
      <c r="C28" s="112"/>
    </row>
    <row r="29" spans="1:3" ht="47" thickBot="1" x14ac:dyDescent="0.4">
      <c r="A29" s="4" t="s">
        <v>32</v>
      </c>
      <c r="B29" s="5">
        <v>4</v>
      </c>
      <c r="C29" s="6">
        <v>4</v>
      </c>
    </row>
    <row r="30" spans="1:3" ht="16" thickBot="1" x14ac:dyDescent="0.4">
      <c r="A30" s="4" t="s">
        <v>33</v>
      </c>
      <c r="B30" s="33">
        <v>110</v>
      </c>
      <c r="C30" s="6">
        <v>40</v>
      </c>
    </row>
    <row r="31" spans="1:3" ht="16" thickBot="1" x14ac:dyDescent="0.4">
      <c r="A31" s="4" t="s">
        <v>6</v>
      </c>
      <c r="B31" s="5">
        <v>440</v>
      </c>
      <c r="C31" s="6">
        <v>160</v>
      </c>
    </row>
    <row r="32" spans="1:3" ht="31.5" thickBot="1" x14ac:dyDescent="0.4">
      <c r="A32" s="4" t="s">
        <v>9</v>
      </c>
      <c r="B32" s="5">
        <v>360</v>
      </c>
      <c r="C32" s="6">
        <v>160</v>
      </c>
    </row>
    <row r="33" spans="1:3" ht="16" thickBot="1" x14ac:dyDescent="0.4">
      <c r="A33" s="8" t="s">
        <v>34</v>
      </c>
      <c r="B33" s="9">
        <v>3385.09</v>
      </c>
      <c r="C33" s="10">
        <v>1475.4</v>
      </c>
    </row>
    <row r="34" spans="1:3" ht="30.5" thickBot="1" x14ac:dyDescent="0.4">
      <c r="A34" s="34" t="s">
        <v>35</v>
      </c>
      <c r="B34" s="35">
        <v>21664.560000000001</v>
      </c>
      <c r="C34" s="36">
        <v>9442.56</v>
      </c>
    </row>
    <row r="35" spans="1:3" ht="15" thickTop="1" x14ac:dyDescent="0.35"/>
  </sheetData>
  <mergeCells count="5">
    <mergeCell ref="A2:C2"/>
    <mergeCell ref="A13:A14"/>
    <mergeCell ref="A21:A22"/>
    <mergeCell ref="B27:B28"/>
    <mergeCell ref="C27:C28"/>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F0E93-E96F-46F6-B7F2-4CA71B05F3B7}">
  <dimension ref="A1:M52"/>
  <sheetViews>
    <sheetView tabSelected="1" topLeftCell="A2" zoomScale="80" zoomScaleNormal="80" workbookViewId="0">
      <selection activeCell="F29" sqref="F29"/>
    </sheetView>
  </sheetViews>
  <sheetFormatPr defaultRowHeight="14.5" x14ac:dyDescent="0.35"/>
  <cols>
    <col min="1" max="1" width="22.08984375" customWidth="1"/>
    <col min="2" max="3" width="13.6328125" bestFit="1" customWidth="1"/>
    <col min="4" max="4" width="15.81640625" customWidth="1"/>
    <col min="5" max="5" width="13.6328125" bestFit="1" customWidth="1"/>
    <col min="6" max="6" width="25.1796875" customWidth="1"/>
    <col min="7" max="7" width="18.36328125" customWidth="1"/>
    <col min="8" max="8" width="13.36328125" customWidth="1"/>
    <col min="9" max="9" width="10.453125" customWidth="1"/>
    <col min="10" max="10" width="12.54296875" customWidth="1"/>
  </cols>
  <sheetData>
    <row r="1" spans="1:13" x14ac:dyDescent="0.35">
      <c r="A1" s="99" t="s">
        <v>47</v>
      </c>
      <c r="B1" s="100"/>
      <c r="C1" s="100"/>
      <c r="D1" s="101"/>
      <c r="F1" s="99" t="s">
        <v>54</v>
      </c>
      <c r="G1" s="100"/>
      <c r="H1" s="100"/>
      <c r="I1" s="100"/>
      <c r="J1" s="100"/>
      <c r="K1" s="100"/>
      <c r="L1" s="101"/>
    </row>
    <row r="2" spans="1:13" x14ac:dyDescent="0.35">
      <c r="A2" s="42"/>
      <c r="B2" t="s">
        <v>42</v>
      </c>
      <c r="C2" t="s">
        <v>43</v>
      </c>
      <c r="D2" s="44" t="s">
        <v>44</v>
      </c>
      <c r="F2" s="42"/>
      <c r="G2" t="s">
        <v>48</v>
      </c>
      <c r="H2" t="s">
        <v>49</v>
      </c>
      <c r="I2" t="s">
        <v>50</v>
      </c>
      <c r="J2" t="s">
        <v>45</v>
      </c>
      <c r="K2" t="s">
        <v>46</v>
      </c>
      <c r="L2" s="44" t="s">
        <v>104</v>
      </c>
      <c r="M2" s="55" t="s">
        <v>155</v>
      </c>
    </row>
    <row r="3" spans="1:13" x14ac:dyDescent="0.35">
      <c r="A3" s="42" t="s">
        <v>36</v>
      </c>
      <c r="B3" s="38">
        <v>1012</v>
      </c>
      <c r="C3">
        <f>B3/3</f>
        <v>337.33333333333331</v>
      </c>
      <c r="D3" s="54">
        <f>C3*2</f>
        <v>674.66666666666663</v>
      </c>
      <c r="F3" s="42" t="s">
        <v>53</v>
      </c>
      <c r="G3">
        <v>12.7</v>
      </c>
      <c r="H3">
        <v>2255.5</v>
      </c>
      <c r="I3" s="38">
        <f>H3*G3</f>
        <v>28644.85</v>
      </c>
      <c r="J3">
        <f>I3*3</f>
        <v>85934.549999999988</v>
      </c>
      <c r="K3" s="39">
        <f>I3*4</f>
        <v>114579.4</v>
      </c>
      <c r="L3" s="54">
        <f>I3*5</f>
        <v>143224.25</v>
      </c>
      <c r="M3" s="37">
        <f>H3*5</f>
        <v>11277.5</v>
      </c>
    </row>
    <row r="4" spans="1:13" x14ac:dyDescent="0.35">
      <c r="A4" s="42" t="s">
        <v>37</v>
      </c>
      <c r="B4">
        <v>770</v>
      </c>
      <c r="C4">
        <f t="shared" ref="C4:C9" si="0">B4/3</f>
        <v>256.66666666666669</v>
      </c>
      <c r="D4" s="44">
        <f>C4*2</f>
        <v>513.33333333333337</v>
      </c>
      <c r="F4" s="47" t="s">
        <v>52</v>
      </c>
      <c r="G4" s="48">
        <v>11</v>
      </c>
      <c r="H4" s="48">
        <v>2255.5</v>
      </c>
      <c r="I4" s="48">
        <f>H4*G4</f>
        <v>24810.5</v>
      </c>
      <c r="J4" s="51">
        <f>I4*3</f>
        <v>74431.5</v>
      </c>
      <c r="K4" s="48">
        <f>I4*4</f>
        <v>99242</v>
      </c>
      <c r="L4" s="49">
        <f>I4*5</f>
        <v>124052.5</v>
      </c>
      <c r="M4" s="37">
        <f>H4*3</f>
        <v>6766.5</v>
      </c>
    </row>
    <row r="5" spans="1:13" x14ac:dyDescent="0.35">
      <c r="A5" s="42" t="s">
        <v>41</v>
      </c>
      <c r="B5">
        <v>34</v>
      </c>
      <c r="C5">
        <f t="shared" si="0"/>
        <v>11.333333333333334</v>
      </c>
      <c r="D5" s="44">
        <f t="shared" ref="D5:D9" si="1">C5*2</f>
        <v>22.666666666666668</v>
      </c>
      <c r="E5" s="122" t="s">
        <v>126</v>
      </c>
    </row>
    <row r="6" spans="1:13" x14ac:dyDescent="0.35">
      <c r="A6" s="42" t="s">
        <v>38</v>
      </c>
      <c r="B6">
        <v>4</v>
      </c>
      <c r="C6">
        <f t="shared" si="0"/>
        <v>1.3333333333333333</v>
      </c>
      <c r="D6" s="44">
        <f t="shared" si="1"/>
        <v>2.6666666666666665</v>
      </c>
      <c r="E6" s="122"/>
      <c r="G6" s="99" t="s">
        <v>56</v>
      </c>
      <c r="H6" s="100"/>
      <c r="I6" s="100"/>
      <c r="J6" s="100"/>
      <c r="K6" s="101"/>
    </row>
    <row r="7" spans="1:13" x14ac:dyDescent="0.35">
      <c r="A7" s="42" t="s">
        <v>39</v>
      </c>
      <c r="B7">
        <v>4</v>
      </c>
      <c r="C7">
        <f t="shared" si="0"/>
        <v>1.3333333333333333</v>
      </c>
      <c r="D7" s="44">
        <f t="shared" si="1"/>
        <v>2.6666666666666665</v>
      </c>
      <c r="E7" s="122"/>
      <c r="G7" s="42"/>
      <c r="H7" t="s">
        <v>48</v>
      </c>
      <c r="I7" t="s">
        <v>44</v>
      </c>
      <c r="J7" t="s">
        <v>46</v>
      </c>
      <c r="K7" s="44" t="s">
        <v>104</v>
      </c>
    </row>
    <row r="8" spans="1:13" x14ac:dyDescent="0.35">
      <c r="A8" s="42" t="s">
        <v>40</v>
      </c>
      <c r="B8">
        <v>200</v>
      </c>
      <c r="C8">
        <f t="shared" si="0"/>
        <v>66.666666666666671</v>
      </c>
      <c r="D8" s="44">
        <f t="shared" si="1"/>
        <v>133.33333333333334</v>
      </c>
      <c r="E8" s="122"/>
      <c r="G8" s="47" t="s">
        <v>55</v>
      </c>
      <c r="H8" s="51">
        <v>110</v>
      </c>
      <c r="I8" s="48">
        <f>H8*2</f>
        <v>220</v>
      </c>
      <c r="J8" s="58">
        <f>H8*4</f>
        <v>440</v>
      </c>
      <c r="K8" s="52">
        <f>H8*5</f>
        <v>550</v>
      </c>
    </row>
    <row r="9" spans="1:13" x14ac:dyDescent="0.35">
      <c r="A9" s="47" t="s">
        <v>76</v>
      </c>
      <c r="B9" s="48">
        <v>200</v>
      </c>
      <c r="C9" s="48">
        <f t="shared" si="0"/>
        <v>66.666666666666671</v>
      </c>
      <c r="D9" s="49">
        <f t="shared" si="1"/>
        <v>133.33333333333334</v>
      </c>
    </row>
    <row r="10" spans="1:13" ht="14.5" customHeight="1" x14ac:dyDescent="0.35">
      <c r="A10" s="120" t="s">
        <v>105</v>
      </c>
      <c r="B10" s="120"/>
      <c r="C10" s="120"/>
      <c r="D10" s="120"/>
      <c r="F10" s="119" t="s">
        <v>127</v>
      </c>
      <c r="G10" s="119"/>
      <c r="H10" s="119"/>
      <c r="I10" s="119"/>
      <c r="J10" s="119"/>
    </row>
    <row r="11" spans="1:13" x14ac:dyDescent="0.35">
      <c r="A11" s="121"/>
      <c r="B11" s="121"/>
      <c r="C11" s="121"/>
      <c r="D11" s="121"/>
      <c r="F11" s="48" t="s">
        <v>130</v>
      </c>
      <c r="G11" s="48" t="s">
        <v>95</v>
      </c>
      <c r="H11" s="48" t="s">
        <v>96</v>
      </c>
      <c r="I11" s="48"/>
      <c r="J11" s="48"/>
    </row>
    <row r="12" spans="1:13" x14ac:dyDescent="0.35">
      <c r="A12" s="121"/>
      <c r="B12" s="121"/>
      <c r="C12" s="121"/>
      <c r="D12" s="121"/>
      <c r="F12" t="s">
        <v>97</v>
      </c>
      <c r="G12" s="37">
        <f>D3</f>
        <v>674.66666666666663</v>
      </c>
      <c r="H12" s="61">
        <f>C25/3</f>
        <v>33551.17333333334</v>
      </c>
      <c r="I12" t="s">
        <v>129</v>
      </c>
      <c r="J12" s="40" t="s">
        <v>93</v>
      </c>
    </row>
    <row r="13" spans="1:13" x14ac:dyDescent="0.35">
      <c r="A13" s="121"/>
      <c r="B13" s="121"/>
      <c r="C13" s="121"/>
      <c r="D13" s="121"/>
      <c r="F13" t="s">
        <v>125</v>
      </c>
      <c r="G13">
        <f>L3</f>
        <v>143224.25</v>
      </c>
      <c r="H13" s="61">
        <f>E29</f>
        <v>7122541.9524999997</v>
      </c>
      <c r="J13" s="40" t="s">
        <v>104</v>
      </c>
    </row>
    <row r="14" spans="1:13" x14ac:dyDescent="0.35">
      <c r="A14" s="121"/>
      <c r="B14" s="121"/>
      <c r="C14" s="121"/>
      <c r="D14" s="121"/>
      <c r="F14" t="s">
        <v>99</v>
      </c>
      <c r="G14" s="37">
        <f>K8</f>
        <v>550</v>
      </c>
      <c r="H14" s="61">
        <f>E33</f>
        <v>27351.5</v>
      </c>
      <c r="J14" s="40" t="s">
        <v>104</v>
      </c>
    </row>
    <row r="15" spans="1:13" x14ac:dyDescent="0.35">
      <c r="A15" s="118" t="s">
        <v>133</v>
      </c>
      <c r="B15" s="118"/>
      <c r="C15" s="118"/>
      <c r="D15" s="118"/>
      <c r="E15" s="118"/>
      <c r="F15" t="s">
        <v>124</v>
      </c>
      <c r="G15">
        <f>J4</f>
        <v>74431.5</v>
      </c>
      <c r="H15" s="61">
        <f>C30</f>
        <v>1900236.1950000003</v>
      </c>
      <c r="J15" s="40" t="s">
        <v>45</v>
      </c>
    </row>
    <row r="16" spans="1:13" x14ac:dyDescent="0.35">
      <c r="B16" t="s">
        <v>59</v>
      </c>
      <c r="C16" t="s">
        <v>58</v>
      </c>
      <c r="D16" t="s">
        <v>60</v>
      </c>
      <c r="E16" s="116" t="s">
        <v>109</v>
      </c>
      <c r="F16" t="s">
        <v>100</v>
      </c>
      <c r="G16">
        <f>SUM(G12:G15)</f>
        <v>218880.41666666666</v>
      </c>
      <c r="H16" s="87">
        <f>SUM(H12:H14)</f>
        <v>7183444.6258333325</v>
      </c>
      <c r="I16" t="s">
        <v>132</v>
      </c>
    </row>
    <row r="17" spans="1:13" x14ac:dyDescent="0.35">
      <c r="A17" t="s">
        <v>57</v>
      </c>
      <c r="B17" s="61">
        <v>64649</v>
      </c>
      <c r="C17">
        <v>2080</v>
      </c>
      <c r="D17" s="61">
        <f>B17/C17</f>
        <v>31.081250000000001</v>
      </c>
      <c r="E17" s="116"/>
      <c r="F17" t="s">
        <v>123</v>
      </c>
      <c r="G17">
        <v>128960</v>
      </c>
    </row>
    <row r="18" spans="1:13" x14ac:dyDescent="0.35">
      <c r="A18" t="s">
        <v>71</v>
      </c>
      <c r="B18" s="61"/>
      <c r="D18" s="61">
        <v>25.53</v>
      </c>
      <c r="E18" s="116"/>
      <c r="F18" t="s">
        <v>131</v>
      </c>
      <c r="G18">
        <f>G16-G17</f>
        <v>89920.416666666657</v>
      </c>
    </row>
    <row r="19" spans="1:13" x14ac:dyDescent="0.35">
      <c r="A19" t="s">
        <v>80</v>
      </c>
      <c r="B19" s="61">
        <v>92143</v>
      </c>
      <c r="C19">
        <v>2080</v>
      </c>
      <c r="D19" s="61">
        <f>B19/C19</f>
        <v>44.299519230769228</v>
      </c>
      <c r="E19" s="116"/>
      <c r="F19" s="48" t="s">
        <v>94</v>
      </c>
      <c r="G19" s="48" t="s">
        <v>95</v>
      </c>
      <c r="H19" s="48" t="s">
        <v>96</v>
      </c>
      <c r="I19" s="48"/>
      <c r="J19" s="48"/>
    </row>
    <row r="20" spans="1:13" x14ac:dyDescent="0.35">
      <c r="A20" t="s">
        <v>83</v>
      </c>
      <c r="B20" s="61">
        <v>77488</v>
      </c>
      <c r="C20">
        <v>2080</v>
      </c>
      <c r="D20" s="61">
        <f>B20/C20</f>
        <v>37.253846153846155</v>
      </c>
      <c r="E20" s="117"/>
      <c r="F20" t="s">
        <v>97</v>
      </c>
      <c r="G20">
        <v>295</v>
      </c>
      <c r="H20" s="61">
        <f>C40/3</f>
        <v>20885.746666666662</v>
      </c>
      <c r="I20" t="s">
        <v>128</v>
      </c>
      <c r="J20" s="41" t="s">
        <v>93</v>
      </c>
    </row>
    <row r="21" spans="1:13" x14ac:dyDescent="0.35">
      <c r="A21" s="96" t="s">
        <v>102</v>
      </c>
      <c r="B21" s="97"/>
      <c r="C21" s="97"/>
      <c r="D21" s="97"/>
      <c r="E21" s="98"/>
      <c r="F21" t="s">
        <v>98</v>
      </c>
      <c r="G21">
        <v>10000</v>
      </c>
      <c r="H21" s="61">
        <f>E44</f>
        <v>596061.5384615385</v>
      </c>
      <c r="J21" s="41" t="s">
        <v>104</v>
      </c>
    </row>
    <row r="22" spans="1:13" x14ac:dyDescent="0.35">
      <c r="A22" s="92" t="s">
        <v>67</v>
      </c>
      <c r="B22" s="93"/>
      <c r="C22" s="93"/>
      <c r="D22" s="93"/>
      <c r="E22" s="94"/>
      <c r="F22" t="s">
        <v>99</v>
      </c>
      <c r="G22">
        <v>200</v>
      </c>
      <c r="H22" s="61">
        <f>E47</f>
        <v>11921.23076923077</v>
      </c>
      <c r="J22" s="41" t="s">
        <v>104</v>
      </c>
    </row>
    <row r="23" spans="1:13" x14ac:dyDescent="0.35">
      <c r="A23" s="42"/>
      <c r="B23" t="s">
        <v>62</v>
      </c>
      <c r="C23" t="s">
        <v>63</v>
      </c>
      <c r="E23" s="44"/>
      <c r="F23" t="s">
        <v>100</v>
      </c>
      <c r="G23">
        <f>SUM(G20:G22)</f>
        <v>10495</v>
      </c>
      <c r="H23" s="61">
        <f>SUM(H20:H22)</f>
        <v>628868.51589743595</v>
      </c>
    </row>
    <row r="24" spans="1:13" x14ac:dyDescent="0.35">
      <c r="A24" s="42" t="s">
        <v>61</v>
      </c>
      <c r="B24" s="61">
        <f>D17*B3</f>
        <v>31454.225000000002</v>
      </c>
      <c r="C24" s="61">
        <f>B24*2</f>
        <v>62908.450000000004</v>
      </c>
      <c r="E24" s="44"/>
    </row>
    <row r="25" spans="1:13" x14ac:dyDescent="0.35">
      <c r="A25" s="42" t="s">
        <v>66</v>
      </c>
      <c r="B25" s="61">
        <f>B24*1.6</f>
        <v>50326.760000000009</v>
      </c>
      <c r="C25" s="60">
        <f>C24*1.6</f>
        <v>100653.52000000002</v>
      </c>
      <c r="E25" s="44"/>
    </row>
    <row r="26" spans="1:13" x14ac:dyDescent="0.35">
      <c r="A26" s="89" t="s">
        <v>72</v>
      </c>
      <c r="B26" s="113"/>
      <c r="C26" s="113"/>
      <c r="D26" s="113"/>
      <c r="E26" s="91"/>
    </row>
    <row r="27" spans="1:13" x14ac:dyDescent="0.35">
      <c r="A27" s="57"/>
      <c r="B27" s="59" t="s">
        <v>107</v>
      </c>
      <c r="C27" s="59" t="s">
        <v>64</v>
      </c>
      <c r="D27" s="59" t="s">
        <v>65</v>
      </c>
      <c r="E27" s="53" t="s">
        <v>106</v>
      </c>
      <c r="F27" t="s">
        <v>147</v>
      </c>
    </row>
    <row r="28" spans="1:13" x14ac:dyDescent="0.35">
      <c r="A28" s="42" t="s">
        <v>68</v>
      </c>
      <c r="B28" s="60">
        <f>D17*I3</f>
        <v>890317.74406249996</v>
      </c>
      <c r="C28" s="61">
        <f>B28*3</f>
        <v>2670953.2321874998</v>
      </c>
      <c r="D28" s="61">
        <f>B28*4</f>
        <v>3561270.9762499998</v>
      </c>
      <c r="E28" s="88">
        <f>B28*5</f>
        <v>4451588.7203124994</v>
      </c>
      <c r="F28" s="46" t="s">
        <v>152</v>
      </c>
      <c r="G28" s="46"/>
      <c r="H28" s="46"/>
      <c r="I28" s="46"/>
      <c r="J28" s="46"/>
      <c r="K28" s="46"/>
      <c r="L28" s="46"/>
      <c r="M28" s="37"/>
    </row>
    <row r="29" spans="1:13" x14ac:dyDescent="0.35">
      <c r="A29" s="42" t="s">
        <v>69</v>
      </c>
      <c r="B29" s="60">
        <f>B28*1.6</f>
        <v>1424508.3905</v>
      </c>
      <c r="C29" s="61">
        <f t="shared" ref="C29:C30" si="2">B29*3</f>
        <v>4273525.1715000002</v>
      </c>
      <c r="D29" s="60">
        <f>B29*4</f>
        <v>5698033.5619999999</v>
      </c>
      <c r="E29" s="88">
        <f t="shared" ref="E29:E30" si="3">B29*5</f>
        <v>7122541.9524999997</v>
      </c>
      <c r="F29" s="46">
        <f>M3+M4</f>
        <v>18044</v>
      </c>
      <c r="G29" s="46" t="s">
        <v>146</v>
      </c>
      <c r="H29" s="46"/>
      <c r="I29" s="46"/>
      <c r="J29" s="46"/>
      <c r="K29" s="46"/>
      <c r="L29" s="46"/>
    </row>
    <row r="30" spans="1:13" x14ac:dyDescent="0.35">
      <c r="A30" s="42" t="s">
        <v>70</v>
      </c>
      <c r="B30" s="61">
        <f>D18*I4</f>
        <v>633412.06500000006</v>
      </c>
      <c r="C30" s="60">
        <f t="shared" si="2"/>
        <v>1900236.1950000003</v>
      </c>
      <c r="D30" s="61">
        <f>B30*4</f>
        <v>2533648.2600000002</v>
      </c>
      <c r="E30" s="88">
        <f t="shared" si="3"/>
        <v>3167060.3250000002</v>
      </c>
      <c r="F30" s="46" t="s">
        <v>144</v>
      </c>
      <c r="G30" s="46"/>
      <c r="H30" s="46"/>
      <c r="I30" s="46"/>
      <c r="J30" s="46"/>
      <c r="K30" s="46"/>
      <c r="L30" s="46"/>
    </row>
    <row r="31" spans="1:13" x14ac:dyDescent="0.35">
      <c r="A31" s="89" t="s">
        <v>56</v>
      </c>
      <c r="B31" s="113"/>
      <c r="C31" s="113"/>
      <c r="D31" s="113"/>
      <c r="E31" s="90"/>
      <c r="F31" s="46">
        <f>G13+G15</f>
        <v>217655.75</v>
      </c>
      <c r="G31" s="46" t="s">
        <v>145</v>
      </c>
      <c r="H31" s="46"/>
      <c r="I31" s="46"/>
      <c r="J31" s="46"/>
      <c r="K31" s="46"/>
      <c r="L31" s="46"/>
    </row>
    <row r="32" spans="1:13" x14ac:dyDescent="0.35">
      <c r="A32" s="42" t="s">
        <v>73</v>
      </c>
      <c r="B32" s="67">
        <f>D17*H8</f>
        <v>3418.9375</v>
      </c>
      <c r="C32" s="61">
        <f>B32*3</f>
        <v>10256.8125</v>
      </c>
      <c r="D32" s="61">
        <f>B32*4</f>
        <v>13675.75</v>
      </c>
      <c r="E32" s="62">
        <f>B32*5</f>
        <v>17094.6875</v>
      </c>
      <c r="F32" t="s">
        <v>148</v>
      </c>
    </row>
    <row r="33" spans="1:9" x14ac:dyDescent="0.35">
      <c r="A33" s="47" t="s">
        <v>74</v>
      </c>
      <c r="B33" s="68">
        <f>B32*1.6</f>
        <v>5470.3</v>
      </c>
      <c r="C33" s="63">
        <f>B33*3</f>
        <v>16410.900000000001</v>
      </c>
      <c r="D33" s="64">
        <f>B33*4</f>
        <v>21881.200000000001</v>
      </c>
      <c r="E33" s="69">
        <f>B33*5</f>
        <v>27351.5</v>
      </c>
      <c r="F33" s="37" t="s">
        <v>151</v>
      </c>
      <c r="G33" s="37" t="s">
        <v>154</v>
      </c>
      <c r="H33" s="37"/>
      <c r="I33" s="37"/>
    </row>
    <row r="34" spans="1:9" x14ac:dyDescent="0.35">
      <c r="A34" s="99" t="s">
        <v>75</v>
      </c>
      <c r="B34" s="100"/>
      <c r="C34" s="100"/>
      <c r="D34" s="100"/>
      <c r="E34" s="101"/>
      <c r="F34" t="s">
        <v>149</v>
      </c>
    </row>
    <row r="35" spans="1:9" x14ac:dyDescent="0.35">
      <c r="A35" s="89" t="s">
        <v>47</v>
      </c>
      <c r="B35" s="113"/>
      <c r="C35" s="113"/>
      <c r="D35" s="113"/>
      <c r="E35" s="91"/>
      <c r="F35" s="37" t="s">
        <v>150</v>
      </c>
      <c r="G35" s="37" t="s">
        <v>153</v>
      </c>
      <c r="H35" s="37"/>
      <c r="I35" s="37"/>
    </row>
    <row r="36" spans="1:9" x14ac:dyDescent="0.35">
      <c r="A36" s="42"/>
      <c r="B36" t="s">
        <v>81</v>
      </c>
      <c r="C36" t="s">
        <v>63</v>
      </c>
      <c r="E36" s="44"/>
    </row>
    <row r="37" spans="1:9" x14ac:dyDescent="0.35">
      <c r="A37" s="42" t="s">
        <v>77</v>
      </c>
      <c r="B37" s="61">
        <f>200*D19</f>
        <v>8859.9038461538457</v>
      </c>
      <c r="C37" s="61">
        <f>B37*2</f>
        <v>17719.807692307691</v>
      </c>
      <c r="E37" s="44"/>
      <c r="G37" s="39"/>
    </row>
    <row r="38" spans="1:9" x14ac:dyDescent="0.35">
      <c r="A38" s="42" t="s">
        <v>78</v>
      </c>
      <c r="B38" s="61">
        <f>242*D19</f>
        <v>10720.483653846153</v>
      </c>
      <c r="C38" s="61">
        <f>B38*2</f>
        <v>21440.967307692306</v>
      </c>
      <c r="E38" s="44"/>
    </row>
    <row r="39" spans="1:9" x14ac:dyDescent="0.35">
      <c r="A39" s="42" t="s">
        <v>79</v>
      </c>
      <c r="B39" s="60">
        <f>442*D19</f>
        <v>19580.387499999997</v>
      </c>
      <c r="C39" s="60">
        <f>B39*2</f>
        <v>39160.774999999994</v>
      </c>
      <c r="E39" s="44"/>
    </row>
    <row r="40" spans="1:9" x14ac:dyDescent="0.35">
      <c r="A40" s="42" t="s">
        <v>103</v>
      </c>
      <c r="B40" s="61">
        <f>B39*1.6</f>
        <v>31328.619999999995</v>
      </c>
      <c r="C40" s="60">
        <f>B40*2</f>
        <v>62657.239999999991</v>
      </c>
      <c r="E40" s="44"/>
    </row>
    <row r="41" spans="1:9" x14ac:dyDescent="0.35">
      <c r="A41" s="89" t="s">
        <v>72</v>
      </c>
      <c r="B41" s="113"/>
      <c r="C41" s="113"/>
      <c r="D41" s="113"/>
      <c r="E41" s="91"/>
    </row>
    <row r="42" spans="1:9" x14ac:dyDescent="0.35">
      <c r="A42" s="57"/>
      <c r="B42" s="59" t="s">
        <v>107</v>
      </c>
      <c r="C42" s="59" t="s">
        <v>64</v>
      </c>
      <c r="D42" s="59" t="s">
        <v>65</v>
      </c>
      <c r="E42" s="53" t="s">
        <v>106</v>
      </c>
    </row>
    <row r="43" spans="1:9" x14ac:dyDescent="0.35">
      <c r="A43" s="42" t="s">
        <v>82</v>
      </c>
      <c r="B43" s="60">
        <f>2000*D20</f>
        <v>74507.692307692312</v>
      </c>
      <c r="C43" s="61">
        <f>B43*3</f>
        <v>223523.07692307694</v>
      </c>
      <c r="D43" s="61">
        <f>B43*4</f>
        <v>298030.76923076925</v>
      </c>
      <c r="E43" s="62">
        <f>B43*5</f>
        <v>372538.46153846156</v>
      </c>
    </row>
    <row r="44" spans="1:9" x14ac:dyDescent="0.35">
      <c r="A44" s="42" t="s">
        <v>84</v>
      </c>
      <c r="B44" s="60">
        <f>B43*1.6</f>
        <v>119212.3076923077</v>
      </c>
      <c r="C44" s="61">
        <f>B44*3</f>
        <v>357636.92307692312</v>
      </c>
      <c r="D44" s="60">
        <f>B44*4</f>
        <v>476849.23076923081</v>
      </c>
      <c r="E44" s="62">
        <f>B44*5</f>
        <v>596061.5384615385</v>
      </c>
    </row>
    <row r="45" spans="1:9" x14ac:dyDescent="0.35">
      <c r="A45" s="89" t="s">
        <v>85</v>
      </c>
      <c r="B45" s="113"/>
      <c r="C45" s="113"/>
      <c r="D45" s="113"/>
      <c r="E45" s="91"/>
    </row>
    <row r="46" spans="1:9" x14ac:dyDescent="0.35">
      <c r="A46" s="42" t="s">
        <v>86</v>
      </c>
      <c r="B46" s="60">
        <f>40*D20</f>
        <v>1490.1538461538462</v>
      </c>
      <c r="C46" s="61">
        <f>B46*3</f>
        <v>4470.461538461539</v>
      </c>
      <c r="D46" s="60">
        <f>B46*4</f>
        <v>5960.6153846153848</v>
      </c>
      <c r="E46" s="62">
        <f>B46*5</f>
        <v>7450.7692307692305</v>
      </c>
    </row>
    <row r="47" spans="1:9" x14ac:dyDescent="0.35">
      <c r="A47" s="47" t="s">
        <v>87</v>
      </c>
      <c r="B47" s="63">
        <f>B46*1.6</f>
        <v>2384.2461538461539</v>
      </c>
      <c r="C47" s="63">
        <f>B47*3</f>
        <v>7152.7384615384617</v>
      </c>
      <c r="D47" s="64">
        <f>B47*4</f>
        <v>9536.9846153846156</v>
      </c>
      <c r="E47" s="65">
        <f>B47*5</f>
        <v>11921.23076923077</v>
      </c>
    </row>
    <row r="48" spans="1:9" x14ac:dyDescent="0.35">
      <c r="A48" s="114" t="s">
        <v>108</v>
      </c>
      <c r="B48" s="114"/>
      <c r="C48" s="114"/>
      <c r="D48" s="114"/>
      <c r="E48" s="114"/>
    </row>
    <row r="49" spans="1:5" x14ac:dyDescent="0.35">
      <c r="A49" s="115"/>
      <c r="B49" s="115"/>
      <c r="C49" s="115"/>
      <c r="D49" s="115"/>
      <c r="E49" s="115"/>
    </row>
    <row r="50" spans="1:5" x14ac:dyDescent="0.35">
      <c r="A50" s="115"/>
      <c r="B50" s="115"/>
      <c r="C50" s="115"/>
      <c r="D50" s="115"/>
      <c r="E50" s="115"/>
    </row>
    <row r="51" spans="1:5" x14ac:dyDescent="0.35">
      <c r="A51" s="115"/>
      <c r="B51" s="115"/>
      <c r="C51" s="115"/>
      <c r="D51" s="115"/>
      <c r="E51" s="115"/>
    </row>
    <row r="52" spans="1:5" x14ac:dyDescent="0.35">
      <c r="A52" s="115"/>
      <c r="B52" s="115"/>
      <c r="C52" s="115"/>
      <c r="D52" s="115"/>
      <c r="E52" s="115"/>
    </row>
  </sheetData>
  <mergeCells count="17">
    <mergeCell ref="A15:E15"/>
    <mergeCell ref="F10:J10"/>
    <mergeCell ref="A1:D1"/>
    <mergeCell ref="F1:L1"/>
    <mergeCell ref="G6:K6"/>
    <mergeCell ref="A10:D14"/>
    <mergeCell ref="E5:E8"/>
    <mergeCell ref="A45:E45"/>
    <mergeCell ref="A48:E52"/>
    <mergeCell ref="E16:E20"/>
    <mergeCell ref="A22:E22"/>
    <mergeCell ref="A26:E26"/>
    <mergeCell ref="A31:E31"/>
    <mergeCell ref="A34:E34"/>
    <mergeCell ref="A35:E35"/>
    <mergeCell ref="A41:E41"/>
    <mergeCell ref="A21:E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712F-7E63-4843-9EAE-289006536974}">
  <dimension ref="A1:C32"/>
  <sheetViews>
    <sheetView workbookViewId="0">
      <selection activeCell="C39" sqref="C39"/>
    </sheetView>
  </sheetViews>
  <sheetFormatPr defaultRowHeight="14.5" x14ac:dyDescent="0.35"/>
  <cols>
    <col min="1" max="1" width="45.81640625" customWidth="1"/>
    <col min="2" max="2" width="28.81640625" customWidth="1"/>
    <col min="3" max="3" width="28.7265625" customWidth="1"/>
  </cols>
  <sheetData>
    <row r="1" spans="1:3" ht="15.5" x14ac:dyDescent="0.35">
      <c r="A1" s="124" t="s">
        <v>115</v>
      </c>
      <c r="B1" s="124"/>
      <c r="C1" s="124"/>
    </row>
    <row r="2" spans="1:3" ht="15.5" x14ac:dyDescent="0.35">
      <c r="A2" s="70"/>
      <c r="B2" s="71" t="s">
        <v>0</v>
      </c>
      <c r="C2" s="71" t="s">
        <v>1</v>
      </c>
    </row>
    <row r="3" spans="1:3" ht="15" x14ac:dyDescent="0.35">
      <c r="A3" s="123" t="s">
        <v>2</v>
      </c>
      <c r="B3" s="123"/>
      <c r="C3" s="123"/>
    </row>
    <row r="4" spans="1:3" ht="15.5" x14ac:dyDescent="0.35">
      <c r="A4" s="72" t="s">
        <v>3</v>
      </c>
      <c r="B4" s="72">
        <v>2</v>
      </c>
      <c r="C4" s="72">
        <v>2</v>
      </c>
    </row>
    <row r="5" spans="1:3" ht="15.5" x14ac:dyDescent="0.35">
      <c r="A5" s="72" t="s">
        <v>4</v>
      </c>
      <c r="B5" s="72">
        <v>0</v>
      </c>
      <c r="C5" s="72">
        <v>0</v>
      </c>
    </row>
    <row r="6" spans="1:3" ht="15.5" x14ac:dyDescent="0.35">
      <c r="A6" s="72" t="s">
        <v>5</v>
      </c>
      <c r="B6" s="73">
        <v>1012</v>
      </c>
      <c r="C6" s="72">
        <v>442</v>
      </c>
    </row>
    <row r="7" spans="1:3" ht="15.5" x14ac:dyDescent="0.35">
      <c r="A7" s="72" t="s">
        <v>6</v>
      </c>
      <c r="B7" s="72" t="s">
        <v>7</v>
      </c>
      <c r="C7" s="72" t="s">
        <v>8</v>
      </c>
    </row>
    <row r="8" spans="1:3" ht="15.5" x14ac:dyDescent="0.35">
      <c r="A8" s="72" t="s">
        <v>9</v>
      </c>
      <c r="B8" s="73">
        <v>1040</v>
      </c>
      <c r="C8" s="72">
        <v>400</v>
      </c>
    </row>
    <row r="9" spans="1:3" ht="31" x14ac:dyDescent="0.35">
      <c r="A9" s="72" t="s">
        <v>10</v>
      </c>
      <c r="B9" s="72" t="s">
        <v>11</v>
      </c>
      <c r="C9" s="72" t="s">
        <v>11</v>
      </c>
    </row>
    <row r="10" spans="1:3" ht="15.5" x14ac:dyDescent="0.35">
      <c r="A10" s="74" t="s">
        <v>12</v>
      </c>
      <c r="B10" s="79">
        <f>'Final Calcs'!B24</f>
        <v>31454.225000000002</v>
      </c>
      <c r="C10" s="79">
        <f>'Final Calcs'!B39</f>
        <v>19580.387499999997</v>
      </c>
    </row>
    <row r="11" spans="1:3" ht="15.5" x14ac:dyDescent="0.35">
      <c r="A11" s="74" t="s">
        <v>13</v>
      </c>
      <c r="B11" s="79">
        <f>'Final Calcs'!B25</f>
        <v>50326.760000000009</v>
      </c>
      <c r="C11" s="79">
        <f>'Final Calcs'!B40</f>
        <v>31328.619999999995</v>
      </c>
    </row>
    <row r="12" spans="1:3" ht="15" x14ac:dyDescent="0.35">
      <c r="A12" s="74" t="s">
        <v>14</v>
      </c>
      <c r="B12" s="80">
        <f>B11*2</f>
        <v>100653.52000000002</v>
      </c>
      <c r="C12" s="80">
        <f>C11*2</f>
        <v>62657.239999999991</v>
      </c>
    </row>
    <row r="13" spans="1:3" ht="15" x14ac:dyDescent="0.35">
      <c r="A13" s="75" t="s">
        <v>114</v>
      </c>
      <c r="B13" s="75" t="s">
        <v>16</v>
      </c>
      <c r="C13" s="75" t="s">
        <v>17</v>
      </c>
    </row>
    <row r="14" spans="1:3" ht="15.5" customHeight="1" x14ac:dyDescent="0.35">
      <c r="A14" s="72" t="s">
        <v>18</v>
      </c>
      <c r="B14" s="76">
        <v>2255.5</v>
      </c>
      <c r="C14" s="72">
        <v>25</v>
      </c>
    </row>
    <row r="15" spans="1:3" ht="15.5" x14ac:dyDescent="0.35">
      <c r="A15" s="72" t="s">
        <v>19</v>
      </c>
      <c r="B15" s="72">
        <v>12.7</v>
      </c>
      <c r="C15" s="72">
        <v>80</v>
      </c>
    </row>
    <row r="16" spans="1:3" ht="15.5" x14ac:dyDescent="0.35">
      <c r="A16" s="72" t="s">
        <v>20</v>
      </c>
      <c r="B16" s="76">
        <f>'Final Calcs'!I3</f>
        <v>28644.85</v>
      </c>
      <c r="C16" s="73">
        <v>2000</v>
      </c>
    </row>
    <row r="17" spans="1:3" ht="31" x14ac:dyDescent="0.35">
      <c r="A17" s="72" t="s">
        <v>110</v>
      </c>
      <c r="B17" s="76">
        <f>'Final Calcs'!L3</f>
        <v>143224.25</v>
      </c>
      <c r="C17" s="73">
        <v>10000</v>
      </c>
    </row>
    <row r="18" spans="1:3" ht="15.5" x14ac:dyDescent="0.35">
      <c r="A18" s="72" t="s">
        <v>9</v>
      </c>
      <c r="B18" s="73">
        <v>119000</v>
      </c>
      <c r="C18" s="73">
        <v>8000</v>
      </c>
    </row>
    <row r="19" spans="1:3" ht="15.5" x14ac:dyDescent="0.35">
      <c r="A19" s="74" t="s">
        <v>22</v>
      </c>
      <c r="B19" s="81">
        <f>'Final Calcs'!B28</f>
        <v>890317.74406249996</v>
      </c>
      <c r="C19" s="81">
        <f>'Final Calcs'!B43</f>
        <v>74507.692307692312</v>
      </c>
    </row>
    <row r="20" spans="1:3" ht="15.5" x14ac:dyDescent="0.35">
      <c r="A20" s="74" t="s">
        <v>13</v>
      </c>
      <c r="B20" s="81">
        <f>'Final Calcs'!B29</f>
        <v>1424508.3905</v>
      </c>
      <c r="C20" s="81">
        <f>'Final Calcs'!B44</f>
        <v>119212.3076923077</v>
      </c>
    </row>
    <row r="21" spans="1:3" ht="29" customHeight="1" x14ac:dyDescent="0.35">
      <c r="A21" s="74" t="s">
        <v>113</v>
      </c>
      <c r="B21" s="82">
        <f>'Final Calcs'!E29</f>
        <v>7122541.9524999997</v>
      </c>
      <c r="C21" s="82">
        <f>'Final Calcs'!E44</f>
        <v>596061.5384615385</v>
      </c>
    </row>
    <row r="22" spans="1:3" ht="15" x14ac:dyDescent="0.35">
      <c r="A22" s="77" t="s">
        <v>24</v>
      </c>
      <c r="B22" s="77" t="s">
        <v>25</v>
      </c>
      <c r="C22" s="77" t="s">
        <v>26</v>
      </c>
    </row>
    <row r="23" spans="1:3" ht="15.5" x14ac:dyDescent="0.35">
      <c r="A23" s="72" t="s">
        <v>19</v>
      </c>
      <c r="B23" s="72">
        <v>11</v>
      </c>
      <c r="C23" s="72" t="s">
        <v>26</v>
      </c>
    </row>
    <row r="24" spans="1:3" ht="15.5" x14ac:dyDescent="0.35">
      <c r="A24" s="72" t="s">
        <v>111</v>
      </c>
      <c r="B24" s="73">
        <f>'Final Calcs'!J4</f>
        <v>74431.5</v>
      </c>
      <c r="C24" s="72" t="s">
        <v>26</v>
      </c>
    </row>
    <row r="25" spans="1:3" ht="15.5" x14ac:dyDescent="0.35">
      <c r="A25" s="74" t="s">
        <v>112</v>
      </c>
      <c r="B25" s="82">
        <f>'Final Calcs'!C30</f>
        <v>1900236.1950000003</v>
      </c>
      <c r="C25" s="72" t="s">
        <v>26</v>
      </c>
    </row>
    <row r="26" spans="1:3" ht="15" customHeight="1" x14ac:dyDescent="0.35">
      <c r="A26" s="75" t="s">
        <v>29</v>
      </c>
      <c r="B26" s="75" t="s">
        <v>30</v>
      </c>
      <c r="C26" s="75" t="s">
        <v>31</v>
      </c>
    </row>
    <row r="27" spans="1:3" ht="21" customHeight="1" x14ac:dyDescent="0.35">
      <c r="A27" s="72" t="s">
        <v>32</v>
      </c>
      <c r="B27" s="72">
        <v>5</v>
      </c>
      <c r="C27" s="72">
        <v>5</v>
      </c>
    </row>
    <row r="28" spans="1:3" ht="15.5" x14ac:dyDescent="0.35">
      <c r="A28" s="72" t="s">
        <v>33</v>
      </c>
      <c r="B28" s="78">
        <v>110</v>
      </c>
      <c r="C28" s="72">
        <v>40</v>
      </c>
    </row>
    <row r="29" spans="1:3" ht="15.5" x14ac:dyDescent="0.35">
      <c r="A29" s="72" t="s">
        <v>6</v>
      </c>
      <c r="B29" s="72">
        <v>440</v>
      </c>
      <c r="C29" s="72">
        <v>200</v>
      </c>
    </row>
    <row r="30" spans="1:3" ht="15.5" x14ac:dyDescent="0.35">
      <c r="A30" s="72" t="s">
        <v>9</v>
      </c>
      <c r="B30" s="72">
        <v>360</v>
      </c>
      <c r="C30" s="72">
        <v>160</v>
      </c>
    </row>
    <row r="31" spans="1:3" ht="15.5" x14ac:dyDescent="0.35">
      <c r="A31" s="74" t="s">
        <v>34</v>
      </c>
      <c r="B31" s="81">
        <f>'Final Calcs'!B32</f>
        <v>3418.9375</v>
      </c>
      <c r="C31" s="81">
        <f>'Final Calcs'!B46</f>
        <v>1490.1538461538462</v>
      </c>
    </row>
    <row r="32" spans="1:3" ht="15" x14ac:dyDescent="0.35">
      <c r="A32" s="74" t="s">
        <v>35</v>
      </c>
      <c r="B32" s="82">
        <f>'Final Calcs'!B33*5</f>
        <v>27351.5</v>
      </c>
      <c r="C32" s="82">
        <f>'Final Calcs'!E47</f>
        <v>11921.23076923077</v>
      </c>
    </row>
  </sheetData>
  <mergeCells count="2">
    <mergeCell ref="A3:C3"/>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1D2E-908E-448E-901C-A1801456A2CA}">
  <dimension ref="A1:C12"/>
  <sheetViews>
    <sheetView workbookViewId="0">
      <selection activeCell="G2" sqref="G2"/>
    </sheetView>
  </sheetViews>
  <sheetFormatPr defaultRowHeight="14.5" x14ac:dyDescent="0.35"/>
  <cols>
    <col min="1" max="1" width="45" bestFit="1" customWidth="1"/>
    <col min="2" max="2" width="20.7265625" customWidth="1"/>
    <col min="3" max="3" width="17.90625" customWidth="1"/>
  </cols>
  <sheetData>
    <row r="1" spans="1:3" x14ac:dyDescent="0.35">
      <c r="A1" s="126" t="s">
        <v>116</v>
      </c>
      <c r="B1" s="127"/>
      <c r="C1" s="128"/>
    </row>
    <row r="2" spans="1:3" ht="30" x14ac:dyDescent="0.35">
      <c r="A2" s="75" t="s">
        <v>117</v>
      </c>
      <c r="B2" s="75" t="s">
        <v>16</v>
      </c>
      <c r="C2" s="75" t="s">
        <v>17</v>
      </c>
    </row>
    <row r="3" spans="1:3" ht="13.5" customHeight="1" x14ac:dyDescent="0.35">
      <c r="A3" s="72" t="s">
        <v>18</v>
      </c>
      <c r="B3" s="76">
        <v>2255.5</v>
      </c>
      <c r="C3" s="72">
        <v>25</v>
      </c>
    </row>
    <row r="4" spans="1:3" ht="15.5" x14ac:dyDescent="0.35">
      <c r="A4" s="72" t="s">
        <v>19</v>
      </c>
      <c r="B4" s="72">
        <v>12.7</v>
      </c>
      <c r="C4" s="72">
        <v>80</v>
      </c>
    </row>
    <row r="5" spans="1:3" ht="15.5" x14ac:dyDescent="0.35">
      <c r="A5" s="72" t="s">
        <v>20</v>
      </c>
      <c r="B5" s="76">
        <f>B3*B4</f>
        <v>28644.85</v>
      </c>
      <c r="C5" s="73">
        <f>C3*C4</f>
        <v>2000</v>
      </c>
    </row>
    <row r="6" spans="1:3" ht="15.5" x14ac:dyDescent="0.35">
      <c r="A6" s="74" t="s">
        <v>122</v>
      </c>
      <c r="B6" s="81">
        <f>'Final Calcs'!B29</f>
        <v>1424508.3905</v>
      </c>
      <c r="C6" s="81">
        <f>'Final Calcs'!B33</f>
        <v>5470.3</v>
      </c>
    </row>
    <row r="7" spans="1:3" ht="30" x14ac:dyDescent="0.35">
      <c r="A7" s="75" t="s">
        <v>29</v>
      </c>
      <c r="B7" s="75" t="s">
        <v>30</v>
      </c>
      <c r="C7" s="75" t="s">
        <v>31</v>
      </c>
    </row>
    <row r="8" spans="1:3" ht="15.5" x14ac:dyDescent="0.35">
      <c r="A8" s="72" t="s">
        <v>33</v>
      </c>
      <c r="B8" s="78">
        <v>110</v>
      </c>
      <c r="C8" s="72">
        <v>40</v>
      </c>
    </row>
    <row r="9" spans="1:3" ht="15" x14ac:dyDescent="0.35">
      <c r="A9" s="74" t="s">
        <v>121</v>
      </c>
      <c r="B9" s="82">
        <f>'Final Calcs'!B33</f>
        <v>5470.3</v>
      </c>
      <c r="C9" s="82">
        <f>'Final Calcs'!B47</f>
        <v>2384.2461538461539</v>
      </c>
    </row>
    <row r="10" spans="1:3" ht="15" x14ac:dyDescent="0.35">
      <c r="A10" s="84" t="s">
        <v>118</v>
      </c>
      <c r="B10" s="86">
        <f>B5+B8</f>
        <v>28754.85</v>
      </c>
      <c r="C10" s="85">
        <f>C4+C8</f>
        <v>120</v>
      </c>
    </row>
    <row r="11" spans="1:3" ht="15" x14ac:dyDescent="0.35">
      <c r="A11" s="84" t="s">
        <v>119</v>
      </c>
      <c r="B11" s="83">
        <f>B6+B9</f>
        <v>1429978.6905</v>
      </c>
      <c r="C11" s="83">
        <f>C6+C9</f>
        <v>7854.5461538461541</v>
      </c>
    </row>
    <row r="12" spans="1:3" ht="32.5" customHeight="1" x14ac:dyDescent="0.35">
      <c r="A12" s="125" t="s">
        <v>120</v>
      </c>
      <c r="B12" s="125"/>
      <c r="C12" s="125"/>
    </row>
  </sheetData>
  <mergeCells count="2">
    <mergeCell ref="A12:C12"/>
    <mergeCell ref="A1:C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2021-03-23T16:43:07+00:00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SharedWithUsers xmlns="0edec000-4982-4c4c-b4fc-d24261606a32">
      <UserInfo>
        <DisplayName>Hurld, Kathy</DisplayName>
        <AccountId>2530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E693546251524B85373101A22294FE" ma:contentTypeVersion="11" ma:contentTypeDescription="Create a new document." ma:contentTypeScope="" ma:versionID="f48b3d07e312a364618693932764bbc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edec000-4982-4c4c-b4fc-d24261606a32" xmlns:ns6="63bcf8fc-b185-4259-9c62-fed068e8c354" targetNamespace="http://schemas.microsoft.com/office/2006/metadata/properties" ma:root="true" ma:fieldsID="9841f0037565edd0b0ef6675dbd3af9a" ns1:_="" ns2:_="" ns3:_="" ns4:_="" ns5:_="" ns6:_="">
    <xsd:import namespace="http://schemas.microsoft.com/sharepoint/v3"/>
    <xsd:import namespace="4ffa91fb-a0ff-4ac5-b2db-65c790d184a4"/>
    <xsd:import namespace="http://schemas.microsoft.com/sharepoint.v3"/>
    <xsd:import namespace="http://schemas.microsoft.com/sharepoint/v3/fields"/>
    <xsd:import namespace="0edec000-4982-4c4c-b4fc-d24261606a32"/>
    <xsd:import namespace="63bcf8fc-b185-4259-9c62-fed068e8c35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SharedWithUsers" minOccurs="0"/>
                <xsd:element ref="ns5:SharedWithDetails" minOccurs="0"/>
                <xsd:element ref="ns6:MediaServiceMetadata" minOccurs="0"/>
                <xsd:element ref="ns6:MediaServiceFastMetadata" minOccurs="0"/>
                <xsd:element ref="ns6:MediaServiceDateTaken" minOccurs="0"/>
                <xsd:element ref="ns6:MediaServiceAutoTags" minOccurs="0"/>
                <xsd:element ref="ns6:MediaServiceGenerationTime" minOccurs="0"/>
                <xsd:element ref="ns6:MediaServiceEventHashCode"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6a5e8b4f-7791-4ed6-94f2-2faf52a7394c}" ma:internalName="TaxCatchAllLabel" ma:readOnly="true" ma:showField="CatchAllDataLabel" ma:web="0edec000-4982-4c4c-b4fc-d24261606a3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6a5e8b4f-7791-4ed6-94f2-2faf52a7394c}" ma:internalName="TaxCatchAll" ma:showField="CatchAllData" ma:web="0edec000-4982-4c4c-b4fc-d24261606a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dec000-4982-4c4c-b4fc-d24261606a32"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bcf8fc-b185-4259-9c62-fed068e8c354" elementFormDefault="qualified">
    <xsd:import namespace="http://schemas.microsoft.com/office/2006/documentManagement/types"/>
    <xsd:import namespace="http://schemas.microsoft.com/office/infopath/2007/PartnerControls"/>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F7BECA-4810-401A-B0E3-24F441F59C71}">
  <ds:schemaRefs>
    <ds:schemaRef ds:uri="http://schemas.microsoft.com/sharepoint.v3"/>
    <ds:schemaRef ds:uri="4ffa91fb-a0ff-4ac5-b2db-65c790d184a4"/>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purl.org/dc/terms/"/>
    <ds:schemaRef ds:uri="1ad0269c-2511-4159-98ac-392385d4262d"/>
    <ds:schemaRef ds:uri="http://purl.org/dc/elements/1.1/"/>
    <ds:schemaRef ds:uri="http://schemas.microsoft.com/office/2006/documentManagement/types"/>
    <ds:schemaRef ds:uri="e8b39961-8c4c-43f2-bbce-c6e80c8f6a92"/>
    <ds:schemaRef ds:uri="http://schemas.microsoft.com/sharepoint/v3/fields"/>
    <ds:schemaRef ds:uri="http://schemas.microsoft.com/sharepoint/v3"/>
    <ds:schemaRef ds:uri="http://purl.org/dc/dcmitype/"/>
    <ds:schemaRef ds:uri="0edec000-4982-4c4c-b4fc-d24261606a32"/>
  </ds:schemaRefs>
</ds:datastoreItem>
</file>

<file path=customXml/itemProps2.xml><?xml version="1.0" encoding="utf-8"?>
<ds:datastoreItem xmlns:ds="http://schemas.openxmlformats.org/officeDocument/2006/customXml" ds:itemID="{BFA28C01-4E2E-433D-865D-799E9F6B5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edec000-4982-4c4c-b4fc-d24261606a32"/>
    <ds:schemaRef ds:uri="63bcf8fc-b185-4259-9c62-fed068e8c3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B5BF1C-6184-41B5-A012-18B60FD66435}">
  <ds:schemaRefs>
    <ds:schemaRef ds:uri="Microsoft.SharePoint.Taxonomy.ContentTypeSync"/>
  </ds:schemaRefs>
</ds:datastoreItem>
</file>

<file path=customXml/itemProps4.xml><?xml version="1.0" encoding="utf-8"?>
<ds:datastoreItem xmlns:ds="http://schemas.openxmlformats.org/officeDocument/2006/customXml" ds:itemID="{2BE45DB4-CDF4-4E58-AEA9-463B59AFFB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Proposed Calcs</vt:lpstr>
      <vt:lpstr>Proposed Table</vt:lpstr>
      <vt:lpstr>Final Calcs</vt:lpstr>
      <vt:lpstr>Final Table</vt:lpstr>
      <vt:lpstr>Florida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Swann, Kristine</dc:creator>
  <cp:lastModifiedBy>Swann, Kristine</cp:lastModifiedBy>
  <dcterms:created xsi:type="dcterms:W3CDTF">2021-03-23T15:07:13Z</dcterms:created>
  <dcterms:modified xsi:type="dcterms:W3CDTF">2021-06-10T17:13:19Z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0x01010084E693546251524B85373101A22294FE</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e3f09c3df709400db2417a7161762d62">
    <vt:lpwstr/>
  </property>
</Properties>
</file>