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P:\POTW Nutrient Study\ICR\Screener Renewal_2021\"/>
    </mc:Choice>
  </mc:AlternateContent>
  <xr:revisionPtr revIDLastSave="0" documentId="13_ncr:1_{44C57222-082C-4232-B933-7863BA9F4260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Cover Sheet" sheetId="9" r:id="rId1"/>
    <sheet name="Industry_Burden" sheetId="1" r:id="rId2"/>
    <sheet name="Agency_Contractor_Burden" sheetId="2" r:id="rId3"/>
    <sheet name="ODCs" sheetId="8" r:id="rId4"/>
    <sheet name="Agency_Site Visit ODCs" sheetId="3" r:id="rId5"/>
    <sheet name="State_Outreach" sheetId="7" r:id="rId6"/>
  </sheets>
  <definedNames>
    <definedName name="_xlnm._FilterDatabase" localSheetId="5" hidden="1">State_Outreach!$A$13:$G$69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" i="9" l="1"/>
  <c r="F19" i="9"/>
  <c r="E19" i="9"/>
  <c r="E18" i="9"/>
  <c r="E20" i="9" s="1"/>
  <c r="D19" i="9"/>
  <c r="C19" i="9"/>
  <c r="B19" i="9"/>
  <c r="G18" i="9"/>
  <c r="F18" i="9"/>
  <c r="D18" i="9"/>
  <c r="C18" i="9"/>
  <c r="B18" i="9"/>
  <c r="F26" i="2"/>
  <c r="E26" i="2"/>
  <c r="D26" i="2"/>
  <c r="C26" i="2"/>
  <c r="E47" i="1"/>
  <c r="J18" i="8"/>
  <c r="C19" i="2"/>
  <c r="B19" i="2"/>
  <c r="G26" i="2" l="1"/>
  <c r="D19" i="2"/>
  <c r="B5" i="1" l="1"/>
  <c r="I15" i="8" l="1"/>
  <c r="J12" i="8"/>
  <c r="F18" i="2" l="1"/>
  <c r="F17" i="2"/>
  <c r="F15" i="2"/>
  <c r="F14" i="2"/>
  <c r="F21" i="2"/>
  <c r="F13" i="2"/>
  <c r="F12" i="2"/>
  <c r="F11" i="2"/>
  <c r="F20" i="2"/>
  <c r="F10" i="2"/>
  <c r="B5" i="2"/>
  <c r="E15" i="2" l="1"/>
  <c r="E18" i="2"/>
  <c r="E11" i="2"/>
  <c r="E10" i="2"/>
  <c r="E17" i="2"/>
  <c r="E20" i="2"/>
  <c r="E12" i="2"/>
  <c r="E14" i="2"/>
  <c r="E13" i="2"/>
  <c r="E21" i="2"/>
  <c r="G9" i="8"/>
  <c r="C12" i="8"/>
  <c r="D9" i="8"/>
  <c r="E9" i="8" s="1"/>
  <c r="E6" i="8"/>
  <c r="J15" i="8" l="1"/>
  <c r="C26" i="1" l="1"/>
  <c r="B26" i="1"/>
  <c r="G51" i="7"/>
  <c r="G16" i="7"/>
  <c r="G18" i="7"/>
  <c r="H40" i="3"/>
  <c r="H39" i="3"/>
  <c r="H38" i="3"/>
  <c r="H36" i="3"/>
  <c r="H35" i="3"/>
  <c r="H34" i="3"/>
  <c r="H30" i="3"/>
  <c r="H29" i="3"/>
  <c r="H28" i="3"/>
  <c r="H26" i="3"/>
  <c r="H25" i="3"/>
  <c r="H24" i="3"/>
  <c r="H20" i="3"/>
  <c r="H19" i="3"/>
  <c r="H18" i="3"/>
  <c r="H17" i="3"/>
  <c r="H16" i="3"/>
  <c r="H15" i="3"/>
  <c r="H14" i="3"/>
  <c r="G15" i="2"/>
  <c r="G14" i="2"/>
  <c r="G21" i="2"/>
  <c r="G13" i="2"/>
  <c r="F19" i="2"/>
  <c r="E19" i="2"/>
  <c r="G18" i="2"/>
  <c r="G17" i="2"/>
  <c r="G12" i="2"/>
  <c r="G11" i="2"/>
  <c r="G20" i="2"/>
  <c r="G10" i="2"/>
  <c r="D10" i="2"/>
  <c r="D36" i="1"/>
  <c r="D31" i="1"/>
  <c r="D25" i="1"/>
  <c r="E25" i="1" s="1"/>
  <c r="B25" i="1"/>
  <c r="E17" i="1"/>
  <c r="B22" i="1"/>
  <c r="D13" i="1"/>
  <c r="D12" i="1"/>
  <c r="E36" i="1" l="1"/>
  <c r="G19" i="2"/>
  <c r="F25" i="1" l="1"/>
  <c r="J6" i="8"/>
  <c r="E12" i="8" l="1"/>
  <c r="J9" i="8" l="1"/>
  <c r="E14" i="8" l="1"/>
  <c r="K27" i="1" l="1"/>
  <c r="C22" i="1"/>
  <c r="C33" i="1" l="1"/>
  <c r="B33" i="1"/>
  <c r="G64" i="7"/>
  <c r="G58" i="7"/>
  <c r="G56" i="7"/>
  <c r="G49" i="7"/>
  <c r="G48" i="7"/>
  <c r="G40" i="7"/>
  <c r="G37" i="7"/>
  <c r="G35" i="7"/>
  <c r="G34" i="7"/>
  <c r="G29" i="7"/>
  <c r="G28" i="7"/>
  <c r="G26" i="7"/>
  <c r="G25" i="7"/>
  <c r="G23" i="7"/>
  <c r="B11" i="7" s="1"/>
  <c r="C11" i="7" s="1"/>
  <c r="G17" i="7"/>
  <c r="E22" i="2" l="1"/>
  <c r="G22" i="2" s="1"/>
  <c r="G23" i="2" s="1"/>
  <c r="B10" i="7"/>
  <c r="B22" i="2"/>
  <c r="D22" i="2" s="1"/>
  <c r="C10" i="7" l="1"/>
  <c r="E37" i="1" s="1"/>
  <c r="D37" i="1"/>
  <c r="D38" i="1" s="1"/>
  <c r="D14" i="2" l="1"/>
  <c r="D21" i="2"/>
  <c r="D12" i="2"/>
  <c r="D11" i="2"/>
  <c r="D17" i="2"/>
  <c r="D18" i="2" l="1"/>
  <c r="D20" i="2"/>
  <c r="D23" i="2" s="1"/>
  <c r="D13" i="2"/>
  <c r="D32" i="1" l="1"/>
  <c r="C25" i="1" l="1"/>
  <c r="D26" i="1" l="1"/>
  <c r="E26" i="1" s="1"/>
  <c r="B47" i="1" l="1"/>
  <c r="F26" i="1"/>
  <c r="G26" i="1"/>
  <c r="J26" i="1" s="1"/>
  <c r="D27" i="1"/>
  <c r="E27" i="1" s="1"/>
  <c r="E28" i="1" s="1"/>
  <c r="D37" i="3"/>
  <c r="H37" i="3" s="1"/>
  <c r="D27" i="3"/>
  <c r="H27" i="3" s="1"/>
  <c r="H9" i="3"/>
  <c r="H8" i="3"/>
  <c r="H7" i="3"/>
  <c r="D15" i="2"/>
  <c r="E19" i="1"/>
  <c r="E20" i="1"/>
  <c r="E21" i="1"/>
  <c r="E18" i="1"/>
  <c r="H42" i="3" l="1"/>
  <c r="H46" i="3" s="1"/>
  <c r="H26" i="1"/>
  <c r="G27" i="1"/>
  <c r="F27" i="1"/>
  <c r="F28" i="1" s="1"/>
  <c r="E22" i="1"/>
  <c r="D33" i="1"/>
  <c r="D11" i="1"/>
  <c r="I26" i="1" s="1"/>
  <c r="K26" i="1" s="1"/>
  <c r="H27" i="1" l="1"/>
  <c r="E31" i="1"/>
  <c r="I25" i="1"/>
  <c r="E32" i="1"/>
  <c r="E38" i="1"/>
  <c r="B43" i="1" s="1"/>
  <c r="D28" i="1"/>
  <c r="E33" i="1" l="1"/>
  <c r="G25" i="1"/>
  <c r="J25" i="1" l="1"/>
  <c r="H25" i="1"/>
  <c r="I28" i="1"/>
  <c r="B41" i="1" s="1"/>
  <c r="G28" i="1"/>
  <c r="H28" i="1" s="1"/>
  <c r="C47" i="1" s="1"/>
  <c r="C20" i="9" l="1"/>
  <c r="J28" i="1"/>
  <c r="B42" i="1" s="1"/>
  <c r="B44" i="1" s="1"/>
  <c r="D47" i="1" s="1"/>
  <c r="K25" i="1"/>
  <c r="G47" i="1" l="1"/>
  <c r="K28" i="1"/>
  <c r="F47" i="1" s="1"/>
  <c r="F20" i="9" l="1"/>
  <c r="G20" i="9"/>
  <c r="D20" i="9"/>
</calcChain>
</file>

<file path=xl/sharedStrings.xml><?xml version="1.0" encoding="utf-8"?>
<sst xmlns="http://schemas.openxmlformats.org/spreadsheetml/2006/main" count="421" uniqueCount="309">
  <si>
    <t>Number of Respondents</t>
  </si>
  <si>
    <t>Total Operator Hours</t>
  </si>
  <si>
    <t>Total Manager Hours</t>
  </si>
  <si>
    <t>Full Screener</t>
  </si>
  <si>
    <t>Estimated Total Population</t>
  </si>
  <si>
    <t>Non-Response</t>
  </si>
  <si>
    <t>Percent of Population</t>
  </si>
  <si>
    <t>Total Hours and Dollars</t>
  </si>
  <si>
    <t>Screener Activities</t>
  </si>
  <si>
    <t>Review instructions</t>
  </si>
  <si>
    <t>Gather data</t>
  </si>
  <si>
    <t>Complete Parts B and C and review</t>
  </si>
  <si>
    <t>Total Wage</t>
  </si>
  <si>
    <t>Source</t>
  </si>
  <si>
    <t>NAICS 221300, occupation code 51-8031, water and wastewater treatment plant and system operators</t>
  </si>
  <si>
    <t>NAICS 221300, occupation code 17-2051 mean hourly wage for civil engineers</t>
  </si>
  <si>
    <t>Site Visits</t>
  </si>
  <si>
    <t>Outreach Calls</t>
  </si>
  <si>
    <t>Operator Hours</t>
  </si>
  <si>
    <t>Civil Eng Hours</t>
  </si>
  <si>
    <t>Total Hours</t>
  </si>
  <si>
    <t>Total Labor</t>
  </si>
  <si>
    <t>Calls</t>
  </si>
  <si>
    <t>Total Labor Cost for Operators</t>
  </si>
  <si>
    <t>Total Labor Cost for Managers</t>
  </si>
  <si>
    <t>Phone Cost ($/min)</t>
  </si>
  <si>
    <t>Call Length (minutes)</t>
  </si>
  <si>
    <t>Total</t>
  </si>
  <si>
    <t>Burden (hours)</t>
  </si>
  <si>
    <t>Labor Cost</t>
  </si>
  <si>
    <t>Agency</t>
  </si>
  <si>
    <t>Contractor</t>
  </si>
  <si>
    <t>Total Cost</t>
  </si>
  <si>
    <t>TOTAL</t>
  </si>
  <si>
    <t>Rates($)</t>
  </si>
  <si>
    <t>Quantity</t>
  </si>
  <si>
    <t>Cost($)</t>
  </si>
  <si>
    <t>Schedule A - Travel</t>
  </si>
  <si>
    <t>Travel - Local</t>
  </si>
  <si>
    <t>Local Mileage to POTWs (120 miles RT @ 0.54/mi)</t>
  </si>
  <si>
    <t>Toll Fee (RT)</t>
  </si>
  <si>
    <t>Parking</t>
  </si>
  <si>
    <t>Travel - Long Distance</t>
  </si>
  <si>
    <t>Airfare per person</t>
  </si>
  <si>
    <t>Days Per Diem - Meals</t>
  </si>
  <si>
    <t>Days Per Diem - Lodging</t>
  </si>
  <si>
    <t>Hotel Taxes</t>
  </si>
  <si>
    <t>Car Rental</t>
  </si>
  <si>
    <t>Fuel</t>
  </si>
  <si>
    <t>Airport parking</t>
  </si>
  <si>
    <t>POTW Inspections - Sacramento, CA area</t>
  </si>
  <si>
    <t>(two trips, one person, 5 days/5 nights each)</t>
  </si>
  <si>
    <t>POTW Inspections - Las Vegas, NV area</t>
  </si>
  <si>
    <t>POTW Inspections - Columbus, OH</t>
  </si>
  <si>
    <t>Contingency</t>
  </si>
  <si>
    <t xml:space="preserve">Review </t>
  </si>
  <si>
    <t>Percent of Respondents Contacting Helpline</t>
  </si>
  <si>
    <t>Total Labor Costs</t>
  </si>
  <si>
    <t>Total Operator $</t>
  </si>
  <si>
    <t>Contractor ($95/hr)</t>
  </si>
  <si>
    <t>Information Collection Activity</t>
  </si>
  <si>
    <t>Total Burden (Hours)</t>
  </si>
  <si>
    <t>Total Labor Cost</t>
  </si>
  <si>
    <t>Total O&amp;M Cost</t>
  </si>
  <si>
    <t> </t>
  </si>
  <si>
    <t>Total Manager $</t>
  </si>
  <si>
    <t>Total Civil Eng $</t>
  </si>
  <si>
    <t>Total $</t>
  </si>
  <si>
    <t>Total Agency/Contractor Hours</t>
  </si>
  <si>
    <t>Mean Hourly Wage</t>
  </si>
  <si>
    <t>NAICS 221300, occupation code 11-3051, mean hourly wage for industrial production managers</t>
  </si>
  <si>
    <t>Registration (Section A Only)</t>
  </si>
  <si>
    <t>Site Visits - In Person</t>
  </si>
  <si>
    <t>%</t>
  </si>
  <si>
    <t>$</t>
  </si>
  <si>
    <t>Burden</t>
  </si>
  <si>
    <t>Hours</t>
  </si>
  <si>
    <t>Dollars</t>
  </si>
  <si>
    <t>Abbreviation</t>
  </si>
  <si>
    <t>State</t>
  </si>
  <si>
    <t>REGION</t>
  </si>
  <si>
    <t>Authorization Status (as of March 2017)</t>
  </si>
  <si>
    <t>Estimated 2016 Population US Census</t>
  </si>
  <si>
    <t>Estimated POTWs (V5 Mailing List)</t>
  </si>
  <si>
    <t>Burden Hours</t>
  </si>
  <si>
    <t>AL</t>
  </si>
  <si>
    <t>Alabama</t>
  </si>
  <si>
    <t>FULLY</t>
  </si>
  <si>
    <t>AK</t>
  </si>
  <si>
    <t>Alaska</t>
  </si>
  <si>
    <t>AS</t>
  </si>
  <si>
    <t>AMERICAN SAMOA</t>
  </si>
  <si>
    <t>UNAUTHORIZED</t>
  </si>
  <si>
    <t>AZ</t>
  </si>
  <si>
    <t>Arizona</t>
  </si>
  <si>
    <t>FULLY INCLUDING BIOSOLIDS</t>
  </si>
  <si>
    <t>AR</t>
  </si>
  <si>
    <t>Arkansas</t>
  </si>
  <si>
    <t>CA</t>
  </si>
  <si>
    <t>California</t>
  </si>
  <si>
    <t>CO</t>
  </si>
  <si>
    <t>Colorado</t>
  </si>
  <si>
    <t>PARTIAL</t>
  </si>
  <si>
    <t>CT</t>
  </si>
  <si>
    <t>Connecticut</t>
  </si>
  <si>
    <t>DE</t>
  </si>
  <si>
    <t>Delaware</t>
  </si>
  <si>
    <t>DC</t>
  </si>
  <si>
    <t>District of Columbia</t>
  </si>
  <si>
    <t>FL</t>
  </si>
  <si>
    <t>Florida</t>
  </si>
  <si>
    <t>GA</t>
  </si>
  <si>
    <t>Georgia</t>
  </si>
  <si>
    <t>GU</t>
  </si>
  <si>
    <t>Guam</t>
  </si>
  <si>
    <t>HI</t>
  </si>
  <si>
    <t>Hawaii</t>
  </si>
  <si>
    <t>ID</t>
  </si>
  <si>
    <t>Idaho</t>
  </si>
  <si>
    <t>IL</t>
  </si>
  <si>
    <t>Illinois</t>
  </si>
  <si>
    <t>IN</t>
  </si>
  <si>
    <t>Indiana</t>
  </si>
  <si>
    <t>IA</t>
  </si>
  <si>
    <t>Iowa</t>
  </si>
  <si>
    <t>KS</t>
  </si>
  <si>
    <t>Kansas</t>
  </si>
  <si>
    <t>KY</t>
  </si>
  <si>
    <t>Kentucky</t>
  </si>
  <si>
    <t>LA</t>
  </si>
  <si>
    <t>Louisiana</t>
  </si>
  <si>
    <t>ME</t>
  </si>
  <si>
    <t>Maine</t>
  </si>
  <si>
    <t>MD</t>
  </si>
  <si>
    <t>Maryland</t>
  </si>
  <si>
    <t>MA</t>
  </si>
  <si>
    <t>Massachusetts</t>
  </si>
  <si>
    <t>MI</t>
  </si>
  <si>
    <t>Michigan</t>
  </si>
  <si>
    <t>MN</t>
  </si>
  <si>
    <t>Minnesota</t>
  </si>
  <si>
    <t>MS</t>
  </si>
  <si>
    <t>Mississippi</t>
  </si>
  <si>
    <t>MO</t>
  </si>
  <si>
    <t>Missouri</t>
  </si>
  <si>
    <t>MT</t>
  </si>
  <si>
    <t>Montana</t>
  </si>
  <si>
    <t>NE</t>
  </si>
  <si>
    <t>Nebraska</t>
  </si>
  <si>
    <t>NV</t>
  </si>
  <si>
    <t>Nevada</t>
  </si>
  <si>
    <t>NH</t>
  </si>
  <si>
    <t>New Hampshire</t>
  </si>
  <si>
    <t>NJ</t>
  </si>
  <si>
    <t>New Jersey</t>
  </si>
  <si>
    <t>NM</t>
  </si>
  <si>
    <t>New Mexico</t>
  </si>
  <si>
    <t>NY</t>
  </si>
  <si>
    <t>New York</t>
  </si>
  <si>
    <t>NC</t>
  </si>
  <si>
    <t>North Carolina</t>
  </si>
  <si>
    <t>ND</t>
  </si>
  <si>
    <t>North Dakota</t>
  </si>
  <si>
    <t>MP</t>
  </si>
  <si>
    <t>Northern Mariana Islands</t>
  </si>
  <si>
    <t>OH</t>
  </si>
  <si>
    <t>Ohio</t>
  </si>
  <si>
    <t>OK</t>
  </si>
  <si>
    <t>Oklahoma</t>
  </si>
  <si>
    <t>OR</t>
  </si>
  <si>
    <t>Oregon</t>
  </si>
  <si>
    <t>PA</t>
  </si>
  <si>
    <t>Pennsylvania</t>
  </si>
  <si>
    <t>PR</t>
  </si>
  <si>
    <t>Puerto Rico</t>
  </si>
  <si>
    <t>RI</t>
  </si>
  <si>
    <t>Rhode Island</t>
  </si>
  <si>
    <t>SC</t>
  </si>
  <si>
    <t>South Carolina</t>
  </si>
  <si>
    <t>SD</t>
  </si>
  <si>
    <t>South Dakota</t>
  </si>
  <si>
    <t>TN</t>
  </si>
  <si>
    <t>Tennessee</t>
  </si>
  <si>
    <t>TX</t>
  </si>
  <si>
    <t>Texas</t>
  </si>
  <si>
    <t>UT</t>
  </si>
  <si>
    <t>Utah</t>
  </si>
  <si>
    <t>VT</t>
  </si>
  <si>
    <t>Vermont</t>
  </si>
  <si>
    <t>VI</t>
  </si>
  <si>
    <t>Virgin Islands</t>
  </si>
  <si>
    <t>VA</t>
  </si>
  <si>
    <t>Virginia</t>
  </si>
  <si>
    <t>WA</t>
  </si>
  <si>
    <t>Washington</t>
  </si>
  <si>
    <t>WV</t>
  </si>
  <si>
    <t>West Virginia</t>
  </si>
  <si>
    <t>WI</t>
  </si>
  <si>
    <t>Wisconsin</t>
  </si>
  <si>
    <t>WY</t>
  </si>
  <si>
    <t>Wyoming</t>
  </si>
  <si>
    <t>Hours for state support request</t>
  </si>
  <si>
    <t>Helpline Costs</t>
  </si>
  <si>
    <t>Population Support from States</t>
  </si>
  <si>
    <t>EPA state calls</t>
  </si>
  <si>
    <t>Maintain mailing list database</t>
  </si>
  <si>
    <t>Conduct Site Visits</t>
  </si>
  <si>
    <t>Helpline</t>
  </si>
  <si>
    <t>Follow up calls</t>
  </si>
  <si>
    <t>Publish notice of anticipated ICR in Federal Register</t>
  </si>
  <si>
    <t>Respond to all comments received</t>
  </si>
  <si>
    <t>Agency ODC burden</t>
  </si>
  <si>
    <t xml:space="preserve">TOTAL = </t>
  </si>
  <si>
    <t>Print Cost per page</t>
  </si>
  <si>
    <t>Pages per survey</t>
  </si>
  <si>
    <t>Copies of Survey</t>
  </si>
  <si>
    <t>Print Working Copy Screener</t>
  </si>
  <si>
    <t>TOTAL =</t>
  </si>
  <si>
    <t>Site Visits - Virtual</t>
  </si>
  <si>
    <t>Complete Registration (Section A)</t>
  </si>
  <si>
    <t>Questionnaire Maintenance and Distribution</t>
  </si>
  <si>
    <t>Questionnaire Post-processing/review</t>
  </si>
  <si>
    <t>Summarize and analyze questionnaire responses; conduct technical analyses</t>
  </si>
  <si>
    <t>Review questionnaire responses for consistency and reasonableness, QC tasks</t>
  </si>
  <si>
    <t>EPA follow up calls</t>
  </si>
  <si>
    <t>Return Hardcopy Screener</t>
  </si>
  <si>
    <t>Percent of Respondents Returning Hardcopy</t>
  </si>
  <si>
    <t>Respondents</t>
  </si>
  <si>
    <t>Percent of Respondents Receiving Letter</t>
  </si>
  <si>
    <t>Print and Mail cost for 500 copies</t>
  </si>
  <si>
    <t>Batches of 500</t>
  </si>
  <si>
    <t>Total Screener Cost</t>
  </si>
  <si>
    <t>Study Population</t>
  </si>
  <si>
    <t>Occupation</t>
  </si>
  <si>
    <t>Plant operator</t>
  </si>
  <si>
    <t>Plant manager</t>
  </si>
  <si>
    <t>Civil engineer</t>
  </si>
  <si>
    <t>Plant Operator (hr)</t>
  </si>
  <si>
    <t>Manager (hr)</t>
  </si>
  <si>
    <t>Total (hr)</t>
  </si>
  <si>
    <t>Plant Manager (hr)</t>
  </si>
  <si>
    <t>Site Visit Activities</t>
  </si>
  <si>
    <t>Phone Activities</t>
  </si>
  <si>
    <t>Labor Costs</t>
  </si>
  <si>
    <t>Labor Rates ($/hr)</t>
  </si>
  <si>
    <t>Contractor rate</t>
  </si>
  <si>
    <t>Screener Questionnaire Activities</t>
  </si>
  <si>
    <t xml:space="preserve">Total Screener Questionnaire Activities Labor </t>
  </si>
  <si>
    <t>Total Respondents</t>
  </si>
  <si>
    <t>Site Visit Other Direct Costs</t>
  </si>
  <si>
    <t>State and Region Burden</t>
  </si>
  <si>
    <t>Estimated POTW Population</t>
  </si>
  <si>
    <r>
      <rPr>
        <sz val="11"/>
        <color theme="1"/>
        <rFont val="Calibri"/>
        <family val="2"/>
      </rPr>
      <t xml:space="preserve">     ≥ </t>
    </r>
    <r>
      <rPr>
        <sz val="11"/>
        <color theme="1"/>
        <rFont val="Calibri"/>
        <family val="2"/>
        <scheme val="minor"/>
      </rPr>
      <t>500</t>
    </r>
  </si>
  <si>
    <t xml:space="preserve">     ≥ 100 and &lt; 500</t>
  </si>
  <si>
    <t xml:space="preserve">     &lt; 100</t>
  </si>
  <si>
    <t>States Total</t>
  </si>
  <si>
    <t>EPA Total (unauthorized states)</t>
  </si>
  <si>
    <t>Totals</t>
  </si>
  <si>
    <t xml:space="preserve">     -Unauthorized state requests will be handled by Regions. EPA assumes Regions have centralized list, require 4 hr/state.</t>
  </si>
  <si>
    <t>Agency and Contractor Buden</t>
  </si>
  <si>
    <t>Industry Buden</t>
  </si>
  <si>
    <t>Other Direct Costs</t>
  </si>
  <si>
    <t xml:space="preserve">     -Per diem rates based on 2021 values</t>
  </si>
  <si>
    <t>surveys</t>
  </si>
  <si>
    <t>Estimated Full Screener Reponse Rate</t>
  </si>
  <si>
    <t>Estimated Ineligible Rate</t>
  </si>
  <si>
    <t>November 2020 Wage Information</t>
  </si>
  <si>
    <t>Source: https://www.bls.gov/oes/current/naics4_221300.htm</t>
  </si>
  <si>
    <t>percent</t>
  </si>
  <si>
    <t xml:space="preserve">Source: Qualtrics </t>
  </si>
  <si>
    <t>4 min ave for Registration</t>
  </si>
  <si>
    <t>Government rate: Technical (GS-13 Step 1)</t>
  </si>
  <si>
    <t>Government rate: Managerial (GS-15 Step 1)</t>
  </si>
  <si>
    <t>Government rate: Average</t>
  </si>
  <si>
    <t>Rate</t>
  </si>
  <si>
    <t>Salary Table 2020-GS from the U.S. Office of Personnel Management: https://www.opm.gov/policy-data-oversight/pay-leave/salaries-wages/salary-tables/pdf/2020/GS_h.pdf</t>
  </si>
  <si>
    <t>Agency ($45.05/hr)</t>
  </si>
  <si>
    <t>67 min ave for Large Survey; 25 min ave for Small</t>
  </si>
  <si>
    <t>Mail Hardcopies by Request</t>
  </si>
  <si>
    <t>Mail Hardcopies to Smalls</t>
  </si>
  <si>
    <t>Loading Factor*</t>
  </si>
  <si>
    <t>*Assumed 46% increase for overhead and benefits.</t>
  </si>
  <si>
    <t>FedEx Rate 
($ per package)</t>
  </si>
  <si>
    <t>Remaining Total Population</t>
  </si>
  <si>
    <t>U.S. Environmental Protection Agency</t>
  </si>
  <si>
    <t>OMB Control No. 2040-0294</t>
  </si>
  <si>
    <t xml:space="preserve">Contact: Paul Shriner </t>
  </si>
  <si>
    <r>
      <t>EPA ICR No.</t>
    </r>
    <r>
      <rPr>
        <b/>
        <sz val="12"/>
        <color rgb="FF000000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2553.01</t>
    </r>
  </si>
  <si>
    <t>National Study of Nutrient Removal and Secondary Technologies: POTW Screener Questionnaire</t>
  </si>
  <si>
    <t>EPA Office of Water</t>
  </si>
  <si>
    <t>Burden Summary</t>
  </si>
  <si>
    <t>Promotion and Outreach to Small Municipalities Associations</t>
  </si>
  <si>
    <t>Industry ODC burden</t>
  </si>
  <si>
    <t>Total Respondent Burden</t>
  </si>
  <si>
    <t>Total Agency/Contractor Burden</t>
  </si>
  <si>
    <t>Tab Name</t>
  </si>
  <si>
    <t>Table Data</t>
  </si>
  <si>
    <t>Industry Burden</t>
  </si>
  <si>
    <t>Agency Contractor Burden</t>
  </si>
  <si>
    <t>State Outreach Burden</t>
  </si>
  <si>
    <t>Agency Site Visit ODCs</t>
  </si>
  <si>
    <t>ODCs</t>
  </si>
  <si>
    <t>12-3</t>
  </si>
  <si>
    <t>12-1, 12-2, 12-4, 12-5, 14-2</t>
  </si>
  <si>
    <t>14-1, 14-3</t>
  </si>
  <si>
    <t>14-3</t>
  </si>
  <si>
    <t>13-1, 14-3</t>
  </si>
  <si>
    <t>This workbook was prepared to illustrate the burden estimates described in the ICR Supporting Statement and contains six tabs, described herein.</t>
  </si>
  <si>
    <t>Respondents as of October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</si>
</sst>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&quot;$&quot;#,##0"/>
    <numFmt numFmtId="167" formatCode="0.000"/>
    <numFmt numFmtId="168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1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1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1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30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6" fillId="0" borderId="0"/>
  </cellStyleXfs>
  <cellXfs count="269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44" fontId="0" fillId="0" borderId="0" xfId="0" applyNumberFormat="1"/>
    <xf numFmtId="3" fontId="0" fillId="0" borderId="0" xfId="0" applyNumberFormat="1"/>
    <xf numFmtId="0" fontId="3" fillId="0" borderId="0" xfId="0" applyFont="1"/>
    <xf numFmtId="164" fontId="3" fillId="0" borderId="0" xfId="0" applyNumberFormat="1" applyFont="1"/>
    <xf numFmtId="0" fontId="4" fillId="0" borderId="7" xfId="0" applyFont="1" applyBorder="1" applyAlignment="1">
      <alignment wrapText="1"/>
    </xf>
    <xf numFmtId="3" fontId="4" fillId="0" borderId="8" xfId="0" applyNumberFormat="1" applyFont="1" applyBorder="1" applyAlignment="1">
      <alignment wrapText="1"/>
    </xf>
    <xf numFmtId="164" fontId="4" fillId="0" borderId="8" xfId="0" applyNumberFormat="1" applyFont="1" applyBorder="1" applyAlignment="1">
      <alignment wrapText="1"/>
    </xf>
    <xf numFmtId="0" fontId="0" fillId="0" borderId="8" xfId="0" applyBorder="1"/>
    <xf numFmtId="0" fontId="0" fillId="0" borderId="0" xfId="0" applyFill="1"/>
    <xf numFmtId="0" fontId="5" fillId="0" borderId="0" xfId="0" applyFont="1"/>
    <xf numFmtId="164" fontId="0" fillId="0" borderId="0" xfId="2" applyNumberFormat="1" applyFont="1" applyFill="1"/>
    <xf numFmtId="164" fontId="0" fillId="0" borderId="0" xfId="1" applyNumberFormat="1" applyFont="1" applyFill="1"/>
    <xf numFmtId="0" fontId="0" fillId="0" borderId="0" xfId="0" applyAlignment="1">
      <alignment horizontal="center"/>
    </xf>
    <xf numFmtId="0" fontId="3" fillId="0" borderId="0" xfId="0" applyFont="1" applyFill="1" applyAlignment="1">
      <alignment horizontal="center" wrapText="1"/>
    </xf>
    <xf numFmtId="0" fontId="0" fillId="0" borderId="0" xfId="0" applyAlignment="1">
      <alignment horizontal="left"/>
    </xf>
    <xf numFmtId="0" fontId="0" fillId="0" borderId="8" xfId="0" applyBorder="1" applyAlignment="1">
      <alignment wrapText="1"/>
    </xf>
    <xf numFmtId="0" fontId="7" fillId="0" borderId="8" xfId="3" applyFont="1" applyBorder="1" applyAlignment="1">
      <alignment horizontal="right" wrapText="1"/>
    </xf>
    <xf numFmtId="3" fontId="0" fillId="0" borderId="8" xfId="0" applyNumberFormat="1" applyBorder="1" applyAlignment="1" applyProtection="1">
      <alignment horizontal="right"/>
      <protection locked="0"/>
    </xf>
    <xf numFmtId="0" fontId="7" fillId="0" borderId="8" xfId="4" applyFont="1" applyBorder="1" applyAlignment="1">
      <alignment horizontal="right" wrapText="1"/>
    </xf>
    <xf numFmtId="0" fontId="0" fillId="0" borderId="8" xfId="0" applyBorder="1" applyAlignment="1">
      <alignment horizontal="center"/>
    </xf>
    <xf numFmtId="3" fontId="0" fillId="0" borderId="10" xfId="0" applyNumberFormat="1" applyBorder="1" applyAlignment="1" applyProtection="1">
      <alignment horizontal="right"/>
      <protection locked="0"/>
    </xf>
    <xf numFmtId="0" fontId="0" fillId="0" borderId="11" xfId="0" applyBorder="1" applyAlignment="1">
      <alignment wrapText="1"/>
    </xf>
    <xf numFmtId="0" fontId="0" fillId="0" borderId="12" xfId="0" applyBorder="1"/>
    <xf numFmtId="0" fontId="3" fillId="0" borderId="0" xfId="0" applyFont="1" applyFill="1" applyAlignment="1">
      <alignment wrapText="1"/>
    </xf>
    <xf numFmtId="0" fontId="0" fillId="0" borderId="0" xfId="0" applyFont="1"/>
    <xf numFmtId="0" fontId="0" fillId="0" borderId="0" xfId="0" applyBorder="1"/>
    <xf numFmtId="2" fontId="0" fillId="0" borderId="0" xfId="2" applyNumberFormat="1" applyFont="1" applyFill="1" applyAlignment="1">
      <alignment horizontal="center"/>
    </xf>
    <xf numFmtId="1" fontId="0" fillId="0" borderId="0" xfId="2" applyNumberFormat="1" applyFont="1" applyFill="1" applyAlignment="1">
      <alignment horizontal="center"/>
    </xf>
    <xf numFmtId="0" fontId="3" fillId="0" borderId="0" xfId="0" applyFont="1" applyAlignment="1">
      <alignment horizontal="center" wrapText="1"/>
    </xf>
    <xf numFmtId="37" fontId="0" fillId="0" borderId="0" xfId="1" applyNumberFormat="1" applyFont="1" applyFill="1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0" xfId="2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5" fontId="0" fillId="0" borderId="0" xfId="1" applyNumberFormat="1" applyFont="1" applyFill="1" applyAlignment="1">
      <alignment horizontal="center"/>
    </xf>
    <xf numFmtId="7" fontId="0" fillId="0" borderId="0" xfId="2" applyNumberFormat="1" applyFont="1" applyFill="1" applyAlignment="1">
      <alignment horizontal="center"/>
    </xf>
    <xf numFmtId="4" fontId="0" fillId="0" borderId="0" xfId="2" applyNumberFormat="1" applyFont="1" applyFill="1" applyAlignment="1">
      <alignment horizontal="center"/>
    </xf>
    <xf numFmtId="0" fontId="0" fillId="0" borderId="0" xfId="0" applyFont="1" applyAlignment="1">
      <alignment horizontal="center" wrapText="1"/>
    </xf>
    <xf numFmtId="3" fontId="0" fillId="0" borderId="0" xfId="0" applyNumberFormat="1" applyFont="1" applyAlignment="1">
      <alignment horizontal="center" wrapText="1"/>
    </xf>
    <xf numFmtId="164" fontId="0" fillId="0" borderId="0" xfId="0" applyNumberFormat="1" applyFont="1" applyAlignment="1">
      <alignment horizontal="center" wrapText="1"/>
    </xf>
    <xf numFmtId="5" fontId="3" fillId="0" borderId="0" xfId="0" applyNumberFormat="1" applyFont="1"/>
    <xf numFmtId="0" fontId="10" fillId="0" borderId="0" xfId="0" applyFont="1" applyAlignment="1">
      <alignment wrapText="1"/>
    </xf>
    <xf numFmtId="168" fontId="0" fillId="0" borderId="0" xfId="0" applyNumberFormat="1" applyAlignment="1">
      <alignment horizontal="center"/>
    </xf>
    <xf numFmtId="44" fontId="3" fillId="0" borderId="0" xfId="0" applyNumberFormat="1" applyFont="1"/>
    <xf numFmtId="166" fontId="0" fillId="0" borderId="0" xfId="1" applyNumberFormat="1" applyFont="1" applyFill="1" applyAlignment="1">
      <alignment horizontal="center"/>
    </xf>
    <xf numFmtId="5" fontId="0" fillId="0" borderId="0" xfId="2" applyNumberFormat="1" applyFont="1" applyFill="1" applyAlignment="1">
      <alignment horizontal="center"/>
    </xf>
    <xf numFmtId="168" fontId="0" fillId="0" borderId="0" xfId="0" applyNumberFormat="1" applyFont="1" applyAlignment="1">
      <alignment horizontal="center" wrapText="1"/>
    </xf>
    <xf numFmtId="168" fontId="0" fillId="0" borderId="0" xfId="0" applyNumberFormat="1" applyFont="1" applyFill="1" applyAlignment="1">
      <alignment horizontal="center" wrapText="1"/>
    </xf>
    <xf numFmtId="0" fontId="0" fillId="0" borderId="0" xfId="0" applyFont="1" applyFill="1" applyAlignment="1">
      <alignment horizontal="left"/>
    </xf>
    <xf numFmtId="0" fontId="10" fillId="0" borderId="0" xfId="0" applyFont="1" applyAlignment="1">
      <alignment horizontal="left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3" fillId="0" borderId="0" xfId="2" applyNumberFormat="1" applyFont="1" applyFill="1" applyAlignment="1">
      <alignment horizontal="center"/>
    </xf>
    <xf numFmtId="164" fontId="3" fillId="0" borderId="0" xfId="0" applyNumberFormat="1" applyFont="1" applyAlignment="1">
      <alignment horizontal="center"/>
    </xf>
    <xf numFmtId="1" fontId="0" fillId="0" borderId="0" xfId="1" applyNumberFormat="1" applyFont="1"/>
    <xf numFmtId="44" fontId="0" fillId="0" borderId="0" xfId="1" applyFont="1"/>
    <xf numFmtId="164" fontId="0" fillId="0" borderId="0" xfId="2" applyNumberFormat="1" applyFont="1"/>
    <xf numFmtId="2" fontId="0" fillId="0" borderId="0" xfId="2" applyNumberFormat="1" applyFont="1"/>
    <xf numFmtId="44" fontId="0" fillId="0" borderId="0" xfId="2" applyNumberFormat="1" applyFont="1"/>
    <xf numFmtId="1" fontId="0" fillId="0" borderId="0" xfId="2" applyNumberFormat="1" applyFont="1"/>
    <xf numFmtId="164" fontId="0" fillId="0" borderId="0" xfId="1" applyNumberFormat="1" applyFont="1"/>
    <xf numFmtId="0" fontId="3" fillId="0" borderId="0" xfId="0" applyFont="1" applyAlignment="1">
      <alignment wrapText="1"/>
    </xf>
    <xf numFmtId="164" fontId="0" fillId="0" borderId="0" xfId="0" applyNumberFormat="1" applyBorder="1"/>
    <xf numFmtId="44" fontId="0" fillId="0" borderId="0" xfId="0" applyNumberFormat="1" applyFill="1"/>
    <xf numFmtId="164" fontId="0" fillId="0" borderId="0" xfId="2" applyNumberFormat="1" applyFont="1" applyAlignment="1">
      <alignment horizontal="center"/>
    </xf>
    <xf numFmtId="0" fontId="3" fillId="0" borderId="0" xfId="0" applyFont="1" applyFill="1"/>
    <xf numFmtId="0" fontId="13" fillId="0" borderId="0" xfId="0" applyFont="1"/>
    <xf numFmtId="0" fontId="0" fillId="0" borderId="0" xfId="0" applyFont="1" applyFill="1"/>
    <xf numFmtId="164" fontId="0" fillId="0" borderId="8" xfId="0" applyNumberFormat="1" applyBorder="1"/>
    <xf numFmtId="0" fontId="0" fillId="3" borderId="8" xfId="0" applyFont="1" applyFill="1" applyBorder="1"/>
    <xf numFmtId="0" fontId="5" fillId="0" borderId="8" xfId="0" applyFont="1" applyBorder="1"/>
    <xf numFmtId="0" fontId="5" fillId="3" borderId="8" xfId="0" applyFont="1" applyFill="1" applyBorder="1"/>
    <xf numFmtId="164" fontId="5" fillId="3" borderId="8" xfId="0" applyNumberFormat="1" applyFont="1" applyFill="1" applyBorder="1"/>
    <xf numFmtId="167" fontId="0" fillId="0" borderId="8" xfId="0" applyNumberFormat="1" applyBorder="1" applyAlignment="1">
      <alignment horizontal="right"/>
    </xf>
    <xf numFmtId="2" fontId="0" fillId="0" borderId="8" xfId="0" applyNumberFormat="1" applyBorder="1" applyAlignment="1">
      <alignment horizontal="right"/>
    </xf>
    <xf numFmtId="1" fontId="0" fillId="0" borderId="8" xfId="0" applyNumberFormat="1" applyBorder="1" applyAlignment="1">
      <alignment horizontal="right"/>
    </xf>
    <xf numFmtId="1" fontId="0" fillId="0" borderId="8" xfId="2" applyNumberFormat="1" applyFont="1" applyBorder="1" applyAlignment="1">
      <alignment horizontal="right"/>
    </xf>
    <xf numFmtId="164" fontId="0" fillId="0" borderId="8" xfId="1" applyNumberFormat="1" applyFont="1" applyBorder="1" applyAlignment="1">
      <alignment horizontal="right"/>
    </xf>
    <xf numFmtId="0" fontId="0" fillId="0" borderId="8" xfId="0" applyFill="1" applyBorder="1"/>
    <xf numFmtId="2" fontId="0" fillId="0" borderId="8" xfId="0" applyNumberFormat="1" applyFill="1" applyBorder="1" applyAlignment="1">
      <alignment horizontal="right"/>
    </xf>
    <xf numFmtId="1" fontId="0" fillId="0" borderId="8" xfId="0" applyNumberFormat="1" applyFill="1" applyBorder="1" applyAlignment="1">
      <alignment horizontal="right"/>
    </xf>
    <xf numFmtId="1" fontId="0" fillId="0" borderId="8" xfId="2" applyNumberFormat="1" applyFont="1" applyFill="1" applyBorder="1" applyAlignment="1">
      <alignment horizontal="right"/>
    </xf>
    <xf numFmtId="164" fontId="0" fillId="0" borderId="8" xfId="1" applyNumberFormat="1" applyFont="1" applyFill="1" applyBorder="1" applyAlignment="1">
      <alignment horizontal="right"/>
    </xf>
    <xf numFmtId="164" fontId="0" fillId="3" borderId="8" xfId="0" applyNumberFormat="1" applyFont="1" applyFill="1" applyBorder="1"/>
    <xf numFmtId="0" fontId="0" fillId="3" borderId="8" xfId="0" applyFill="1" applyBorder="1"/>
    <xf numFmtId="44" fontId="0" fillId="0" borderId="8" xfId="0" applyNumberFormat="1" applyBorder="1"/>
    <xf numFmtId="165" fontId="0" fillId="0" borderId="8" xfId="2" applyNumberFormat="1" applyFont="1" applyBorder="1"/>
    <xf numFmtId="0" fontId="0" fillId="0" borderId="8" xfId="0" applyFont="1" applyBorder="1"/>
    <xf numFmtId="164" fontId="0" fillId="3" borderId="8" xfId="0" applyNumberFormat="1" applyFill="1" applyBorder="1"/>
    <xf numFmtId="0" fontId="11" fillId="2" borderId="8" xfId="0" applyFont="1" applyFill="1" applyBorder="1"/>
    <xf numFmtId="0" fontId="11" fillId="2" borderId="8" xfId="0" applyFont="1" applyFill="1" applyBorder="1" applyAlignment="1">
      <alignment wrapText="1"/>
    </xf>
    <xf numFmtId="0" fontId="0" fillId="0" borderId="8" xfId="0" quotePrefix="1" applyBorder="1"/>
    <xf numFmtId="0" fontId="0" fillId="0" borderId="13" xfId="0" applyBorder="1"/>
    <xf numFmtId="44" fontId="0" fillId="0" borderId="13" xfId="0" applyNumberFormat="1" applyFill="1" applyBorder="1"/>
    <xf numFmtId="0" fontId="3" fillId="7" borderId="8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 wrapText="1"/>
    </xf>
    <xf numFmtId="0" fontId="3" fillId="7" borderId="8" xfId="0" applyFont="1" applyFill="1" applyBorder="1"/>
    <xf numFmtId="168" fontId="0" fillId="0" borderId="8" xfId="0" applyNumberFormat="1" applyFont="1" applyBorder="1" applyAlignment="1">
      <alignment horizontal="center" wrapText="1"/>
    </xf>
    <xf numFmtId="0" fontId="0" fillId="0" borderId="8" xfId="0" applyFont="1" applyBorder="1" applyAlignment="1">
      <alignment horizontal="center" wrapText="1"/>
    </xf>
    <xf numFmtId="3" fontId="0" fillId="0" borderId="8" xfId="0" applyNumberFormat="1" applyFont="1" applyBorder="1" applyAlignment="1">
      <alignment horizontal="center" wrapText="1"/>
    </xf>
    <xf numFmtId="5" fontId="0" fillId="0" borderId="8" xfId="0" applyNumberFormat="1" applyFont="1" applyBorder="1" applyAlignment="1">
      <alignment horizontal="center" wrapText="1"/>
    </xf>
    <xf numFmtId="5" fontId="3" fillId="7" borderId="8" xfId="0" applyNumberFormat="1" applyFont="1" applyFill="1" applyBorder="1"/>
    <xf numFmtId="2" fontId="0" fillId="0" borderId="8" xfId="2" applyNumberFormat="1" applyFont="1" applyFill="1" applyBorder="1" applyAlignment="1">
      <alignment horizontal="center"/>
    </xf>
    <xf numFmtId="1" fontId="0" fillId="0" borderId="8" xfId="2" applyNumberFormat="1" applyFont="1" applyFill="1" applyBorder="1" applyAlignment="1">
      <alignment horizontal="center"/>
    </xf>
    <xf numFmtId="7" fontId="0" fillId="0" borderId="8" xfId="2" applyNumberFormat="1" applyFont="1" applyFill="1" applyBorder="1" applyAlignment="1">
      <alignment horizontal="center"/>
    </xf>
    <xf numFmtId="5" fontId="0" fillId="0" borderId="8" xfId="1" applyNumberFormat="1" applyFont="1" applyFill="1" applyBorder="1" applyAlignment="1">
      <alignment horizontal="center"/>
    </xf>
    <xf numFmtId="3" fontId="0" fillId="0" borderId="8" xfId="2" applyNumberFormat="1" applyFont="1" applyFill="1" applyBorder="1" applyAlignment="1">
      <alignment horizontal="center"/>
    </xf>
    <xf numFmtId="44" fontId="3" fillId="6" borderId="8" xfId="1" applyNumberFormat="1" applyFont="1" applyFill="1" applyBorder="1" applyAlignment="1">
      <alignment horizontal="left"/>
    </xf>
    <xf numFmtId="0" fontId="3" fillId="6" borderId="8" xfId="0" applyFont="1" applyFill="1" applyBorder="1" applyAlignment="1">
      <alignment horizontal="center" wrapText="1"/>
    </xf>
    <xf numFmtId="1" fontId="3" fillId="6" borderId="8" xfId="2" applyNumberFormat="1" applyFont="1" applyFill="1" applyBorder="1"/>
    <xf numFmtId="0" fontId="3" fillId="8" borderId="8" xfId="0" applyFont="1" applyFill="1" applyBorder="1"/>
    <xf numFmtId="37" fontId="0" fillId="0" borderId="8" xfId="1" applyNumberFormat="1" applyFont="1" applyFill="1" applyBorder="1" applyAlignment="1">
      <alignment horizontal="center"/>
    </xf>
    <xf numFmtId="4" fontId="0" fillId="0" borderId="8" xfId="2" applyNumberFormat="1" applyFont="1" applyFill="1" applyBorder="1" applyAlignment="1">
      <alignment horizontal="center"/>
    </xf>
    <xf numFmtId="166" fontId="0" fillId="0" borderId="8" xfId="1" applyNumberFormat="1" applyFont="1" applyFill="1" applyBorder="1" applyAlignment="1">
      <alignment horizontal="center"/>
    </xf>
    <xf numFmtId="0" fontId="3" fillId="6" borderId="8" xfId="0" applyFont="1" applyFill="1" applyBorder="1" applyAlignment="1">
      <alignment wrapText="1"/>
    </xf>
    <xf numFmtId="1" fontId="0" fillId="0" borderId="8" xfId="1" applyNumberFormat="1" applyFont="1" applyBorder="1" applyAlignment="1">
      <alignment horizontal="center"/>
    </xf>
    <xf numFmtId="2" fontId="0" fillId="0" borderId="8" xfId="1" applyNumberFormat="1" applyFont="1" applyBorder="1" applyAlignment="1">
      <alignment horizontal="center"/>
    </xf>
    <xf numFmtId="7" fontId="0" fillId="0" borderId="8" xfId="2" applyNumberFormat="1" applyFont="1" applyBorder="1" applyAlignment="1">
      <alignment horizontal="center"/>
    </xf>
    <xf numFmtId="37" fontId="0" fillId="0" borderId="8" xfId="0" applyNumberFormat="1" applyBorder="1" applyAlignment="1">
      <alignment horizontal="center"/>
    </xf>
    <xf numFmtId="166" fontId="0" fillId="0" borderId="8" xfId="2" applyNumberFormat="1" applyFont="1" applyBorder="1" applyAlignment="1">
      <alignment horizontal="center"/>
    </xf>
    <xf numFmtId="37" fontId="0" fillId="0" borderId="8" xfId="2" applyNumberFormat="1" applyFont="1" applyBorder="1" applyAlignment="1">
      <alignment horizontal="center"/>
    </xf>
    <xf numFmtId="7" fontId="0" fillId="0" borderId="8" xfId="2" applyNumberFormat="1" applyFont="1" applyBorder="1"/>
    <xf numFmtId="1" fontId="3" fillId="6" borderId="8" xfId="2" applyNumberFormat="1" applyFont="1" applyFill="1" applyBorder="1" applyAlignment="1">
      <alignment horizontal="center"/>
    </xf>
    <xf numFmtId="164" fontId="3" fillId="6" borderId="8" xfId="0" applyNumberFormat="1" applyFont="1" applyFill="1" applyBorder="1" applyAlignment="1">
      <alignment horizontal="center"/>
    </xf>
    <xf numFmtId="3" fontId="0" fillId="0" borderId="0" xfId="0" applyNumberFormat="1" applyFont="1" applyBorder="1"/>
    <xf numFmtId="0" fontId="0" fillId="0" borderId="0" xfId="0" applyFont="1" applyBorder="1"/>
    <xf numFmtId="7" fontId="0" fillId="0" borderId="8" xfId="1" applyNumberFormat="1" applyFont="1" applyFill="1" applyBorder="1" applyAlignment="1">
      <alignment horizontal="center"/>
    </xf>
    <xf numFmtId="0" fontId="3" fillId="0" borderId="0" xfId="0" applyFont="1" applyBorder="1"/>
    <xf numFmtId="3" fontId="12" fillId="2" borderId="8" xfId="0" applyNumberFormat="1" applyFont="1" applyFill="1" applyBorder="1"/>
    <xf numFmtId="0" fontId="11" fillId="0" borderId="0" xfId="0" applyFont="1" applyFill="1" applyBorder="1"/>
    <xf numFmtId="3" fontId="12" fillId="0" borderId="0" xfId="0" applyNumberFormat="1" applyFont="1" applyFill="1" applyBorder="1"/>
    <xf numFmtId="0" fontId="9" fillId="5" borderId="8" xfId="0" applyFont="1" applyFill="1" applyBorder="1"/>
    <xf numFmtId="0" fontId="11" fillId="2" borderId="8" xfId="0" applyFont="1" applyFill="1" applyBorder="1" applyAlignment="1">
      <alignment horizontal="center" wrapText="1"/>
    </xf>
    <xf numFmtId="0" fontId="0" fillId="0" borderId="0" xfId="0" quotePrefix="1"/>
    <xf numFmtId="0" fontId="11" fillId="2" borderId="8" xfId="0" applyFont="1" applyFill="1" applyBorder="1" applyAlignment="1"/>
    <xf numFmtId="0" fontId="11" fillId="2" borderId="8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5" fillId="0" borderId="0" xfId="0" applyNumberFormat="1" applyFont="1" applyAlignment="1"/>
    <xf numFmtId="0" fontId="5" fillId="0" borderId="0" xfId="0" applyNumberFormat="1" applyFont="1" applyAlignment="1">
      <alignment horizontal="center"/>
    </xf>
    <xf numFmtId="37" fontId="5" fillId="0" borderId="0" xfId="0" applyNumberFormat="1" applyFont="1" applyAlignment="1">
      <alignment horizontal="center"/>
    </xf>
    <xf numFmtId="0" fontId="11" fillId="2" borderId="5" xfId="0" applyNumberFormat="1" applyFont="1" applyFill="1" applyBorder="1" applyAlignment="1">
      <alignment horizontal="center"/>
    </xf>
    <xf numFmtId="37" fontId="11" fillId="2" borderId="5" xfId="0" applyNumberFormat="1" applyFont="1" applyFill="1" applyBorder="1" applyAlignment="1">
      <alignment horizontal="center"/>
    </xf>
    <xf numFmtId="0" fontId="9" fillId="5" borderId="0" xfId="0" applyNumberFormat="1" applyFont="1" applyFill="1" applyAlignment="1"/>
    <xf numFmtId="0" fontId="9" fillId="0" borderId="0" xfId="0" applyNumberFormat="1" applyFont="1" applyAlignment="1"/>
    <xf numFmtId="0" fontId="5" fillId="7" borderId="0" xfId="0" applyNumberFormat="1" applyFont="1" applyFill="1" applyAlignment="1"/>
    <xf numFmtId="0" fontId="5" fillId="0" borderId="0" xfId="0" applyNumberFormat="1" applyFont="1" applyAlignment="1">
      <alignment horizontal="left" indent="1"/>
    </xf>
    <xf numFmtId="39" fontId="5" fillId="0" borderId="0" xfId="0" applyNumberFormat="1" applyFont="1" applyAlignment="1">
      <alignment horizontal="center"/>
    </xf>
    <xf numFmtId="0" fontId="5" fillId="3" borderId="0" xfId="0" applyNumberFormat="1" applyFont="1" applyFill="1" applyAlignment="1"/>
    <xf numFmtId="39" fontId="5" fillId="3" borderId="0" xfId="0" applyNumberFormat="1" applyFont="1" applyFill="1" applyAlignment="1">
      <alignment horizontal="center"/>
    </xf>
    <xf numFmtId="0" fontId="5" fillId="3" borderId="0" xfId="0" applyNumberFormat="1" applyFont="1" applyFill="1" applyAlignment="1">
      <alignment horizontal="center"/>
    </xf>
    <xf numFmtId="37" fontId="5" fillId="3" borderId="0" xfId="0" applyNumberFormat="1" applyFont="1" applyFill="1" applyAlignment="1">
      <alignment horizontal="center"/>
    </xf>
    <xf numFmtId="37" fontId="5" fillId="3" borderId="6" xfId="0" applyNumberFormat="1" applyFont="1" applyFill="1" applyBorder="1" applyAlignment="1">
      <alignment horizontal="center"/>
    </xf>
    <xf numFmtId="0" fontId="0" fillId="9" borderId="0" xfId="0" applyFont="1" applyFill="1"/>
    <xf numFmtId="0" fontId="3" fillId="4" borderId="0" xfId="0" applyFont="1" applyFill="1"/>
    <xf numFmtId="0" fontId="0" fillId="4" borderId="0" xfId="0" applyFont="1" applyFill="1"/>
    <xf numFmtId="0" fontId="0" fillId="4" borderId="0" xfId="0" applyFont="1" applyFill="1" applyAlignment="1">
      <alignment horizontal="center"/>
    </xf>
    <xf numFmtId="39" fontId="3" fillId="4" borderId="0" xfId="2" applyNumberFormat="1" applyFont="1" applyFill="1" applyAlignment="1">
      <alignment horizontal="center"/>
    </xf>
    <xf numFmtId="164" fontId="1" fillId="0" borderId="8" xfId="1" applyNumberFormat="1" applyFont="1" applyBorder="1"/>
    <xf numFmtId="0" fontId="0" fillId="0" borderId="8" xfId="0" applyFill="1" applyBorder="1" applyAlignment="1">
      <alignment wrapText="1"/>
    </xf>
    <xf numFmtId="0" fontId="9" fillId="4" borderId="8" xfId="0" applyFont="1" applyFill="1" applyBorder="1"/>
    <xf numFmtId="0" fontId="9" fillId="10" borderId="0" xfId="0" applyFont="1" applyFill="1"/>
    <xf numFmtId="0" fontId="9" fillId="10" borderId="8" xfId="0" applyFont="1" applyFill="1" applyBorder="1"/>
    <xf numFmtId="0" fontId="3" fillId="10" borderId="8" xfId="0" applyFont="1" applyFill="1" applyBorder="1"/>
    <xf numFmtId="0" fontId="5" fillId="0" borderId="0" xfId="0" quotePrefix="1" applyNumberFormat="1" applyFont="1" applyAlignment="1"/>
    <xf numFmtId="0" fontId="5" fillId="0" borderId="8" xfId="0" applyFont="1" applyBorder="1" applyAlignment="1">
      <alignment horizontal="left"/>
    </xf>
    <xf numFmtId="0" fontId="14" fillId="2" borderId="8" xfId="0" applyFont="1" applyFill="1" applyBorder="1" applyAlignment="1">
      <alignment wrapText="1"/>
    </xf>
    <xf numFmtId="0" fontId="14" fillId="2" borderId="8" xfId="0" applyFont="1" applyFill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44" fontId="3" fillId="0" borderId="8" xfId="0" applyNumberFormat="1" applyFont="1" applyBorder="1"/>
    <xf numFmtId="44" fontId="3" fillId="0" borderId="8" xfId="0" applyNumberFormat="1" applyFont="1" applyFill="1" applyBorder="1"/>
    <xf numFmtId="44" fontId="0" fillId="0" borderId="0" xfId="0" applyNumberFormat="1" applyFont="1" applyBorder="1" applyAlignment="1">
      <alignment vertical="top" wrapText="1"/>
    </xf>
    <xf numFmtId="0" fontId="3" fillId="4" borderId="8" xfId="0" applyFont="1" applyFill="1" applyBorder="1"/>
    <xf numFmtId="0" fontId="3" fillId="0" borderId="0" xfId="0" applyFont="1" applyFill="1" applyBorder="1" applyAlignment="1">
      <alignment horizontal="center" wrapText="1"/>
    </xf>
    <xf numFmtId="44" fontId="0" fillId="0" borderId="0" xfId="2" applyNumberFormat="1" applyFont="1" applyFill="1" applyBorder="1"/>
    <xf numFmtId="0" fontId="3" fillId="0" borderId="8" xfId="0" applyFont="1" applyBorder="1"/>
    <xf numFmtId="165" fontId="3" fillId="0" borderId="8" xfId="2" applyNumberFormat="1" applyFont="1" applyBorder="1"/>
    <xf numFmtId="0" fontId="9" fillId="0" borderId="8" xfId="0" applyFont="1" applyBorder="1" applyAlignment="1">
      <alignment horizontal="left"/>
    </xf>
    <xf numFmtId="0" fontId="11" fillId="0" borderId="0" xfId="0" applyFont="1" applyFill="1" applyBorder="1" applyAlignment="1">
      <alignment horizontal="center" wrapText="1"/>
    </xf>
    <xf numFmtId="1" fontId="0" fillId="0" borderId="0" xfId="1" applyNumberFormat="1" applyFont="1" applyFill="1" applyBorder="1"/>
    <xf numFmtId="164" fontId="0" fillId="0" borderId="0" xfId="1" applyNumberFormat="1" applyFont="1" applyFill="1" applyBorder="1"/>
    <xf numFmtId="164" fontId="0" fillId="0" borderId="0" xfId="0" applyNumberFormat="1" applyFill="1" applyBorder="1"/>
    <xf numFmtId="1" fontId="0" fillId="3" borderId="8" xfId="0" applyNumberFormat="1" applyFill="1" applyBorder="1" applyAlignment="1">
      <alignment horizontal="right"/>
    </xf>
    <xf numFmtId="1" fontId="0" fillId="3" borderId="8" xfId="2" applyNumberFormat="1" applyFont="1" applyFill="1" applyBorder="1" applyAlignment="1">
      <alignment horizontal="right"/>
    </xf>
    <xf numFmtId="164" fontId="0" fillId="3" borderId="8" xfId="0" applyNumberFormat="1" applyFill="1" applyBorder="1" applyAlignment="1">
      <alignment horizontal="right"/>
    </xf>
    <xf numFmtId="164" fontId="0" fillId="3" borderId="8" xfId="1" applyNumberFormat="1" applyFont="1" applyFill="1" applyBorder="1" applyAlignment="1">
      <alignment horizontal="right"/>
    </xf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0" xfId="0" quotePrefix="1" applyFont="1" applyAlignment="1">
      <alignment horizontal="left" vertical="center"/>
    </xf>
    <xf numFmtId="0" fontId="20" fillId="0" borderId="16" xfId="0" applyFont="1" applyBorder="1" applyAlignment="1">
      <alignment wrapText="1"/>
    </xf>
    <xf numFmtId="0" fontId="20" fillId="0" borderId="13" xfId="0" applyFont="1" applyBorder="1" applyAlignment="1">
      <alignment horizontal="center" wrapText="1"/>
    </xf>
    <xf numFmtId="0" fontId="20" fillId="0" borderId="14" xfId="0" applyFont="1" applyBorder="1" applyAlignment="1">
      <alignment horizontal="center" wrapText="1"/>
    </xf>
    <xf numFmtId="0" fontId="20" fillId="0" borderId="17" xfId="0" applyFont="1" applyBorder="1"/>
    <xf numFmtId="164" fontId="20" fillId="0" borderId="8" xfId="0" applyNumberFormat="1" applyFont="1" applyBorder="1"/>
    <xf numFmtId="164" fontId="20" fillId="0" borderId="15" xfId="0" applyNumberFormat="1" applyFont="1" applyBorder="1"/>
    <xf numFmtId="0" fontId="17" fillId="0" borderId="0" xfId="0" applyFont="1" applyAlignment="1">
      <alignment horizontal="left" vertical="center"/>
    </xf>
    <xf numFmtId="3" fontId="20" fillId="0" borderId="8" xfId="0" applyNumberFormat="1" applyFont="1" applyBorder="1"/>
    <xf numFmtId="0" fontId="0" fillId="3" borderId="22" xfId="0" applyFont="1" applyFill="1" applyBorder="1" applyAlignment="1">
      <alignment vertical="center" wrapText="1"/>
    </xf>
    <xf numFmtId="165" fontId="0" fillId="3" borderId="20" xfId="2" applyNumberFormat="1" applyFont="1" applyFill="1" applyBorder="1" applyAlignment="1">
      <alignment horizontal="right" vertical="center" wrapText="1"/>
    </xf>
    <xf numFmtId="0" fontId="0" fillId="0" borderId="8" xfId="0" applyFont="1" applyBorder="1" applyAlignment="1">
      <alignment horizontal="center" vertical="center" wrapText="1"/>
    </xf>
    <xf numFmtId="3" fontId="0" fillId="0" borderId="8" xfId="0" applyNumberFormat="1" applyFont="1" applyBorder="1" applyAlignment="1">
      <alignment horizontal="center" vertical="center" wrapText="1"/>
    </xf>
    <xf numFmtId="6" fontId="0" fillId="0" borderId="8" xfId="0" applyNumberFormat="1" applyFont="1" applyBorder="1" applyAlignment="1">
      <alignment horizontal="center" vertical="center" wrapText="1"/>
    </xf>
    <xf numFmtId="0" fontId="0" fillId="0" borderId="8" xfId="0" quotePrefix="1" applyFont="1" applyBorder="1" applyAlignment="1">
      <alignment horizontal="center"/>
    </xf>
    <xf numFmtId="165" fontId="0" fillId="3" borderId="20" xfId="2" applyNumberFormat="1" applyFont="1" applyFill="1" applyBorder="1" applyAlignment="1">
      <alignment horizontal="center" vertical="center" wrapText="1"/>
    </xf>
    <xf numFmtId="6" fontId="0" fillId="0" borderId="17" xfId="0" applyNumberFormat="1" applyFont="1" applyBorder="1" applyAlignment="1">
      <alignment horizontal="center" vertical="center" wrapText="1"/>
    </xf>
    <xf numFmtId="168" fontId="3" fillId="4" borderId="17" xfId="0" applyNumberFormat="1" applyFont="1" applyFill="1" applyBorder="1"/>
    <xf numFmtId="3" fontId="0" fillId="0" borderId="23" xfId="0" applyNumberFormat="1" applyFont="1" applyBorder="1" applyAlignment="1">
      <alignment horizontal="center" vertical="center" wrapText="1"/>
    </xf>
    <xf numFmtId="0" fontId="0" fillId="0" borderId="23" xfId="0" applyFont="1" applyBorder="1"/>
    <xf numFmtId="0" fontId="11" fillId="2" borderId="20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3" fontId="0" fillId="0" borderId="8" xfId="0" applyNumberFormat="1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6" fontId="0" fillId="3" borderId="24" xfId="0" applyNumberFormat="1" applyFont="1" applyFill="1" applyBorder="1" applyAlignment="1">
      <alignment horizontal="right" vertical="center" wrapText="1"/>
    </xf>
    <xf numFmtId="6" fontId="0" fillId="3" borderId="8" xfId="0" applyNumberFormat="1" applyFont="1" applyFill="1" applyBorder="1" applyAlignment="1">
      <alignment horizontal="right" vertical="center" wrapText="1"/>
    </xf>
    <xf numFmtId="6" fontId="0" fillId="3" borderId="0" xfId="0" applyNumberFormat="1" applyFont="1" applyFill="1" applyBorder="1" applyAlignment="1">
      <alignment horizontal="right" vertical="center" wrapText="1"/>
    </xf>
    <xf numFmtId="3" fontId="0" fillId="0" borderId="23" xfId="0" applyNumberFormat="1" applyFont="1" applyFill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3" fontId="0" fillId="0" borderId="17" xfId="0" applyNumberFormat="1" applyFont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/>
    </xf>
    <xf numFmtId="0" fontId="0" fillId="0" borderId="23" xfId="0" applyFont="1" applyFill="1" applyBorder="1" applyAlignment="1">
      <alignment vertical="center" wrapText="1"/>
    </xf>
    <xf numFmtId="0" fontId="0" fillId="0" borderId="23" xfId="0" applyFont="1" applyBorder="1" applyAlignment="1">
      <alignment vertical="center" wrapText="1"/>
    </xf>
    <xf numFmtId="0" fontId="3" fillId="4" borderId="15" xfId="0" applyFont="1" applyFill="1" applyBorder="1"/>
    <xf numFmtId="165" fontId="3" fillId="4" borderId="26" xfId="0" applyNumberFormat="1" applyFont="1" applyFill="1" applyBorder="1"/>
    <xf numFmtId="6" fontId="0" fillId="0" borderId="9" xfId="0" applyNumberFormat="1" applyFont="1" applyBorder="1" applyAlignment="1">
      <alignment horizontal="center" vertical="center"/>
    </xf>
    <xf numFmtId="6" fontId="3" fillId="4" borderId="9" xfId="0" applyNumberFormat="1" applyFont="1" applyFill="1" applyBorder="1"/>
    <xf numFmtId="166" fontId="0" fillId="0" borderId="17" xfId="0" applyNumberFormat="1" applyFont="1" applyBorder="1" applyAlignment="1">
      <alignment horizontal="center"/>
    </xf>
    <xf numFmtId="165" fontId="3" fillId="4" borderId="23" xfId="0" applyNumberFormat="1" applyFont="1" applyFill="1" applyBorder="1"/>
    <xf numFmtId="164" fontId="4" fillId="0" borderId="15" xfId="0" applyNumberFormat="1" applyFont="1" applyBorder="1" applyAlignment="1">
      <alignment wrapText="1"/>
    </xf>
    <xf numFmtId="6" fontId="0" fillId="0" borderId="8" xfId="0" applyNumberFormat="1" applyFont="1" applyBorder="1" applyAlignment="1">
      <alignment horizontal="center"/>
    </xf>
    <xf numFmtId="0" fontId="21" fillId="3" borderId="18" xfId="0" applyFont="1" applyFill="1" applyBorder="1"/>
    <xf numFmtId="0" fontId="21" fillId="3" borderId="19" xfId="0" applyFont="1" applyFill="1" applyBorder="1"/>
    <xf numFmtId="3" fontId="21" fillId="3" borderId="19" xfId="0" applyNumberFormat="1" applyFont="1" applyFill="1" applyBorder="1"/>
    <xf numFmtId="164" fontId="21" fillId="3" borderId="19" xfId="0" applyNumberFormat="1" applyFont="1" applyFill="1" applyBorder="1"/>
    <xf numFmtId="164" fontId="21" fillId="3" borderId="11" xfId="0" applyNumberFormat="1" applyFont="1" applyFill="1" applyBorder="1"/>
    <xf numFmtId="0" fontId="14" fillId="2" borderId="19" xfId="0" applyFont="1" applyFill="1" applyBorder="1" applyAlignment="1">
      <alignment horizontal="center" wrapText="1"/>
    </xf>
    <xf numFmtId="0" fontId="22" fillId="0" borderId="7" xfId="0" applyFont="1" applyBorder="1" applyAlignment="1">
      <alignment wrapText="1"/>
    </xf>
    <xf numFmtId="3" fontId="22" fillId="0" borderId="8" xfId="0" applyNumberFormat="1" applyFont="1" applyBorder="1" applyAlignment="1">
      <alignment wrapText="1"/>
    </xf>
    <xf numFmtId="164" fontId="22" fillId="0" borderId="8" xfId="0" applyNumberFormat="1" applyFont="1" applyBorder="1" applyAlignment="1">
      <alignment wrapText="1"/>
    </xf>
    <xf numFmtId="164" fontId="22" fillId="0" borderId="15" xfId="0" applyNumberFormat="1" applyFont="1" applyBorder="1" applyAlignment="1">
      <alignment wrapText="1"/>
    </xf>
    <xf numFmtId="164" fontId="22" fillId="0" borderId="27" xfId="0" applyNumberFormat="1" applyFont="1" applyBorder="1" applyAlignment="1">
      <alignment wrapText="1"/>
    </xf>
    <xf numFmtId="49" fontId="20" fillId="0" borderId="0" xfId="0" applyNumberFormat="1" applyFont="1"/>
    <xf numFmtId="0" fontId="17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11" fillId="2" borderId="5" xfId="0" applyFont="1" applyFill="1" applyBorder="1" applyAlignment="1">
      <alignment horizontal="left"/>
    </xf>
    <xf numFmtId="0" fontId="0" fillId="0" borderId="8" xfId="0" applyBorder="1" applyAlignment="1">
      <alignment horizontal="center" wrapText="1"/>
    </xf>
    <xf numFmtId="0" fontId="11" fillId="2" borderId="8" xfId="0" applyFont="1" applyFill="1" applyBorder="1" applyAlignment="1">
      <alignment horizontal="left"/>
    </xf>
    <xf numFmtId="0" fontId="11" fillId="2" borderId="0" xfId="0" applyFont="1" applyFill="1" applyAlignment="1">
      <alignment horizontal="left"/>
    </xf>
    <xf numFmtId="0" fontId="0" fillId="0" borderId="8" xfId="0" applyFont="1" applyBorder="1" applyAlignment="1">
      <alignment horizontal="left"/>
    </xf>
    <xf numFmtId="0" fontId="11" fillId="2" borderId="14" xfId="0" applyFont="1" applyFill="1" applyBorder="1" applyAlignment="1">
      <alignment horizontal="left"/>
    </xf>
    <xf numFmtId="44" fontId="0" fillId="0" borderId="8" xfId="0" applyNumberFormat="1" applyFont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6" fontId="0" fillId="0" borderId="8" xfId="0" applyNumberFormat="1" applyFont="1" applyBorder="1" applyAlignment="1">
      <alignment horizontal="center" vertical="center" wrapText="1"/>
    </xf>
    <xf numFmtId="6" fontId="0" fillId="0" borderId="9" xfId="0" applyNumberFormat="1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 wrapText="1"/>
    </xf>
    <xf numFmtId="3" fontId="0" fillId="0" borderId="8" xfId="0" applyNumberFormat="1" applyFont="1" applyBorder="1" applyAlignment="1">
      <alignment horizontal="center" vertical="center" wrapText="1"/>
    </xf>
    <xf numFmtId="3" fontId="0" fillId="0" borderId="23" xfId="0" applyNumberFormat="1" applyFont="1" applyBorder="1" applyAlignment="1">
      <alignment horizontal="center" vertical="center" wrapText="1"/>
    </xf>
    <xf numFmtId="6" fontId="0" fillId="0" borderId="17" xfId="0" applyNumberFormat="1" applyFont="1" applyBorder="1" applyAlignment="1">
      <alignment horizontal="center" vertical="center" wrapText="1"/>
    </xf>
    <xf numFmtId="0" fontId="9" fillId="10" borderId="0" xfId="0" applyNumberFormat="1" applyFont="1" applyFill="1" applyAlignment="1">
      <alignment horizontal="left"/>
    </xf>
    <xf numFmtId="0" fontId="0" fillId="0" borderId="28" xfId="0" applyBorder="1"/>
    <xf numFmtId="164" fontId="4" fillId="0" borderId="29" xfId="0" applyNumberFormat="1" applyFont="1" applyBorder="1" applyAlignment="1">
      <alignment wrapText="1"/>
    </xf>
    <xf numFmtId="168" fontId="0" fillId="0" borderId="8" xfId="2" applyNumberFormat="1" applyFont="1" applyFill="1" applyBorder="1" applyAlignment="1">
      <alignment horizontal="center"/>
    </xf>
  </cellXfs>
  <cellStyles count="5">
    <cellStyle name="Comma" xfId="2" builtinId="3"/>
    <cellStyle name="Currency" xfId="1" builtinId="4"/>
    <cellStyle name="Normal" xfId="0" builtinId="0"/>
    <cellStyle name="Normal_Sheet1" xfId="3" xr:uid="{CDABA459-E73B-4BDD-9B00-2EE62AF7BC52}"/>
    <cellStyle name="Normal_State_Region" xfId="4" xr:uid="{D88E5A65-3009-4FAB-809D-2A96AEB7A223}"/>
  </cellStyles>
  <dxfs count="12"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64" formatCode="_(&quot;$&quot;* #,##0_);_(&quot;$&quot;* \(#,##0\);_(&quot;$&quot;* &quot;-&quot;??_);_(@_)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64" formatCode="_(&quot;$&quot;* #,##0_);_(&quot;$&quot;* \(#,##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64" formatCode="_(&quot;$&quot;* #,##0_);_(&quot;$&quot;* \(#,##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64" formatCode="_(&quot;$&quot;* #,##0_);_(&quot;$&quot;* \(#,##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0FDD560-4CF3-4BD2-B0D9-B162A9C8598F}" name="Table1" displayName="Table1" ref="A17:G20" totalsRowShown="0" headerRowDxfId="11" dataDxfId="9" headerRowBorderDxfId="10" tableBorderDxfId="8" totalsRowBorderDxfId="7">
  <autoFilter ref="A17:G20" xr:uid="{E3CD27B8-22CB-46D6-AA53-A84BDD3F1A42}"/>
  <tableColumns count="7">
    <tableColumn id="1" xr3:uid="{26EBF8C2-3FBC-4F9F-A757-E42DA6B90DE9}" name="Information Collection Activity" dataDxfId="6"/>
    <tableColumn id="2" xr3:uid="{0D21B314-451D-4DDB-968A-354B32B0C23D}" name="Number of Respondents" dataDxfId="5"/>
    <tableColumn id="3" xr3:uid="{4E9B9EE5-073F-4B00-8784-8B7F458206AC}" name="Total Burden (Hours)" dataDxfId="4"/>
    <tableColumn id="4" xr3:uid="{C7708DBE-EEF9-4E53-9FCF-E414DA947635}" name="Total Labor Cost" dataDxfId="3"/>
    <tableColumn id="5" xr3:uid="{C3BD1AFB-9473-4053-BAD1-B583D43044CE}" name="Total O&amp;M Cost" dataDxfId="2"/>
    <tableColumn id="6" xr3:uid="{3E094D45-C8B5-45ED-9514-97FD04360B77}" name="Total Screener Cost" dataDxfId="1"/>
    <tableColumn id="7" xr3:uid="{35BC0D47-DE51-453C-A589-D1250FDA389D}" name="Total Cost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D72E7-ABF4-4853-A636-F430B1EC7D50}">
  <dimension ref="A1:G20"/>
  <sheetViews>
    <sheetView tabSelected="1" topLeftCell="A2" workbookViewId="0">
      <selection activeCell="A2" sqref="A2"/>
    </sheetView>
  </sheetViews>
  <sheetFormatPr defaultRowHeight="14.5" x14ac:dyDescent="0.35"/>
  <cols>
    <col min="1" max="1" width="28.90625" bestFit="1" customWidth="1"/>
    <col min="2" max="2" width="23" customWidth="1"/>
    <col min="3" max="3" width="16.1796875" bestFit="1" customWidth="1"/>
    <col min="4" max="4" width="14.81640625" bestFit="1" customWidth="1"/>
    <col min="5" max="5" width="14.6328125" bestFit="1" customWidth="1"/>
    <col min="6" max="6" width="17.453125" bestFit="1" customWidth="1"/>
    <col min="7" max="7" width="13.81640625" bestFit="1" customWidth="1"/>
  </cols>
  <sheetData>
    <row r="1" spans="1:2" ht="15.5" x14ac:dyDescent="0.35">
      <c r="A1" s="187" t="s">
        <v>284</v>
      </c>
    </row>
    <row r="2" spans="1:2" ht="15.5" x14ac:dyDescent="0.35">
      <c r="A2" s="187" t="s">
        <v>288</v>
      </c>
    </row>
    <row r="3" spans="1:2" ht="15.5" x14ac:dyDescent="0.35">
      <c r="A3" s="187" t="s">
        <v>287</v>
      </c>
    </row>
    <row r="4" spans="1:2" ht="15.5" x14ac:dyDescent="0.35">
      <c r="A4" s="187" t="s">
        <v>285</v>
      </c>
    </row>
    <row r="5" spans="1:2" ht="15.5" x14ac:dyDescent="0.35">
      <c r="A5" s="187" t="s">
        <v>289</v>
      </c>
    </row>
    <row r="6" spans="1:2" ht="15.5" x14ac:dyDescent="0.35">
      <c r="A6" s="187" t="s">
        <v>286</v>
      </c>
    </row>
    <row r="7" spans="1:2" x14ac:dyDescent="0.35">
      <c r="A7" s="188"/>
    </row>
    <row r="8" spans="1:2" ht="15.5" x14ac:dyDescent="0.35">
      <c r="A8" s="189" t="s">
        <v>307</v>
      </c>
    </row>
    <row r="9" spans="1:2" ht="15" x14ac:dyDescent="0.35">
      <c r="A9" s="245" t="s">
        <v>295</v>
      </c>
      <c r="B9" s="246" t="s">
        <v>296</v>
      </c>
    </row>
    <row r="10" spans="1:2" ht="15.5" x14ac:dyDescent="0.35">
      <c r="A10" s="189" t="s">
        <v>297</v>
      </c>
      <c r="B10" s="244" t="s">
        <v>303</v>
      </c>
    </row>
    <row r="11" spans="1:2" ht="15.5" x14ac:dyDescent="0.35">
      <c r="A11" s="190" t="s">
        <v>298</v>
      </c>
      <c r="B11" s="244" t="s">
        <v>304</v>
      </c>
    </row>
    <row r="12" spans="1:2" ht="15.5" x14ac:dyDescent="0.35">
      <c r="A12" s="190" t="s">
        <v>301</v>
      </c>
      <c r="B12" s="244" t="s">
        <v>306</v>
      </c>
    </row>
    <row r="13" spans="1:2" ht="15.5" x14ac:dyDescent="0.35">
      <c r="A13" s="190" t="s">
        <v>300</v>
      </c>
      <c r="B13" s="244" t="s">
        <v>305</v>
      </c>
    </row>
    <row r="14" spans="1:2" ht="15.5" x14ac:dyDescent="0.35">
      <c r="A14" s="190" t="s">
        <v>299</v>
      </c>
      <c r="B14" s="244" t="s">
        <v>302</v>
      </c>
    </row>
    <row r="15" spans="1:2" ht="15.5" x14ac:dyDescent="0.35">
      <c r="A15" s="190"/>
    </row>
    <row r="16" spans="1:2" ht="15" x14ac:dyDescent="0.35">
      <c r="A16" s="197" t="s">
        <v>290</v>
      </c>
    </row>
    <row r="17" spans="1:7" ht="28.5" x14ac:dyDescent="0.35">
      <c r="A17" s="191" t="s">
        <v>60</v>
      </c>
      <c r="B17" s="192" t="s">
        <v>0</v>
      </c>
      <c r="C17" s="192" t="s">
        <v>61</v>
      </c>
      <c r="D17" s="192" t="s">
        <v>62</v>
      </c>
      <c r="E17" s="192" t="s">
        <v>63</v>
      </c>
      <c r="F17" s="192" t="s">
        <v>231</v>
      </c>
      <c r="G17" s="193" t="s">
        <v>32</v>
      </c>
    </row>
    <row r="18" spans="1:7" x14ac:dyDescent="0.35">
      <c r="A18" s="194" t="s">
        <v>293</v>
      </c>
      <c r="B18" s="198">
        <f>Industry_Burden!B47</f>
        <v>12000</v>
      </c>
      <c r="C18" s="198">
        <f>Industry_Burden!C47</f>
        <v>26240</v>
      </c>
      <c r="D18" s="195">
        <f>Industry_Burden!D47</f>
        <v>1167961.2200000002</v>
      </c>
      <c r="E18" s="195">
        <f>Industry_Burden!E47</f>
        <v>26400</v>
      </c>
      <c r="F18" s="195">
        <f>Industry_Burden!F47</f>
        <v>1150899.3</v>
      </c>
      <c r="G18" s="196">
        <f>Industry_Burden!G47</f>
        <v>1194361.2200000002</v>
      </c>
    </row>
    <row r="19" spans="1:7" x14ac:dyDescent="0.35">
      <c r="A19" s="194" t="s">
        <v>294</v>
      </c>
      <c r="B19" s="198">
        <f>Agency_Contractor_Burden!B26</f>
        <v>15000</v>
      </c>
      <c r="C19" s="198">
        <f>Agency_Contractor_Burden!C26</f>
        <v>3740</v>
      </c>
      <c r="D19" s="195">
        <f>Agency_Contractor_Burden!D26</f>
        <v>295859.5</v>
      </c>
      <c r="E19" s="195">
        <f>Agency_Contractor_Burden!E26</f>
        <v>6760</v>
      </c>
      <c r="F19" s="195">
        <f>Agency_Contractor_Burden!F26</f>
        <v>208535</v>
      </c>
      <c r="G19" s="196">
        <f>Agency_Contractor_Burden!G26</f>
        <v>302619.5</v>
      </c>
    </row>
    <row r="20" spans="1:7" x14ac:dyDescent="0.35">
      <c r="A20" s="233" t="s">
        <v>27</v>
      </c>
      <c r="B20" s="234" t="s">
        <v>64</v>
      </c>
      <c r="C20" s="235">
        <f>SUM(C18:C19)</f>
        <v>29980</v>
      </c>
      <c r="D20" s="236">
        <f>SUM(D18:D19)</f>
        <v>1463820.7200000002</v>
      </c>
      <c r="E20" s="236">
        <f>SUM(E18:E19)</f>
        <v>33160</v>
      </c>
      <c r="F20" s="236">
        <f>SUM(F18:F19)</f>
        <v>1359434.3</v>
      </c>
      <c r="G20" s="237">
        <f>SUM(G18:G19)</f>
        <v>1496980.7200000002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7"/>
  <sheetViews>
    <sheetView zoomScale="90" zoomScaleNormal="90" workbookViewId="0"/>
  </sheetViews>
  <sheetFormatPr defaultRowHeight="14.5" x14ac:dyDescent="0.35"/>
  <cols>
    <col min="1" max="1" width="33" customWidth="1"/>
    <col min="2" max="2" width="17.36328125" customWidth="1"/>
    <col min="3" max="3" width="17.453125" customWidth="1"/>
    <col min="4" max="4" width="15.54296875" customWidth="1"/>
    <col min="5" max="5" width="14.1796875" customWidth="1"/>
    <col min="6" max="6" width="16.81640625" customWidth="1"/>
    <col min="7" max="7" width="13.1796875" customWidth="1"/>
    <col min="8" max="8" width="12.54296875" customWidth="1"/>
    <col min="9" max="9" width="15.81640625" customWidth="1"/>
    <col min="10" max="20" width="15" customWidth="1"/>
    <col min="21" max="21" width="17.1796875" customWidth="1"/>
    <col min="22" max="22" width="17" customWidth="1"/>
    <col min="23" max="23" width="15.453125" customWidth="1"/>
  </cols>
  <sheetData>
    <row r="1" spans="1:10" x14ac:dyDescent="0.35">
      <c r="A1" s="163" t="s">
        <v>260</v>
      </c>
    </row>
    <row r="2" spans="1:10" x14ac:dyDescent="0.35">
      <c r="A2" s="247" t="s">
        <v>232</v>
      </c>
      <c r="B2" s="247"/>
      <c r="C2" s="247"/>
    </row>
    <row r="3" spans="1:10" x14ac:dyDescent="0.35">
      <c r="A3" s="10" t="s">
        <v>4</v>
      </c>
      <c r="B3" s="88">
        <v>16500</v>
      </c>
      <c r="C3" s="166" t="s">
        <v>263</v>
      </c>
    </row>
    <row r="4" spans="1:10" x14ac:dyDescent="0.35">
      <c r="A4" s="10" t="s">
        <v>308</v>
      </c>
      <c r="B4" s="88">
        <v>1500</v>
      </c>
      <c r="C4" s="166" t="s">
        <v>263</v>
      </c>
    </row>
    <row r="5" spans="1:10" x14ac:dyDescent="0.35">
      <c r="A5" s="176" t="s">
        <v>283</v>
      </c>
      <c r="B5" s="177">
        <f>B3-B4</f>
        <v>15000</v>
      </c>
      <c r="C5" s="178" t="s">
        <v>263</v>
      </c>
    </row>
    <row r="6" spans="1:10" x14ac:dyDescent="0.35">
      <c r="A6" s="10" t="s">
        <v>264</v>
      </c>
      <c r="B6" s="88">
        <v>75</v>
      </c>
      <c r="C6" s="166" t="s">
        <v>268</v>
      </c>
    </row>
    <row r="7" spans="1:10" x14ac:dyDescent="0.35">
      <c r="A7" s="10" t="s">
        <v>265</v>
      </c>
      <c r="B7" s="88">
        <v>5</v>
      </c>
      <c r="C7" s="166" t="s">
        <v>268</v>
      </c>
    </row>
    <row r="9" spans="1:10" x14ac:dyDescent="0.35">
      <c r="A9" s="67" t="s">
        <v>266</v>
      </c>
      <c r="B9" s="15"/>
      <c r="C9" s="15"/>
      <c r="D9" s="15"/>
    </row>
    <row r="10" spans="1:10" x14ac:dyDescent="0.35">
      <c r="A10" s="91" t="s">
        <v>233</v>
      </c>
      <c r="B10" s="137" t="s">
        <v>69</v>
      </c>
      <c r="C10" s="137" t="s">
        <v>280</v>
      </c>
      <c r="D10" s="137" t="s">
        <v>12</v>
      </c>
      <c r="E10" s="249" t="s">
        <v>267</v>
      </c>
      <c r="F10" s="249"/>
      <c r="G10" s="249"/>
      <c r="H10" s="249"/>
      <c r="I10" s="249"/>
      <c r="J10" s="249"/>
    </row>
    <row r="11" spans="1:10" x14ac:dyDescent="0.35">
      <c r="A11" s="10" t="s">
        <v>234</v>
      </c>
      <c r="B11" s="87">
        <v>23.26</v>
      </c>
      <c r="C11" s="10">
        <v>1.46</v>
      </c>
      <c r="D11" s="87">
        <f>B11*C11</f>
        <v>33.959600000000002</v>
      </c>
      <c r="E11" s="251" t="s">
        <v>14</v>
      </c>
      <c r="F11" s="251"/>
      <c r="G11" s="251"/>
      <c r="H11" s="251"/>
      <c r="I11" s="251"/>
      <c r="J11" s="251"/>
    </row>
    <row r="12" spans="1:10" x14ac:dyDescent="0.35">
      <c r="A12" s="10" t="s">
        <v>235</v>
      </c>
      <c r="B12" s="87">
        <v>54.74</v>
      </c>
      <c r="C12" s="10">
        <v>1.46</v>
      </c>
      <c r="D12" s="87">
        <f>B12*C12</f>
        <v>79.920400000000001</v>
      </c>
      <c r="E12" s="251" t="s">
        <v>70</v>
      </c>
      <c r="F12" s="251"/>
      <c r="G12" s="251"/>
      <c r="H12" s="251"/>
      <c r="I12" s="251"/>
      <c r="J12" s="251"/>
    </row>
    <row r="13" spans="1:10" x14ac:dyDescent="0.35">
      <c r="A13" s="10" t="s">
        <v>236</v>
      </c>
      <c r="B13" s="87">
        <v>48.48</v>
      </c>
      <c r="C13" s="10">
        <v>1.46</v>
      </c>
      <c r="D13" s="87">
        <f>B13*C13</f>
        <v>70.780799999999999</v>
      </c>
      <c r="E13" s="251" t="s">
        <v>15</v>
      </c>
      <c r="F13" s="251"/>
      <c r="G13" s="251"/>
      <c r="H13" s="251"/>
      <c r="I13" s="251"/>
      <c r="J13" s="251"/>
    </row>
    <row r="14" spans="1:10" x14ac:dyDescent="0.35">
      <c r="A14" s="68" t="s">
        <v>281</v>
      </c>
    </row>
    <row r="16" spans="1:10" x14ac:dyDescent="0.35">
      <c r="A16" s="91" t="s">
        <v>8</v>
      </c>
      <c r="B16" s="137" t="s">
        <v>237</v>
      </c>
      <c r="C16" s="137" t="s">
        <v>238</v>
      </c>
      <c r="D16" s="137" t="s">
        <v>269</v>
      </c>
      <c r="E16" s="137" t="s">
        <v>239</v>
      </c>
    </row>
    <row r="17" spans="1:22" ht="29" x14ac:dyDescent="0.35">
      <c r="A17" s="10" t="s">
        <v>219</v>
      </c>
      <c r="B17" s="10">
        <v>0.25</v>
      </c>
      <c r="C17" s="10">
        <v>0</v>
      </c>
      <c r="D17" s="169" t="s">
        <v>270</v>
      </c>
      <c r="E17" s="10">
        <f>SUM(B17:C17)</f>
        <v>0.25</v>
      </c>
    </row>
    <row r="18" spans="1:22" x14ac:dyDescent="0.35">
      <c r="A18" s="10" t="s">
        <v>9</v>
      </c>
      <c r="B18" s="10">
        <v>0.25</v>
      </c>
      <c r="C18" s="10">
        <v>0</v>
      </c>
      <c r="D18" s="248" t="s">
        <v>277</v>
      </c>
      <c r="E18" s="10">
        <f>SUM(B18:C18)</f>
        <v>0.25</v>
      </c>
    </row>
    <row r="19" spans="1:22" x14ac:dyDescent="0.35">
      <c r="A19" s="10" t="s">
        <v>10</v>
      </c>
      <c r="B19" s="10">
        <v>0.5</v>
      </c>
      <c r="C19" s="10">
        <v>0</v>
      </c>
      <c r="D19" s="248"/>
      <c r="E19" s="10">
        <f t="shared" ref="E19:E21" si="0">SUM(B19:C19)</f>
        <v>0.5</v>
      </c>
    </row>
    <row r="20" spans="1:22" x14ac:dyDescent="0.35">
      <c r="A20" s="10" t="s">
        <v>11</v>
      </c>
      <c r="B20" s="10">
        <v>0.75</v>
      </c>
      <c r="C20" s="10">
        <v>0</v>
      </c>
      <c r="D20" s="248"/>
      <c r="E20" s="10">
        <f t="shared" si="0"/>
        <v>0.75</v>
      </c>
    </row>
    <row r="21" spans="1:22" x14ac:dyDescent="0.35">
      <c r="A21" s="10" t="s">
        <v>55</v>
      </c>
      <c r="B21" s="10">
        <v>0</v>
      </c>
      <c r="C21" s="10">
        <v>0.5</v>
      </c>
      <c r="D21" s="248"/>
      <c r="E21" s="10">
        <f t="shared" si="0"/>
        <v>0.5</v>
      </c>
    </row>
    <row r="22" spans="1:22" x14ac:dyDescent="0.35">
      <c r="A22" s="86" t="s">
        <v>27</v>
      </c>
      <c r="B22" s="86">
        <f>SUM(B17:B21)</f>
        <v>1.75</v>
      </c>
      <c r="C22" s="86">
        <f>SUM(C17:C21)</f>
        <v>0.5</v>
      </c>
      <c r="D22" s="86"/>
      <c r="E22" s="86">
        <f>SUM(E17:E21)</f>
        <v>2.25</v>
      </c>
    </row>
    <row r="24" spans="1:22" ht="27.5" customHeight="1" x14ac:dyDescent="0.35">
      <c r="A24" s="91" t="s">
        <v>8</v>
      </c>
      <c r="B24" s="134" t="s">
        <v>237</v>
      </c>
      <c r="C24" s="134" t="s">
        <v>240</v>
      </c>
      <c r="D24" s="134" t="s">
        <v>6</v>
      </c>
      <c r="E24" s="134" t="s">
        <v>0</v>
      </c>
      <c r="F24" s="134" t="s">
        <v>1</v>
      </c>
      <c r="G24" s="134" t="s">
        <v>2</v>
      </c>
      <c r="H24" s="134" t="s">
        <v>20</v>
      </c>
      <c r="I24" s="134" t="s">
        <v>23</v>
      </c>
      <c r="J24" s="134" t="s">
        <v>24</v>
      </c>
      <c r="K24" s="134" t="s">
        <v>57</v>
      </c>
      <c r="L24" s="179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x14ac:dyDescent="0.35">
      <c r="A25" s="10" t="s">
        <v>71</v>
      </c>
      <c r="B25" s="75">
        <f>B17</f>
        <v>0.25</v>
      </c>
      <c r="C25" s="76">
        <f>C17</f>
        <v>0</v>
      </c>
      <c r="D25" s="77">
        <f>B7</f>
        <v>5</v>
      </c>
      <c r="E25" s="78">
        <f>$B$5*D25/100</f>
        <v>750</v>
      </c>
      <c r="F25" s="78">
        <f>B25*E25</f>
        <v>187.5</v>
      </c>
      <c r="G25" s="78">
        <f>C25*E25</f>
        <v>0</v>
      </c>
      <c r="H25" s="78">
        <f>F25+G25</f>
        <v>187.5</v>
      </c>
      <c r="I25" s="79">
        <f>F25*D11</f>
        <v>6367.4250000000002</v>
      </c>
      <c r="J25" s="79">
        <f>G25*D12</f>
        <v>0</v>
      </c>
      <c r="K25" s="79">
        <f>I25+J25</f>
        <v>6367.4250000000002</v>
      </c>
      <c r="L25" s="180"/>
      <c r="M25" s="57"/>
      <c r="N25" s="58"/>
      <c r="O25" s="59"/>
      <c r="P25" s="60"/>
      <c r="Q25" s="60"/>
      <c r="R25" s="59"/>
      <c r="S25" s="61"/>
      <c r="T25" s="60"/>
      <c r="U25" s="62"/>
      <c r="V25" s="2"/>
    </row>
    <row r="26" spans="1:22" x14ac:dyDescent="0.35">
      <c r="A26" s="10" t="s">
        <v>3</v>
      </c>
      <c r="B26" s="76">
        <f>SUM(B17:B21)</f>
        <v>1.75</v>
      </c>
      <c r="C26" s="76">
        <f>SUM(C17:C21)</f>
        <v>0.5</v>
      </c>
      <c r="D26" s="77">
        <f>B6</f>
        <v>75</v>
      </c>
      <c r="E26" s="78">
        <f>$B$5*D26/100</f>
        <v>11250</v>
      </c>
      <c r="F26" s="78">
        <f>B26*E26</f>
        <v>19687.5</v>
      </c>
      <c r="G26" s="78">
        <f>C26*E26</f>
        <v>5625</v>
      </c>
      <c r="H26" s="78">
        <f>F26+G26</f>
        <v>25312.5</v>
      </c>
      <c r="I26" s="79">
        <f>F26*D11</f>
        <v>668579.625</v>
      </c>
      <c r="J26" s="79">
        <f>G26*D12</f>
        <v>449552.25</v>
      </c>
      <c r="K26" s="79">
        <f>I26+J26</f>
        <v>1118131.875</v>
      </c>
      <c r="L26" s="180"/>
      <c r="M26" s="57"/>
      <c r="N26" s="58"/>
      <c r="O26" s="59"/>
      <c r="P26" s="60"/>
      <c r="Q26" s="60"/>
      <c r="R26" s="59"/>
      <c r="S26" s="61"/>
      <c r="T26" s="60"/>
      <c r="U26" s="62"/>
      <c r="V26" s="2"/>
    </row>
    <row r="27" spans="1:22" s="11" customFormat="1" x14ac:dyDescent="0.35">
      <c r="A27" s="80" t="s">
        <v>5</v>
      </c>
      <c r="B27" s="81">
        <v>0</v>
      </c>
      <c r="C27" s="81">
        <v>0</v>
      </c>
      <c r="D27" s="82">
        <f>100-D25-D26</f>
        <v>20</v>
      </c>
      <c r="E27" s="83">
        <f>$B$5*D27/100</f>
        <v>3000</v>
      </c>
      <c r="F27" s="83">
        <f>B27*E27</f>
        <v>0</v>
      </c>
      <c r="G27" s="83">
        <f t="shared" ref="G27" si="1">C27*E27</f>
        <v>0</v>
      </c>
      <c r="H27" s="83">
        <f t="shared" ref="H27" si="2">F27+G27</f>
        <v>0</v>
      </c>
      <c r="I27" s="84"/>
      <c r="J27" s="84"/>
      <c r="K27" s="84">
        <f t="shared" ref="K27" si="3">I27+J27</f>
        <v>0</v>
      </c>
      <c r="L27" s="181"/>
      <c r="M27" s="62"/>
      <c r="N27" s="62"/>
      <c r="O27" s="62"/>
      <c r="P27" s="62"/>
      <c r="Q27" s="60"/>
      <c r="R27" s="62"/>
      <c r="S27" s="62"/>
      <c r="T27" s="62"/>
      <c r="U27" s="62"/>
      <c r="V27" s="2"/>
    </row>
    <row r="28" spans="1:22" ht="16.5" customHeight="1" x14ac:dyDescent="0.35">
      <c r="A28" s="71" t="s">
        <v>7</v>
      </c>
      <c r="B28" s="183"/>
      <c r="C28" s="183"/>
      <c r="D28" s="183">
        <f>SUM(D25:D27)</f>
        <v>100</v>
      </c>
      <c r="E28" s="183">
        <f>SUM(E25:E27)</f>
        <v>15000</v>
      </c>
      <c r="F28" s="183">
        <f>SUM(F25:F27)</f>
        <v>19875</v>
      </c>
      <c r="G28" s="183">
        <f>SUM(G25:G27)</f>
        <v>5625</v>
      </c>
      <c r="H28" s="184">
        <f>F28+G28</f>
        <v>25500</v>
      </c>
      <c r="I28" s="185">
        <f>SUM(I25:I26)</f>
        <v>674947.05</v>
      </c>
      <c r="J28" s="185">
        <f>SUM(J25:J26)</f>
        <v>449552.25</v>
      </c>
      <c r="K28" s="186">
        <f>I28+J28</f>
        <v>1124499.3</v>
      </c>
      <c r="L28" s="182"/>
      <c r="M28" s="2"/>
      <c r="N28" s="2"/>
      <c r="O28" s="2"/>
      <c r="P28" s="2"/>
      <c r="Q28" s="60"/>
      <c r="R28" s="2"/>
      <c r="S28" s="2"/>
      <c r="T28" s="2"/>
      <c r="U28" s="3"/>
      <c r="V28" s="2"/>
    </row>
    <row r="29" spans="1:22" x14ac:dyDescent="0.35">
      <c r="U29" s="2"/>
    </row>
    <row r="30" spans="1:22" x14ac:dyDescent="0.35">
      <c r="A30" s="91" t="s">
        <v>241</v>
      </c>
      <c r="B30" s="137" t="s">
        <v>18</v>
      </c>
      <c r="C30" s="137" t="s">
        <v>16</v>
      </c>
      <c r="D30" s="137" t="s">
        <v>20</v>
      </c>
      <c r="E30" s="137" t="s">
        <v>21</v>
      </c>
      <c r="K30" s="2"/>
    </row>
    <row r="31" spans="1:22" x14ac:dyDescent="0.35">
      <c r="A31" s="10" t="s">
        <v>72</v>
      </c>
      <c r="B31" s="10">
        <v>8</v>
      </c>
      <c r="C31" s="10">
        <v>25</v>
      </c>
      <c r="D31" s="10">
        <f>B31*C31</f>
        <v>200</v>
      </c>
      <c r="E31" s="70">
        <f>D31*D11</f>
        <v>6791.92</v>
      </c>
      <c r="F31" s="3"/>
    </row>
    <row r="32" spans="1:22" x14ac:dyDescent="0.35">
      <c r="A32" s="10" t="s">
        <v>218</v>
      </c>
      <c r="B32" s="72">
        <v>8</v>
      </c>
      <c r="C32" s="10">
        <v>25</v>
      </c>
      <c r="D32" s="10">
        <f>B32*C32</f>
        <v>200</v>
      </c>
      <c r="E32" s="70">
        <f>D32*D11</f>
        <v>6791.92</v>
      </c>
      <c r="F32" s="3"/>
    </row>
    <row r="33" spans="1:8" x14ac:dyDescent="0.35">
      <c r="A33" s="71" t="s">
        <v>27</v>
      </c>
      <c r="B33" s="73">
        <f>B31+B32</f>
        <v>16</v>
      </c>
      <c r="C33" s="73">
        <f t="shared" ref="C33:D33" si="4">C31+C32</f>
        <v>50</v>
      </c>
      <c r="D33" s="73">
        <f t="shared" si="4"/>
        <v>400</v>
      </c>
      <c r="E33" s="74">
        <f>E31+E32</f>
        <v>13583.84</v>
      </c>
      <c r="F33" s="3"/>
      <c r="G33" s="2"/>
    </row>
    <row r="35" spans="1:8" x14ac:dyDescent="0.35">
      <c r="A35" s="91" t="s">
        <v>242</v>
      </c>
      <c r="B35" s="137" t="s">
        <v>19</v>
      </c>
      <c r="C35" s="137" t="s">
        <v>22</v>
      </c>
      <c r="D35" s="137" t="s">
        <v>20</v>
      </c>
      <c r="E35" s="137" t="s">
        <v>21</v>
      </c>
    </row>
    <row r="36" spans="1:8" x14ac:dyDescent="0.35">
      <c r="A36" s="10" t="s">
        <v>17</v>
      </c>
      <c r="B36" s="10">
        <v>1</v>
      </c>
      <c r="C36" s="10">
        <v>100</v>
      </c>
      <c r="D36" s="10">
        <f>B36*C36</f>
        <v>100</v>
      </c>
      <c r="E36" s="70">
        <f>D36*D13</f>
        <v>7078.08</v>
      </c>
      <c r="F36" s="3"/>
    </row>
    <row r="37" spans="1:8" x14ac:dyDescent="0.35">
      <c r="A37" s="10" t="s">
        <v>203</v>
      </c>
      <c r="B37" s="10"/>
      <c r="C37" s="10"/>
      <c r="D37" s="10">
        <f>State_Outreach!B10</f>
        <v>240</v>
      </c>
      <c r="E37" s="70">
        <f>State_Outreach!C10</f>
        <v>22800</v>
      </c>
      <c r="F37" s="3"/>
    </row>
    <row r="38" spans="1:8" x14ac:dyDescent="0.35">
      <c r="A38" s="71" t="s">
        <v>27</v>
      </c>
      <c r="B38" s="71"/>
      <c r="C38" s="71"/>
      <c r="D38" s="71">
        <f>D36+D37</f>
        <v>340</v>
      </c>
      <c r="E38" s="85">
        <f>E36+E37</f>
        <v>29878.080000000002</v>
      </c>
      <c r="F38" s="3"/>
    </row>
    <row r="39" spans="1:8" x14ac:dyDescent="0.35">
      <c r="A39" s="69"/>
      <c r="B39" s="69"/>
      <c r="C39" s="69"/>
      <c r="D39" s="69"/>
      <c r="E39" s="69"/>
      <c r="F39" s="3"/>
    </row>
    <row r="40" spans="1:8" x14ac:dyDescent="0.35">
      <c r="A40" s="250" t="s">
        <v>243</v>
      </c>
      <c r="B40" s="250"/>
    </row>
    <row r="41" spans="1:8" x14ac:dyDescent="0.35">
      <c r="A41" s="10" t="s">
        <v>58</v>
      </c>
      <c r="B41" s="70">
        <f>I28+E33</f>
        <v>688530.89</v>
      </c>
      <c r="D41" s="2"/>
      <c r="E41" s="2"/>
    </row>
    <row r="42" spans="1:8" x14ac:dyDescent="0.35">
      <c r="A42" s="10" t="s">
        <v>65</v>
      </c>
      <c r="B42" s="70">
        <f>J28</f>
        <v>449552.25</v>
      </c>
      <c r="D42" s="2"/>
      <c r="E42" s="2"/>
    </row>
    <row r="43" spans="1:8" x14ac:dyDescent="0.35">
      <c r="A43" s="10" t="s">
        <v>66</v>
      </c>
      <c r="B43" s="70">
        <f>E38</f>
        <v>29878.080000000002</v>
      </c>
      <c r="D43" s="2"/>
      <c r="E43" s="2"/>
    </row>
    <row r="44" spans="1:8" x14ac:dyDescent="0.35">
      <c r="A44" s="86" t="s">
        <v>67</v>
      </c>
      <c r="B44" s="90">
        <f>SUM(B41:B43)</f>
        <v>1167961.2200000002</v>
      </c>
      <c r="D44" s="2"/>
      <c r="E44" s="2"/>
    </row>
    <row r="45" spans="1:8" x14ac:dyDescent="0.35">
      <c r="G45" s="28"/>
      <c r="H45" s="5"/>
    </row>
    <row r="46" spans="1:8" ht="31.5" customHeight="1" x14ac:dyDescent="0.35">
      <c r="A46" s="167" t="s">
        <v>60</v>
      </c>
      <c r="B46" s="168" t="s">
        <v>0</v>
      </c>
      <c r="C46" s="168" t="s">
        <v>61</v>
      </c>
      <c r="D46" s="168" t="s">
        <v>62</v>
      </c>
      <c r="E46" s="168" t="s">
        <v>63</v>
      </c>
      <c r="F46" s="168" t="s">
        <v>231</v>
      </c>
      <c r="G46" s="168" t="s">
        <v>32</v>
      </c>
      <c r="H46" s="64"/>
    </row>
    <row r="47" spans="1:8" x14ac:dyDescent="0.35">
      <c r="A47" s="7" t="s">
        <v>293</v>
      </c>
      <c r="B47" s="8">
        <f>E25+E26</f>
        <v>12000</v>
      </c>
      <c r="C47" s="8">
        <f>H28+D33+D38</f>
        <v>26240</v>
      </c>
      <c r="D47" s="9">
        <f>B44</f>
        <v>1167961.2200000002</v>
      </c>
      <c r="E47" s="9">
        <f>ODCs!E14</f>
        <v>26400</v>
      </c>
      <c r="F47" s="231">
        <f>K28+E47</f>
        <v>1150899.3</v>
      </c>
      <c r="G47" s="267">
        <f>D47+E47</f>
        <v>1194361.2200000002</v>
      </c>
      <c r="H47" s="266"/>
    </row>
  </sheetData>
  <mergeCells count="7">
    <mergeCell ref="A2:C2"/>
    <mergeCell ref="D18:D21"/>
    <mergeCell ref="E10:J10"/>
    <mergeCell ref="A40:B40"/>
    <mergeCell ref="E11:J11"/>
    <mergeCell ref="E12:J12"/>
    <mergeCell ref="E13:J1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7"/>
  <sheetViews>
    <sheetView zoomScale="80" zoomScaleNormal="80" workbookViewId="0"/>
  </sheetViews>
  <sheetFormatPr defaultRowHeight="14.5" x14ac:dyDescent="0.35"/>
  <cols>
    <col min="1" max="1" width="57.81640625" customWidth="1"/>
    <col min="2" max="2" width="20.90625" customWidth="1"/>
    <col min="3" max="3" width="23.08984375" customWidth="1"/>
    <col min="4" max="4" width="10.54296875" customWidth="1"/>
    <col min="5" max="5" width="13.1796875" customWidth="1"/>
    <col min="6" max="7" width="15.26953125" customWidth="1"/>
    <col min="8" max="8" width="5.54296875" customWidth="1"/>
    <col min="12" max="12" width="15.1796875" customWidth="1"/>
    <col min="13" max="13" width="8.1796875" customWidth="1"/>
    <col min="16" max="16" width="13" customWidth="1"/>
  </cols>
  <sheetData>
    <row r="1" spans="1:14" x14ac:dyDescent="0.35">
      <c r="A1" s="164" t="s">
        <v>259</v>
      </c>
    </row>
    <row r="2" spans="1:14" x14ac:dyDescent="0.35">
      <c r="A2" s="136" t="s">
        <v>244</v>
      </c>
      <c r="B2" s="137" t="s">
        <v>274</v>
      </c>
      <c r="C2" s="252" t="s">
        <v>13</v>
      </c>
      <c r="D2" s="247"/>
      <c r="E2" s="247"/>
      <c r="F2" s="28"/>
      <c r="G2" s="28"/>
    </row>
    <row r="3" spans="1:14" x14ac:dyDescent="0.35">
      <c r="A3" s="94" t="s">
        <v>271</v>
      </c>
      <c r="B3" s="95">
        <v>37.700000000000003</v>
      </c>
      <c r="C3" s="253" t="s">
        <v>275</v>
      </c>
      <c r="D3" s="253"/>
      <c r="E3" s="253"/>
      <c r="F3" s="172"/>
      <c r="G3" s="172"/>
      <c r="I3" s="1"/>
      <c r="J3" s="1"/>
      <c r="K3" s="1"/>
      <c r="L3" s="1"/>
    </row>
    <row r="4" spans="1:14" x14ac:dyDescent="0.35">
      <c r="A4" s="94" t="s">
        <v>272</v>
      </c>
      <c r="B4" s="95">
        <v>52.4</v>
      </c>
      <c r="C4" s="253"/>
      <c r="D4" s="253"/>
      <c r="E4" s="253"/>
      <c r="F4" s="172"/>
      <c r="G4" s="172"/>
      <c r="I4" s="1"/>
      <c r="J4" s="1"/>
      <c r="K4" s="1"/>
      <c r="L4" s="1"/>
    </row>
    <row r="5" spans="1:14" x14ac:dyDescent="0.35">
      <c r="A5" s="94" t="s">
        <v>273</v>
      </c>
      <c r="B5" s="171">
        <f>(B3+B4)/2</f>
        <v>45.05</v>
      </c>
      <c r="C5" s="253"/>
      <c r="D5" s="253"/>
      <c r="E5" s="253"/>
      <c r="F5" s="172"/>
      <c r="G5" s="172"/>
      <c r="I5" s="1"/>
      <c r="J5" s="1"/>
      <c r="K5" s="1"/>
      <c r="L5" s="1"/>
    </row>
    <row r="6" spans="1:14" x14ac:dyDescent="0.35">
      <c r="A6" s="10" t="s">
        <v>245</v>
      </c>
      <c r="B6" s="170">
        <v>95</v>
      </c>
      <c r="C6" s="253"/>
      <c r="D6" s="253"/>
      <c r="E6" s="253"/>
      <c r="F6" s="172"/>
      <c r="G6" s="172"/>
      <c r="I6" s="1"/>
      <c r="J6" s="1"/>
      <c r="K6" s="1"/>
      <c r="L6" s="1"/>
    </row>
    <row r="7" spans="1:14" ht="15" thickBot="1" x14ac:dyDescent="0.4">
      <c r="I7" s="1"/>
      <c r="J7" s="1"/>
      <c r="K7" s="1"/>
      <c r="L7" s="1"/>
    </row>
    <row r="8" spans="1:14" ht="15.5" thickTop="1" thickBot="1" x14ac:dyDescent="0.4">
      <c r="A8" s="254" t="s">
        <v>246</v>
      </c>
      <c r="B8" s="256" t="s">
        <v>28</v>
      </c>
      <c r="C8" s="256"/>
      <c r="D8" s="257"/>
      <c r="E8" s="256" t="s">
        <v>29</v>
      </c>
      <c r="F8" s="256"/>
      <c r="G8" s="258"/>
      <c r="I8" s="1"/>
      <c r="J8" s="1"/>
      <c r="K8" s="1"/>
      <c r="L8" s="1"/>
    </row>
    <row r="9" spans="1:14" ht="29" x14ac:dyDescent="0.35">
      <c r="A9" s="255"/>
      <c r="B9" s="210" t="s">
        <v>30</v>
      </c>
      <c r="C9" s="210" t="s">
        <v>31</v>
      </c>
      <c r="D9" s="210" t="s">
        <v>20</v>
      </c>
      <c r="E9" s="210" t="s">
        <v>276</v>
      </c>
      <c r="F9" s="210" t="s">
        <v>59</v>
      </c>
      <c r="G9" s="213" t="s">
        <v>32</v>
      </c>
      <c r="I9" s="1"/>
      <c r="J9" s="1"/>
      <c r="K9" s="1"/>
      <c r="L9" s="1"/>
    </row>
    <row r="10" spans="1:14" x14ac:dyDescent="0.35">
      <c r="A10" s="223" t="s">
        <v>205</v>
      </c>
      <c r="B10" s="219">
        <v>50</v>
      </c>
      <c r="C10" s="202">
        <v>200</v>
      </c>
      <c r="D10" s="208">
        <f>+B10+C10</f>
        <v>250</v>
      </c>
      <c r="E10" s="206">
        <f>+B10*B5</f>
        <v>2252.5</v>
      </c>
      <c r="F10" s="203">
        <f>+C10*B6</f>
        <v>19000</v>
      </c>
      <c r="G10" s="227">
        <f t="shared" ref="G10:G15" si="0">+E10+F10</f>
        <v>21252.5</v>
      </c>
      <c r="I10" s="1"/>
      <c r="J10" s="1"/>
      <c r="K10" s="1"/>
      <c r="L10" s="1"/>
      <c r="N10" s="4"/>
    </row>
    <row r="11" spans="1:14" x14ac:dyDescent="0.35">
      <c r="A11" s="209" t="s">
        <v>220</v>
      </c>
      <c r="B11" s="220">
        <v>100</v>
      </c>
      <c r="C11" s="212">
        <v>100</v>
      </c>
      <c r="D11" s="217">
        <f>+B11+C11</f>
        <v>200</v>
      </c>
      <c r="E11" s="206">
        <f>+B11*B5</f>
        <v>4505</v>
      </c>
      <c r="F11" s="203">
        <f>+C11*B6</f>
        <v>9500</v>
      </c>
      <c r="G11" s="227">
        <f t="shared" si="0"/>
        <v>14005</v>
      </c>
      <c r="I11" s="1"/>
      <c r="J11" s="1"/>
      <c r="K11" s="1"/>
      <c r="L11" s="1"/>
    </row>
    <row r="12" spans="1:14" x14ac:dyDescent="0.35">
      <c r="A12" s="209" t="s">
        <v>207</v>
      </c>
      <c r="B12" s="221">
        <v>100</v>
      </c>
      <c r="C12" s="201">
        <v>300</v>
      </c>
      <c r="D12" s="208">
        <f t="shared" ref="D12" si="1">+B12+C12</f>
        <v>400</v>
      </c>
      <c r="E12" s="206">
        <f>+B12*B5</f>
        <v>4505</v>
      </c>
      <c r="F12" s="203">
        <f>+C12*B6</f>
        <v>28500</v>
      </c>
      <c r="G12" s="227">
        <f t="shared" si="0"/>
        <v>33005</v>
      </c>
      <c r="I12" s="1"/>
      <c r="J12" s="1"/>
      <c r="K12" s="1"/>
      <c r="L12" s="1"/>
    </row>
    <row r="13" spans="1:14" x14ac:dyDescent="0.35">
      <c r="A13" s="209" t="s">
        <v>221</v>
      </c>
      <c r="B13" s="221">
        <v>100</v>
      </c>
      <c r="C13" s="201">
        <v>400</v>
      </c>
      <c r="D13" s="218">
        <f>+B13+C13</f>
        <v>500</v>
      </c>
      <c r="E13" s="206">
        <f>+B13*B5</f>
        <v>4505</v>
      </c>
      <c r="F13" s="203">
        <f>+C13*B6</f>
        <v>38000</v>
      </c>
      <c r="G13" s="227">
        <f t="shared" si="0"/>
        <v>42505</v>
      </c>
      <c r="I13" s="1"/>
      <c r="J13" s="1"/>
      <c r="K13" s="1"/>
      <c r="L13" s="1"/>
    </row>
    <row r="14" spans="1:14" x14ac:dyDescent="0.35">
      <c r="A14" s="209" t="s">
        <v>208</v>
      </c>
      <c r="B14" s="221">
        <v>100</v>
      </c>
      <c r="C14" s="201">
        <v>150</v>
      </c>
      <c r="D14" s="208">
        <f t="shared" ref="D14" si="2">+B14+C14</f>
        <v>250</v>
      </c>
      <c r="E14" s="206">
        <f>+B14*B5</f>
        <v>4505</v>
      </c>
      <c r="F14" s="203">
        <f>+C14*B6</f>
        <v>14250</v>
      </c>
      <c r="G14" s="227">
        <f t="shared" si="0"/>
        <v>18755</v>
      </c>
      <c r="I14" s="1"/>
      <c r="J14" s="1"/>
      <c r="K14" s="1"/>
      <c r="L14" s="1"/>
    </row>
    <row r="15" spans="1:14" x14ac:dyDescent="0.35">
      <c r="A15" s="224" t="s">
        <v>209</v>
      </c>
      <c r="B15" s="261">
        <v>200</v>
      </c>
      <c r="C15" s="262">
        <v>100</v>
      </c>
      <c r="D15" s="263">
        <f>+B15+C15</f>
        <v>300</v>
      </c>
      <c r="E15" s="264">
        <f>+B15*B5</f>
        <v>9010</v>
      </c>
      <c r="F15" s="259">
        <f>+C15*B6</f>
        <v>9500</v>
      </c>
      <c r="G15" s="260">
        <f t="shared" si="0"/>
        <v>18510</v>
      </c>
      <c r="I15" s="1"/>
      <c r="J15" s="1"/>
      <c r="K15" s="1"/>
      <c r="L15" s="1"/>
    </row>
    <row r="16" spans="1:14" x14ac:dyDescent="0.35">
      <c r="A16" s="224" t="s">
        <v>210</v>
      </c>
      <c r="B16" s="261"/>
      <c r="C16" s="262"/>
      <c r="D16" s="263"/>
      <c r="E16" s="264"/>
      <c r="F16" s="259"/>
      <c r="G16" s="260"/>
      <c r="I16" s="1"/>
      <c r="J16" s="1"/>
      <c r="K16" s="1"/>
      <c r="L16" s="1"/>
    </row>
    <row r="17" spans="1:12" ht="29" x14ac:dyDescent="0.35">
      <c r="A17" s="223" t="s">
        <v>223</v>
      </c>
      <c r="B17" s="220">
        <v>25</v>
      </c>
      <c r="C17" s="211">
        <v>300</v>
      </c>
      <c r="D17" s="208">
        <f>+B17+C17</f>
        <v>325</v>
      </c>
      <c r="E17" s="206">
        <f>+B17*B5</f>
        <v>1126.25</v>
      </c>
      <c r="F17" s="203">
        <f>+C17*B6</f>
        <v>28500</v>
      </c>
      <c r="G17" s="227">
        <f>+E17+F17</f>
        <v>29626.25</v>
      </c>
      <c r="I17" s="1"/>
      <c r="J17" s="1"/>
      <c r="K17" s="1"/>
      <c r="L17" s="1"/>
    </row>
    <row r="18" spans="1:12" ht="29" x14ac:dyDescent="0.35">
      <c r="A18" s="224" t="s">
        <v>222</v>
      </c>
      <c r="B18" s="221">
        <v>25</v>
      </c>
      <c r="C18" s="201">
        <v>250</v>
      </c>
      <c r="D18" s="208">
        <f>+B18+C18</f>
        <v>275</v>
      </c>
      <c r="E18" s="206">
        <f>+B18*B5</f>
        <v>1126.25</v>
      </c>
      <c r="F18" s="203">
        <f>+C18*B6</f>
        <v>23750</v>
      </c>
      <c r="G18" s="227">
        <f>+E18+F18</f>
        <v>24876.25</v>
      </c>
      <c r="I18" s="1"/>
      <c r="J18" s="1"/>
      <c r="K18" s="1"/>
      <c r="L18" s="1"/>
    </row>
    <row r="19" spans="1:12" x14ac:dyDescent="0.35">
      <c r="A19" s="199" t="s">
        <v>247</v>
      </c>
      <c r="B19" s="200">
        <f>+SUM(B10:B18)</f>
        <v>700</v>
      </c>
      <c r="C19" s="200">
        <f>+SUM(C10:C18)</f>
        <v>1800</v>
      </c>
      <c r="D19" s="205">
        <f>+B19+C19</f>
        <v>2500</v>
      </c>
      <c r="E19" s="216">
        <f>+SUM(E10:E18)</f>
        <v>31535</v>
      </c>
      <c r="F19" s="215">
        <f>+SUM(F10:F18)</f>
        <v>171000</v>
      </c>
      <c r="G19" s="214">
        <f>+E19+F19</f>
        <v>202535</v>
      </c>
      <c r="I19" s="1"/>
      <c r="J19" s="1"/>
      <c r="K19" s="1"/>
      <c r="L19" s="1"/>
    </row>
    <row r="20" spans="1:12" x14ac:dyDescent="0.35">
      <c r="A20" s="223" t="s">
        <v>206</v>
      </c>
      <c r="B20" s="221">
        <v>300</v>
      </c>
      <c r="C20" s="201">
        <v>750</v>
      </c>
      <c r="D20" s="208">
        <f t="shared" ref="D20" si="3">+B20+C20</f>
        <v>1050</v>
      </c>
      <c r="E20" s="206">
        <f>+B20*B5</f>
        <v>13515</v>
      </c>
      <c r="F20" s="203">
        <f>+C20*B6</f>
        <v>71250</v>
      </c>
      <c r="G20" s="227">
        <f>+E20+F20</f>
        <v>84765</v>
      </c>
      <c r="I20" s="1"/>
      <c r="J20" s="1"/>
      <c r="K20" s="1"/>
      <c r="L20" s="1"/>
    </row>
    <row r="21" spans="1:12" x14ac:dyDescent="0.35">
      <c r="A21" s="209" t="s">
        <v>291</v>
      </c>
      <c r="B21" s="221">
        <v>100</v>
      </c>
      <c r="C21" s="201">
        <v>0</v>
      </c>
      <c r="D21" s="208">
        <f>+B21+C21</f>
        <v>100</v>
      </c>
      <c r="E21" s="206">
        <f>+B21*B5</f>
        <v>4505</v>
      </c>
      <c r="F21" s="203">
        <f>+C21*B6</f>
        <v>0</v>
      </c>
      <c r="G21" s="227">
        <f>+E21+F21</f>
        <v>4505</v>
      </c>
      <c r="I21" s="1"/>
      <c r="J21" s="1"/>
      <c r="K21" s="1"/>
      <c r="L21" s="1"/>
    </row>
    <row r="22" spans="1:12" x14ac:dyDescent="0.35">
      <c r="A22" s="223" t="s">
        <v>201</v>
      </c>
      <c r="B22" s="222">
        <f>State_Outreach!B11</f>
        <v>90</v>
      </c>
      <c r="C22" s="204">
        <v>0</v>
      </c>
      <c r="D22" s="208">
        <f>B22</f>
        <v>90</v>
      </c>
      <c r="E22" s="229">
        <f>State_Outreach!C11</f>
        <v>4054.4999999999995</v>
      </c>
      <c r="F22" s="232">
        <v>0</v>
      </c>
      <c r="G22" s="227">
        <f t="shared" ref="G22" si="4">+E22+F22</f>
        <v>4054.4999999999995</v>
      </c>
    </row>
    <row r="23" spans="1:12" x14ac:dyDescent="0.35">
      <c r="A23" s="225" t="s">
        <v>68</v>
      </c>
      <c r="B23" s="226"/>
      <c r="C23" s="173"/>
      <c r="D23" s="230">
        <f>D19+D20+D21+D22</f>
        <v>3740</v>
      </c>
      <c r="E23" s="207"/>
      <c r="F23" s="173"/>
      <c r="G23" s="228">
        <f>SUM(G19:G22)</f>
        <v>295859.5</v>
      </c>
    </row>
    <row r="25" spans="1:12" ht="29" x14ac:dyDescent="0.35">
      <c r="A25" s="167" t="s">
        <v>60</v>
      </c>
      <c r="B25" s="168" t="s">
        <v>0</v>
      </c>
      <c r="C25" s="168" t="s">
        <v>61</v>
      </c>
      <c r="D25" s="168" t="s">
        <v>62</v>
      </c>
      <c r="E25" s="168" t="s">
        <v>63</v>
      </c>
      <c r="F25" s="238" t="s">
        <v>231</v>
      </c>
      <c r="G25" s="168" t="s">
        <v>32</v>
      </c>
    </row>
    <row r="26" spans="1:12" x14ac:dyDescent="0.35">
      <c r="A26" s="239" t="s">
        <v>294</v>
      </c>
      <c r="B26" s="240">
        <v>15000</v>
      </c>
      <c r="C26" s="240">
        <f>D23</f>
        <v>3740</v>
      </c>
      <c r="D26" s="241">
        <f>G23</f>
        <v>295859.5</v>
      </c>
      <c r="E26" s="242">
        <f>ODCs!J18+'Agency_Site Visit ODCs'!H25</f>
        <v>6760</v>
      </c>
      <c r="F26" s="241">
        <f>G19+ODCs!J9+ODCs!J12+ODCs!J15</f>
        <v>208535</v>
      </c>
      <c r="G26" s="243">
        <f>D26+E26</f>
        <v>302619.5</v>
      </c>
    </row>
    <row r="27" spans="1:12" x14ac:dyDescent="0.35">
      <c r="F27" s="25"/>
    </row>
  </sheetData>
  <mergeCells count="11">
    <mergeCell ref="F15:F16"/>
    <mergeCell ref="G15:G16"/>
    <mergeCell ref="B15:B16"/>
    <mergeCell ref="C15:C16"/>
    <mergeCell ref="D15:D16"/>
    <mergeCell ref="E15:E16"/>
    <mergeCell ref="C2:E2"/>
    <mergeCell ref="C3:E6"/>
    <mergeCell ref="A8:A9"/>
    <mergeCell ref="B8:D8"/>
    <mergeCell ref="E8:G8"/>
  </mergeCells>
  <pageMargins left="0.7" right="0.7" top="0.75" bottom="0.75" header="0.3" footer="0.3"/>
  <pageSetup orientation="portrait" r:id="rId1"/>
  <ignoredErrors>
    <ignoredError sqref="D1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21F6A-0FC0-44AC-B956-B2A072519717}">
  <dimension ref="A1:L28"/>
  <sheetViews>
    <sheetView zoomScaleNormal="100" workbookViewId="0"/>
  </sheetViews>
  <sheetFormatPr defaultRowHeight="14.5" x14ac:dyDescent="0.35"/>
  <cols>
    <col min="1" max="1" width="29" customWidth="1"/>
    <col min="2" max="2" width="12.453125" customWidth="1"/>
    <col min="3" max="3" width="12" customWidth="1"/>
    <col min="4" max="4" width="16.1796875" customWidth="1"/>
    <col min="5" max="5" width="11.1796875" bestFit="1" customWidth="1"/>
    <col min="6" max="6" width="11.453125" customWidth="1"/>
    <col min="7" max="7" width="28.453125" customWidth="1"/>
    <col min="8" max="8" width="12.1796875" customWidth="1"/>
    <col min="9" max="9" width="14.1796875" customWidth="1"/>
    <col min="10" max="10" width="11.7265625" customWidth="1"/>
    <col min="11" max="11" width="10.08984375" bestFit="1" customWidth="1"/>
    <col min="12" max="12" width="9.81640625" customWidth="1"/>
  </cols>
  <sheetData>
    <row r="1" spans="1:12" x14ac:dyDescent="0.35">
      <c r="A1" s="164" t="s">
        <v>261</v>
      </c>
    </row>
    <row r="2" spans="1:12" x14ac:dyDescent="0.35">
      <c r="A2" s="91" t="s">
        <v>248</v>
      </c>
      <c r="B2" s="130">
        <v>12000</v>
      </c>
      <c r="D2" s="129"/>
      <c r="E2" s="126"/>
      <c r="F2" s="127"/>
    </row>
    <row r="3" spans="1:12" x14ac:dyDescent="0.35">
      <c r="A3" s="131"/>
      <c r="B3" s="132"/>
      <c r="D3" s="129"/>
      <c r="E3" s="126"/>
      <c r="F3" s="127"/>
    </row>
    <row r="4" spans="1:12" x14ac:dyDescent="0.35">
      <c r="A4" s="133" t="s">
        <v>292</v>
      </c>
      <c r="B4" s="27"/>
      <c r="C4" s="27"/>
      <c r="D4" s="27"/>
      <c r="E4" s="126"/>
      <c r="F4" s="127"/>
      <c r="G4" s="112" t="s">
        <v>211</v>
      </c>
      <c r="H4" s="27"/>
    </row>
    <row r="5" spans="1:12" ht="58" x14ac:dyDescent="0.35">
      <c r="A5" s="96" t="s">
        <v>202</v>
      </c>
      <c r="B5" s="97" t="s">
        <v>56</v>
      </c>
      <c r="C5" s="97" t="s">
        <v>26</v>
      </c>
      <c r="D5" s="97" t="s">
        <v>25</v>
      </c>
      <c r="E5" s="97" t="s">
        <v>32</v>
      </c>
      <c r="F5" s="26"/>
      <c r="G5" s="111" t="s">
        <v>204</v>
      </c>
      <c r="H5" s="110" t="s">
        <v>26</v>
      </c>
      <c r="I5" s="110" t="s">
        <v>25</v>
      </c>
      <c r="J5" s="110" t="s">
        <v>32</v>
      </c>
    </row>
    <row r="6" spans="1:12" x14ac:dyDescent="0.35">
      <c r="A6" s="13"/>
      <c r="B6" s="104">
        <v>0.1</v>
      </c>
      <c r="C6" s="105">
        <v>30</v>
      </c>
      <c r="D6" s="106">
        <v>0.05</v>
      </c>
      <c r="E6" s="128">
        <f>(B2*B6)*C6*D6</f>
        <v>1800</v>
      </c>
      <c r="F6" s="14"/>
      <c r="G6" s="113">
        <v>100</v>
      </c>
      <c r="H6" s="105">
        <v>30</v>
      </c>
      <c r="I6" s="114">
        <v>0.05</v>
      </c>
      <c r="J6" s="115">
        <f>G6*H6*I6</f>
        <v>150</v>
      </c>
    </row>
    <row r="7" spans="1:12" x14ac:dyDescent="0.35">
      <c r="A7" s="13"/>
      <c r="B7" s="29"/>
      <c r="C7" s="30"/>
      <c r="D7" s="37"/>
      <c r="E7" s="36"/>
      <c r="F7" s="14"/>
      <c r="G7" s="32"/>
      <c r="H7" s="30"/>
      <c r="I7" s="38"/>
      <c r="J7" s="46"/>
    </row>
    <row r="8" spans="1:12" ht="29" x14ac:dyDescent="0.35">
      <c r="A8" s="98" t="s">
        <v>216</v>
      </c>
      <c r="B8" s="97" t="s">
        <v>213</v>
      </c>
      <c r="C8" s="97" t="s">
        <v>214</v>
      </c>
      <c r="D8" s="97" t="s">
        <v>215</v>
      </c>
      <c r="E8" s="97" t="s">
        <v>32</v>
      </c>
      <c r="F8" s="14"/>
      <c r="G8" s="111" t="s">
        <v>224</v>
      </c>
      <c r="H8" s="110" t="s">
        <v>26</v>
      </c>
      <c r="I8" s="110" t="s">
        <v>25</v>
      </c>
      <c r="J8" s="110" t="s">
        <v>32</v>
      </c>
    </row>
    <row r="9" spans="1:12" x14ac:dyDescent="0.35">
      <c r="B9" s="99">
        <v>0.1</v>
      </c>
      <c r="C9" s="100">
        <v>20</v>
      </c>
      <c r="D9" s="101">
        <f>B2</f>
        <v>12000</v>
      </c>
      <c r="E9" s="102">
        <f>B9*C9*D9</f>
        <v>24000</v>
      </c>
      <c r="F9" s="14"/>
      <c r="G9" s="113">
        <f>0.1*B2</f>
        <v>1200</v>
      </c>
      <c r="H9" s="105">
        <v>30</v>
      </c>
      <c r="I9" s="268">
        <v>0.05</v>
      </c>
      <c r="J9" s="115">
        <f>G9*H9*I9</f>
        <v>1800</v>
      </c>
    </row>
    <row r="10" spans="1:12" x14ac:dyDescent="0.35">
      <c r="F10" s="14"/>
      <c r="G10" s="32"/>
      <c r="H10" s="30"/>
      <c r="I10" s="38"/>
      <c r="J10" s="46"/>
    </row>
    <row r="11" spans="1:12" ht="58" x14ac:dyDescent="0.35">
      <c r="A11" s="96" t="s">
        <v>225</v>
      </c>
      <c r="B11" s="97" t="s">
        <v>226</v>
      </c>
      <c r="C11" s="97" t="s">
        <v>227</v>
      </c>
      <c r="D11" s="97" t="s">
        <v>282</v>
      </c>
      <c r="E11" s="97" t="s">
        <v>32</v>
      </c>
      <c r="F11" s="14"/>
      <c r="G11" s="116" t="s">
        <v>278</v>
      </c>
      <c r="H11" s="110" t="s">
        <v>228</v>
      </c>
      <c r="I11" s="110" t="s">
        <v>282</v>
      </c>
      <c r="J11" s="110" t="s">
        <v>32</v>
      </c>
      <c r="K11" s="174"/>
      <c r="L11" s="63"/>
    </row>
    <row r="12" spans="1:12" x14ac:dyDescent="0.35">
      <c r="A12" s="13"/>
      <c r="B12" s="104">
        <v>0.01</v>
      </c>
      <c r="C12" s="108">
        <f>B2</f>
        <v>12000</v>
      </c>
      <c r="D12" s="268">
        <v>5</v>
      </c>
      <c r="E12" s="107">
        <f>B12*C12*D12</f>
        <v>600</v>
      </c>
      <c r="F12" s="14"/>
      <c r="G12" s="117">
        <v>120</v>
      </c>
      <c r="H12" s="118">
        <v>0.01</v>
      </c>
      <c r="I12" s="119">
        <v>5</v>
      </c>
      <c r="J12" s="119">
        <f>H12*B2*I12</f>
        <v>600</v>
      </c>
      <c r="K12" s="175"/>
      <c r="L12" s="60"/>
    </row>
    <row r="13" spans="1:12" x14ac:dyDescent="0.35">
      <c r="F13" s="14"/>
      <c r="G13" s="56"/>
      <c r="H13" s="57"/>
      <c r="I13" s="66"/>
      <c r="J13" s="59"/>
      <c r="K13" s="60"/>
      <c r="L13" s="60"/>
    </row>
    <row r="14" spans="1:12" ht="43" customHeight="1" x14ac:dyDescent="0.35">
      <c r="A14" s="51"/>
      <c r="D14" s="98" t="s">
        <v>217</v>
      </c>
      <c r="E14" s="103">
        <f>E6+E9+E12</f>
        <v>26400</v>
      </c>
      <c r="G14" s="109" t="s">
        <v>279</v>
      </c>
      <c r="H14" s="110" t="s">
        <v>229</v>
      </c>
      <c r="I14" s="110" t="s">
        <v>230</v>
      </c>
      <c r="J14" s="110" t="s">
        <v>32</v>
      </c>
      <c r="K14" s="62"/>
      <c r="L14" s="60"/>
    </row>
    <row r="15" spans="1:12" x14ac:dyDescent="0.35">
      <c r="B15" s="48"/>
      <c r="C15" s="39"/>
      <c r="D15" s="40"/>
      <c r="E15" s="41"/>
      <c r="G15" s="120">
        <v>1500</v>
      </c>
      <c r="H15" s="121">
        <v>1200</v>
      </c>
      <c r="I15" s="122">
        <f>G15/500</f>
        <v>3</v>
      </c>
      <c r="J15" s="123">
        <f>H15*I15</f>
        <v>3600</v>
      </c>
      <c r="K15" s="2"/>
      <c r="L15" s="60"/>
    </row>
    <row r="16" spans="1:12" x14ac:dyDescent="0.35">
      <c r="G16" s="6"/>
      <c r="H16" s="6"/>
      <c r="I16" s="6"/>
      <c r="J16" s="6"/>
      <c r="K16" s="6"/>
      <c r="L16" s="6"/>
    </row>
    <row r="17" spans="1:12" x14ac:dyDescent="0.35">
      <c r="A17" s="43"/>
      <c r="D17" s="5"/>
      <c r="E17" s="42"/>
      <c r="G17" s="5"/>
      <c r="H17" s="16"/>
      <c r="I17" s="16"/>
      <c r="J17" s="16"/>
      <c r="K17" s="49"/>
      <c r="L17" s="50"/>
    </row>
    <row r="18" spans="1:12" x14ac:dyDescent="0.35">
      <c r="G18" s="33"/>
      <c r="H18" s="47"/>
      <c r="I18" s="124" t="s">
        <v>212</v>
      </c>
      <c r="J18" s="125">
        <f>J6+J9+J12+J15</f>
        <v>6150</v>
      </c>
    </row>
    <row r="19" spans="1:12" x14ac:dyDescent="0.35">
      <c r="G19" s="33"/>
      <c r="H19" s="34"/>
      <c r="I19" s="30"/>
      <c r="J19" s="35"/>
    </row>
    <row r="20" spans="1:12" x14ac:dyDescent="0.35">
      <c r="A20" s="53"/>
      <c r="G20" s="5"/>
      <c r="H20" s="31"/>
      <c r="I20" s="16"/>
      <c r="J20" s="16"/>
    </row>
    <row r="21" spans="1:12" x14ac:dyDescent="0.35">
      <c r="A21" s="52"/>
      <c r="G21" s="33"/>
      <c r="H21" s="44"/>
      <c r="I21" s="30"/>
      <c r="J21" s="35"/>
    </row>
    <row r="22" spans="1:12" x14ac:dyDescent="0.35">
      <c r="A22" s="52"/>
      <c r="G22" s="33"/>
      <c r="H22" s="34"/>
      <c r="I22" s="30"/>
      <c r="J22" s="35"/>
    </row>
    <row r="23" spans="1:12" x14ac:dyDescent="0.35">
      <c r="G23" s="5"/>
      <c r="H23" s="31"/>
      <c r="I23" s="16"/>
      <c r="J23" s="16"/>
    </row>
    <row r="24" spans="1:12" x14ac:dyDescent="0.35">
      <c r="G24" s="33"/>
      <c r="H24" s="44"/>
      <c r="I24" s="54"/>
      <c r="J24" s="55"/>
    </row>
    <row r="28" spans="1:12" x14ac:dyDescent="0.35">
      <c r="I28" s="5"/>
      <c r="J28" s="4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6"/>
  <sheetViews>
    <sheetView zoomScale="90" zoomScaleNormal="90" workbookViewId="0">
      <selection sqref="A1:B1"/>
    </sheetView>
  </sheetViews>
  <sheetFormatPr defaultRowHeight="14.5" x14ac:dyDescent="0.35"/>
  <cols>
    <col min="1" max="1" width="4.26953125" style="27" customWidth="1"/>
    <col min="2" max="2" width="33" style="27" customWidth="1"/>
    <col min="3" max="3" width="10.453125" style="27" customWidth="1"/>
    <col min="4" max="4" width="13.1796875" style="138" customWidth="1"/>
    <col min="5" max="5" width="2.54296875" style="138" customWidth="1"/>
    <col min="6" max="6" width="13.1796875" style="138" customWidth="1"/>
    <col min="7" max="7" width="2.81640625" style="138" customWidth="1"/>
    <col min="8" max="8" width="13.1796875" style="138" customWidth="1"/>
  </cols>
  <sheetData>
    <row r="1" spans="1:8" x14ac:dyDescent="0.35">
      <c r="A1" s="265" t="s">
        <v>249</v>
      </c>
      <c r="B1" s="265"/>
      <c r="C1" s="139"/>
      <c r="D1" s="140"/>
      <c r="E1" s="140"/>
      <c r="F1" s="141"/>
      <c r="G1" s="141"/>
      <c r="H1" s="141"/>
    </row>
    <row r="2" spans="1:8" x14ac:dyDescent="0.35">
      <c r="A2" s="165" t="s">
        <v>262</v>
      </c>
      <c r="B2" s="139"/>
      <c r="C2" s="139"/>
      <c r="D2" s="142" t="s">
        <v>34</v>
      </c>
      <c r="E2" s="140"/>
      <c r="F2" s="143" t="s">
        <v>35</v>
      </c>
      <c r="G2" s="141"/>
      <c r="H2" s="143" t="s">
        <v>36</v>
      </c>
    </row>
    <row r="3" spans="1:8" ht="10" customHeight="1" x14ac:dyDescent="0.35">
      <c r="A3" s="139"/>
      <c r="B3" s="139"/>
      <c r="C3" s="139"/>
      <c r="D3" s="140"/>
      <c r="E3" s="140"/>
      <c r="F3" s="141"/>
      <c r="G3" s="141"/>
      <c r="H3" s="141"/>
    </row>
    <row r="4" spans="1:8" x14ac:dyDescent="0.35">
      <c r="A4" s="139"/>
      <c r="B4" s="144" t="s">
        <v>37</v>
      </c>
      <c r="C4" s="145"/>
      <c r="D4" s="140"/>
      <c r="E4" s="140"/>
      <c r="F4" s="141"/>
      <c r="G4" s="141"/>
      <c r="H4" s="141"/>
    </row>
    <row r="5" spans="1:8" ht="10" customHeight="1" x14ac:dyDescent="0.35">
      <c r="A5" s="139"/>
      <c r="B5" s="145"/>
      <c r="C5" s="145"/>
      <c r="D5" s="140"/>
      <c r="E5" s="140"/>
      <c r="F5" s="141"/>
      <c r="G5" s="141"/>
      <c r="H5" s="141"/>
    </row>
    <row r="6" spans="1:8" x14ac:dyDescent="0.35">
      <c r="A6" s="139"/>
      <c r="B6" s="146" t="s">
        <v>38</v>
      </c>
      <c r="C6" s="139"/>
      <c r="D6" s="140"/>
      <c r="E6" s="140"/>
      <c r="F6" s="141"/>
      <c r="G6" s="141"/>
      <c r="H6" s="141"/>
    </row>
    <row r="7" spans="1:8" x14ac:dyDescent="0.35">
      <c r="A7" s="139"/>
      <c r="B7" s="147" t="s">
        <v>39</v>
      </c>
      <c r="C7" s="147"/>
      <c r="D7" s="148">
        <v>64.8</v>
      </c>
      <c r="E7" s="140"/>
      <c r="F7" s="141">
        <v>0</v>
      </c>
      <c r="G7" s="141"/>
      <c r="H7" s="141">
        <f>ROUND(D7*F7,0)</f>
        <v>0</v>
      </c>
    </row>
    <row r="8" spans="1:8" x14ac:dyDescent="0.35">
      <c r="A8" s="139"/>
      <c r="B8" s="147" t="s">
        <v>40</v>
      </c>
      <c r="C8" s="147"/>
      <c r="D8" s="148">
        <v>0</v>
      </c>
      <c r="E8" s="140"/>
      <c r="F8" s="141">
        <v>0</v>
      </c>
      <c r="G8" s="141"/>
      <c r="H8" s="141">
        <f>ROUND(D8*F8,0)</f>
        <v>0</v>
      </c>
    </row>
    <row r="9" spans="1:8" x14ac:dyDescent="0.35">
      <c r="A9" s="139"/>
      <c r="B9" s="147" t="s">
        <v>41</v>
      </c>
      <c r="C9" s="147"/>
      <c r="D9" s="148">
        <v>0</v>
      </c>
      <c r="E9" s="140"/>
      <c r="F9" s="141">
        <v>0</v>
      </c>
      <c r="G9" s="141"/>
      <c r="H9" s="141">
        <f>ROUND(D9*F9,0)</f>
        <v>0</v>
      </c>
    </row>
    <row r="10" spans="1:8" ht="10" customHeight="1" x14ac:dyDescent="0.35">
      <c r="A10" s="139"/>
      <c r="B10" s="139"/>
      <c r="C10" s="139"/>
      <c r="D10" s="148"/>
      <c r="E10" s="140"/>
      <c r="F10" s="141"/>
      <c r="G10" s="141"/>
      <c r="H10" s="141"/>
    </row>
    <row r="11" spans="1:8" x14ac:dyDescent="0.35">
      <c r="A11" s="12"/>
      <c r="B11" s="146" t="s">
        <v>42</v>
      </c>
      <c r="C11" s="139"/>
      <c r="D11" s="148"/>
      <c r="E11" s="140"/>
      <c r="F11" s="141"/>
      <c r="G11" s="141"/>
      <c r="H11" s="141"/>
    </row>
    <row r="12" spans="1:8" x14ac:dyDescent="0.35">
      <c r="A12" s="12"/>
      <c r="B12" s="139" t="s">
        <v>50</v>
      </c>
      <c r="C12" s="139"/>
      <c r="D12" s="148"/>
      <c r="E12" s="140"/>
      <c r="F12" s="141"/>
      <c r="G12" s="141"/>
      <c r="H12" s="141"/>
    </row>
    <row r="13" spans="1:8" x14ac:dyDescent="0.35">
      <c r="A13" s="12"/>
      <c r="B13" s="139" t="s">
        <v>51</v>
      </c>
      <c r="C13" s="139"/>
      <c r="D13" s="148"/>
      <c r="E13" s="140"/>
      <c r="F13" s="141"/>
      <c r="G13" s="141"/>
      <c r="H13" s="141"/>
    </row>
    <row r="14" spans="1:8" x14ac:dyDescent="0.35">
      <c r="A14" s="12"/>
      <c r="B14" s="147" t="s">
        <v>43</v>
      </c>
      <c r="C14" s="147"/>
      <c r="D14" s="148">
        <v>950</v>
      </c>
      <c r="E14" s="140"/>
      <c r="F14" s="141">
        <v>2</v>
      </c>
      <c r="G14" s="141"/>
      <c r="H14" s="141">
        <f t="shared" ref="H14:H20" si="0">ROUND(D14*F14,0)</f>
        <v>1900</v>
      </c>
    </row>
    <row r="15" spans="1:8" x14ac:dyDescent="0.35">
      <c r="A15" s="12"/>
      <c r="B15" s="147" t="s">
        <v>44</v>
      </c>
      <c r="C15" s="147"/>
      <c r="D15" s="148">
        <v>66</v>
      </c>
      <c r="E15" s="140"/>
      <c r="F15" s="141">
        <v>10</v>
      </c>
      <c r="G15" s="141"/>
      <c r="H15" s="141">
        <f t="shared" si="0"/>
        <v>660</v>
      </c>
    </row>
    <row r="16" spans="1:8" x14ac:dyDescent="0.35">
      <c r="A16" s="12"/>
      <c r="B16" s="147" t="s">
        <v>45</v>
      </c>
      <c r="C16" s="147"/>
      <c r="D16" s="148">
        <v>145</v>
      </c>
      <c r="E16" s="140"/>
      <c r="F16" s="141">
        <v>10</v>
      </c>
      <c r="G16" s="141"/>
      <c r="H16" s="141">
        <f t="shared" si="0"/>
        <v>1450</v>
      </c>
    </row>
    <row r="17" spans="1:8" x14ac:dyDescent="0.35">
      <c r="A17" s="12"/>
      <c r="B17" s="147" t="s">
        <v>46</v>
      </c>
      <c r="C17" s="147"/>
      <c r="D17" s="148">
        <v>16.8</v>
      </c>
      <c r="E17" s="140"/>
      <c r="F17" s="141">
        <v>10</v>
      </c>
      <c r="G17" s="141"/>
      <c r="H17" s="141">
        <f t="shared" si="0"/>
        <v>168</v>
      </c>
    </row>
    <row r="18" spans="1:8" x14ac:dyDescent="0.35">
      <c r="A18" s="12"/>
      <c r="B18" s="147" t="s">
        <v>47</v>
      </c>
      <c r="C18" s="147"/>
      <c r="D18" s="148">
        <v>50</v>
      </c>
      <c r="E18" s="140"/>
      <c r="F18" s="141">
        <v>10</v>
      </c>
      <c r="G18" s="141"/>
      <c r="H18" s="141">
        <f t="shared" si="0"/>
        <v>500</v>
      </c>
    </row>
    <row r="19" spans="1:8" x14ac:dyDescent="0.35">
      <c r="A19" s="12"/>
      <c r="B19" s="147" t="s">
        <v>48</v>
      </c>
      <c r="C19" s="147"/>
      <c r="D19" s="148">
        <v>50</v>
      </c>
      <c r="E19" s="140"/>
      <c r="F19" s="141">
        <v>8</v>
      </c>
      <c r="G19" s="141"/>
      <c r="H19" s="141">
        <f t="shared" si="0"/>
        <v>400</v>
      </c>
    </row>
    <row r="20" spans="1:8" x14ac:dyDescent="0.35">
      <c r="A20" s="12"/>
      <c r="B20" s="147" t="s">
        <v>49</v>
      </c>
      <c r="C20" s="147"/>
      <c r="D20" s="148">
        <v>60</v>
      </c>
      <c r="E20" s="140"/>
      <c r="F20" s="141">
        <v>2</v>
      </c>
      <c r="G20" s="141"/>
      <c r="H20" s="141">
        <f t="shared" si="0"/>
        <v>120</v>
      </c>
    </row>
    <row r="21" spans="1:8" x14ac:dyDescent="0.35">
      <c r="A21" s="139"/>
      <c r="B21" s="139"/>
      <c r="C21" s="139"/>
      <c r="D21" s="148"/>
      <c r="E21" s="140"/>
      <c r="F21" s="141"/>
      <c r="G21" s="141"/>
      <c r="H21" s="141"/>
    </row>
    <row r="22" spans="1:8" x14ac:dyDescent="0.35">
      <c r="A22" s="12"/>
      <c r="B22" s="139" t="s">
        <v>52</v>
      </c>
      <c r="C22" s="139"/>
      <c r="D22" s="148"/>
      <c r="E22" s="140"/>
      <c r="F22" s="141"/>
      <c r="G22" s="141"/>
      <c r="H22" s="141"/>
    </row>
    <row r="23" spans="1:8" x14ac:dyDescent="0.35">
      <c r="A23" s="12"/>
      <c r="B23" s="139" t="s">
        <v>51</v>
      </c>
      <c r="C23" s="139"/>
      <c r="D23" s="148"/>
      <c r="E23" s="140"/>
      <c r="F23" s="141"/>
      <c r="G23" s="141"/>
      <c r="H23" s="141"/>
    </row>
    <row r="24" spans="1:8" x14ac:dyDescent="0.35">
      <c r="A24" s="12"/>
      <c r="B24" s="147" t="s">
        <v>43</v>
      </c>
      <c r="C24" s="147"/>
      <c r="D24" s="148">
        <v>630</v>
      </c>
      <c r="E24" s="140"/>
      <c r="F24" s="141">
        <v>2</v>
      </c>
      <c r="G24" s="141"/>
      <c r="H24" s="141">
        <f t="shared" ref="H24:H30" si="1">ROUND(D24*F24,0)</f>
        <v>1260</v>
      </c>
    </row>
    <row r="25" spans="1:8" x14ac:dyDescent="0.35">
      <c r="A25" s="12"/>
      <c r="B25" s="147" t="s">
        <v>44</v>
      </c>
      <c r="C25" s="147"/>
      <c r="D25" s="148">
        <v>61</v>
      </c>
      <c r="E25" s="140"/>
      <c r="F25" s="141">
        <v>10</v>
      </c>
      <c r="G25" s="141"/>
      <c r="H25" s="141">
        <f t="shared" si="1"/>
        <v>610</v>
      </c>
    </row>
    <row r="26" spans="1:8" x14ac:dyDescent="0.35">
      <c r="A26" s="12"/>
      <c r="B26" s="147" t="s">
        <v>45</v>
      </c>
      <c r="C26" s="147"/>
      <c r="D26" s="148">
        <v>120</v>
      </c>
      <c r="E26" s="140"/>
      <c r="F26" s="141">
        <v>10</v>
      </c>
      <c r="G26" s="141"/>
      <c r="H26" s="141">
        <f t="shared" si="1"/>
        <v>1200</v>
      </c>
    </row>
    <row r="27" spans="1:8" x14ac:dyDescent="0.35">
      <c r="A27" s="12"/>
      <c r="B27" s="147" t="s">
        <v>46</v>
      </c>
      <c r="C27" s="147"/>
      <c r="D27" s="148">
        <f>+D26*0.15</f>
        <v>18</v>
      </c>
      <c r="E27" s="140"/>
      <c r="F27" s="141">
        <v>10</v>
      </c>
      <c r="G27" s="141"/>
      <c r="H27" s="141">
        <f t="shared" si="1"/>
        <v>180</v>
      </c>
    </row>
    <row r="28" spans="1:8" x14ac:dyDescent="0.35">
      <c r="A28" s="12"/>
      <c r="B28" s="147" t="s">
        <v>47</v>
      </c>
      <c r="C28" s="147"/>
      <c r="D28" s="148">
        <v>50</v>
      </c>
      <c r="E28" s="140"/>
      <c r="F28" s="141">
        <v>10</v>
      </c>
      <c r="G28" s="141"/>
      <c r="H28" s="141">
        <f t="shared" si="1"/>
        <v>500</v>
      </c>
    </row>
    <row r="29" spans="1:8" x14ac:dyDescent="0.35">
      <c r="A29" s="12"/>
      <c r="B29" s="147" t="s">
        <v>48</v>
      </c>
      <c r="C29" s="147"/>
      <c r="D29" s="148">
        <v>50</v>
      </c>
      <c r="E29" s="140"/>
      <c r="F29" s="141">
        <v>8</v>
      </c>
      <c r="G29" s="141"/>
      <c r="H29" s="141">
        <f t="shared" si="1"/>
        <v>400</v>
      </c>
    </row>
    <row r="30" spans="1:8" x14ac:dyDescent="0.35">
      <c r="A30" s="12"/>
      <c r="B30" s="147" t="s">
        <v>49</v>
      </c>
      <c r="C30" s="147"/>
      <c r="D30" s="148">
        <v>60</v>
      </c>
      <c r="E30" s="140"/>
      <c r="F30" s="141">
        <v>2</v>
      </c>
      <c r="G30" s="141"/>
      <c r="H30" s="141">
        <f t="shared" si="1"/>
        <v>120</v>
      </c>
    </row>
    <row r="31" spans="1:8" x14ac:dyDescent="0.35">
      <c r="A31" s="139"/>
      <c r="B31" s="139"/>
      <c r="C31" s="139"/>
      <c r="D31" s="148"/>
      <c r="E31" s="140"/>
      <c r="F31" s="141"/>
      <c r="G31" s="141"/>
      <c r="H31" s="141"/>
    </row>
    <row r="32" spans="1:8" x14ac:dyDescent="0.35">
      <c r="A32" s="12"/>
      <c r="B32" s="139" t="s">
        <v>53</v>
      </c>
      <c r="C32" s="139"/>
      <c r="D32" s="148"/>
      <c r="E32" s="140"/>
      <c r="F32" s="141"/>
      <c r="G32" s="141"/>
      <c r="H32" s="141"/>
    </row>
    <row r="33" spans="1:8" x14ac:dyDescent="0.35">
      <c r="A33" s="12"/>
      <c r="B33" s="139" t="s">
        <v>51</v>
      </c>
      <c r="C33" s="139"/>
      <c r="D33" s="148"/>
      <c r="E33" s="140"/>
      <c r="F33" s="141"/>
      <c r="G33" s="141"/>
      <c r="H33" s="141"/>
    </row>
    <row r="34" spans="1:8" x14ac:dyDescent="0.35">
      <c r="A34" s="12"/>
      <c r="B34" s="147" t="s">
        <v>43</v>
      </c>
      <c r="C34" s="147"/>
      <c r="D34" s="148">
        <v>585</v>
      </c>
      <c r="E34" s="140"/>
      <c r="F34" s="141">
        <v>2</v>
      </c>
      <c r="G34" s="141"/>
      <c r="H34" s="141">
        <f t="shared" ref="H34:H40" si="2">ROUND(D34*F34,0)</f>
        <v>1170</v>
      </c>
    </row>
    <row r="35" spans="1:8" x14ac:dyDescent="0.35">
      <c r="A35" s="12"/>
      <c r="B35" s="147" t="s">
        <v>44</v>
      </c>
      <c r="C35" s="147"/>
      <c r="D35" s="148">
        <v>61</v>
      </c>
      <c r="E35" s="140"/>
      <c r="F35" s="141">
        <v>15</v>
      </c>
      <c r="G35" s="141"/>
      <c r="H35" s="141">
        <f t="shared" si="2"/>
        <v>915</v>
      </c>
    </row>
    <row r="36" spans="1:8" x14ac:dyDescent="0.35">
      <c r="A36" s="12"/>
      <c r="B36" s="147" t="s">
        <v>45</v>
      </c>
      <c r="C36" s="147"/>
      <c r="D36" s="148">
        <v>122</v>
      </c>
      <c r="E36" s="140"/>
      <c r="F36" s="141">
        <v>15</v>
      </c>
      <c r="G36" s="141"/>
      <c r="H36" s="141">
        <f t="shared" si="2"/>
        <v>1830</v>
      </c>
    </row>
    <row r="37" spans="1:8" x14ac:dyDescent="0.35">
      <c r="A37" s="12"/>
      <c r="B37" s="147" t="s">
        <v>46</v>
      </c>
      <c r="C37" s="147"/>
      <c r="D37" s="148">
        <f>+D36*0.15</f>
        <v>18.3</v>
      </c>
      <c r="E37" s="140"/>
      <c r="F37" s="141">
        <v>15</v>
      </c>
      <c r="G37" s="141"/>
      <c r="H37" s="141">
        <f t="shared" si="2"/>
        <v>275</v>
      </c>
    </row>
    <row r="38" spans="1:8" x14ac:dyDescent="0.35">
      <c r="A38" s="12"/>
      <c r="B38" s="147" t="s">
        <v>47</v>
      </c>
      <c r="C38" s="147"/>
      <c r="D38" s="148">
        <v>50</v>
      </c>
      <c r="E38" s="140"/>
      <c r="F38" s="141">
        <v>15</v>
      </c>
      <c r="G38" s="141"/>
      <c r="H38" s="141">
        <f t="shared" si="2"/>
        <v>750</v>
      </c>
    </row>
    <row r="39" spans="1:8" x14ac:dyDescent="0.35">
      <c r="A39" s="12"/>
      <c r="B39" s="147" t="s">
        <v>48</v>
      </c>
      <c r="C39" s="147"/>
      <c r="D39" s="148">
        <v>50</v>
      </c>
      <c r="E39" s="140"/>
      <c r="F39" s="141">
        <v>12</v>
      </c>
      <c r="G39" s="141"/>
      <c r="H39" s="141">
        <f t="shared" si="2"/>
        <v>600</v>
      </c>
    </row>
    <row r="40" spans="1:8" x14ac:dyDescent="0.35">
      <c r="A40" s="12"/>
      <c r="B40" s="147" t="s">
        <v>49</v>
      </c>
      <c r="C40" s="147"/>
      <c r="D40" s="148">
        <v>60</v>
      </c>
      <c r="E40" s="140"/>
      <c r="F40" s="141">
        <v>3</v>
      </c>
      <c r="G40" s="141"/>
      <c r="H40" s="141">
        <f t="shared" si="2"/>
        <v>180</v>
      </c>
    </row>
    <row r="41" spans="1:8" x14ac:dyDescent="0.35">
      <c r="A41" s="139"/>
      <c r="B41" s="139"/>
      <c r="C41" s="139"/>
      <c r="D41" s="148"/>
      <c r="E41" s="140"/>
      <c r="F41" s="141"/>
      <c r="G41" s="141"/>
      <c r="H41" s="141"/>
    </row>
    <row r="42" spans="1:8" ht="15" thickBot="1" x14ac:dyDescent="0.4">
      <c r="A42" s="139"/>
      <c r="B42" s="149" t="s">
        <v>33</v>
      </c>
      <c r="C42" s="149"/>
      <c r="D42" s="150"/>
      <c r="E42" s="151"/>
      <c r="F42" s="152"/>
      <c r="G42" s="152" t="s">
        <v>74</v>
      </c>
      <c r="H42" s="153">
        <f>ROUND(SUM(H7:H41),0)</f>
        <v>15188</v>
      </c>
    </row>
    <row r="43" spans="1:8" ht="15" thickTop="1" x14ac:dyDescent="0.35">
      <c r="A43" s="139"/>
      <c r="B43" s="139"/>
      <c r="C43" s="139"/>
      <c r="D43" s="148"/>
      <c r="E43" s="140"/>
      <c r="F43" s="141"/>
      <c r="G43" s="141"/>
      <c r="H43" s="141"/>
    </row>
    <row r="44" spans="1:8" x14ac:dyDescent="0.35">
      <c r="B44" s="154" t="s">
        <v>54</v>
      </c>
      <c r="D44" s="138">
        <v>15</v>
      </c>
      <c r="F44" s="138" t="s">
        <v>73</v>
      </c>
    </row>
    <row r="46" spans="1:8" ht="12.65" customHeight="1" x14ac:dyDescent="0.35">
      <c r="B46" s="155" t="s">
        <v>27</v>
      </c>
      <c r="C46" s="156"/>
      <c r="D46" s="157"/>
      <c r="E46" s="157"/>
      <c r="F46" s="157"/>
      <c r="G46" s="157" t="s">
        <v>74</v>
      </c>
      <c r="H46" s="158">
        <f>H42+((H42*D44)/100)</f>
        <v>17466.2</v>
      </c>
    </row>
  </sheetData>
  <mergeCells count="1"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D5359-749B-4C86-AB6A-04D7C8696BE6}">
  <dimension ref="A1:G70"/>
  <sheetViews>
    <sheetView zoomScale="90" zoomScaleNormal="90" workbookViewId="0"/>
  </sheetViews>
  <sheetFormatPr defaultRowHeight="14.5" x14ac:dyDescent="0.35"/>
  <cols>
    <col min="1" max="1" width="28.36328125" customWidth="1"/>
    <col min="2" max="2" width="22.08984375" customWidth="1"/>
    <col min="3" max="3" width="11.453125" customWidth="1"/>
    <col min="4" max="4" width="28.453125" style="15" customWidth="1"/>
    <col min="5" max="6" width="22" customWidth="1"/>
    <col min="7" max="7" width="18.7265625" customWidth="1"/>
    <col min="9" max="9" width="11.7265625" customWidth="1"/>
    <col min="10" max="10" width="20.1796875" customWidth="1"/>
  </cols>
  <sheetData>
    <row r="1" spans="1:7" x14ac:dyDescent="0.35">
      <c r="A1" s="162" t="s">
        <v>250</v>
      </c>
    </row>
    <row r="2" spans="1:7" x14ac:dyDescent="0.35">
      <c r="A2" s="135" t="s">
        <v>258</v>
      </c>
    </row>
    <row r="4" spans="1:7" x14ac:dyDescent="0.35">
      <c r="A4" s="91" t="s">
        <v>251</v>
      </c>
      <c r="B4" s="91" t="s">
        <v>75</v>
      </c>
    </row>
    <row r="5" spans="1:7" x14ac:dyDescent="0.35">
      <c r="A5" s="93" t="s">
        <v>252</v>
      </c>
      <c r="B5" s="10">
        <v>40</v>
      </c>
    </row>
    <row r="6" spans="1:7" x14ac:dyDescent="0.35">
      <c r="A6" s="93" t="s">
        <v>253</v>
      </c>
      <c r="B6" s="10">
        <v>20</v>
      </c>
    </row>
    <row r="7" spans="1:7" x14ac:dyDescent="0.35">
      <c r="A7" s="93" t="s">
        <v>254</v>
      </c>
      <c r="B7" s="10">
        <v>10</v>
      </c>
    </row>
    <row r="9" spans="1:7" x14ac:dyDescent="0.35">
      <c r="A9" s="161" t="s">
        <v>257</v>
      </c>
      <c r="B9" s="161" t="s">
        <v>76</v>
      </c>
      <c r="C9" s="161" t="s">
        <v>77</v>
      </c>
    </row>
    <row r="10" spans="1:7" x14ac:dyDescent="0.35">
      <c r="A10" s="89" t="s">
        <v>255</v>
      </c>
      <c r="B10" s="89">
        <f>SUM(G14:G69)-SUMIF(D14:D69,"UNAUTHORIZED",G14:G69)</f>
        <v>240</v>
      </c>
      <c r="C10" s="159">
        <f>B10*Agency_Contractor_Burden!B6</f>
        <v>22800</v>
      </c>
      <c r="D10" s="17"/>
      <c r="F10" s="65"/>
      <c r="G10" s="65"/>
    </row>
    <row r="11" spans="1:7" x14ac:dyDescent="0.35">
      <c r="A11" s="89" t="s">
        <v>256</v>
      </c>
      <c r="B11" s="89">
        <f>SUMIF(D14:D69,"UNAUTHORIZED",G14:G69)</f>
        <v>90</v>
      </c>
      <c r="C11" s="159">
        <f>B11*Agency_Contractor_Burden!B5</f>
        <v>4054.4999999999995</v>
      </c>
      <c r="F11" s="11"/>
      <c r="G11" s="11"/>
    </row>
    <row r="13" spans="1:7" ht="29" x14ac:dyDescent="0.35">
      <c r="A13" s="91" t="s">
        <v>78</v>
      </c>
      <c r="B13" s="91" t="s">
        <v>79</v>
      </c>
      <c r="C13" s="91" t="s">
        <v>80</v>
      </c>
      <c r="D13" s="134" t="s">
        <v>81</v>
      </c>
      <c r="E13" s="92" t="s">
        <v>82</v>
      </c>
      <c r="F13" s="92" t="s">
        <v>83</v>
      </c>
      <c r="G13" s="91" t="s">
        <v>84</v>
      </c>
    </row>
    <row r="14" spans="1:7" x14ac:dyDescent="0.35">
      <c r="A14" s="18" t="s">
        <v>85</v>
      </c>
      <c r="B14" s="10" t="s">
        <v>86</v>
      </c>
      <c r="C14" s="19">
        <v>4</v>
      </c>
      <c r="D14" s="160" t="s">
        <v>87</v>
      </c>
      <c r="E14" s="20">
        <v>4863300</v>
      </c>
      <c r="F14" s="21">
        <v>374</v>
      </c>
      <c r="G14" s="22">
        <v>0</v>
      </c>
    </row>
    <row r="15" spans="1:7" x14ac:dyDescent="0.35">
      <c r="A15" s="18" t="s">
        <v>88</v>
      </c>
      <c r="B15" s="10" t="s">
        <v>89</v>
      </c>
      <c r="C15" s="19">
        <v>10</v>
      </c>
      <c r="D15" s="160" t="s">
        <v>87</v>
      </c>
      <c r="E15" s="20">
        <v>741894</v>
      </c>
      <c r="F15" s="21">
        <v>69</v>
      </c>
      <c r="G15" s="22">
        <v>0</v>
      </c>
    </row>
    <row r="16" spans="1:7" x14ac:dyDescent="0.35">
      <c r="A16" s="18" t="s">
        <v>90</v>
      </c>
      <c r="B16" s="10" t="s">
        <v>91</v>
      </c>
      <c r="C16" s="19">
        <v>9</v>
      </c>
      <c r="D16" s="160" t="s">
        <v>92</v>
      </c>
      <c r="E16" s="10"/>
      <c r="F16" s="21">
        <v>2</v>
      </c>
      <c r="G16" s="22">
        <f>_xlfn.IFS(F16&gt;=500,$B$5,AND(F16&gt;=100,F16&lt;500),$B$6,F16&lt;100,$B$7)</f>
        <v>10</v>
      </c>
    </row>
    <row r="17" spans="1:7" x14ac:dyDescent="0.35">
      <c r="A17" s="18" t="s">
        <v>93</v>
      </c>
      <c r="B17" s="10" t="s">
        <v>94</v>
      </c>
      <c r="C17" s="19">
        <v>9</v>
      </c>
      <c r="D17" s="160" t="s">
        <v>95</v>
      </c>
      <c r="E17" s="20">
        <v>6931071</v>
      </c>
      <c r="F17" s="21">
        <v>71</v>
      </c>
      <c r="G17" s="22">
        <f t="shared" ref="G17:G64" si="0">_xlfn.IFS(F17&gt;=500,$B$5,AND(F17&gt;=100,F17&lt;500),$B$6,F17&lt;100,$B$7)</f>
        <v>10</v>
      </c>
    </row>
    <row r="18" spans="1:7" x14ac:dyDescent="0.35">
      <c r="A18" s="18" t="s">
        <v>96</v>
      </c>
      <c r="B18" s="10" t="s">
        <v>97</v>
      </c>
      <c r="C18" s="19">
        <v>6</v>
      </c>
      <c r="D18" s="160" t="s">
        <v>87</v>
      </c>
      <c r="E18" s="20">
        <v>2988248</v>
      </c>
      <c r="F18" s="21">
        <v>368</v>
      </c>
      <c r="G18" s="22">
        <f>_xlfn.IFS(F18&gt;=500,$B$5,AND(F18&gt;=100,F18&lt;500),$B$6,F18&lt;100,$B$7)</f>
        <v>20</v>
      </c>
    </row>
    <row r="19" spans="1:7" x14ac:dyDescent="0.35">
      <c r="A19" s="18" t="s">
        <v>98</v>
      </c>
      <c r="B19" s="10" t="s">
        <v>99</v>
      </c>
      <c r="C19" s="19">
        <v>9</v>
      </c>
      <c r="D19" s="160" t="s">
        <v>87</v>
      </c>
      <c r="E19" s="20">
        <v>39250017</v>
      </c>
      <c r="F19" s="21">
        <v>507</v>
      </c>
      <c r="G19" s="22">
        <v>0</v>
      </c>
    </row>
    <row r="20" spans="1:7" x14ac:dyDescent="0.35">
      <c r="A20" s="18" t="s">
        <v>100</v>
      </c>
      <c r="B20" s="10" t="s">
        <v>101</v>
      </c>
      <c r="C20" s="19">
        <v>8</v>
      </c>
      <c r="D20" s="160" t="s">
        <v>102</v>
      </c>
      <c r="E20" s="20">
        <v>5540545</v>
      </c>
      <c r="F20" s="21">
        <v>295</v>
      </c>
      <c r="G20" s="22">
        <v>0</v>
      </c>
    </row>
    <row r="21" spans="1:7" x14ac:dyDescent="0.35">
      <c r="A21" s="18" t="s">
        <v>103</v>
      </c>
      <c r="B21" s="10" t="s">
        <v>104</v>
      </c>
      <c r="C21" s="19">
        <v>1</v>
      </c>
      <c r="D21" s="160" t="s">
        <v>87</v>
      </c>
      <c r="E21" s="20">
        <v>3576452</v>
      </c>
      <c r="F21" s="21">
        <v>85</v>
      </c>
      <c r="G21" s="22">
        <v>0</v>
      </c>
    </row>
    <row r="22" spans="1:7" x14ac:dyDescent="0.35">
      <c r="A22" s="18" t="s">
        <v>105</v>
      </c>
      <c r="B22" s="10" t="s">
        <v>106</v>
      </c>
      <c r="C22" s="19">
        <v>3</v>
      </c>
      <c r="D22" s="160" t="s">
        <v>102</v>
      </c>
      <c r="E22" s="20">
        <v>952065</v>
      </c>
      <c r="F22" s="21">
        <v>15</v>
      </c>
      <c r="G22" s="22">
        <v>0</v>
      </c>
    </row>
    <row r="23" spans="1:7" x14ac:dyDescent="0.35">
      <c r="A23" s="18" t="s">
        <v>107</v>
      </c>
      <c r="B23" s="10" t="s">
        <v>108</v>
      </c>
      <c r="C23" s="19">
        <v>3</v>
      </c>
      <c r="D23" s="160" t="s">
        <v>92</v>
      </c>
      <c r="E23" s="20">
        <v>681170</v>
      </c>
      <c r="F23" s="21">
        <v>2</v>
      </c>
      <c r="G23" s="22">
        <f t="shared" si="0"/>
        <v>10</v>
      </c>
    </row>
    <row r="24" spans="1:7" x14ac:dyDescent="0.35">
      <c r="A24" s="18" t="s">
        <v>109</v>
      </c>
      <c r="B24" s="10" t="s">
        <v>110</v>
      </c>
      <c r="C24" s="19">
        <v>4</v>
      </c>
      <c r="D24" s="160" t="s">
        <v>87</v>
      </c>
      <c r="E24" s="20">
        <v>20612439</v>
      </c>
      <c r="F24" s="21">
        <v>144</v>
      </c>
      <c r="G24" s="22">
        <v>0</v>
      </c>
    </row>
    <row r="25" spans="1:7" x14ac:dyDescent="0.35">
      <c r="A25" s="18" t="s">
        <v>111</v>
      </c>
      <c r="B25" s="10" t="s">
        <v>112</v>
      </c>
      <c r="C25" s="19">
        <v>4</v>
      </c>
      <c r="D25" s="160" t="s">
        <v>87</v>
      </c>
      <c r="E25" s="20">
        <v>10310371</v>
      </c>
      <c r="F25" s="21">
        <v>339</v>
      </c>
      <c r="G25" s="22">
        <f t="shared" si="0"/>
        <v>20</v>
      </c>
    </row>
    <row r="26" spans="1:7" x14ac:dyDescent="0.35">
      <c r="A26" s="18" t="s">
        <v>113</v>
      </c>
      <c r="B26" s="10" t="s">
        <v>114</v>
      </c>
      <c r="C26" s="19">
        <v>9</v>
      </c>
      <c r="D26" s="160" t="s">
        <v>92</v>
      </c>
      <c r="E26" s="10"/>
      <c r="F26" s="21">
        <v>6</v>
      </c>
      <c r="G26" s="22">
        <f t="shared" si="0"/>
        <v>10</v>
      </c>
    </row>
    <row r="27" spans="1:7" x14ac:dyDescent="0.35">
      <c r="A27" s="18" t="s">
        <v>115</v>
      </c>
      <c r="B27" s="10" t="s">
        <v>116</v>
      </c>
      <c r="C27" s="19">
        <v>9</v>
      </c>
      <c r="D27" s="160" t="s">
        <v>87</v>
      </c>
      <c r="E27" s="20">
        <v>1428557</v>
      </c>
      <c r="F27" s="21">
        <v>3</v>
      </c>
      <c r="G27" s="22">
        <v>0</v>
      </c>
    </row>
    <row r="28" spans="1:7" x14ac:dyDescent="0.35">
      <c r="A28" s="18" t="s">
        <v>117</v>
      </c>
      <c r="B28" s="10" t="s">
        <v>118</v>
      </c>
      <c r="C28" s="19">
        <v>10</v>
      </c>
      <c r="D28" s="160" t="s">
        <v>92</v>
      </c>
      <c r="E28" s="20">
        <v>1683140</v>
      </c>
      <c r="F28" s="21">
        <v>113</v>
      </c>
      <c r="G28" s="22">
        <f t="shared" si="0"/>
        <v>20</v>
      </c>
    </row>
    <row r="29" spans="1:7" x14ac:dyDescent="0.35">
      <c r="A29" s="18" t="s">
        <v>119</v>
      </c>
      <c r="B29" s="10" t="s">
        <v>120</v>
      </c>
      <c r="C29" s="19">
        <v>5</v>
      </c>
      <c r="D29" s="160" t="s">
        <v>102</v>
      </c>
      <c r="E29" s="20">
        <v>12801539</v>
      </c>
      <c r="F29" s="21">
        <v>799</v>
      </c>
      <c r="G29" s="22">
        <f t="shared" si="0"/>
        <v>40</v>
      </c>
    </row>
    <row r="30" spans="1:7" x14ac:dyDescent="0.35">
      <c r="A30" s="18" t="s">
        <v>121</v>
      </c>
      <c r="B30" s="10" t="s">
        <v>122</v>
      </c>
      <c r="C30" s="19">
        <v>5</v>
      </c>
      <c r="D30" s="160" t="s">
        <v>102</v>
      </c>
      <c r="E30" s="20">
        <v>6633053</v>
      </c>
      <c r="F30" s="21">
        <v>455</v>
      </c>
      <c r="G30" s="22">
        <v>0</v>
      </c>
    </row>
    <row r="31" spans="1:7" x14ac:dyDescent="0.35">
      <c r="A31" s="18" t="s">
        <v>123</v>
      </c>
      <c r="B31" s="10" t="s">
        <v>124</v>
      </c>
      <c r="C31" s="19">
        <v>7</v>
      </c>
      <c r="D31" s="160" t="s">
        <v>87</v>
      </c>
      <c r="E31" s="20">
        <v>3134693</v>
      </c>
      <c r="F31" s="21">
        <v>799</v>
      </c>
      <c r="G31" s="22">
        <v>0</v>
      </c>
    </row>
    <row r="32" spans="1:7" x14ac:dyDescent="0.35">
      <c r="A32" s="18" t="s">
        <v>125</v>
      </c>
      <c r="B32" s="10" t="s">
        <v>126</v>
      </c>
      <c r="C32" s="19">
        <v>7</v>
      </c>
      <c r="D32" s="160" t="s">
        <v>102</v>
      </c>
      <c r="E32" s="20">
        <v>2907289</v>
      </c>
      <c r="F32" s="21">
        <v>469</v>
      </c>
      <c r="G32" s="22">
        <v>0</v>
      </c>
    </row>
    <row r="33" spans="1:7" x14ac:dyDescent="0.35">
      <c r="A33" s="18" t="s">
        <v>127</v>
      </c>
      <c r="B33" s="10" t="s">
        <v>128</v>
      </c>
      <c r="C33" s="19">
        <v>4</v>
      </c>
      <c r="D33" s="160" t="s">
        <v>87</v>
      </c>
      <c r="E33" s="20">
        <v>4436974</v>
      </c>
      <c r="F33" s="21">
        <v>290</v>
      </c>
      <c r="G33" s="22">
        <v>0</v>
      </c>
    </row>
    <row r="34" spans="1:7" x14ac:dyDescent="0.35">
      <c r="A34" s="18" t="s">
        <v>129</v>
      </c>
      <c r="B34" s="10" t="s">
        <v>130</v>
      </c>
      <c r="C34" s="19">
        <v>6</v>
      </c>
      <c r="D34" s="160" t="s">
        <v>87</v>
      </c>
      <c r="E34" s="20">
        <v>4681666</v>
      </c>
      <c r="F34" s="21">
        <v>318</v>
      </c>
      <c r="G34" s="22">
        <f t="shared" si="0"/>
        <v>20</v>
      </c>
    </row>
    <row r="35" spans="1:7" x14ac:dyDescent="0.35">
      <c r="A35" s="18" t="s">
        <v>131</v>
      </c>
      <c r="B35" s="10" t="s">
        <v>132</v>
      </c>
      <c r="C35" s="19">
        <v>1</v>
      </c>
      <c r="D35" s="160" t="s">
        <v>87</v>
      </c>
      <c r="E35" s="20">
        <v>1331479</v>
      </c>
      <c r="F35" s="21">
        <v>147</v>
      </c>
      <c r="G35" s="22">
        <f t="shared" si="0"/>
        <v>20</v>
      </c>
    </row>
    <row r="36" spans="1:7" x14ac:dyDescent="0.35">
      <c r="A36" s="18" t="s">
        <v>133</v>
      </c>
      <c r="B36" s="10" t="s">
        <v>134</v>
      </c>
      <c r="C36" s="19">
        <v>3</v>
      </c>
      <c r="D36" s="160" t="s">
        <v>87</v>
      </c>
      <c r="E36" s="20">
        <v>6016447</v>
      </c>
      <c r="F36" s="21">
        <v>182</v>
      </c>
      <c r="G36" s="22">
        <v>0</v>
      </c>
    </row>
    <row r="37" spans="1:7" x14ac:dyDescent="0.35">
      <c r="A37" s="18" t="s">
        <v>135</v>
      </c>
      <c r="B37" s="10" t="s">
        <v>136</v>
      </c>
      <c r="C37" s="19">
        <v>1</v>
      </c>
      <c r="D37" s="160" t="s">
        <v>92</v>
      </c>
      <c r="E37" s="20">
        <v>6811779</v>
      </c>
      <c r="F37" s="21">
        <v>103</v>
      </c>
      <c r="G37" s="22">
        <f t="shared" si="0"/>
        <v>20</v>
      </c>
    </row>
    <row r="38" spans="1:7" x14ac:dyDescent="0.35">
      <c r="A38" s="18" t="s">
        <v>137</v>
      </c>
      <c r="B38" s="10" t="s">
        <v>138</v>
      </c>
      <c r="C38" s="19">
        <v>5</v>
      </c>
      <c r="D38" s="160" t="s">
        <v>95</v>
      </c>
      <c r="E38" s="20">
        <v>9928300</v>
      </c>
      <c r="F38" s="21">
        <v>387</v>
      </c>
      <c r="G38" s="22">
        <v>0</v>
      </c>
    </row>
    <row r="39" spans="1:7" x14ac:dyDescent="0.35">
      <c r="A39" s="18" t="s">
        <v>139</v>
      </c>
      <c r="B39" s="10" t="s">
        <v>140</v>
      </c>
      <c r="C39" s="19">
        <v>5</v>
      </c>
      <c r="D39" s="160" t="s">
        <v>87</v>
      </c>
      <c r="E39" s="20">
        <v>5519952</v>
      </c>
      <c r="F39" s="21">
        <v>355</v>
      </c>
      <c r="G39" s="22">
        <v>0</v>
      </c>
    </row>
    <row r="40" spans="1:7" x14ac:dyDescent="0.35">
      <c r="A40" s="18" t="s">
        <v>141</v>
      </c>
      <c r="B40" s="10" t="s">
        <v>142</v>
      </c>
      <c r="C40" s="19">
        <v>4</v>
      </c>
      <c r="D40" s="160" t="s">
        <v>87</v>
      </c>
      <c r="E40" s="20">
        <v>2988726</v>
      </c>
      <c r="F40" s="21">
        <v>307</v>
      </c>
      <c r="G40" s="22">
        <f t="shared" si="0"/>
        <v>20</v>
      </c>
    </row>
    <row r="41" spans="1:7" x14ac:dyDescent="0.35">
      <c r="A41" s="18" t="s">
        <v>143</v>
      </c>
      <c r="B41" s="10" t="s">
        <v>144</v>
      </c>
      <c r="C41" s="19">
        <v>7</v>
      </c>
      <c r="D41" s="160" t="s">
        <v>87</v>
      </c>
      <c r="E41" s="20">
        <v>6093000</v>
      </c>
      <c r="F41" s="21">
        <v>802</v>
      </c>
      <c r="G41" s="22">
        <v>0</v>
      </c>
    </row>
    <row r="42" spans="1:7" x14ac:dyDescent="0.35">
      <c r="A42" s="18" t="s">
        <v>145</v>
      </c>
      <c r="B42" s="10" t="s">
        <v>146</v>
      </c>
      <c r="C42" s="19">
        <v>8</v>
      </c>
      <c r="D42" s="160" t="s">
        <v>102</v>
      </c>
      <c r="E42" s="20">
        <v>1042520</v>
      </c>
      <c r="F42" s="21">
        <v>166</v>
      </c>
      <c r="G42" s="22">
        <v>0</v>
      </c>
    </row>
    <row r="43" spans="1:7" x14ac:dyDescent="0.35">
      <c r="A43" s="18" t="s">
        <v>147</v>
      </c>
      <c r="B43" s="10" t="s">
        <v>148</v>
      </c>
      <c r="C43" s="19">
        <v>7</v>
      </c>
      <c r="D43" s="160" t="s">
        <v>87</v>
      </c>
      <c r="E43" s="20">
        <v>1907116</v>
      </c>
      <c r="F43" s="21">
        <v>255</v>
      </c>
      <c r="G43" s="22">
        <v>0</v>
      </c>
    </row>
    <row r="44" spans="1:7" x14ac:dyDescent="0.35">
      <c r="A44" s="18" t="s">
        <v>149</v>
      </c>
      <c r="B44" s="10" t="s">
        <v>150</v>
      </c>
      <c r="C44" s="19">
        <v>9</v>
      </c>
      <c r="D44" s="160" t="s">
        <v>102</v>
      </c>
      <c r="E44" s="20">
        <v>2940058</v>
      </c>
      <c r="F44" s="21">
        <v>11</v>
      </c>
      <c r="G44" s="22">
        <v>0</v>
      </c>
    </row>
    <row r="45" spans="1:7" ht="16" customHeight="1" x14ac:dyDescent="0.35">
      <c r="A45" s="18" t="s">
        <v>151</v>
      </c>
      <c r="B45" s="10" t="s">
        <v>152</v>
      </c>
      <c r="C45" s="19">
        <v>1</v>
      </c>
      <c r="D45" s="160" t="s">
        <v>92</v>
      </c>
      <c r="E45" s="20">
        <v>1334795</v>
      </c>
      <c r="F45" s="21">
        <v>45</v>
      </c>
      <c r="G45" s="22">
        <v>0</v>
      </c>
    </row>
    <row r="46" spans="1:7" x14ac:dyDescent="0.35">
      <c r="A46" s="18" t="s">
        <v>153</v>
      </c>
      <c r="B46" s="10" t="s">
        <v>154</v>
      </c>
      <c r="C46" s="19">
        <v>2</v>
      </c>
      <c r="D46" s="160" t="s">
        <v>87</v>
      </c>
      <c r="E46" s="20">
        <v>8944469</v>
      </c>
      <c r="F46" s="21">
        <v>340</v>
      </c>
      <c r="G46" s="22">
        <v>0</v>
      </c>
    </row>
    <row r="47" spans="1:7" x14ac:dyDescent="0.35">
      <c r="A47" s="18" t="s">
        <v>155</v>
      </c>
      <c r="B47" s="10" t="s">
        <v>156</v>
      </c>
      <c r="C47" s="19">
        <v>6</v>
      </c>
      <c r="D47" s="160" t="s">
        <v>92</v>
      </c>
      <c r="E47" s="20">
        <v>2081015</v>
      </c>
      <c r="F47" s="21">
        <v>49</v>
      </c>
      <c r="G47" s="22">
        <v>0</v>
      </c>
    </row>
    <row r="48" spans="1:7" x14ac:dyDescent="0.35">
      <c r="A48" s="18" t="s">
        <v>157</v>
      </c>
      <c r="B48" s="10" t="s">
        <v>158</v>
      </c>
      <c r="C48" s="19">
        <v>2</v>
      </c>
      <c r="D48" s="160" t="s">
        <v>102</v>
      </c>
      <c r="E48" s="20">
        <v>19745289</v>
      </c>
      <c r="F48" s="21">
        <v>566</v>
      </c>
      <c r="G48" s="22">
        <f t="shared" si="0"/>
        <v>40</v>
      </c>
    </row>
    <row r="49" spans="1:7" x14ac:dyDescent="0.35">
      <c r="A49" s="18" t="s">
        <v>159</v>
      </c>
      <c r="B49" s="10" t="s">
        <v>160</v>
      </c>
      <c r="C49" s="19">
        <v>4</v>
      </c>
      <c r="D49" s="160" t="s">
        <v>87</v>
      </c>
      <c r="E49" s="20">
        <v>10146788</v>
      </c>
      <c r="F49" s="21">
        <v>394</v>
      </c>
      <c r="G49" s="22">
        <f t="shared" si="0"/>
        <v>20</v>
      </c>
    </row>
    <row r="50" spans="1:7" x14ac:dyDescent="0.35">
      <c r="A50" s="18" t="s">
        <v>161</v>
      </c>
      <c r="B50" s="10" t="s">
        <v>162</v>
      </c>
      <c r="C50" s="19">
        <v>8</v>
      </c>
      <c r="D50" s="160" t="s">
        <v>87</v>
      </c>
      <c r="E50" s="20">
        <v>757952</v>
      </c>
      <c r="F50" s="21">
        <v>339</v>
      </c>
      <c r="G50" s="22">
        <v>0</v>
      </c>
    </row>
    <row r="51" spans="1:7" x14ac:dyDescent="0.35">
      <c r="A51" s="18" t="s">
        <v>163</v>
      </c>
      <c r="B51" s="10" t="s">
        <v>164</v>
      </c>
      <c r="C51" s="19">
        <v>9</v>
      </c>
      <c r="D51" s="160" t="s">
        <v>92</v>
      </c>
      <c r="E51" s="10"/>
      <c r="F51" s="21">
        <v>3</v>
      </c>
      <c r="G51" s="22">
        <f>_xlfn.IFS(F51&gt;=500,$B$5,AND(F51&gt;=100,F51&lt;500),$B$6,F51&lt;100,$B$7)</f>
        <v>10</v>
      </c>
    </row>
    <row r="52" spans="1:7" x14ac:dyDescent="0.35">
      <c r="A52" s="18" t="s">
        <v>165</v>
      </c>
      <c r="B52" s="10" t="s">
        <v>166</v>
      </c>
      <c r="C52" s="19">
        <v>5</v>
      </c>
      <c r="D52" s="160" t="s">
        <v>95</v>
      </c>
      <c r="E52" s="20">
        <v>11614373</v>
      </c>
      <c r="F52" s="21">
        <v>1363</v>
      </c>
      <c r="G52" s="22">
        <v>0</v>
      </c>
    </row>
    <row r="53" spans="1:7" x14ac:dyDescent="0.35">
      <c r="A53" s="18" t="s">
        <v>167</v>
      </c>
      <c r="B53" s="10" t="s">
        <v>168</v>
      </c>
      <c r="C53" s="19">
        <v>6</v>
      </c>
      <c r="D53" s="160" t="s">
        <v>95</v>
      </c>
      <c r="E53" s="20">
        <v>3923561</v>
      </c>
      <c r="F53" s="21">
        <v>279</v>
      </c>
      <c r="G53" s="22">
        <v>0</v>
      </c>
    </row>
    <row r="54" spans="1:7" x14ac:dyDescent="0.35">
      <c r="A54" s="18" t="s">
        <v>169</v>
      </c>
      <c r="B54" s="10" t="s">
        <v>170</v>
      </c>
      <c r="C54" s="19">
        <v>10</v>
      </c>
      <c r="D54" s="160" t="s">
        <v>87</v>
      </c>
      <c r="E54" s="20">
        <v>4093465</v>
      </c>
      <c r="F54" s="21">
        <v>166</v>
      </c>
      <c r="G54" s="22">
        <v>0</v>
      </c>
    </row>
    <row r="55" spans="1:7" x14ac:dyDescent="0.35">
      <c r="A55" s="18" t="s">
        <v>171</v>
      </c>
      <c r="B55" s="10" t="s">
        <v>172</v>
      </c>
      <c r="C55" s="19">
        <v>3</v>
      </c>
      <c r="D55" s="160" t="s">
        <v>102</v>
      </c>
      <c r="E55" s="20">
        <v>12784227</v>
      </c>
      <c r="F55" s="21">
        <v>937</v>
      </c>
      <c r="G55" s="22">
        <v>0</v>
      </c>
    </row>
    <row r="56" spans="1:7" x14ac:dyDescent="0.35">
      <c r="A56" s="18" t="s">
        <v>173</v>
      </c>
      <c r="B56" s="10" t="s">
        <v>174</v>
      </c>
      <c r="C56" s="19">
        <v>2</v>
      </c>
      <c r="D56" s="160" t="s">
        <v>92</v>
      </c>
      <c r="E56" s="23">
        <v>3411307</v>
      </c>
      <c r="F56" s="21">
        <v>47</v>
      </c>
      <c r="G56" s="22">
        <f t="shared" si="0"/>
        <v>10</v>
      </c>
    </row>
    <row r="57" spans="1:7" x14ac:dyDescent="0.35">
      <c r="A57" s="18" t="s">
        <v>175</v>
      </c>
      <c r="B57" s="10" t="s">
        <v>176</v>
      </c>
      <c r="C57" s="19">
        <v>1</v>
      </c>
      <c r="D57" s="160" t="s">
        <v>102</v>
      </c>
      <c r="E57" s="20">
        <v>1056426</v>
      </c>
      <c r="F57" s="21">
        <v>19</v>
      </c>
      <c r="G57" s="22">
        <v>0</v>
      </c>
    </row>
    <row r="58" spans="1:7" x14ac:dyDescent="0.35">
      <c r="A58" s="18" t="s">
        <v>177</v>
      </c>
      <c r="B58" s="10" t="s">
        <v>178</v>
      </c>
      <c r="C58" s="19">
        <v>4</v>
      </c>
      <c r="D58" s="160" t="s">
        <v>87</v>
      </c>
      <c r="E58" s="20">
        <v>4961119</v>
      </c>
      <c r="F58" s="21">
        <v>173</v>
      </c>
      <c r="G58" s="22">
        <f t="shared" si="0"/>
        <v>20</v>
      </c>
    </row>
    <row r="59" spans="1:7" x14ac:dyDescent="0.35">
      <c r="A59" s="18" t="s">
        <v>179</v>
      </c>
      <c r="B59" s="10" t="s">
        <v>180</v>
      </c>
      <c r="C59" s="19">
        <v>8</v>
      </c>
      <c r="D59" s="160" t="s">
        <v>87</v>
      </c>
      <c r="E59" s="20">
        <v>865454</v>
      </c>
      <c r="F59" s="21">
        <v>348</v>
      </c>
      <c r="G59" s="22">
        <v>0</v>
      </c>
    </row>
    <row r="60" spans="1:7" x14ac:dyDescent="0.35">
      <c r="A60" s="18" t="s">
        <v>181</v>
      </c>
      <c r="B60" s="10" t="s">
        <v>182</v>
      </c>
      <c r="C60" s="19">
        <v>4</v>
      </c>
      <c r="D60" s="160" t="s">
        <v>87</v>
      </c>
      <c r="E60" s="20">
        <v>6651194</v>
      </c>
      <c r="F60" s="21">
        <v>377</v>
      </c>
      <c r="G60" s="22">
        <v>0</v>
      </c>
    </row>
    <row r="61" spans="1:7" x14ac:dyDescent="0.35">
      <c r="A61" s="18" t="s">
        <v>183</v>
      </c>
      <c r="B61" s="10" t="s">
        <v>184</v>
      </c>
      <c r="C61" s="19">
        <v>6</v>
      </c>
      <c r="D61" s="160" t="s">
        <v>95</v>
      </c>
      <c r="E61" s="20">
        <v>27862596</v>
      </c>
      <c r="F61" s="21">
        <v>1215</v>
      </c>
      <c r="G61" s="22">
        <v>0</v>
      </c>
    </row>
    <row r="62" spans="1:7" x14ac:dyDescent="0.35">
      <c r="A62" s="18" t="s">
        <v>185</v>
      </c>
      <c r="B62" s="10" t="s">
        <v>186</v>
      </c>
      <c r="C62" s="19">
        <v>8</v>
      </c>
      <c r="D62" s="160" t="s">
        <v>95</v>
      </c>
      <c r="E62" s="20">
        <v>3051217</v>
      </c>
      <c r="F62" s="21">
        <v>64</v>
      </c>
      <c r="G62" s="22">
        <v>0</v>
      </c>
    </row>
    <row r="63" spans="1:7" x14ac:dyDescent="0.35">
      <c r="A63" s="18" t="s">
        <v>187</v>
      </c>
      <c r="B63" s="10" t="s">
        <v>188</v>
      </c>
      <c r="C63" s="19">
        <v>1</v>
      </c>
      <c r="D63" s="160" t="s">
        <v>102</v>
      </c>
      <c r="E63" s="20">
        <v>624594</v>
      </c>
      <c r="F63" s="21">
        <v>87</v>
      </c>
      <c r="G63" s="22">
        <v>0</v>
      </c>
    </row>
    <row r="64" spans="1:7" x14ac:dyDescent="0.35">
      <c r="A64" s="18" t="s">
        <v>189</v>
      </c>
      <c r="B64" s="10" t="s">
        <v>190</v>
      </c>
      <c r="C64" s="19">
        <v>2</v>
      </c>
      <c r="D64" s="160" t="s">
        <v>102</v>
      </c>
      <c r="E64" s="10"/>
      <c r="F64" s="21">
        <v>8</v>
      </c>
      <c r="G64" s="22">
        <f t="shared" si="0"/>
        <v>10</v>
      </c>
    </row>
    <row r="65" spans="1:7" x14ac:dyDescent="0.35">
      <c r="A65" s="18" t="s">
        <v>191</v>
      </c>
      <c r="B65" s="10" t="s">
        <v>192</v>
      </c>
      <c r="C65" s="19">
        <v>3</v>
      </c>
      <c r="D65" s="160" t="s">
        <v>87</v>
      </c>
      <c r="E65" s="20">
        <v>8411808</v>
      </c>
      <c r="F65" s="21">
        <v>305</v>
      </c>
      <c r="G65" s="22">
        <v>0</v>
      </c>
    </row>
    <row r="66" spans="1:7" x14ac:dyDescent="0.35">
      <c r="A66" s="18" t="s">
        <v>193</v>
      </c>
      <c r="B66" s="10" t="s">
        <v>194</v>
      </c>
      <c r="C66" s="19">
        <v>10</v>
      </c>
      <c r="D66" s="160" t="s">
        <v>102</v>
      </c>
      <c r="E66" s="20">
        <v>7288000</v>
      </c>
      <c r="F66" s="21">
        <v>239</v>
      </c>
      <c r="G66" s="22">
        <v>0</v>
      </c>
    </row>
    <row r="67" spans="1:7" x14ac:dyDescent="0.35">
      <c r="A67" s="18" t="s">
        <v>195</v>
      </c>
      <c r="B67" s="10" t="s">
        <v>196</v>
      </c>
      <c r="C67" s="19">
        <v>3</v>
      </c>
      <c r="D67" s="160" t="s">
        <v>87</v>
      </c>
      <c r="E67" s="20">
        <v>1831102</v>
      </c>
      <c r="F67" s="21">
        <v>585</v>
      </c>
      <c r="G67" s="22">
        <v>0</v>
      </c>
    </row>
    <row r="68" spans="1:7" x14ac:dyDescent="0.35">
      <c r="A68" s="18" t="s">
        <v>197</v>
      </c>
      <c r="B68" s="10" t="s">
        <v>198</v>
      </c>
      <c r="C68" s="19">
        <v>5</v>
      </c>
      <c r="D68" s="160" t="s">
        <v>95</v>
      </c>
      <c r="E68" s="20">
        <v>5778708</v>
      </c>
      <c r="F68" s="21">
        <v>526</v>
      </c>
      <c r="G68" s="22">
        <v>0</v>
      </c>
    </row>
    <row r="69" spans="1:7" x14ac:dyDescent="0.35">
      <c r="A69" s="18" t="s">
        <v>199</v>
      </c>
      <c r="B69" s="10" t="s">
        <v>200</v>
      </c>
      <c r="C69" s="19">
        <v>8</v>
      </c>
      <c r="D69" s="160" t="s">
        <v>102</v>
      </c>
      <c r="E69" s="20">
        <v>585501</v>
      </c>
      <c r="F69" s="21">
        <v>74</v>
      </c>
      <c r="G69" s="22">
        <v>0</v>
      </c>
    </row>
    <row r="70" spans="1:7" x14ac:dyDescent="0.35">
      <c r="A70" s="24"/>
      <c r="B70" s="25"/>
    </row>
  </sheetData>
  <autoFilter ref="A13:G69" xr:uid="{00000000-0009-0000-0000-000003000000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Cover Sheet</vt:lpstr>
      <vt:lpstr>Industry_Burden</vt:lpstr>
      <vt:lpstr>Agency_Contractor_Burden</vt:lpstr>
      <vt:lpstr>ODCs</vt:lpstr>
      <vt:lpstr>Agency_Site Visit ODCs</vt:lpstr>
      <vt:lpstr>State_Outreach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MWillett</dc:creator>
  <cp:lastModifiedBy>Tessa Roscoe</cp:lastModifiedBy>
  <dcterms:created xsi:type="dcterms:W3CDTF">2016-07-13T14:53:46Z</dcterms:created>
  <dcterms:modified xsi:type="dcterms:W3CDTF">2020-12-01T02:14:12Z</dcterms:modified>
</cp:coreProperties>
</file>