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nsva\pss\ORA\ORA WORKGROUPS\SN-RAD Studies\WIC ITFPS2\Y9\Post Award\Deliverables\2 Instruments &amp; OMB\ICR to PRAO\Revised ITFPS2 Y9 ICR to PRAO V3\"/>
    </mc:Choice>
  </mc:AlternateContent>
  <bookViews>
    <workbookView xWindow="0" yWindow="0" windowWidth="19200" windowHeight="7056"/>
  </bookViews>
  <sheets>
    <sheet name="Age 9 Extension Burden Table" sheetId="1" r:id="rId1"/>
    <sheet name="Sheet2" sheetId="2" state="hidden" r:id="rId2"/>
  </sheets>
  <definedNames>
    <definedName name="OLE_LINK3" localSheetId="0">'Age 9 Extension Burden Table'!#REF!</definedName>
    <definedName name="_xlnm.Print_Area" localSheetId="0">'Age 9 Extension Burden Table'!$A$1:$R$54</definedName>
    <definedName name="_xlnm.Print_Titles" localSheetId="0">'Age 9 Extension Burden Table'!$3:$3</definedName>
  </definedNames>
  <calcPr calcId="162913"/>
</workbook>
</file>

<file path=xl/calcChain.xml><?xml version="1.0" encoding="utf-8"?>
<calcChain xmlns="http://schemas.openxmlformats.org/spreadsheetml/2006/main">
  <c r="J32" i="1" l="1"/>
  <c r="L49" i="1"/>
  <c r="J48" i="1"/>
  <c r="H13" i="1"/>
  <c r="J18" i="1" l="1"/>
  <c r="L18" i="1" s="1"/>
  <c r="H15" i="1"/>
  <c r="H16" i="1"/>
  <c r="H17" i="1"/>
  <c r="M17" i="1" s="1"/>
  <c r="O17" i="1" s="1"/>
  <c r="Q17" i="1" s="1"/>
  <c r="H18" i="1"/>
  <c r="M18" i="1" s="1"/>
  <c r="O18" i="1" s="1"/>
  <c r="Q18" i="1" s="1"/>
  <c r="R18" i="1" s="1"/>
  <c r="T18" i="1" s="1"/>
  <c r="H19" i="1"/>
  <c r="M19" i="1" s="1"/>
  <c r="O19" i="1" s="1"/>
  <c r="Q19" i="1" s="1"/>
  <c r="U18" i="1" l="1"/>
  <c r="V18" i="1"/>
  <c r="R17" i="1"/>
  <c r="T17" i="1" s="1"/>
  <c r="J19" i="1"/>
  <c r="L19" i="1" s="1"/>
  <c r="R19" i="1" s="1"/>
  <c r="T19" i="1" s="1"/>
  <c r="J17" i="1"/>
  <c r="L17" i="1" s="1"/>
  <c r="H21" i="1"/>
  <c r="H20" i="1"/>
  <c r="H14" i="1"/>
  <c r="U19" i="1" l="1"/>
  <c r="V19" i="1"/>
  <c r="U17" i="1"/>
  <c r="V17" i="1" s="1"/>
  <c r="H50" i="1"/>
  <c r="G48" i="1"/>
  <c r="M48" i="1" s="1"/>
  <c r="M47" i="1"/>
  <c r="O47" i="1" s="1"/>
  <c r="Q47" i="1" s="1"/>
  <c r="J47" i="1"/>
  <c r="L47" i="1" s="1"/>
  <c r="M46" i="1"/>
  <c r="O46" i="1" s="1"/>
  <c r="Q46" i="1" s="1"/>
  <c r="J46" i="1"/>
  <c r="L46" i="1" s="1"/>
  <c r="O45" i="1"/>
  <c r="H45" i="1"/>
  <c r="J45" i="1" s="1"/>
  <c r="H44" i="1"/>
  <c r="M44" i="1" s="1"/>
  <c r="O44" i="1" s="1"/>
  <c r="Q44" i="1" s="1"/>
  <c r="H43" i="1"/>
  <c r="J43" i="1" s="1"/>
  <c r="L43" i="1" s="1"/>
  <c r="H42" i="1"/>
  <c r="M42" i="1" s="1"/>
  <c r="O42" i="1" s="1"/>
  <c r="Q42" i="1" s="1"/>
  <c r="L45" i="1" l="1"/>
  <c r="G50" i="1"/>
  <c r="J42" i="1"/>
  <c r="J44" i="1"/>
  <c r="L44" i="1" s="1"/>
  <c r="R44" i="1" s="1"/>
  <c r="T44" i="1" s="1"/>
  <c r="R46" i="1"/>
  <c r="T46" i="1" s="1"/>
  <c r="O48" i="1"/>
  <c r="R47" i="1"/>
  <c r="T47" i="1" s="1"/>
  <c r="L42" i="1"/>
  <c r="M43" i="1"/>
  <c r="O43" i="1" s="1"/>
  <c r="Q43" i="1" s="1"/>
  <c r="R43" i="1" s="1"/>
  <c r="T43" i="1" s="1"/>
  <c r="Q45" i="1"/>
  <c r="Q48" i="1" s="1"/>
  <c r="P33" i="1"/>
  <c r="J20" i="1"/>
  <c r="L20" i="1" s="1"/>
  <c r="J21" i="1"/>
  <c r="L21" i="1" s="1"/>
  <c r="H22" i="1"/>
  <c r="G23" i="1"/>
  <c r="G24" i="1"/>
  <c r="G25" i="1"/>
  <c r="G26" i="1"/>
  <c r="R45" i="1" l="1"/>
  <c r="T45" i="1" s="1"/>
  <c r="U47" i="1"/>
  <c r="V47" i="1"/>
  <c r="U46" i="1"/>
  <c r="V46" i="1" s="1"/>
  <c r="U44" i="1"/>
  <c r="V44" i="1" s="1"/>
  <c r="U45" i="1"/>
  <c r="V45" i="1" s="1"/>
  <c r="U43" i="1"/>
  <c r="V43" i="1" s="1"/>
  <c r="J50" i="1"/>
  <c r="I50" i="1" s="1"/>
  <c r="L48" i="1"/>
  <c r="R42" i="1"/>
  <c r="M16" i="1"/>
  <c r="O16" i="1" s="1"/>
  <c r="Q16" i="1" s="1"/>
  <c r="J15" i="1"/>
  <c r="L15" i="1" s="1"/>
  <c r="M15" i="1"/>
  <c r="O15" i="1" s="1"/>
  <c r="Q15" i="1" s="1"/>
  <c r="M20" i="1"/>
  <c r="O20" i="1" s="1"/>
  <c r="Q20" i="1" s="1"/>
  <c r="R20" i="1" s="1"/>
  <c r="T20" i="1" s="1"/>
  <c r="M21" i="1"/>
  <c r="O21" i="1" s="1"/>
  <c r="Q21" i="1" s="1"/>
  <c r="R21" i="1" s="1"/>
  <c r="T21" i="1" s="1"/>
  <c r="O31" i="1"/>
  <c r="Q31" i="1" s="1"/>
  <c r="J31" i="1"/>
  <c r="L31" i="1" s="1"/>
  <c r="H35" i="1"/>
  <c r="J35" i="1" s="1"/>
  <c r="L35" i="1" s="1"/>
  <c r="M28" i="1"/>
  <c r="O28" i="1" s="1"/>
  <c r="Q28" i="1" s="1"/>
  <c r="J28" i="1"/>
  <c r="L28" i="1" s="1"/>
  <c r="I48" i="1" l="1"/>
  <c r="T42" i="1"/>
  <c r="R48" i="1"/>
  <c r="U21" i="1"/>
  <c r="V21" i="1" s="1"/>
  <c r="U20" i="1"/>
  <c r="V20" i="1" s="1"/>
  <c r="K48" i="1"/>
  <c r="J16" i="1"/>
  <c r="L16" i="1" s="1"/>
  <c r="R16" i="1" s="1"/>
  <c r="T16" i="1" s="1"/>
  <c r="R31" i="1"/>
  <c r="T31" i="1" s="1"/>
  <c r="R15" i="1"/>
  <c r="T15" i="1" s="1"/>
  <c r="M35" i="1"/>
  <c r="O35" i="1" s="1"/>
  <c r="Q35" i="1" s="1"/>
  <c r="R35" i="1" s="1"/>
  <c r="T35" i="1" s="1"/>
  <c r="R28" i="1"/>
  <c r="T28" i="1" s="1"/>
  <c r="U15" i="1" l="1"/>
  <c r="V15" i="1" s="1"/>
  <c r="U28" i="1"/>
  <c r="V28" i="1" s="1"/>
  <c r="U31" i="1"/>
  <c r="V31" i="1" s="1"/>
  <c r="U16" i="1"/>
  <c r="V16" i="1" s="1"/>
  <c r="U35" i="1"/>
  <c r="V35" i="1" s="1"/>
  <c r="T48" i="1"/>
  <c r="U42" i="1"/>
  <c r="U48" i="1" s="1"/>
  <c r="L50" i="1"/>
  <c r="K50" i="1" s="1"/>
  <c r="V42" i="1" l="1"/>
  <c r="V48" i="1" s="1"/>
  <c r="R49" i="1"/>
  <c r="T49" i="1" l="1"/>
  <c r="R50" i="1"/>
  <c r="L32" i="1"/>
  <c r="R32" i="1" s="1"/>
  <c r="T32" i="1" s="1"/>
  <c r="U32" i="1" l="1"/>
  <c r="V32" i="1" s="1"/>
  <c r="U49" i="1"/>
  <c r="U50" i="1" s="1"/>
  <c r="T50" i="1"/>
  <c r="H7" i="1"/>
  <c r="J7" i="1" s="1"/>
  <c r="L7" i="1" s="1"/>
  <c r="H6" i="1"/>
  <c r="J6" i="1" s="1"/>
  <c r="L6" i="1" s="1"/>
  <c r="P9" i="1"/>
  <c r="P8" i="1"/>
  <c r="P7" i="1"/>
  <c r="P6" i="1"/>
  <c r="V49" i="1" l="1"/>
  <c r="V50" i="1" s="1"/>
  <c r="M6" i="1"/>
  <c r="O6" i="1" s="1"/>
  <c r="Q6" i="1" s="1"/>
  <c r="R6" i="1" s="1"/>
  <c r="T6" i="1" s="1"/>
  <c r="J8" i="1"/>
  <c r="L8" i="1" s="1"/>
  <c r="M7" i="1"/>
  <c r="U6" i="1" l="1"/>
  <c r="V6" i="1" s="1"/>
  <c r="O7" i="1"/>
  <c r="Q7" i="1" s="1"/>
  <c r="R7" i="1" s="1"/>
  <c r="T7" i="1" s="1"/>
  <c r="G8" i="1"/>
  <c r="M8" i="1" s="1"/>
  <c r="G9" i="1" l="1"/>
  <c r="H9" i="1" s="1"/>
  <c r="O8" i="1"/>
  <c r="Q8" i="1" s="1"/>
  <c r="R8" i="1" s="1"/>
  <c r="T8" i="1" s="1"/>
  <c r="U7" i="1"/>
  <c r="V7" i="1"/>
  <c r="U8" i="1" l="1"/>
  <c r="V8" i="1"/>
  <c r="M9" i="1"/>
  <c r="O9" i="1" s="1"/>
  <c r="Q9" i="1" s="1"/>
  <c r="J9" i="1"/>
  <c r="L9" i="1" s="1"/>
  <c r="R9" i="1" s="1"/>
  <c r="T9" i="1" s="1"/>
  <c r="J38" i="1"/>
  <c r="U9" i="1" l="1"/>
  <c r="V9" i="1" s="1"/>
  <c r="J39" i="1"/>
  <c r="L39" i="1" s="1"/>
  <c r="G11" i="1" l="1"/>
  <c r="N11" i="1"/>
  <c r="M11" i="1" l="1"/>
  <c r="G12" i="1" l="1"/>
  <c r="H12" i="1" s="1"/>
  <c r="J11" i="1"/>
  <c r="L11" i="1" s="1"/>
  <c r="O11" i="1"/>
  <c r="Q11" i="1" s="1"/>
  <c r="P4" i="1"/>
  <c r="M4" i="1"/>
  <c r="O4" i="1" l="1"/>
  <c r="Q4" i="1" s="1"/>
  <c r="M26" i="1"/>
  <c r="R11" i="1"/>
  <c r="T11" i="1" s="1"/>
  <c r="J4" i="1"/>
  <c r="L4" i="1" s="1"/>
  <c r="U11" i="1" l="1"/>
  <c r="V11" i="1"/>
  <c r="R4" i="1"/>
  <c r="T4" i="1" l="1"/>
  <c r="M5" i="1"/>
  <c r="O5" i="1" s="1"/>
  <c r="P5" i="1"/>
  <c r="U4" i="1" l="1"/>
  <c r="V4" i="1" s="1"/>
  <c r="J5" i="1"/>
  <c r="L5" i="1" s="1"/>
  <c r="Q5" i="1"/>
  <c r="R5" i="1" l="1"/>
  <c r="T5" i="1" l="1"/>
  <c r="H26" i="1"/>
  <c r="U5" i="1" l="1"/>
  <c r="V5" i="1"/>
  <c r="J22" i="1"/>
  <c r="L22" i="1" s="1"/>
  <c r="P25" i="1"/>
  <c r="P24" i="1"/>
  <c r="P10" i="1"/>
  <c r="M22" i="1" l="1"/>
  <c r="O22" i="1" s="1"/>
  <c r="Q22" i="1" s="1"/>
  <c r="R22" i="1" s="1"/>
  <c r="T22" i="1" s="1"/>
  <c r="H33" i="1"/>
  <c r="G40" i="1"/>
  <c r="G33" i="1"/>
  <c r="U22" i="1" l="1"/>
  <c r="V22" i="1"/>
  <c r="G41" i="1"/>
  <c r="H36" i="1"/>
  <c r="H37" i="1"/>
  <c r="H34" i="1"/>
  <c r="M29" i="1"/>
  <c r="J29" i="1"/>
  <c r="L29" i="1" s="1"/>
  <c r="M27" i="1"/>
  <c r="J27" i="1"/>
  <c r="L27" i="1" l="1"/>
  <c r="O29" i="1"/>
  <c r="Q29" i="1" s="1"/>
  <c r="R29" i="1" s="1"/>
  <c r="T29" i="1" s="1"/>
  <c r="M36" i="1"/>
  <c r="J36" i="1"/>
  <c r="L36" i="1" s="1"/>
  <c r="U29" i="1" l="1"/>
  <c r="V29" i="1" s="1"/>
  <c r="O36" i="1"/>
  <c r="Q36" i="1" s="1"/>
  <c r="R36" i="1" s="1"/>
  <c r="T36" i="1" s="1"/>
  <c r="U36" i="1" l="1"/>
  <c r="V36" i="1"/>
  <c r="G51" i="1"/>
  <c r="N24" i="1"/>
  <c r="N13" i="1" l="1"/>
  <c r="N12" i="1" l="1"/>
  <c r="N10" i="1"/>
  <c r="J37" i="1" l="1"/>
  <c r="O37" i="1"/>
  <c r="L38" i="1"/>
  <c r="M38" i="1"/>
  <c r="M39" i="1"/>
  <c r="J30" i="1"/>
  <c r="J33" i="1" s="1"/>
  <c r="I33" i="1" s="1"/>
  <c r="O30" i="1"/>
  <c r="N25" i="1"/>
  <c r="H41" i="1"/>
  <c r="H51" i="1" s="1"/>
  <c r="M40" i="1"/>
  <c r="C17" i="2"/>
  <c r="D8" i="2" s="1"/>
  <c r="C6" i="2"/>
  <c r="C3" i="2"/>
  <c r="C5" i="2"/>
  <c r="C12" i="2"/>
  <c r="C14" i="2"/>
  <c r="C13" i="2"/>
  <c r="C10" i="2"/>
  <c r="C7" i="2"/>
  <c r="C11" i="2"/>
  <c r="D16" i="2" l="1"/>
  <c r="Q30" i="1"/>
  <c r="O39" i="1"/>
  <c r="Q39" i="1" s="1"/>
  <c r="R39" i="1" s="1"/>
  <c r="T39" i="1" s="1"/>
  <c r="U39" i="1" s="1"/>
  <c r="V39" i="1" s="1"/>
  <c r="O33" i="1"/>
  <c r="L30" i="1"/>
  <c r="L33" i="1" s="1"/>
  <c r="K33" i="1" s="1"/>
  <c r="M41" i="1"/>
  <c r="M51" i="1" s="1"/>
  <c r="C4" i="2"/>
  <c r="O38" i="1"/>
  <c r="Q37" i="1"/>
  <c r="L37" i="1"/>
  <c r="M33" i="1"/>
  <c r="O40" i="1" l="1"/>
  <c r="O41" i="1" s="1"/>
  <c r="R30" i="1"/>
  <c r="T30" i="1" s="1"/>
  <c r="Q38" i="1"/>
  <c r="R38" i="1" s="1"/>
  <c r="T38" i="1" s="1"/>
  <c r="U38" i="1" s="1"/>
  <c r="V38" i="1" s="1"/>
  <c r="R37" i="1"/>
  <c r="T37" i="1" s="1"/>
  <c r="Q33" i="1"/>
  <c r="U37" i="1" l="1"/>
  <c r="V37" i="1" s="1"/>
  <c r="U30" i="1"/>
  <c r="V30" i="1"/>
  <c r="Q40" i="1"/>
  <c r="Q41" i="1" s="1"/>
  <c r="J14" i="1" l="1"/>
  <c r="L14" i="1" s="1"/>
  <c r="H25" i="1"/>
  <c r="H24" i="1"/>
  <c r="M24" i="1" s="1"/>
  <c r="H10" i="1"/>
  <c r="M14" i="1" l="1"/>
  <c r="O14" i="1" s="1"/>
  <c r="Q14" i="1" s="1"/>
  <c r="J25" i="1"/>
  <c r="M25" i="1"/>
  <c r="M10" i="1"/>
  <c r="O10" i="1" s="1"/>
  <c r="Q10" i="1" s="1"/>
  <c r="J10" i="1"/>
  <c r="L10" i="1" s="1"/>
  <c r="R10" i="1" l="1"/>
  <c r="J24" i="1"/>
  <c r="L24" i="1" s="1"/>
  <c r="O24" i="1"/>
  <c r="Q24" i="1" s="1"/>
  <c r="L25" i="1"/>
  <c r="R14" i="1"/>
  <c r="O25" i="1"/>
  <c r="Q25" i="1" s="1"/>
  <c r="J12" i="1"/>
  <c r="L12" i="1" s="1"/>
  <c r="M12" i="1"/>
  <c r="O12" i="1" s="1"/>
  <c r="Q12" i="1" s="1"/>
  <c r="T14" i="1" l="1"/>
  <c r="T10" i="1"/>
  <c r="R24" i="1"/>
  <c r="T24" i="1" s="1"/>
  <c r="R25" i="1"/>
  <c r="T25" i="1" s="1"/>
  <c r="M13" i="1"/>
  <c r="O13" i="1" s="1"/>
  <c r="Q13" i="1" s="1"/>
  <c r="R12" i="1"/>
  <c r="T12" i="1" s="1"/>
  <c r="U12" i="1" l="1"/>
  <c r="V12" i="1"/>
  <c r="U10" i="1"/>
  <c r="V10" i="1" s="1"/>
  <c r="U25" i="1"/>
  <c r="V25" i="1" s="1"/>
  <c r="U14" i="1"/>
  <c r="V14" i="1" s="1"/>
  <c r="U24" i="1"/>
  <c r="V24" i="1" s="1"/>
  <c r="J13" i="1"/>
  <c r="J23" i="1"/>
  <c r="L23" i="1" s="1"/>
  <c r="M23" i="1"/>
  <c r="O23" i="1" s="1"/>
  <c r="Q23" i="1" l="1"/>
  <c r="Q26" i="1" s="1"/>
  <c r="Q51" i="1" s="1"/>
  <c r="O26" i="1"/>
  <c r="J26" i="1"/>
  <c r="I26" i="1" s="1"/>
  <c r="L13" i="1"/>
  <c r="L26" i="1" s="1"/>
  <c r="K26" i="1" l="1"/>
  <c r="O51" i="1"/>
  <c r="N51" i="1" s="1"/>
  <c r="N26" i="1"/>
  <c r="P26" i="1"/>
  <c r="R23" i="1"/>
  <c r="T23" i="1" s="1"/>
  <c r="R13" i="1"/>
  <c r="T13" i="1" s="1"/>
  <c r="R26" i="1" l="1"/>
  <c r="U23" i="1"/>
  <c r="V23" i="1" s="1"/>
  <c r="P51" i="1"/>
  <c r="C15" i="2"/>
  <c r="U13" i="1" l="1"/>
  <c r="U26" i="1" s="1"/>
  <c r="V13" i="1"/>
  <c r="V26" i="1" s="1"/>
  <c r="M34" i="1"/>
  <c r="O34" i="1" s="1"/>
  <c r="Q34" i="1" s="1"/>
  <c r="J34" i="1"/>
  <c r="J40" i="1" s="1"/>
  <c r="I40" i="1" s="1"/>
  <c r="L34" i="1" l="1"/>
  <c r="L40" i="1" s="1"/>
  <c r="K40" i="1" s="1"/>
  <c r="J41" i="1"/>
  <c r="J51" i="1" l="1"/>
  <c r="I51" i="1" s="1"/>
  <c r="I41" i="1"/>
  <c r="R34" i="1"/>
  <c r="L41" i="1"/>
  <c r="K41" i="1" s="1"/>
  <c r="T34" i="1" l="1"/>
  <c r="R40" i="1"/>
  <c r="O27" i="1"/>
  <c r="Q27" i="1" s="1"/>
  <c r="R27" i="1" s="1"/>
  <c r="L51" i="1"/>
  <c r="T27" i="1" l="1"/>
  <c r="R33" i="1"/>
  <c r="R41" i="1" s="1"/>
  <c r="R51" i="1" s="1"/>
  <c r="T40" i="1"/>
  <c r="U34" i="1"/>
  <c r="U40" i="1" s="1"/>
  <c r="V34" i="1"/>
  <c r="V40" i="1" s="1"/>
  <c r="K51" i="1"/>
  <c r="T33" i="1" l="1"/>
  <c r="T41" i="1" s="1"/>
  <c r="U27" i="1"/>
  <c r="U33" i="1" s="1"/>
  <c r="U41" i="1" s="1"/>
  <c r="U51" i="1" s="1"/>
  <c r="V27" i="1" l="1"/>
  <c r="V33" i="1" s="1"/>
  <c r="V41" i="1" s="1"/>
  <c r="V51" i="1" s="1"/>
  <c r="T26" i="1" l="1"/>
  <c r="T51" i="1" s="1"/>
</calcChain>
</file>

<file path=xl/sharedStrings.xml><?xml version="1.0" encoding="utf-8"?>
<sst xmlns="http://schemas.openxmlformats.org/spreadsheetml/2006/main" count="170" uniqueCount="137">
  <si>
    <t>Frequency of Response (annual)</t>
  </si>
  <si>
    <t>Total Annual Responses</t>
  </si>
  <si>
    <t>Average Hours per Response</t>
  </si>
  <si>
    <t>Average Hours per response</t>
  </si>
  <si>
    <t>Total Burden Hours</t>
  </si>
  <si>
    <t>Hospital record data manager</t>
  </si>
  <si>
    <t>Respondent Description</t>
  </si>
  <si>
    <t>State &amp; Local Government</t>
  </si>
  <si>
    <t>Table A.3.1. Paper and electronic instruments by annual responses</t>
  </si>
  <si>
    <t>Paper Instruments</t>
  </si>
  <si>
    <t>Completed by</t>
  </si>
  <si>
    <t xml:space="preserve">Appendix C:  Participant Referral Form </t>
  </si>
  <si>
    <t>WIC Participant</t>
  </si>
  <si>
    <t>WIC Service Site staff</t>
  </si>
  <si>
    <t>Appendix FF:  State/local Key Informant Interview</t>
  </si>
  <si>
    <t>State/Local WIC personnel</t>
  </si>
  <si>
    <t xml:space="preserve">Appendix V:  Note sheet </t>
  </si>
  <si>
    <t>Daycare providers</t>
  </si>
  <si>
    <t>Appendix BB:  Home Health Care Provider Length/Weight</t>
  </si>
  <si>
    <t>Home health care providers (Westat staff)</t>
  </si>
  <si>
    <t>Subtotal paper instruments</t>
  </si>
  <si>
    <t>Electronic Instruments</t>
  </si>
  <si>
    <t>Appendices E:  Screening &amp; Enrollment Participant Interviews</t>
  </si>
  <si>
    <t>Westat recruiters</t>
  </si>
  <si>
    <t>Appendices I-S:  Participant Interviews</t>
  </si>
  <si>
    <t>Westat interviewers</t>
  </si>
  <si>
    <t>Appendix EE:  Local WIC Staff Online Survey</t>
  </si>
  <si>
    <t>Appendix Y:  WIC Administrative Data Request</t>
  </si>
  <si>
    <t>State/local WIC personnel</t>
  </si>
  <si>
    <t>Appendix Z:  Hospital Data Request</t>
  </si>
  <si>
    <t xml:space="preserve">Appendix AA:  Provider Data Request </t>
  </si>
  <si>
    <t>Health care provider data manager</t>
  </si>
  <si>
    <t>Subtotal electronic instruments</t>
  </si>
  <si>
    <t>Total</t>
  </si>
  <si>
    <t>Respondent Type</t>
  </si>
  <si>
    <t>Sub-Total Annual Burden</t>
  </si>
  <si>
    <t>State/Local Government Subtotal</t>
  </si>
  <si>
    <t>GRAND TOTAL</t>
  </si>
  <si>
    <t>Individuals and Households</t>
  </si>
  <si>
    <t>Type of Study Activity</t>
  </si>
  <si>
    <t>WIC site staff 
point of contact</t>
  </si>
  <si>
    <t>Caregivers of 
former WIC children</t>
  </si>
  <si>
    <t>State WIC staff point of contact</t>
  </si>
  <si>
    <t>Study extension webinar</t>
  </si>
  <si>
    <t>Conference call on extension</t>
  </si>
  <si>
    <t>Sample size</t>
  </si>
  <si>
    <t>Number of Respondents</t>
  </si>
  <si>
    <t>Number of non -respondents</t>
  </si>
  <si>
    <t xml:space="preserve">Unique respondents is equal to the largest category of respondents, those who receive the study consent form. Unique nonrespondents is equal to largest category of non-respondents, those who do not complete the 72-month interview.  Total respondents + nonrespondents is larger than sample size as some study participants may respond to some data collection activities and be non-respondents for others. </t>
  </si>
  <si>
    <t>Study extension letter (a)</t>
  </si>
  <si>
    <t xml:space="preserve">(c)  Assume 85% will read the advance letter. </t>
  </si>
  <si>
    <t>(e) Assume 15% of completes will be sampled for 2nd AMPM and 67% will complete 2nd AMPM</t>
  </si>
  <si>
    <t>(f) Assume 70% of respondents to the 72-mo interview will go to the WIC site or their provider for H/W measurement.  Assume 1 hour for reading letter, travel to/from WIC site or provider, and measuring child.</t>
  </si>
  <si>
    <t>(a) Starting sample = 3,020, the number of active participants at the end of the 72-month interview.  Assume 6% attrition per year for Years 7 and 8, so 2,668 will be sent consent forms for the Age 9 study</t>
  </si>
  <si>
    <t>Birthday card respondent year 9 (j)</t>
  </si>
  <si>
    <t>Birthday card child age 9 (k)</t>
  </si>
  <si>
    <t>Study extension webinar (l)</t>
  </si>
  <si>
    <t>Conference calls on extension (m)</t>
  </si>
  <si>
    <t>Study extension summary and agreement (n)</t>
  </si>
  <si>
    <t>Administrative data on Lost to Followup Participants (o)</t>
  </si>
  <si>
    <t>(h) Assume potential respondents for  9-Year HT/WT measures will get an average of 2 reminders to go to WIC or their doctor's office to have their child measured.</t>
  </si>
  <si>
    <t>(j) Assume 80% of cohort will read birthday cards.  Mother and child will both read child card.</t>
  </si>
  <si>
    <t xml:space="preserve">(k) Total respondents + nonrespondents is larger than sample size as some study participants may respond to some data collection activities and be non-respondents for others. </t>
  </si>
  <si>
    <t xml:space="preserve">(l) Assume study extension webinar attended by all 27 states and 1 point of contact from each site. </t>
  </si>
  <si>
    <t>(m) Assumes 1 conf. call with state and 1 conf. call with site with 1 point of contact per site.</t>
  </si>
  <si>
    <t>Subtotal ( r )</t>
  </si>
  <si>
    <t>(i) Assume 100% of respondents will have a valid email/text/mail address to receive thank you.</t>
  </si>
  <si>
    <t>Individuals and Households Subtotal (a) ( c )</t>
  </si>
  <si>
    <t xml:space="preserve">Profit/Non-Profit Business </t>
  </si>
  <si>
    <t>Health care provider</t>
  </si>
  <si>
    <t>Profit/Non-Profit Business Subtotal</t>
  </si>
  <si>
    <t>Contact Information Form - Round 1 (b)</t>
  </si>
  <si>
    <t>(b)  Assume 40% of respondents will complete Contact Information Form based on completion rates for 63, 66, and 69 Contact Information Form completion rate</t>
  </si>
  <si>
    <t>(o) assume 0.05 hours per record in the administrative data request (n = 1,093)</t>
  </si>
  <si>
    <t>(r) Subtotal for Frequency of Response is left blank because for some categories, the frequency for some activities is more than 1</t>
  </si>
  <si>
    <t>(s) Assumes 50% of participants who return measurement cards will be measured at healthcare providers</t>
  </si>
  <si>
    <t>(d) Assume 50% of those who completed the 72-month interview or 35.4% of sample will complete the 9-Year interview</t>
  </si>
  <si>
    <t>(q) Assume 50% of participants who return measurement cards will be measured at WIC with about 4 children weighed and measured per site ((694*.50)/80=4). Assume 10 minutes of staff time for measurements per child.</t>
  </si>
  <si>
    <t xml:space="preserve">Study extension announcement </t>
  </si>
  <si>
    <t>(p) Assume will request participant contact information from WIC sites about once a month over data collection period.  Assume 14 WIC agencies who previously agreed to provide updated participant contact information will continue to do so.</t>
  </si>
  <si>
    <t>Contact Information Form Reminder - Round 2  (b)</t>
  </si>
  <si>
    <t>Contact Information Form Reminder - Round 3  (b)</t>
  </si>
  <si>
    <t>Contact Information Form Reminder - Round 4  (b)</t>
  </si>
  <si>
    <t>Total Annualized Cost</t>
  </si>
  <si>
    <t>Hourly Rate</t>
  </si>
  <si>
    <t>Fringe Benefits</t>
  </si>
  <si>
    <t>Base Annual Respondent Cost</t>
  </si>
  <si>
    <t>Respondents</t>
  </si>
  <si>
    <t xml:space="preserve">Non-Respondents </t>
  </si>
  <si>
    <t>Appendices</t>
  </si>
  <si>
    <t>A1/A2</t>
  </si>
  <si>
    <t>Year 9 Study Consent Form (a)</t>
  </si>
  <si>
    <t>B1/B2</t>
  </si>
  <si>
    <t>C1/C2</t>
  </si>
  <si>
    <t>D1/D2</t>
  </si>
  <si>
    <t>E1/E2</t>
  </si>
  <si>
    <t>Year 9 Interview advance letter ( c )</t>
  </si>
  <si>
    <t>Year 9 telephone interview ( d )</t>
  </si>
  <si>
    <t>F1/F2</t>
  </si>
  <si>
    <t>Year 9 replicate dietary intake interview ( e )</t>
  </si>
  <si>
    <t>F3/F4</t>
  </si>
  <si>
    <t>Reminders for Year 9 interview from Study Liaison (g)</t>
  </si>
  <si>
    <t>G1a/G1b</t>
  </si>
  <si>
    <t>Reminders for Year 9 non-locatable active interview (g)</t>
  </si>
  <si>
    <t>G2a/G2b</t>
  </si>
  <si>
    <t>Reminders for Year 9 study participation refusal conversion (g)</t>
  </si>
  <si>
    <t>G3a/G3b</t>
  </si>
  <si>
    <t>Reminders for Year 9 study participant not answering calls (g)</t>
  </si>
  <si>
    <t>G4a/G4b</t>
  </si>
  <si>
    <t>Reminders for Year 9 Interivew Telephone Research Center voicemail , first message (g)</t>
  </si>
  <si>
    <t>G5a/G5b</t>
  </si>
  <si>
    <t>Reminders for Year 9 Interview Telephone Research Center voicemail, expiring interview (g)</t>
  </si>
  <si>
    <t>G6a/G6b</t>
  </si>
  <si>
    <t>Year 9 H/W measurement card (f)</t>
  </si>
  <si>
    <t>H1/H2</t>
  </si>
  <si>
    <t>Year 9 thank you (i)</t>
  </si>
  <si>
    <t>K1/K2</t>
  </si>
  <si>
    <t>L1/L2</t>
  </si>
  <si>
    <t>M1/M2</t>
  </si>
  <si>
    <t>Announcement of study extension to WIC State agencies</t>
  </si>
  <si>
    <t>N1</t>
  </si>
  <si>
    <t xml:space="preserve">N2 Announcement of study extension to WIC sites </t>
  </si>
  <si>
    <t>N2</t>
  </si>
  <si>
    <t>O</t>
  </si>
  <si>
    <t>P</t>
  </si>
  <si>
    <t>Participant contact information request (p)</t>
  </si>
  <si>
    <t>R</t>
  </si>
  <si>
    <t>Year 9 H/W measurement card (q)</t>
  </si>
  <si>
    <t>Year 9 H/W measurement card (s)</t>
  </si>
  <si>
    <t>S</t>
  </si>
  <si>
    <t>I1/I2 &amp; J1/J2</t>
  </si>
  <si>
    <t>Height and weight reminders &amp; Year 9 text or email provider measures - Round 1 (Mail, Text, or Email) (h)</t>
  </si>
  <si>
    <t>Height and weight reminders &amp; Year 9 text or email provider measures - Round 2 (Mail, Text, or Email) (h)</t>
  </si>
  <si>
    <t>Height and weight reminders &amp; Year 9 text or email provider measures - Round 3 (Mail, Text, or Email) (h)</t>
  </si>
  <si>
    <t>Q1/Q2/Q3</t>
  </si>
  <si>
    <t>(g) Potential respondents for  9-Year interviews may get 1 or more of the 6 study reminders.  Total burden for these reminders = 8 minutes and average length of time for these reminders is 2 minutes.</t>
  </si>
  <si>
    <t xml:space="preserve">(n) Time burden for Appendix Q1 is 0.1837 hours, time burden for Appendix Q2 is 0.25 hours, and time burden for Appendix Q3 is 0.334 hours for a total of 0.7677 hours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</si>
</sst>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#,##0.000"/>
    <numFmt numFmtId="167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0">
    <xf numFmtId="0" fontId="0" fillId="0" borderId="0" xfId="0"/>
    <xf numFmtId="0" fontId="0" fillId="0" borderId="4" xfId="0" applyBorder="1"/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right"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3" fontId="6" fillId="3" borderId="0" xfId="0" applyNumberFormat="1" applyFont="1" applyFill="1" applyBorder="1" applyAlignment="1">
      <alignment vertical="center"/>
    </xf>
    <xf numFmtId="3" fontId="2" fillId="0" borderId="6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9" fontId="6" fillId="3" borderId="1" xfId="1" applyFont="1" applyFill="1" applyBorder="1" applyAlignment="1">
      <alignment horizontal="center" vertical="center" wrapText="1"/>
    </xf>
    <xf numFmtId="9" fontId="6" fillId="3" borderId="11" xfId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right" vertical="center"/>
    </xf>
    <xf numFmtId="4" fontId="6" fillId="3" borderId="8" xfId="0" applyNumberFormat="1" applyFont="1" applyFill="1" applyBorder="1" applyAlignment="1">
      <alignment horizontal="right" vertical="center"/>
    </xf>
    <xf numFmtId="3" fontId="9" fillId="0" borderId="13" xfId="0" applyNumberFormat="1" applyFont="1" applyFill="1" applyBorder="1" applyAlignment="1">
      <alignment horizontal="right" vertical="center" wrapText="1"/>
    </xf>
    <xf numFmtId="1" fontId="9" fillId="0" borderId="13" xfId="0" applyNumberFormat="1" applyFont="1" applyFill="1" applyBorder="1" applyAlignment="1">
      <alignment horizontal="right" vertical="center"/>
    </xf>
    <xf numFmtId="2" fontId="9" fillId="0" borderId="13" xfId="0" applyNumberFormat="1" applyFont="1" applyFill="1" applyBorder="1" applyAlignment="1">
      <alignment horizontal="right" vertical="center"/>
    </xf>
    <xf numFmtId="2" fontId="9" fillId="0" borderId="13" xfId="0" applyNumberFormat="1" applyFont="1" applyFill="1" applyBorder="1" applyAlignment="1">
      <alignment horizontal="right" vertical="center" wrapText="1"/>
    </xf>
    <xf numFmtId="2" fontId="9" fillId="0" borderId="16" xfId="0" applyNumberFormat="1" applyFont="1" applyFill="1" applyBorder="1" applyAlignment="1">
      <alignment horizontal="right" vertical="center" wrapText="1"/>
    </xf>
    <xf numFmtId="3" fontId="9" fillId="0" borderId="4" xfId="0" applyNumberFormat="1" applyFont="1" applyFill="1" applyBorder="1" applyAlignment="1">
      <alignment horizontal="right" vertical="center" wrapText="1"/>
    </xf>
    <xf numFmtId="3" fontId="9" fillId="0" borderId="4" xfId="0" applyNumberFormat="1" applyFont="1" applyFill="1" applyBorder="1" applyAlignment="1">
      <alignment horizontal="right" vertical="center"/>
    </xf>
    <xf numFmtId="1" fontId="9" fillId="0" borderId="4" xfId="0" applyNumberFormat="1" applyFont="1" applyFill="1" applyBorder="1" applyAlignment="1">
      <alignment horizontal="right" vertical="center"/>
    </xf>
    <xf numFmtId="165" fontId="9" fillId="0" borderId="4" xfId="2" applyNumberFormat="1" applyFont="1" applyFill="1" applyBorder="1" applyAlignment="1">
      <alignment horizontal="right" vertical="center"/>
    </xf>
    <xf numFmtId="2" fontId="9" fillId="0" borderId="4" xfId="0" applyNumberFormat="1" applyFont="1" applyFill="1" applyBorder="1" applyAlignment="1">
      <alignment horizontal="right" vertical="center"/>
    </xf>
    <xf numFmtId="2" fontId="9" fillId="0" borderId="4" xfId="0" applyNumberFormat="1" applyFont="1" applyFill="1" applyBorder="1" applyAlignment="1">
      <alignment horizontal="right" vertical="center" wrapText="1"/>
    </xf>
    <xf numFmtId="2" fontId="9" fillId="0" borderId="6" xfId="0" applyNumberFormat="1" applyFont="1" applyFill="1" applyBorder="1" applyAlignment="1">
      <alignment horizontal="right" vertical="center" wrapText="1"/>
    </xf>
    <xf numFmtId="3" fontId="9" fillId="0" borderId="15" xfId="0" applyNumberFormat="1" applyFont="1" applyFill="1" applyBorder="1" applyAlignment="1">
      <alignment horizontal="right" vertical="center" wrapText="1"/>
    </xf>
    <xf numFmtId="3" fontId="9" fillId="0" borderId="12" xfId="0" applyNumberFormat="1" applyFont="1" applyFill="1" applyBorder="1" applyAlignment="1">
      <alignment horizontal="right" vertical="center" wrapText="1"/>
    </xf>
    <xf numFmtId="1" fontId="9" fillId="0" borderId="12" xfId="0" applyNumberFormat="1" applyFont="1" applyFill="1" applyBorder="1" applyAlignment="1">
      <alignment horizontal="right" vertical="center"/>
    </xf>
    <xf numFmtId="165" fontId="9" fillId="0" borderId="12" xfId="2" applyNumberFormat="1" applyFont="1" applyFill="1" applyBorder="1" applyAlignment="1">
      <alignment horizontal="right" vertical="center"/>
    </xf>
    <xf numFmtId="2" fontId="9" fillId="0" borderId="12" xfId="0" applyNumberFormat="1" applyFont="1" applyFill="1" applyBorder="1" applyAlignment="1">
      <alignment horizontal="right" vertical="center"/>
    </xf>
    <xf numFmtId="2" fontId="9" fillId="0" borderId="12" xfId="0" applyNumberFormat="1" applyFont="1" applyFill="1" applyBorder="1" applyAlignment="1">
      <alignment horizontal="right" vertical="center" wrapText="1"/>
    </xf>
    <xf numFmtId="2" fontId="9" fillId="0" borderId="14" xfId="0" applyNumberFormat="1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right" vertical="center" wrapText="1"/>
    </xf>
    <xf numFmtId="1" fontId="9" fillId="0" borderId="13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right" vertical="center" wrapText="1"/>
    </xf>
    <xf numFmtId="1" fontId="9" fillId="0" borderId="4" xfId="0" applyNumberFormat="1" applyFont="1" applyFill="1" applyBorder="1" applyAlignment="1">
      <alignment horizontal="right" vertical="center" wrapText="1"/>
    </xf>
    <xf numFmtId="3" fontId="9" fillId="0" borderId="15" xfId="0" applyNumberFormat="1" applyFont="1" applyFill="1" applyBorder="1" applyAlignment="1">
      <alignment horizontal="right" vertical="center"/>
    </xf>
    <xf numFmtId="2" fontId="9" fillId="0" borderId="6" xfId="0" applyNumberFormat="1" applyFont="1" applyFill="1" applyBorder="1" applyAlignment="1">
      <alignment horizontal="right" vertical="center"/>
    </xf>
    <xf numFmtId="165" fontId="9" fillId="0" borderId="4" xfId="2" applyNumberFormat="1" applyFont="1" applyFill="1" applyBorder="1" applyAlignment="1">
      <alignment horizontal="right" vertical="center" wrapText="1"/>
    </xf>
    <xf numFmtId="3" fontId="9" fillId="0" borderId="15" xfId="2" applyNumberFormat="1" applyFont="1" applyFill="1" applyBorder="1" applyAlignment="1">
      <alignment horizontal="right" vertical="center" wrapText="1"/>
    </xf>
    <xf numFmtId="3" fontId="9" fillId="0" borderId="4" xfId="2" applyNumberFormat="1" applyFont="1" applyFill="1" applyBorder="1" applyAlignment="1">
      <alignment horizontal="righ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 applyAlignment="1">
      <alignment wrapText="1"/>
    </xf>
    <xf numFmtId="3" fontId="9" fillId="0" borderId="12" xfId="0" applyNumberFormat="1" applyFont="1" applyFill="1" applyBorder="1" applyAlignment="1">
      <alignment horizontal="right" vertical="center"/>
    </xf>
    <xf numFmtId="3" fontId="9" fillId="0" borderId="17" xfId="0" applyNumberFormat="1" applyFont="1" applyFill="1" applyBorder="1" applyAlignment="1">
      <alignment horizontal="right" vertical="center" wrapText="1"/>
    </xf>
    <xf numFmtId="3" fontId="9" fillId="0" borderId="18" xfId="0" applyNumberFormat="1" applyFont="1" applyFill="1" applyBorder="1" applyAlignment="1">
      <alignment horizontal="right" vertical="center" wrapText="1"/>
    </xf>
    <xf numFmtId="3" fontId="7" fillId="0" borderId="20" xfId="0" applyNumberFormat="1" applyFont="1" applyFill="1" applyBorder="1" applyAlignment="1">
      <alignment horizontal="right" vertical="center" wrapText="1"/>
    </xf>
    <xf numFmtId="1" fontId="7" fillId="0" borderId="20" xfId="0" applyNumberFormat="1" applyFont="1" applyFill="1" applyBorder="1" applyAlignment="1">
      <alignment horizontal="right" vertical="center"/>
    </xf>
    <xf numFmtId="165" fontId="7" fillId="0" borderId="20" xfId="2" applyNumberFormat="1" applyFont="1" applyFill="1" applyBorder="1" applyAlignment="1">
      <alignment horizontal="right" vertical="center"/>
    </xf>
    <xf numFmtId="2" fontId="7" fillId="0" borderId="20" xfId="2" applyNumberFormat="1" applyFont="1" applyFill="1" applyBorder="1" applyAlignment="1">
      <alignment horizontal="right" vertical="center"/>
    </xf>
    <xf numFmtId="3" fontId="7" fillId="0" borderId="19" xfId="2" applyNumberFormat="1" applyFont="1" applyFill="1" applyBorder="1" applyAlignment="1">
      <alignment horizontal="right" vertical="center"/>
    </xf>
    <xf numFmtId="41" fontId="7" fillId="0" borderId="20" xfId="2" applyNumberFormat="1" applyFont="1" applyFill="1" applyBorder="1" applyAlignment="1">
      <alignment horizontal="right" vertical="center"/>
    </xf>
    <xf numFmtId="3" fontId="7" fillId="0" borderId="20" xfId="2" applyNumberFormat="1" applyFont="1" applyFill="1" applyBorder="1" applyAlignment="1">
      <alignment horizontal="right" vertical="center"/>
    </xf>
    <xf numFmtId="2" fontId="7" fillId="0" borderId="22" xfId="2" applyNumberFormat="1" applyFont="1" applyFill="1" applyBorder="1" applyAlignment="1">
      <alignment horizontal="right" vertical="center"/>
    </xf>
    <xf numFmtId="165" fontId="7" fillId="0" borderId="20" xfId="2" applyNumberFormat="1" applyFont="1" applyFill="1" applyBorder="1" applyAlignment="1">
      <alignment horizontal="right" vertical="center" wrapText="1"/>
    </xf>
    <xf numFmtId="39" fontId="7" fillId="0" borderId="20" xfId="2" applyNumberFormat="1" applyFont="1" applyFill="1" applyBorder="1" applyAlignment="1">
      <alignment horizontal="right" vertical="center" wrapText="1"/>
    </xf>
    <xf numFmtId="3" fontId="7" fillId="0" borderId="19" xfId="0" applyNumberFormat="1" applyFont="1" applyFill="1" applyBorder="1" applyAlignment="1">
      <alignment horizontal="right" vertical="center" wrapText="1"/>
    </xf>
    <xf numFmtId="2" fontId="10" fillId="0" borderId="20" xfId="0" applyNumberFormat="1" applyFont="1" applyFill="1" applyBorder="1" applyAlignment="1">
      <alignment horizontal="right" vertical="center"/>
    </xf>
    <xf numFmtId="2" fontId="7" fillId="0" borderId="22" xfId="0" applyNumberFormat="1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horizontal="center" vertical="center" textRotation="90" wrapText="1"/>
    </xf>
    <xf numFmtId="3" fontId="7" fillId="0" borderId="27" xfId="0" applyNumberFormat="1" applyFont="1" applyFill="1" applyBorder="1" applyAlignment="1">
      <alignment horizontal="right" vertical="center" wrapText="1"/>
    </xf>
    <xf numFmtId="1" fontId="7" fillId="0" borderId="27" xfId="0" applyNumberFormat="1" applyFont="1" applyFill="1" applyBorder="1" applyAlignment="1">
      <alignment horizontal="right" vertical="center"/>
    </xf>
    <xf numFmtId="165" fontId="7" fillId="0" borderId="27" xfId="2" applyNumberFormat="1" applyFont="1" applyFill="1" applyBorder="1" applyAlignment="1">
      <alignment horizontal="right" vertical="center" wrapText="1"/>
    </xf>
    <xf numFmtId="3" fontId="7" fillId="0" borderId="26" xfId="0" applyNumberFormat="1" applyFont="1" applyFill="1" applyBorder="1" applyAlignment="1">
      <alignment horizontal="right" vertical="center" wrapText="1"/>
    </xf>
    <xf numFmtId="2" fontId="7" fillId="0" borderId="28" xfId="0" applyNumberFormat="1" applyFont="1" applyFill="1" applyBorder="1" applyAlignment="1">
      <alignment horizontal="right" vertical="center" wrapText="1"/>
    </xf>
    <xf numFmtId="166" fontId="7" fillId="0" borderId="20" xfId="0" applyNumberFormat="1" applyFont="1" applyFill="1" applyBorder="1" applyAlignment="1">
      <alignment horizontal="right" vertical="center" wrapText="1"/>
    </xf>
    <xf numFmtId="3" fontId="7" fillId="0" borderId="20" xfId="2" applyNumberFormat="1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horizontal="right" vertical="center" wrapText="1"/>
    </xf>
    <xf numFmtId="165" fontId="9" fillId="0" borderId="12" xfId="2" applyNumberFormat="1" applyFont="1" applyFill="1" applyBorder="1" applyAlignment="1">
      <alignment horizontal="right"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3" fontId="9" fillId="0" borderId="23" xfId="0" applyNumberFormat="1" applyFont="1" applyFill="1" applyBorder="1" applyAlignment="1">
      <alignment horizontal="right" vertical="center" wrapText="1"/>
    </xf>
    <xf numFmtId="1" fontId="9" fillId="0" borderId="23" xfId="0" applyNumberFormat="1" applyFont="1" applyFill="1" applyBorder="1" applyAlignment="1">
      <alignment horizontal="right" vertical="center"/>
    </xf>
    <xf numFmtId="165" fontId="9" fillId="0" borderId="23" xfId="2" applyNumberFormat="1" applyFont="1" applyFill="1" applyBorder="1" applyAlignment="1">
      <alignment horizontal="right" vertical="center" wrapText="1"/>
    </xf>
    <xf numFmtId="39" fontId="9" fillId="0" borderId="23" xfId="2" applyNumberFormat="1" applyFont="1" applyFill="1" applyBorder="1" applyAlignment="1">
      <alignment horizontal="right" vertical="center" wrapText="1"/>
    </xf>
    <xf numFmtId="4" fontId="9" fillId="0" borderId="30" xfId="0" applyNumberFormat="1" applyFont="1" applyFill="1" applyBorder="1" applyAlignment="1">
      <alignment horizontal="right" vertical="center"/>
    </xf>
    <xf numFmtId="3" fontId="9" fillId="0" borderId="31" xfId="0" applyNumberFormat="1" applyFont="1" applyFill="1" applyBorder="1" applyAlignment="1">
      <alignment horizontal="right" vertical="center" wrapText="1"/>
    </xf>
    <xf numFmtId="2" fontId="8" fillId="0" borderId="23" xfId="0" applyNumberFormat="1" applyFont="1" applyFill="1" applyBorder="1" applyAlignment="1">
      <alignment horizontal="right" vertical="center"/>
    </xf>
    <xf numFmtId="2" fontId="9" fillId="0" borderId="32" xfId="0" applyNumberFormat="1" applyFont="1" applyFill="1" applyBorder="1" applyAlignment="1">
      <alignment horizontal="right" vertical="center" wrapText="1"/>
    </xf>
    <xf numFmtId="0" fontId="7" fillId="0" borderId="20" xfId="0" applyFont="1" applyFill="1" applyBorder="1" applyAlignment="1">
      <alignment horizontal="right" vertical="center" wrapText="1"/>
    </xf>
    <xf numFmtId="2" fontId="7" fillId="0" borderId="20" xfId="0" applyNumberFormat="1" applyFont="1" applyFill="1" applyBorder="1" applyAlignment="1">
      <alignment horizontal="right" vertical="center"/>
    </xf>
    <xf numFmtId="1" fontId="7" fillId="0" borderId="20" xfId="0" applyNumberFormat="1" applyFont="1" applyFill="1" applyBorder="1" applyAlignment="1">
      <alignment horizontal="right" vertical="center" wrapText="1"/>
    </xf>
    <xf numFmtId="2" fontId="7" fillId="0" borderId="20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textRotation="90" wrapText="1"/>
    </xf>
    <xf numFmtId="0" fontId="7" fillId="0" borderId="4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/>
    </xf>
    <xf numFmtId="164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center"/>
    </xf>
    <xf numFmtId="3" fontId="9" fillId="0" borderId="20" xfId="0" applyNumberFormat="1" applyFont="1" applyFill="1" applyBorder="1" applyAlignment="1">
      <alignment horizontal="right" vertical="center" wrapText="1"/>
    </xf>
    <xf numFmtId="1" fontId="9" fillId="0" borderId="20" xfId="0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165" fontId="9" fillId="0" borderId="20" xfId="2" applyNumberFormat="1" applyFont="1" applyFill="1" applyBorder="1" applyAlignment="1">
      <alignment horizontal="right" vertical="center" wrapText="1"/>
    </xf>
    <xf numFmtId="43" fontId="12" fillId="0" borderId="20" xfId="0" applyNumberFormat="1" applyFont="1" applyBorder="1" applyAlignment="1">
      <alignment horizontal="right" vertical="center"/>
    </xf>
    <xf numFmtId="2" fontId="8" fillId="0" borderId="20" xfId="0" applyNumberFormat="1" applyFont="1" applyFill="1" applyBorder="1" applyAlignment="1">
      <alignment horizontal="right" vertical="center"/>
    </xf>
    <xf numFmtId="3" fontId="9" fillId="0" borderId="17" xfId="0" applyNumberFormat="1" applyFont="1" applyFill="1" applyBorder="1" applyAlignment="1">
      <alignment horizontal="right" vertical="center"/>
    </xf>
    <xf numFmtId="4" fontId="7" fillId="0" borderId="21" xfId="0" applyNumberFormat="1" applyFont="1" applyFill="1" applyBorder="1" applyAlignment="1">
      <alignment horizontal="right" vertical="center" wrapText="1"/>
    </xf>
    <xf numFmtId="3" fontId="9" fillId="0" borderId="19" xfId="0" applyNumberFormat="1" applyFont="1" applyFill="1" applyBorder="1" applyAlignment="1">
      <alignment horizontal="right" vertical="center" wrapText="1"/>
    </xf>
    <xf numFmtId="0" fontId="7" fillId="0" borderId="36" xfId="0" applyFont="1" applyFill="1" applyBorder="1" applyAlignment="1">
      <alignment horizontal="center" textRotation="90" wrapText="1"/>
    </xf>
    <xf numFmtId="4" fontId="9" fillId="0" borderId="33" xfId="0" applyNumberFormat="1" applyFont="1" applyFill="1" applyBorder="1" applyAlignment="1">
      <alignment horizontal="right" vertical="center"/>
    </xf>
    <xf numFmtId="4" fontId="9" fillId="0" borderId="33" xfId="2" applyNumberFormat="1" applyFont="1" applyFill="1" applyBorder="1" applyAlignment="1">
      <alignment horizontal="right" vertical="center"/>
    </xf>
    <xf numFmtId="4" fontId="9" fillId="0" borderId="34" xfId="0" applyNumberFormat="1" applyFont="1" applyFill="1" applyBorder="1" applyAlignment="1">
      <alignment horizontal="right" vertical="center"/>
    </xf>
    <xf numFmtId="4" fontId="7" fillId="0" borderId="21" xfId="2" applyNumberFormat="1" applyFont="1" applyFill="1" applyBorder="1" applyAlignment="1">
      <alignment horizontal="right" vertical="center"/>
    </xf>
    <xf numFmtId="4" fontId="9" fillId="0" borderId="35" xfId="0" applyNumberFormat="1" applyFont="1" applyFill="1" applyBorder="1" applyAlignment="1">
      <alignment horizontal="right" vertical="center"/>
    </xf>
    <xf numFmtId="1" fontId="7" fillId="0" borderId="19" xfId="0" applyNumberFormat="1" applyFont="1" applyFill="1" applyBorder="1" applyAlignment="1">
      <alignment horizontal="right" vertical="center"/>
    </xf>
    <xf numFmtId="4" fontId="7" fillId="0" borderId="21" xfId="0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right" vertical="center" wrapText="1"/>
    </xf>
    <xf numFmtId="0" fontId="9" fillId="0" borderId="17" xfId="0" applyFont="1" applyFill="1" applyBorder="1" applyAlignment="1">
      <alignment horizontal="right" vertical="center" wrapText="1"/>
    </xf>
    <xf numFmtId="4" fontId="9" fillId="0" borderId="21" xfId="0" applyNumberFormat="1" applyFont="1" applyFill="1" applyBorder="1" applyAlignment="1">
      <alignment horizontal="right" vertical="center"/>
    </xf>
    <xf numFmtId="3" fontId="7" fillId="0" borderId="21" xfId="0" applyNumberFormat="1" applyFont="1" applyFill="1" applyBorder="1" applyAlignment="1">
      <alignment horizontal="right" vertical="center" wrapText="1"/>
    </xf>
    <xf numFmtId="2" fontId="9" fillId="0" borderId="14" xfId="0" applyNumberFormat="1" applyFont="1" applyFill="1" applyBorder="1" applyAlignment="1">
      <alignment horizontal="right" vertical="center"/>
    </xf>
    <xf numFmtId="2" fontId="9" fillId="0" borderId="22" xfId="0" applyNumberFormat="1" applyFont="1" applyFill="1" applyBorder="1" applyAlignment="1">
      <alignment horizontal="right" vertical="center" wrapText="1"/>
    </xf>
    <xf numFmtId="0" fontId="7" fillId="0" borderId="37" xfId="0" applyFont="1" applyFill="1" applyBorder="1" applyAlignment="1">
      <alignment horizontal="center" textRotation="90" wrapText="1"/>
    </xf>
    <xf numFmtId="4" fontId="9" fillId="0" borderId="38" xfId="0" applyNumberFormat="1" applyFont="1" applyFill="1" applyBorder="1" applyAlignment="1">
      <alignment horizontal="right" vertical="center" wrapText="1"/>
    </xf>
    <xf numFmtId="4" fontId="9" fillId="0" borderId="39" xfId="0" applyNumberFormat="1" applyFont="1" applyFill="1" applyBorder="1" applyAlignment="1">
      <alignment horizontal="right" vertical="center" wrapText="1"/>
    </xf>
    <xf numFmtId="4" fontId="7" fillId="0" borderId="3" xfId="2" applyNumberFormat="1" applyFont="1" applyFill="1" applyBorder="1" applyAlignment="1">
      <alignment horizontal="right" vertical="center" wrapText="1"/>
    </xf>
    <xf numFmtId="4" fontId="9" fillId="0" borderId="40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4" fontId="9" fillId="0" borderId="10" xfId="0" applyNumberFormat="1" applyFont="1" applyFill="1" applyBorder="1" applyAlignment="1">
      <alignment horizontal="right" vertical="center" wrapText="1"/>
    </xf>
    <xf numFmtId="4" fontId="9" fillId="0" borderId="3" xfId="0" applyNumberFormat="1" applyFont="1" applyFill="1" applyBorder="1" applyAlignment="1">
      <alignment horizontal="right" vertical="center" wrapText="1"/>
    </xf>
    <xf numFmtId="167" fontId="12" fillId="0" borderId="0" xfId="0" applyNumberFormat="1" applyFont="1" applyFill="1" applyAlignment="1">
      <alignment horizontal="right" vertical="center" wrapText="1"/>
    </xf>
    <xf numFmtId="167" fontId="11" fillId="0" borderId="24" xfId="0" applyNumberFormat="1" applyFont="1" applyFill="1" applyBorder="1" applyAlignment="1">
      <alignment horizontal="center" textRotation="90" wrapText="1"/>
    </xf>
    <xf numFmtId="167" fontId="12" fillId="0" borderId="4" xfId="0" applyNumberFormat="1" applyFont="1" applyFill="1" applyBorder="1" applyAlignment="1">
      <alignment horizontal="right" vertical="center" wrapText="1"/>
    </xf>
    <xf numFmtId="167" fontId="12" fillId="0" borderId="12" xfId="0" applyNumberFormat="1" applyFont="1" applyFill="1" applyBorder="1" applyAlignment="1">
      <alignment horizontal="right" vertical="center" wrapText="1"/>
    </xf>
    <xf numFmtId="167" fontId="7" fillId="0" borderId="20" xfId="2" applyNumberFormat="1" applyFont="1" applyFill="1" applyBorder="1" applyAlignment="1">
      <alignment horizontal="right" vertical="center" wrapText="1"/>
    </xf>
    <xf numFmtId="167" fontId="12" fillId="0" borderId="13" xfId="0" applyNumberFormat="1" applyFont="1" applyFill="1" applyBorder="1" applyAlignment="1">
      <alignment horizontal="right" vertical="center" wrapText="1"/>
    </xf>
    <xf numFmtId="167" fontId="11" fillId="0" borderId="20" xfId="0" applyNumberFormat="1" applyFont="1" applyFill="1" applyBorder="1" applyAlignment="1">
      <alignment horizontal="right" vertical="center" wrapText="1"/>
    </xf>
    <xf numFmtId="167" fontId="12" fillId="0" borderId="23" xfId="0" applyNumberFormat="1" applyFont="1" applyFill="1" applyBorder="1" applyAlignment="1">
      <alignment horizontal="right" vertical="center" wrapText="1"/>
    </xf>
    <xf numFmtId="167" fontId="12" fillId="0" borderId="20" xfId="0" applyNumberFormat="1" applyFont="1" applyFill="1" applyBorder="1" applyAlignment="1">
      <alignment horizontal="right" vertical="center" wrapText="1"/>
    </xf>
    <xf numFmtId="167" fontId="12" fillId="0" borderId="0" xfId="0" applyNumberFormat="1" applyFont="1" applyFill="1" applyAlignment="1">
      <alignment horizontal="right" vertical="center"/>
    </xf>
    <xf numFmtId="167" fontId="11" fillId="0" borderId="25" xfId="0" applyNumberFormat="1" applyFont="1" applyFill="1" applyBorder="1" applyAlignment="1">
      <alignment horizontal="center" textRotation="90" wrapText="1"/>
    </xf>
    <xf numFmtId="167" fontId="12" fillId="0" borderId="4" xfId="0" applyNumberFormat="1" applyFont="1" applyFill="1" applyBorder="1" applyAlignment="1">
      <alignment horizontal="right" vertical="center"/>
    </xf>
    <xf numFmtId="167" fontId="12" fillId="0" borderId="33" xfId="0" applyNumberFormat="1" applyFont="1" applyFill="1" applyBorder="1" applyAlignment="1">
      <alignment horizontal="right" vertical="center"/>
    </xf>
    <xf numFmtId="167" fontId="12" fillId="0" borderId="12" xfId="0" applyNumberFormat="1" applyFont="1" applyFill="1" applyBorder="1" applyAlignment="1">
      <alignment horizontal="right" vertical="center"/>
    </xf>
    <xf numFmtId="167" fontId="12" fillId="0" borderId="34" xfId="0" applyNumberFormat="1" applyFont="1" applyFill="1" applyBorder="1" applyAlignment="1">
      <alignment horizontal="right" vertical="center"/>
    </xf>
    <xf numFmtId="167" fontId="11" fillId="0" borderId="20" xfId="0" applyNumberFormat="1" applyFont="1" applyFill="1" applyBorder="1" applyAlignment="1">
      <alignment horizontal="right" vertical="center"/>
    </xf>
    <xf numFmtId="167" fontId="11" fillId="0" borderId="21" xfId="0" applyNumberFormat="1" applyFont="1" applyFill="1" applyBorder="1" applyAlignment="1">
      <alignment horizontal="right" vertical="center"/>
    </xf>
    <xf numFmtId="167" fontId="12" fillId="0" borderId="13" xfId="0" applyNumberFormat="1" applyFont="1" applyFill="1" applyBorder="1" applyAlignment="1">
      <alignment horizontal="right" vertical="center"/>
    </xf>
    <xf numFmtId="167" fontId="12" fillId="0" borderId="35" xfId="0" applyNumberFormat="1" applyFont="1" applyFill="1" applyBorder="1" applyAlignment="1">
      <alignment horizontal="right" vertical="center"/>
    </xf>
    <xf numFmtId="167" fontId="11" fillId="0" borderId="21" xfId="0" applyNumberFormat="1" applyFont="1" applyFill="1" applyBorder="1" applyAlignment="1">
      <alignment horizontal="right" vertical="center" wrapText="1"/>
    </xf>
    <xf numFmtId="167" fontId="12" fillId="0" borderId="23" xfId="0" applyNumberFormat="1" applyFont="1" applyFill="1" applyBorder="1" applyAlignment="1">
      <alignment horizontal="right" vertical="center"/>
    </xf>
    <xf numFmtId="167" fontId="12" fillId="0" borderId="30" xfId="0" applyNumberFormat="1" applyFont="1" applyFill="1" applyBorder="1" applyAlignment="1">
      <alignment horizontal="right" vertical="center"/>
    </xf>
    <xf numFmtId="167" fontId="12" fillId="0" borderId="20" xfId="0" applyNumberFormat="1" applyFont="1" applyFill="1" applyBorder="1" applyAlignment="1">
      <alignment horizontal="right" vertical="center"/>
    </xf>
    <xf numFmtId="167" fontId="12" fillId="0" borderId="21" xfId="0" applyNumberFormat="1" applyFont="1" applyFill="1" applyBorder="1" applyAlignment="1">
      <alignment horizontal="right" vertical="center"/>
    </xf>
    <xf numFmtId="167" fontId="11" fillId="0" borderId="0" xfId="0" applyNumberFormat="1" applyFont="1" applyFill="1" applyAlignment="1">
      <alignment horizontal="right" vertical="center"/>
    </xf>
    <xf numFmtId="0" fontId="7" fillId="0" borderId="27" xfId="0" applyFont="1" applyFill="1" applyBorder="1" applyAlignment="1">
      <alignment horizontal="right" vertical="center" wrapText="1"/>
    </xf>
    <xf numFmtId="2" fontId="7" fillId="0" borderId="27" xfId="0" applyNumberFormat="1" applyFont="1" applyFill="1" applyBorder="1" applyAlignment="1">
      <alignment horizontal="right" vertical="center"/>
    </xf>
    <xf numFmtId="4" fontId="7" fillId="0" borderId="29" xfId="0" applyNumberFormat="1" applyFont="1" applyFill="1" applyBorder="1" applyAlignment="1">
      <alignment horizontal="right" vertical="center"/>
    </xf>
    <xf numFmtId="1" fontId="7" fillId="0" borderId="27" xfId="0" applyNumberFormat="1" applyFont="1" applyFill="1" applyBorder="1" applyAlignment="1">
      <alignment horizontal="right" vertical="center" wrapText="1"/>
    </xf>
    <xf numFmtId="2" fontId="7" fillId="0" borderId="27" xfId="0" applyNumberFormat="1" applyFont="1" applyFill="1" applyBorder="1" applyAlignment="1">
      <alignment horizontal="right" vertical="center" wrapText="1"/>
    </xf>
    <xf numFmtId="4" fontId="7" fillId="0" borderId="41" xfId="0" applyNumberFormat="1" applyFont="1" applyFill="1" applyBorder="1" applyAlignment="1">
      <alignment horizontal="right" vertical="center" wrapText="1"/>
    </xf>
    <xf numFmtId="167" fontId="11" fillId="0" borderId="27" xfId="0" applyNumberFormat="1" applyFont="1" applyFill="1" applyBorder="1" applyAlignment="1">
      <alignment horizontal="right" vertical="center" wrapText="1"/>
    </xf>
    <xf numFmtId="167" fontId="11" fillId="0" borderId="29" xfId="0" applyNumberFormat="1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left" wrapText="1"/>
    </xf>
    <xf numFmtId="167" fontId="8" fillId="0" borderId="0" xfId="0" applyNumberFormat="1" applyFont="1" applyFill="1" applyBorder="1" applyAlignment="1">
      <alignment horizontal="right" vertical="center"/>
    </xf>
    <xf numFmtId="167" fontId="10" fillId="0" borderId="36" xfId="0" applyNumberFormat="1" applyFont="1" applyFill="1" applyBorder="1" applyAlignment="1">
      <alignment horizontal="center" textRotation="90" wrapText="1"/>
    </xf>
    <xf numFmtId="167" fontId="8" fillId="0" borderId="15" xfId="0" applyNumberFormat="1" applyFont="1" applyFill="1" applyBorder="1" applyAlignment="1">
      <alignment horizontal="right" vertical="center" wrapText="1"/>
    </xf>
    <xf numFmtId="167" fontId="8" fillId="0" borderId="17" xfId="0" applyNumberFormat="1" applyFont="1" applyFill="1" applyBorder="1" applyAlignment="1">
      <alignment horizontal="right" vertical="center" wrapText="1"/>
    </xf>
    <xf numFmtId="167" fontId="7" fillId="0" borderId="19" xfId="2" applyNumberFormat="1" applyFont="1" applyFill="1" applyBorder="1" applyAlignment="1">
      <alignment horizontal="right" vertical="center" wrapText="1"/>
    </xf>
    <xf numFmtId="167" fontId="8" fillId="0" borderId="18" xfId="0" applyNumberFormat="1" applyFont="1" applyFill="1" applyBorder="1" applyAlignment="1">
      <alignment horizontal="right" vertical="center" wrapText="1"/>
    </xf>
    <xf numFmtId="167" fontId="10" fillId="0" borderId="19" xfId="0" applyNumberFormat="1" applyFont="1" applyFill="1" applyBorder="1" applyAlignment="1">
      <alignment horizontal="right" vertical="center" wrapText="1"/>
    </xf>
    <xf numFmtId="167" fontId="13" fillId="0" borderId="18" xfId="0" applyNumberFormat="1" applyFont="1" applyBorder="1" applyAlignment="1">
      <alignment horizontal="right" vertical="center"/>
    </xf>
    <xf numFmtId="167" fontId="13" fillId="0" borderId="15" xfId="0" applyNumberFormat="1" applyFont="1" applyBorder="1" applyAlignment="1">
      <alignment horizontal="right" vertical="center"/>
    </xf>
    <xf numFmtId="167" fontId="13" fillId="0" borderId="17" xfId="0" applyNumberFormat="1" applyFont="1" applyBorder="1" applyAlignment="1">
      <alignment horizontal="right" vertical="center"/>
    </xf>
    <xf numFmtId="167" fontId="10" fillId="0" borderId="26" xfId="0" applyNumberFormat="1" applyFont="1" applyFill="1" applyBorder="1" applyAlignment="1">
      <alignment horizontal="right" vertical="center" wrapText="1"/>
    </xf>
    <xf numFmtId="167" fontId="8" fillId="0" borderId="31" xfId="0" applyNumberFormat="1" applyFont="1" applyFill="1" applyBorder="1" applyAlignment="1">
      <alignment horizontal="right" vertical="center" wrapText="1"/>
    </xf>
    <xf numFmtId="167" fontId="8" fillId="0" borderId="19" xfId="0" applyNumberFormat="1" applyFont="1" applyFill="1" applyBorder="1" applyAlignment="1">
      <alignment horizontal="right" vertical="center" wrapText="1"/>
    </xf>
    <xf numFmtId="167" fontId="10" fillId="0" borderId="19" xfId="2" applyNumberFormat="1" applyFont="1" applyFill="1" applyBorder="1" applyAlignment="1">
      <alignment horizontal="right" vertical="center" wrapText="1"/>
    </xf>
    <xf numFmtId="167" fontId="8" fillId="0" borderId="0" xfId="0" applyNumberFormat="1" applyFont="1" applyFill="1" applyBorder="1" applyAlignment="1">
      <alignment horizontal="right" vertical="center" wrapText="1"/>
    </xf>
    <xf numFmtId="167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/>
    </xf>
    <xf numFmtId="4" fontId="12" fillId="0" borderId="0" xfId="0" applyNumberFormat="1" applyFont="1" applyFill="1"/>
    <xf numFmtId="3" fontId="12" fillId="0" borderId="0" xfId="0" applyNumberFormat="1" applyFont="1" applyFill="1"/>
    <xf numFmtId="0" fontId="7" fillId="0" borderId="13" xfId="0" applyFont="1" applyFill="1" applyBorder="1" applyAlignment="1">
      <alignment horizontal="center" textRotation="90" wrapText="1"/>
    </xf>
    <xf numFmtId="164" fontId="7" fillId="0" borderId="13" xfId="0" applyNumberFormat="1" applyFont="1" applyFill="1" applyBorder="1" applyAlignment="1">
      <alignment horizontal="center" textRotation="90" wrapText="1"/>
    </xf>
    <xf numFmtId="0" fontId="7" fillId="0" borderId="35" xfId="0" applyFont="1" applyFill="1" applyBorder="1" applyAlignment="1">
      <alignment horizontal="center" textRotation="90" wrapText="1"/>
    </xf>
    <xf numFmtId="3" fontId="7" fillId="0" borderId="18" xfId="0" applyNumberFormat="1" applyFont="1" applyFill="1" applyBorder="1" applyAlignment="1">
      <alignment horizontal="center" textRotation="90" wrapText="1"/>
    </xf>
    <xf numFmtId="3" fontId="7" fillId="0" borderId="13" xfId="0" applyNumberFormat="1" applyFont="1" applyFill="1" applyBorder="1" applyAlignment="1">
      <alignment horizontal="center" textRotation="90" wrapText="1"/>
    </xf>
    <xf numFmtId="0" fontId="7" fillId="0" borderId="16" xfId="0" applyFont="1" applyFill="1" applyBorder="1" applyAlignment="1">
      <alignment horizontal="center" textRotation="90" wrapText="1"/>
    </xf>
    <xf numFmtId="0" fontId="8" fillId="0" borderId="42" xfId="0" applyFont="1" applyFill="1" applyBorder="1" applyAlignment="1">
      <alignment horizontal="left" vertical="center" wrapText="1"/>
    </xf>
    <xf numFmtId="0" fontId="9" fillId="0" borderId="42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 wrapText="1"/>
    </xf>
    <xf numFmtId="0" fontId="7" fillId="0" borderId="45" xfId="0" applyFont="1" applyFill="1" applyBorder="1" applyAlignment="1">
      <alignment horizontal="left"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7" fillId="0" borderId="47" xfId="0" applyFont="1" applyFill="1" applyBorder="1" applyAlignment="1">
      <alignment horizontal="center" textRotation="90" wrapText="1"/>
    </xf>
    <xf numFmtId="0" fontId="9" fillId="0" borderId="42" xfId="0" applyFont="1" applyFill="1" applyBorder="1" applyAlignment="1">
      <alignment horizontal="left" vertical="center" wrapText="1"/>
    </xf>
    <xf numFmtId="0" fontId="9" fillId="0" borderId="4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44" xfId="0" applyFont="1" applyFill="1" applyBorder="1" applyAlignment="1">
      <alignment horizontal="left" vertical="center" wrapText="1"/>
    </xf>
    <xf numFmtId="0" fontId="7" fillId="0" borderId="46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center" wrapText="1"/>
    </xf>
    <xf numFmtId="0" fontId="7" fillId="0" borderId="20" xfId="0" applyFont="1" applyFill="1" applyBorder="1" applyAlignment="1">
      <alignment horizontal="center" wrapText="1"/>
    </xf>
    <xf numFmtId="0" fontId="7" fillId="0" borderId="22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textRotation="90" wrapText="1"/>
    </xf>
    <xf numFmtId="0" fontId="8" fillId="0" borderId="12" xfId="0" applyFont="1" applyFill="1" applyBorder="1" applyAlignment="1">
      <alignment horizontal="center" vertical="center" textRotation="90" wrapText="1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4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 vertical="center" textRotation="90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14" xfId="0" applyFont="1" applyFill="1" applyBorder="1" applyAlignment="1">
      <alignment horizontal="center" vertical="center" textRotation="90" wrapText="1"/>
    </xf>
    <xf numFmtId="0" fontId="7" fillId="0" borderId="19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2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2" fontId="9" fillId="0" borderId="4" xfId="0" applyNumberFormat="1" applyFont="1" applyFill="1" applyBorder="1" applyAlignment="1">
      <alignment horizontal="center" vertical="center" textRotation="90" wrapText="1"/>
    </xf>
    <xf numFmtId="2" fontId="9" fillId="0" borderId="12" xfId="0" applyNumberFormat="1" applyFont="1" applyFill="1" applyBorder="1" applyAlignment="1">
      <alignment horizontal="center" vertical="center" textRotation="90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4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textRotation="90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wrapText="1"/>
    </xf>
    <xf numFmtId="0" fontId="9" fillId="0" borderId="20" xfId="0" applyFont="1" applyFill="1" applyBorder="1" applyAlignment="1">
      <alignment horizontal="left" wrapText="1"/>
    </xf>
    <xf numFmtId="0" fontId="9" fillId="0" borderId="22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0" fontId="9" fillId="0" borderId="14" xfId="0" applyFont="1" applyFill="1" applyBorder="1" applyAlignment="1">
      <alignment horizontal="left" wrapText="1"/>
    </xf>
    <xf numFmtId="0" fontId="7" fillId="0" borderId="26" xfId="0" applyFont="1" applyFill="1" applyBorder="1" applyAlignment="1">
      <alignment horizontal="center" wrapText="1"/>
    </xf>
    <xf numFmtId="0" fontId="7" fillId="0" borderId="27" xfId="0" applyFont="1" applyFill="1" applyBorder="1" applyAlignment="1">
      <alignment horizontal="center" wrapText="1"/>
    </xf>
    <xf numFmtId="0" fontId="7" fillId="0" borderId="2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1"/>
  <sheetViews>
    <sheetView showGridLines="0" tabSelected="1" zoomScale="69" zoomScaleNormal="69" zoomScaleSheetLayoutView="100" workbookViewId="0">
      <pane ySplit="3" topLeftCell="A28" activePane="bottomLeft" state="frozen"/>
      <selection pane="bottomLeft" activeCell="A66" sqref="A66:R66"/>
    </sheetView>
  </sheetViews>
  <sheetFormatPr defaultColWidth="9.21875" defaultRowHeight="13.8" x14ac:dyDescent="0.3"/>
  <cols>
    <col min="1" max="1" width="6.6640625" style="53" customWidth="1"/>
    <col min="2" max="2" width="6.6640625" style="54" customWidth="1"/>
    <col min="3" max="3" width="24.21875" style="53" customWidth="1"/>
    <col min="4" max="4" width="9.44140625" style="53" customWidth="1"/>
    <col min="5" max="5" width="21.33203125" style="53" customWidth="1"/>
    <col min="6" max="6" width="10.77734375" style="206" bestFit="1" customWidth="1"/>
    <col min="7" max="7" width="5.44140625" style="101" bestFit="1" customWidth="1"/>
    <col min="8" max="8" width="6" style="101" bestFit="1" customWidth="1"/>
    <col min="9" max="9" width="8.5546875" style="101" bestFit="1" customWidth="1"/>
    <col min="10" max="10" width="7.5546875" style="101" bestFit="1" customWidth="1"/>
    <col min="11" max="11" width="6" style="102" bestFit="1" customWidth="1"/>
    <col min="12" max="12" width="8" style="101" customWidth="1"/>
    <col min="13" max="13" width="6" style="103" bestFit="1" customWidth="1"/>
    <col min="14" max="14" width="8.5546875" style="101" bestFit="1" customWidth="1"/>
    <col min="15" max="15" width="6.44140625" style="103" customWidth="1"/>
    <col min="16" max="16" width="6" style="102" bestFit="1" customWidth="1"/>
    <col min="17" max="17" width="6.5546875" style="101" customWidth="1"/>
    <col min="18" max="18" width="8" style="101" bestFit="1" customWidth="1"/>
    <col min="19" max="19" width="6.5546875" style="185" customWidth="1"/>
    <col min="20" max="20" width="11" style="136" customWidth="1"/>
    <col min="21" max="21" width="10" style="145" customWidth="1"/>
    <col min="22" max="22" width="11" style="145" bestFit="1" customWidth="1"/>
    <col min="23" max="16384" width="9.21875" style="55"/>
  </cols>
  <sheetData>
    <row r="1" spans="1:22" x14ac:dyDescent="0.3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170"/>
    </row>
    <row r="2" spans="1:22" ht="14.4" thickBot="1" x14ac:dyDescent="0.35">
      <c r="A2" s="186"/>
      <c r="B2" s="186"/>
      <c r="C2" s="186"/>
      <c r="D2" s="186"/>
      <c r="E2" s="186"/>
      <c r="F2" s="203"/>
      <c r="G2" s="186"/>
      <c r="H2" s="218" t="s">
        <v>87</v>
      </c>
      <c r="I2" s="218"/>
      <c r="J2" s="218"/>
      <c r="K2" s="218"/>
      <c r="L2" s="218"/>
      <c r="M2" s="219" t="s">
        <v>88</v>
      </c>
      <c r="N2" s="220"/>
      <c r="O2" s="220"/>
      <c r="P2" s="220"/>
      <c r="Q2" s="221"/>
      <c r="R2" s="186"/>
      <c r="S2" s="170"/>
    </row>
    <row r="3" spans="1:22" s="104" customFormat="1" ht="85.2" x14ac:dyDescent="0.3">
      <c r="A3" s="98" t="s">
        <v>34</v>
      </c>
      <c r="B3" s="98" t="s">
        <v>6</v>
      </c>
      <c r="C3" s="230" t="s">
        <v>39</v>
      </c>
      <c r="D3" s="230"/>
      <c r="E3" s="231"/>
      <c r="F3" s="200" t="s">
        <v>89</v>
      </c>
      <c r="G3" s="114" t="s">
        <v>45</v>
      </c>
      <c r="H3" s="189" t="s">
        <v>46</v>
      </c>
      <c r="I3" s="189" t="s">
        <v>0</v>
      </c>
      <c r="J3" s="189" t="s">
        <v>1</v>
      </c>
      <c r="K3" s="190" t="s">
        <v>2</v>
      </c>
      <c r="L3" s="191" t="s">
        <v>35</v>
      </c>
      <c r="M3" s="192" t="s">
        <v>47</v>
      </c>
      <c r="N3" s="189" t="s">
        <v>0</v>
      </c>
      <c r="O3" s="193" t="s">
        <v>1</v>
      </c>
      <c r="P3" s="190" t="s">
        <v>3</v>
      </c>
      <c r="Q3" s="194" t="s">
        <v>35</v>
      </c>
      <c r="R3" s="128" t="s">
        <v>4</v>
      </c>
      <c r="S3" s="171" t="s">
        <v>84</v>
      </c>
      <c r="T3" s="137" t="s">
        <v>86</v>
      </c>
      <c r="U3" s="137" t="s">
        <v>85</v>
      </c>
      <c r="V3" s="146" t="s">
        <v>83</v>
      </c>
    </row>
    <row r="4" spans="1:22" x14ac:dyDescent="0.3">
      <c r="A4" s="216" t="s">
        <v>38</v>
      </c>
      <c r="B4" s="232" t="s">
        <v>41</v>
      </c>
      <c r="C4" s="208" t="s">
        <v>91</v>
      </c>
      <c r="D4" s="209"/>
      <c r="E4" s="210"/>
      <c r="F4" s="195" t="s">
        <v>90</v>
      </c>
      <c r="G4" s="37">
        <v>3020</v>
      </c>
      <c r="H4" s="31">
        <v>2668</v>
      </c>
      <c r="I4" s="32">
        <v>1</v>
      </c>
      <c r="J4" s="33">
        <f>+I4*H4</f>
        <v>2668</v>
      </c>
      <c r="K4" s="34">
        <v>8.3500000000000005E-2</v>
      </c>
      <c r="L4" s="115">
        <f>(J4*K4)</f>
        <v>222.77800000000002</v>
      </c>
      <c r="M4" s="51">
        <f>(G4-H4)</f>
        <v>352</v>
      </c>
      <c r="N4" s="32">
        <v>1</v>
      </c>
      <c r="O4" s="52">
        <f>+M4*N4</f>
        <v>352</v>
      </c>
      <c r="P4" s="35">
        <f t="shared" ref="P4:P10" si="0">K4</f>
        <v>8.3500000000000005E-2</v>
      </c>
      <c r="Q4" s="36">
        <f>+P4*O4</f>
        <v>29.392000000000003</v>
      </c>
      <c r="R4" s="129">
        <f>(L4+Q4)</f>
        <v>252.17000000000002</v>
      </c>
      <c r="S4" s="172">
        <v>7.25</v>
      </c>
      <c r="T4" s="138">
        <f>R4*S4</f>
        <v>1828.2325000000001</v>
      </c>
      <c r="U4" s="147">
        <f>T4*0.33</f>
        <v>603.31672500000002</v>
      </c>
      <c r="V4" s="148">
        <f>T4+U4</f>
        <v>2431.5492250000002</v>
      </c>
    </row>
    <row r="5" spans="1:22" x14ac:dyDescent="0.3">
      <c r="A5" s="216"/>
      <c r="B5" s="232"/>
      <c r="C5" s="208" t="s">
        <v>49</v>
      </c>
      <c r="D5" s="209"/>
      <c r="E5" s="210"/>
      <c r="F5" s="195" t="s">
        <v>92</v>
      </c>
      <c r="G5" s="37">
        <v>3020</v>
      </c>
      <c r="H5" s="31">
        <v>2668</v>
      </c>
      <c r="I5" s="32">
        <v>1</v>
      </c>
      <c r="J5" s="33">
        <f>+I5*H5</f>
        <v>2668</v>
      </c>
      <c r="K5" s="34">
        <v>5.0099999999999999E-2</v>
      </c>
      <c r="L5" s="115">
        <f>(J5*K5)</f>
        <v>133.66679999999999</v>
      </c>
      <c r="M5" s="51">
        <f>(G5-H5)</f>
        <v>352</v>
      </c>
      <c r="N5" s="32">
        <v>1</v>
      </c>
      <c r="O5" s="52">
        <f>+M5*N5</f>
        <v>352</v>
      </c>
      <c r="P5" s="35">
        <f t="shared" si="0"/>
        <v>5.0099999999999999E-2</v>
      </c>
      <c r="Q5" s="36">
        <f>+P5*O5</f>
        <v>17.635200000000001</v>
      </c>
      <c r="R5" s="129">
        <f>(L5+Q5)</f>
        <v>151.30199999999999</v>
      </c>
      <c r="S5" s="172">
        <v>7.25</v>
      </c>
      <c r="T5" s="138">
        <f t="shared" ref="T5:T25" si="1">R5*S5</f>
        <v>1096.9395</v>
      </c>
      <c r="U5" s="147">
        <f t="shared" ref="U5:U39" si="2">T5*0.33</f>
        <v>361.99003499999998</v>
      </c>
      <c r="V5" s="148">
        <f t="shared" ref="V5:V25" si="3">T5+U5</f>
        <v>1458.929535</v>
      </c>
    </row>
    <row r="6" spans="1:22" x14ac:dyDescent="0.3">
      <c r="A6" s="216"/>
      <c r="B6" s="232"/>
      <c r="C6" s="208" t="s">
        <v>71</v>
      </c>
      <c r="D6" s="209"/>
      <c r="E6" s="210"/>
      <c r="F6" s="195" t="s">
        <v>93</v>
      </c>
      <c r="G6" s="37">
        <v>2668</v>
      </c>
      <c r="H6" s="31">
        <f>G6*0.4</f>
        <v>1067.2</v>
      </c>
      <c r="I6" s="32">
        <v>1</v>
      </c>
      <c r="J6" s="33">
        <f t="shared" ref="J6:J9" si="4">+I6*H6</f>
        <v>1067.2</v>
      </c>
      <c r="K6" s="34">
        <v>0.1002</v>
      </c>
      <c r="L6" s="115">
        <f t="shared" ref="L6:L9" si="5">(J6*K6)</f>
        <v>106.93344</v>
      </c>
      <c r="M6" s="51">
        <f t="shared" ref="M6:M9" si="6">(G6-H6)</f>
        <v>1600.8</v>
      </c>
      <c r="N6" s="32">
        <v>1</v>
      </c>
      <c r="O6" s="52">
        <f t="shared" ref="O6:O9" si="7">+M6*N6</f>
        <v>1600.8</v>
      </c>
      <c r="P6" s="35">
        <f t="shared" ref="P6:P9" si="8">K6</f>
        <v>0.1002</v>
      </c>
      <c r="Q6" s="36">
        <f t="shared" ref="Q6:Q9" si="9">+P6*O6</f>
        <v>160.40016</v>
      </c>
      <c r="R6" s="129">
        <f t="shared" ref="R6:R9" si="10">(L6+Q6)</f>
        <v>267.33359999999999</v>
      </c>
      <c r="S6" s="172">
        <v>7.25</v>
      </c>
      <c r="T6" s="138">
        <f t="shared" si="1"/>
        <v>1938.1686</v>
      </c>
      <c r="U6" s="147">
        <f t="shared" si="2"/>
        <v>639.59563800000001</v>
      </c>
      <c r="V6" s="148">
        <f t="shared" si="3"/>
        <v>2577.7642379999998</v>
      </c>
    </row>
    <row r="7" spans="1:22" x14ac:dyDescent="0.3">
      <c r="A7" s="216"/>
      <c r="B7" s="232"/>
      <c r="C7" s="208" t="s">
        <v>80</v>
      </c>
      <c r="D7" s="209"/>
      <c r="E7" s="210"/>
      <c r="F7" s="195" t="s">
        <v>94</v>
      </c>
      <c r="G7" s="37">
        <v>2668</v>
      </c>
      <c r="H7" s="31">
        <f>G7*0.4</f>
        <v>1067.2</v>
      </c>
      <c r="I7" s="32">
        <v>1</v>
      </c>
      <c r="J7" s="33">
        <f t="shared" si="4"/>
        <v>1067.2</v>
      </c>
      <c r="K7" s="34">
        <v>0.1002</v>
      </c>
      <c r="L7" s="115">
        <f t="shared" si="5"/>
        <v>106.93344</v>
      </c>
      <c r="M7" s="51">
        <f t="shared" si="6"/>
        <v>1600.8</v>
      </c>
      <c r="N7" s="32">
        <v>1</v>
      </c>
      <c r="O7" s="52">
        <f t="shared" si="7"/>
        <v>1600.8</v>
      </c>
      <c r="P7" s="35">
        <f t="shared" si="8"/>
        <v>0.1002</v>
      </c>
      <c r="Q7" s="36">
        <f t="shared" si="9"/>
        <v>160.40016</v>
      </c>
      <c r="R7" s="129">
        <f t="shared" si="10"/>
        <v>267.33359999999999</v>
      </c>
      <c r="S7" s="172">
        <v>7.25</v>
      </c>
      <c r="T7" s="138">
        <f t="shared" si="1"/>
        <v>1938.1686</v>
      </c>
      <c r="U7" s="147">
        <f t="shared" si="2"/>
        <v>639.59563800000001</v>
      </c>
      <c r="V7" s="148">
        <f t="shared" si="3"/>
        <v>2577.7642379999998</v>
      </c>
    </row>
    <row r="8" spans="1:22" x14ac:dyDescent="0.3">
      <c r="A8" s="216"/>
      <c r="B8" s="232"/>
      <c r="C8" s="208" t="s">
        <v>81</v>
      </c>
      <c r="D8" s="209"/>
      <c r="E8" s="210"/>
      <c r="F8" s="195" t="s">
        <v>94</v>
      </c>
      <c r="G8" s="37">
        <f>M7</f>
        <v>1600.8</v>
      </c>
      <c r="H8" s="31">
        <v>641</v>
      </c>
      <c r="I8" s="32">
        <v>1</v>
      </c>
      <c r="J8" s="33">
        <f t="shared" si="4"/>
        <v>641</v>
      </c>
      <c r="K8" s="34">
        <v>0.1002</v>
      </c>
      <c r="L8" s="115">
        <f t="shared" si="5"/>
        <v>64.228200000000001</v>
      </c>
      <c r="M8" s="51">
        <f>(G8-H8)</f>
        <v>959.8</v>
      </c>
      <c r="N8" s="32">
        <v>1</v>
      </c>
      <c r="O8" s="52">
        <f t="shared" si="7"/>
        <v>959.8</v>
      </c>
      <c r="P8" s="35">
        <f t="shared" si="8"/>
        <v>0.1002</v>
      </c>
      <c r="Q8" s="36">
        <f t="shared" si="9"/>
        <v>96.171959999999999</v>
      </c>
      <c r="R8" s="129">
        <f t="shared" si="10"/>
        <v>160.40016</v>
      </c>
      <c r="S8" s="172">
        <v>7.25</v>
      </c>
      <c r="T8" s="138">
        <f t="shared" si="1"/>
        <v>1162.9011599999999</v>
      </c>
      <c r="U8" s="147">
        <f t="shared" si="2"/>
        <v>383.75738279999996</v>
      </c>
      <c r="V8" s="148">
        <f t="shared" si="3"/>
        <v>1546.6585427999999</v>
      </c>
    </row>
    <row r="9" spans="1:22" x14ac:dyDescent="0.3">
      <c r="A9" s="216"/>
      <c r="B9" s="232"/>
      <c r="C9" s="208" t="s">
        <v>82</v>
      </c>
      <c r="D9" s="209"/>
      <c r="E9" s="210"/>
      <c r="F9" s="195" t="s">
        <v>94</v>
      </c>
      <c r="G9" s="37">
        <f>M8</f>
        <v>959.8</v>
      </c>
      <c r="H9" s="31">
        <f t="shared" ref="H9" si="11">G9*0.4</f>
        <v>383.92</v>
      </c>
      <c r="I9" s="32">
        <v>1</v>
      </c>
      <c r="J9" s="33">
        <f t="shared" si="4"/>
        <v>383.92</v>
      </c>
      <c r="K9" s="34">
        <v>0.1002</v>
      </c>
      <c r="L9" s="115">
        <f t="shared" si="5"/>
        <v>38.468783999999999</v>
      </c>
      <c r="M9" s="51">
        <f t="shared" si="6"/>
        <v>575.87999999999988</v>
      </c>
      <c r="N9" s="32">
        <v>1</v>
      </c>
      <c r="O9" s="52">
        <f t="shared" si="7"/>
        <v>575.87999999999988</v>
      </c>
      <c r="P9" s="35">
        <f t="shared" si="8"/>
        <v>0.1002</v>
      </c>
      <c r="Q9" s="36">
        <f t="shared" si="9"/>
        <v>57.703175999999985</v>
      </c>
      <c r="R9" s="129">
        <f t="shared" si="10"/>
        <v>96.171959999999984</v>
      </c>
      <c r="S9" s="172">
        <v>7.25</v>
      </c>
      <c r="T9" s="138">
        <f t="shared" si="1"/>
        <v>697.24670999999989</v>
      </c>
      <c r="U9" s="147">
        <f t="shared" si="2"/>
        <v>230.09141429999997</v>
      </c>
      <c r="V9" s="148">
        <f t="shared" si="3"/>
        <v>927.33812429999989</v>
      </c>
    </row>
    <row r="10" spans="1:22" x14ac:dyDescent="0.3">
      <c r="A10" s="216"/>
      <c r="B10" s="232"/>
      <c r="C10" s="208" t="s">
        <v>96</v>
      </c>
      <c r="D10" s="208"/>
      <c r="E10" s="234"/>
      <c r="F10" s="201" t="s">
        <v>95</v>
      </c>
      <c r="G10" s="48">
        <v>2668</v>
      </c>
      <c r="H10" s="31">
        <f>G10*0.85</f>
        <v>2267.7999999999997</v>
      </c>
      <c r="I10" s="32">
        <v>1</v>
      </c>
      <c r="J10" s="33">
        <f t="shared" ref="J10:J25" si="12">+H10*I10</f>
        <v>2267.7999999999997</v>
      </c>
      <c r="K10" s="34">
        <v>5.0099999999999999E-2</v>
      </c>
      <c r="L10" s="115">
        <f t="shared" ref="L10:L11" si="13">(J10*K10)</f>
        <v>113.61677999999998</v>
      </c>
      <c r="M10" s="37">
        <f>(G10-H10)</f>
        <v>400.20000000000027</v>
      </c>
      <c r="N10" s="32">
        <f t="shared" ref="N10:N11" si="14">(I10)</f>
        <v>1</v>
      </c>
      <c r="O10" s="30">
        <f t="shared" ref="O10" si="15">+M10*N10</f>
        <v>400.20000000000027</v>
      </c>
      <c r="P10" s="35">
        <f t="shared" si="0"/>
        <v>5.0099999999999999E-2</v>
      </c>
      <c r="Q10" s="36">
        <f t="shared" ref="Q10" si="16">+O10*P10</f>
        <v>20.050020000000014</v>
      </c>
      <c r="R10" s="129">
        <f>(L10+Q10)</f>
        <v>133.66679999999999</v>
      </c>
      <c r="S10" s="172">
        <v>7.25</v>
      </c>
      <c r="T10" s="138">
        <f t="shared" si="1"/>
        <v>969.08429999999998</v>
      </c>
      <c r="U10" s="147">
        <f t="shared" si="2"/>
        <v>319.797819</v>
      </c>
      <c r="V10" s="148">
        <f t="shared" si="3"/>
        <v>1288.8821189999999</v>
      </c>
    </row>
    <row r="11" spans="1:22" x14ac:dyDescent="0.3">
      <c r="A11" s="216"/>
      <c r="B11" s="232"/>
      <c r="C11" s="208" t="s">
        <v>97</v>
      </c>
      <c r="D11" s="208"/>
      <c r="E11" s="234"/>
      <c r="F11" s="201" t="s">
        <v>98</v>
      </c>
      <c r="G11" s="37">
        <f>G4</f>
        <v>3020</v>
      </c>
      <c r="H11" s="31">
        <v>1068</v>
      </c>
      <c r="I11" s="32">
        <v>1</v>
      </c>
      <c r="J11" s="33">
        <f t="shared" ref="J11" si="17">+H11*I11</f>
        <v>1068</v>
      </c>
      <c r="K11" s="34">
        <v>1</v>
      </c>
      <c r="L11" s="116">
        <f t="shared" si="13"/>
        <v>1068</v>
      </c>
      <c r="M11" s="37">
        <f t="shared" ref="M11" si="18">G11-H11</f>
        <v>1952</v>
      </c>
      <c r="N11" s="32">
        <f t="shared" si="14"/>
        <v>1</v>
      </c>
      <c r="O11" s="30">
        <f>+M11*N11</f>
        <v>1952</v>
      </c>
      <c r="P11" s="35">
        <v>0.01</v>
      </c>
      <c r="Q11" s="36">
        <f>+O11*P11</f>
        <v>19.52</v>
      </c>
      <c r="R11" s="129">
        <f>(L11+Q11)</f>
        <v>1087.52</v>
      </c>
      <c r="S11" s="172">
        <v>7.25</v>
      </c>
      <c r="T11" s="138">
        <f t="shared" si="1"/>
        <v>7884.5199999999995</v>
      </c>
      <c r="U11" s="147">
        <f t="shared" si="2"/>
        <v>2601.8915999999999</v>
      </c>
      <c r="V11" s="148">
        <f t="shared" si="3"/>
        <v>10486.411599999999</v>
      </c>
    </row>
    <row r="12" spans="1:22" x14ac:dyDescent="0.3">
      <c r="A12" s="216"/>
      <c r="B12" s="232"/>
      <c r="C12" s="208" t="s">
        <v>99</v>
      </c>
      <c r="D12" s="208"/>
      <c r="E12" s="234"/>
      <c r="F12" s="201" t="s">
        <v>100</v>
      </c>
      <c r="G12" s="37">
        <f>0.15*H11</f>
        <v>160.19999999999999</v>
      </c>
      <c r="H12" s="31">
        <f>G12*0.67</f>
        <v>107.334</v>
      </c>
      <c r="I12" s="32">
        <v>1</v>
      </c>
      <c r="J12" s="33">
        <f t="shared" si="12"/>
        <v>107.334</v>
      </c>
      <c r="K12" s="34">
        <v>0.5</v>
      </c>
      <c r="L12" s="116">
        <f t="shared" ref="L12:L23" si="19">(J12*K12)</f>
        <v>53.667000000000002</v>
      </c>
      <c r="M12" s="37">
        <f t="shared" ref="M12:M29" si="20">G12-H12</f>
        <v>52.865999999999985</v>
      </c>
      <c r="N12" s="32">
        <f t="shared" ref="N12:N13" si="21">(I12)</f>
        <v>1</v>
      </c>
      <c r="O12" s="30">
        <f>+M12*N12</f>
        <v>52.865999999999985</v>
      </c>
      <c r="P12" s="35">
        <v>0.01</v>
      </c>
      <c r="Q12" s="36">
        <f>+O12*P12</f>
        <v>0.52865999999999991</v>
      </c>
      <c r="R12" s="129">
        <f>(L12+Q12)</f>
        <v>54.195660000000004</v>
      </c>
      <c r="S12" s="172">
        <v>7.25</v>
      </c>
      <c r="T12" s="138">
        <f t="shared" si="1"/>
        <v>392.91853500000002</v>
      </c>
      <c r="U12" s="147">
        <f t="shared" si="2"/>
        <v>129.66311655000001</v>
      </c>
      <c r="V12" s="148">
        <f t="shared" si="3"/>
        <v>522.58165155000006</v>
      </c>
    </row>
    <row r="13" spans="1:22" x14ac:dyDescent="0.3">
      <c r="A13" s="216"/>
      <c r="B13" s="232"/>
      <c r="C13" s="237" t="s">
        <v>113</v>
      </c>
      <c r="D13" s="237"/>
      <c r="E13" s="238"/>
      <c r="F13" s="196" t="s">
        <v>114</v>
      </c>
      <c r="G13" s="37">
        <v>2668</v>
      </c>
      <c r="H13" s="31">
        <f>H11*0.7</f>
        <v>747.59999999999991</v>
      </c>
      <c r="I13" s="32">
        <v>1</v>
      </c>
      <c r="J13" s="31">
        <f t="shared" si="12"/>
        <v>747.59999999999991</v>
      </c>
      <c r="K13" s="34">
        <v>1</v>
      </c>
      <c r="L13" s="115">
        <f t="shared" si="19"/>
        <v>747.59999999999991</v>
      </c>
      <c r="M13" s="37">
        <f t="shared" si="20"/>
        <v>1920.4</v>
      </c>
      <c r="N13" s="32">
        <f t="shared" si="21"/>
        <v>1</v>
      </c>
      <c r="O13" s="30">
        <f t="shared" ref="O13" si="22">+M13*N13</f>
        <v>1920.4</v>
      </c>
      <c r="P13" s="35">
        <v>0.01</v>
      </c>
      <c r="Q13" s="36">
        <f t="shared" ref="Q13" si="23">+O13*P13</f>
        <v>19.204000000000001</v>
      </c>
      <c r="R13" s="129">
        <f t="shared" ref="R13" si="24">(L13+Q13)</f>
        <v>766.80399999999986</v>
      </c>
      <c r="S13" s="172">
        <v>7.25</v>
      </c>
      <c r="T13" s="138">
        <f>R13*S13</f>
        <v>5559.3289999999988</v>
      </c>
      <c r="U13" s="147">
        <f t="shared" si="2"/>
        <v>1834.5785699999997</v>
      </c>
      <c r="V13" s="148">
        <f t="shared" si="3"/>
        <v>7393.9075699999985</v>
      </c>
    </row>
    <row r="14" spans="1:22" x14ac:dyDescent="0.3">
      <c r="A14" s="216"/>
      <c r="B14" s="232"/>
      <c r="C14" s="208" t="s">
        <v>101</v>
      </c>
      <c r="D14" s="208"/>
      <c r="E14" s="234"/>
      <c r="F14" s="201" t="s">
        <v>102</v>
      </c>
      <c r="G14" s="37">
        <v>1068</v>
      </c>
      <c r="H14" s="31">
        <f>(G14*0.4)</f>
        <v>427.20000000000005</v>
      </c>
      <c r="I14" s="32">
        <v>1</v>
      </c>
      <c r="J14" s="33">
        <f t="shared" ref="J14:J19" si="25">+H14*I14</f>
        <v>427.20000000000005</v>
      </c>
      <c r="K14" s="34">
        <v>3.3399999999999999E-2</v>
      </c>
      <c r="L14" s="115">
        <f t="shared" ref="L14:L19" si="26">(J14*K14)</f>
        <v>14.26848</v>
      </c>
      <c r="M14" s="37">
        <f t="shared" si="20"/>
        <v>640.79999999999995</v>
      </c>
      <c r="N14" s="32">
        <v>1</v>
      </c>
      <c r="O14" s="30">
        <f t="shared" ref="O14:O22" si="27">+M14*N14</f>
        <v>640.79999999999995</v>
      </c>
      <c r="P14" s="34">
        <v>3.3399999999999999E-2</v>
      </c>
      <c r="Q14" s="36">
        <f t="shared" ref="Q14:Q22" si="28">+O14*P14</f>
        <v>21.402719999999999</v>
      </c>
      <c r="R14" s="129">
        <f t="shared" ref="R14:R24" si="29">(L14+Q14)</f>
        <v>35.671199999999999</v>
      </c>
      <c r="S14" s="172">
        <v>7.25</v>
      </c>
      <c r="T14" s="138">
        <f t="shared" si="1"/>
        <v>258.61619999999999</v>
      </c>
      <c r="U14" s="147">
        <f t="shared" si="2"/>
        <v>85.343345999999997</v>
      </c>
      <c r="V14" s="148">
        <f t="shared" si="3"/>
        <v>343.95954599999999</v>
      </c>
    </row>
    <row r="15" spans="1:22" x14ac:dyDescent="0.3">
      <c r="A15" s="216"/>
      <c r="B15" s="232"/>
      <c r="C15" s="208" t="s">
        <v>103</v>
      </c>
      <c r="D15" s="208"/>
      <c r="E15" s="234"/>
      <c r="F15" s="201" t="s">
        <v>104</v>
      </c>
      <c r="G15" s="37">
        <v>641</v>
      </c>
      <c r="H15" s="31">
        <f t="shared" ref="H15:H19" si="30">(G15*0.4)</f>
        <v>256.40000000000003</v>
      </c>
      <c r="I15" s="32">
        <v>1</v>
      </c>
      <c r="J15" s="33">
        <f t="shared" si="25"/>
        <v>256.40000000000003</v>
      </c>
      <c r="K15" s="34">
        <v>3.3399999999999999E-2</v>
      </c>
      <c r="L15" s="115">
        <f t="shared" si="26"/>
        <v>8.5637600000000003</v>
      </c>
      <c r="M15" s="37">
        <f>G15-H15</f>
        <v>384.59999999999997</v>
      </c>
      <c r="N15" s="32">
        <v>1</v>
      </c>
      <c r="O15" s="30">
        <f t="shared" ref="O15" si="31">+M15*N15</f>
        <v>384.59999999999997</v>
      </c>
      <c r="P15" s="34">
        <v>3.3399999999999999E-2</v>
      </c>
      <c r="Q15" s="36">
        <f t="shared" ref="Q15" si="32">+O15*P15</f>
        <v>12.845639999999998</v>
      </c>
      <c r="R15" s="129">
        <f t="shared" si="29"/>
        <v>21.409399999999998</v>
      </c>
      <c r="S15" s="172">
        <v>7.25</v>
      </c>
      <c r="T15" s="138">
        <f t="shared" si="1"/>
        <v>155.21814999999998</v>
      </c>
      <c r="U15" s="147">
        <f t="shared" si="2"/>
        <v>51.221989499999992</v>
      </c>
      <c r="V15" s="148">
        <f t="shared" si="3"/>
        <v>206.44013949999999</v>
      </c>
    </row>
    <row r="16" spans="1:22" x14ac:dyDescent="0.3">
      <c r="A16" s="216"/>
      <c r="B16" s="232"/>
      <c r="C16" s="208" t="s">
        <v>105</v>
      </c>
      <c r="D16" s="208"/>
      <c r="E16" s="234"/>
      <c r="F16" s="201" t="s">
        <v>106</v>
      </c>
      <c r="G16" s="37">
        <v>385</v>
      </c>
      <c r="H16" s="31">
        <f t="shared" si="30"/>
        <v>154</v>
      </c>
      <c r="I16" s="32">
        <v>1</v>
      </c>
      <c r="J16" s="33">
        <f t="shared" si="25"/>
        <v>154</v>
      </c>
      <c r="K16" s="34">
        <v>3.3399999999999999E-2</v>
      </c>
      <c r="L16" s="115">
        <f t="shared" si="26"/>
        <v>5.1436000000000002</v>
      </c>
      <c r="M16" s="37">
        <f>G16-H16</f>
        <v>231</v>
      </c>
      <c r="N16" s="32">
        <v>1</v>
      </c>
      <c r="O16" s="30">
        <f t="shared" ref="O16:O20" si="33">+M16*N16</f>
        <v>231</v>
      </c>
      <c r="P16" s="34">
        <v>3.3399999999999999E-2</v>
      </c>
      <c r="Q16" s="36">
        <f t="shared" ref="Q16:Q20" si="34">+O16*P16</f>
        <v>7.7153999999999998</v>
      </c>
      <c r="R16" s="129">
        <f t="shared" si="29"/>
        <v>12.859</v>
      </c>
      <c r="S16" s="172">
        <v>7.25</v>
      </c>
      <c r="T16" s="138">
        <f>R16*S16</f>
        <v>93.22775</v>
      </c>
      <c r="U16" s="147">
        <f t="shared" si="2"/>
        <v>30.765157500000001</v>
      </c>
      <c r="V16" s="148">
        <f t="shared" si="3"/>
        <v>123.9929075</v>
      </c>
    </row>
    <row r="17" spans="1:22" x14ac:dyDescent="0.3">
      <c r="A17" s="216"/>
      <c r="B17" s="232"/>
      <c r="C17" s="234" t="s">
        <v>109</v>
      </c>
      <c r="D17" s="244"/>
      <c r="E17" s="244"/>
      <c r="F17" s="201" t="s">
        <v>110</v>
      </c>
      <c r="G17" s="37">
        <v>231</v>
      </c>
      <c r="H17" s="31">
        <f t="shared" si="30"/>
        <v>92.4</v>
      </c>
      <c r="I17" s="32">
        <v>1</v>
      </c>
      <c r="J17" s="33">
        <f t="shared" si="25"/>
        <v>92.4</v>
      </c>
      <c r="K17" s="34">
        <v>3.3399999999999999E-2</v>
      </c>
      <c r="L17" s="115">
        <f t="shared" si="26"/>
        <v>3.08616</v>
      </c>
      <c r="M17" s="37">
        <f>G17-H17</f>
        <v>138.6</v>
      </c>
      <c r="N17" s="32">
        <v>1</v>
      </c>
      <c r="O17" s="30">
        <f t="shared" si="33"/>
        <v>138.6</v>
      </c>
      <c r="P17" s="34">
        <v>3.3399999999999999E-2</v>
      </c>
      <c r="Q17" s="36">
        <f t="shared" si="34"/>
        <v>4.6292399999999994</v>
      </c>
      <c r="R17" s="129">
        <f t="shared" si="29"/>
        <v>7.7153999999999989</v>
      </c>
      <c r="S17" s="172">
        <v>7.25</v>
      </c>
      <c r="T17" s="138">
        <f>R17*S17</f>
        <v>55.936649999999993</v>
      </c>
      <c r="U17" s="147">
        <f t="shared" si="2"/>
        <v>18.459094499999999</v>
      </c>
      <c r="V17" s="148">
        <f t="shared" si="3"/>
        <v>74.395744499999992</v>
      </c>
    </row>
    <row r="18" spans="1:22" x14ac:dyDescent="0.3">
      <c r="A18" s="216"/>
      <c r="B18" s="232"/>
      <c r="C18" s="234" t="s">
        <v>107</v>
      </c>
      <c r="D18" s="244"/>
      <c r="E18" s="244"/>
      <c r="F18" s="201" t="s">
        <v>108</v>
      </c>
      <c r="G18" s="37">
        <v>139</v>
      </c>
      <c r="H18" s="31">
        <f t="shared" si="30"/>
        <v>55.6</v>
      </c>
      <c r="I18" s="32">
        <v>1</v>
      </c>
      <c r="J18" s="33">
        <f t="shared" si="25"/>
        <v>55.6</v>
      </c>
      <c r="K18" s="34">
        <v>3.3399999999999999E-2</v>
      </c>
      <c r="L18" s="115">
        <f t="shared" si="26"/>
        <v>1.85704</v>
      </c>
      <c r="M18" s="37">
        <f>G18-H18</f>
        <v>83.4</v>
      </c>
      <c r="N18" s="32">
        <v>1</v>
      </c>
      <c r="O18" s="30">
        <f t="shared" si="33"/>
        <v>83.4</v>
      </c>
      <c r="P18" s="34">
        <v>3.3399999999999999E-2</v>
      </c>
      <c r="Q18" s="36">
        <f t="shared" si="34"/>
        <v>2.7855600000000003</v>
      </c>
      <c r="R18" s="129">
        <f t="shared" si="29"/>
        <v>4.6425999999999998</v>
      </c>
      <c r="S18" s="172">
        <v>7.25</v>
      </c>
      <c r="T18" s="138">
        <f t="shared" si="1"/>
        <v>33.658850000000001</v>
      </c>
      <c r="U18" s="147">
        <f t="shared" si="2"/>
        <v>11.107420500000002</v>
      </c>
      <c r="V18" s="148">
        <f t="shared" si="3"/>
        <v>44.766270500000005</v>
      </c>
    </row>
    <row r="19" spans="1:22" x14ac:dyDescent="0.3">
      <c r="A19" s="216"/>
      <c r="B19" s="232"/>
      <c r="C19" s="234" t="s">
        <v>111</v>
      </c>
      <c r="D19" s="244"/>
      <c r="E19" s="244"/>
      <c r="F19" s="201" t="s">
        <v>112</v>
      </c>
      <c r="G19" s="37">
        <v>83</v>
      </c>
      <c r="H19" s="31">
        <f t="shared" si="30"/>
        <v>33.200000000000003</v>
      </c>
      <c r="I19" s="32">
        <v>1</v>
      </c>
      <c r="J19" s="33">
        <f t="shared" si="25"/>
        <v>33.200000000000003</v>
      </c>
      <c r="K19" s="34">
        <v>3.3399999999999999E-2</v>
      </c>
      <c r="L19" s="115">
        <f t="shared" si="26"/>
        <v>1.1088800000000001</v>
      </c>
      <c r="M19" s="37">
        <f>G19-H19</f>
        <v>49.8</v>
      </c>
      <c r="N19" s="32">
        <v>1</v>
      </c>
      <c r="O19" s="30">
        <f t="shared" si="33"/>
        <v>49.8</v>
      </c>
      <c r="P19" s="34">
        <v>3.3399999999999999E-2</v>
      </c>
      <c r="Q19" s="36">
        <f t="shared" si="34"/>
        <v>1.6633199999999999</v>
      </c>
      <c r="R19" s="129">
        <f t="shared" si="29"/>
        <v>2.7721999999999998</v>
      </c>
      <c r="S19" s="172">
        <v>7.25</v>
      </c>
      <c r="T19" s="138">
        <f t="shared" si="1"/>
        <v>20.09845</v>
      </c>
      <c r="U19" s="147">
        <f t="shared" si="2"/>
        <v>6.6324885</v>
      </c>
      <c r="V19" s="148">
        <f t="shared" si="3"/>
        <v>26.730938500000001</v>
      </c>
    </row>
    <row r="20" spans="1:22" x14ac:dyDescent="0.3">
      <c r="A20" s="216"/>
      <c r="B20" s="232"/>
      <c r="C20" s="208" t="s">
        <v>131</v>
      </c>
      <c r="D20" s="208"/>
      <c r="E20" s="234"/>
      <c r="F20" s="201" t="s">
        <v>130</v>
      </c>
      <c r="G20" s="37">
        <v>694</v>
      </c>
      <c r="H20" s="31">
        <f>(G20*0.4)</f>
        <v>277.60000000000002</v>
      </c>
      <c r="I20" s="32">
        <v>1</v>
      </c>
      <c r="J20" s="33">
        <f t="shared" ref="J20" si="35">+H20*I20</f>
        <v>277.60000000000002</v>
      </c>
      <c r="K20" s="34">
        <v>5.0099999999999999E-2</v>
      </c>
      <c r="L20" s="115">
        <f t="shared" ref="L20" si="36">(J20*K20)</f>
        <v>13.907760000000001</v>
      </c>
      <c r="M20" s="37">
        <f t="shared" ref="M20" si="37">G20-H20</f>
        <v>416.4</v>
      </c>
      <c r="N20" s="32">
        <v>1</v>
      </c>
      <c r="O20" s="30">
        <f t="shared" si="33"/>
        <v>416.4</v>
      </c>
      <c r="P20" s="35">
        <v>0.01</v>
      </c>
      <c r="Q20" s="36">
        <f t="shared" si="34"/>
        <v>4.1639999999999997</v>
      </c>
      <c r="R20" s="129">
        <f t="shared" si="29"/>
        <v>18.071760000000001</v>
      </c>
      <c r="S20" s="172">
        <v>7.25</v>
      </c>
      <c r="T20" s="138">
        <f t="shared" si="1"/>
        <v>131.02026000000001</v>
      </c>
      <c r="U20" s="147">
        <f t="shared" si="2"/>
        <v>43.236685800000004</v>
      </c>
      <c r="V20" s="148">
        <f t="shared" si="3"/>
        <v>174.25694580000001</v>
      </c>
    </row>
    <row r="21" spans="1:22" x14ac:dyDescent="0.3">
      <c r="A21" s="216"/>
      <c r="B21" s="232"/>
      <c r="C21" s="208" t="s">
        <v>132</v>
      </c>
      <c r="D21" s="208"/>
      <c r="E21" s="234"/>
      <c r="F21" s="201" t="s">
        <v>130</v>
      </c>
      <c r="G21" s="37">
        <v>416</v>
      </c>
      <c r="H21" s="31">
        <f>(G21*0.4)</f>
        <v>166.4</v>
      </c>
      <c r="I21" s="32">
        <v>1</v>
      </c>
      <c r="J21" s="33">
        <f t="shared" ref="J21" si="38">+H21*I21</f>
        <v>166.4</v>
      </c>
      <c r="K21" s="34">
        <v>5.0099999999999999E-2</v>
      </c>
      <c r="L21" s="115">
        <f t="shared" ref="L21" si="39">(J21*K21)</f>
        <v>8.3366400000000009</v>
      </c>
      <c r="M21" s="37">
        <f t="shared" ref="M21" si="40">G21-H21</f>
        <v>249.6</v>
      </c>
      <c r="N21" s="32">
        <v>1</v>
      </c>
      <c r="O21" s="30">
        <f t="shared" ref="O21" si="41">+M21*N21</f>
        <v>249.6</v>
      </c>
      <c r="P21" s="35">
        <v>0.01</v>
      </c>
      <c r="Q21" s="36">
        <f t="shared" ref="Q21" si="42">+O21*P21</f>
        <v>2.496</v>
      </c>
      <c r="R21" s="129">
        <f t="shared" si="29"/>
        <v>10.832640000000001</v>
      </c>
      <c r="S21" s="172">
        <v>7.25</v>
      </c>
      <c r="T21" s="138">
        <f t="shared" si="1"/>
        <v>78.536640000000006</v>
      </c>
      <c r="U21" s="147">
        <f t="shared" si="2"/>
        <v>25.917091200000002</v>
      </c>
      <c r="V21" s="148">
        <f t="shared" si="3"/>
        <v>104.45373120000001</v>
      </c>
    </row>
    <row r="22" spans="1:22" x14ac:dyDescent="0.3">
      <c r="A22" s="216"/>
      <c r="B22" s="232"/>
      <c r="C22" s="208" t="s">
        <v>133</v>
      </c>
      <c r="D22" s="208"/>
      <c r="E22" s="234"/>
      <c r="F22" s="201" t="s">
        <v>130</v>
      </c>
      <c r="G22" s="37">
        <v>250</v>
      </c>
      <c r="H22" s="31">
        <f>(G22*0.4)</f>
        <v>100</v>
      </c>
      <c r="I22" s="32">
        <v>1</v>
      </c>
      <c r="J22" s="33">
        <f t="shared" ref="J22" si="43">+H22*I22</f>
        <v>100</v>
      </c>
      <c r="K22" s="34">
        <v>5.0099999999999999E-2</v>
      </c>
      <c r="L22" s="115">
        <f t="shared" ref="L22" si="44">(J22*K22)</f>
        <v>5.01</v>
      </c>
      <c r="M22" s="37">
        <f t="shared" si="20"/>
        <v>150</v>
      </c>
      <c r="N22" s="32">
        <v>1</v>
      </c>
      <c r="O22" s="30">
        <f t="shared" si="27"/>
        <v>150</v>
      </c>
      <c r="P22" s="35">
        <v>0.01</v>
      </c>
      <c r="Q22" s="36">
        <f t="shared" si="28"/>
        <v>1.5</v>
      </c>
      <c r="R22" s="129">
        <f t="shared" si="29"/>
        <v>6.51</v>
      </c>
      <c r="S22" s="172">
        <v>7.25</v>
      </c>
      <c r="T22" s="138">
        <f t="shared" si="1"/>
        <v>47.197499999999998</v>
      </c>
      <c r="U22" s="147">
        <f t="shared" si="2"/>
        <v>15.575175</v>
      </c>
      <c r="V22" s="148">
        <f t="shared" si="3"/>
        <v>62.772675</v>
      </c>
    </row>
    <row r="23" spans="1:22" x14ac:dyDescent="0.3">
      <c r="A23" s="216"/>
      <c r="B23" s="232"/>
      <c r="C23" s="208" t="s">
        <v>115</v>
      </c>
      <c r="D23" s="208"/>
      <c r="E23" s="234"/>
      <c r="F23" s="201" t="s">
        <v>116</v>
      </c>
      <c r="G23" s="37">
        <f>H11</f>
        <v>1068</v>
      </c>
      <c r="H23" s="31">
        <v>1068</v>
      </c>
      <c r="I23" s="32">
        <v>1</v>
      </c>
      <c r="J23" s="33">
        <f t="shared" si="12"/>
        <v>1068</v>
      </c>
      <c r="K23" s="34">
        <v>3.3399999999999999E-2</v>
      </c>
      <c r="L23" s="116">
        <f t="shared" si="19"/>
        <v>35.671199999999999</v>
      </c>
      <c r="M23" s="37">
        <f t="shared" si="20"/>
        <v>0</v>
      </c>
      <c r="N23" s="32">
        <v>0</v>
      </c>
      <c r="O23" s="30">
        <f>+M23*N23</f>
        <v>0</v>
      </c>
      <c r="P23" s="35">
        <v>0</v>
      </c>
      <c r="Q23" s="36">
        <f>+O23*P23</f>
        <v>0</v>
      </c>
      <c r="R23" s="129">
        <f t="shared" si="29"/>
        <v>35.671199999999999</v>
      </c>
      <c r="S23" s="172">
        <v>7.25</v>
      </c>
      <c r="T23" s="138">
        <f t="shared" si="1"/>
        <v>258.61619999999999</v>
      </c>
      <c r="U23" s="147">
        <f t="shared" si="2"/>
        <v>85.343345999999997</v>
      </c>
      <c r="V23" s="148">
        <f t="shared" si="3"/>
        <v>343.95954599999999</v>
      </c>
    </row>
    <row r="24" spans="1:22" s="56" customFormat="1" x14ac:dyDescent="0.3">
      <c r="A24" s="216"/>
      <c r="B24" s="232"/>
      <c r="C24" s="237" t="s">
        <v>54</v>
      </c>
      <c r="D24" s="237"/>
      <c r="E24" s="238"/>
      <c r="F24" s="196" t="s">
        <v>117</v>
      </c>
      <c r="G24" s="37">
        <f>G10</f>
        <v>2668</v>
      </c>
      <c r="H24" s="31">
        <f>ROUND(G24*0.8,0)</f>
        <v>2134</v>
      </c>
      <c r="I24" s="32">
        <v>1</v>
      </c>
      <c r="J24" s="33">
        <f t="shared" si="12"/>
        <v>2134</v>
      </c>
      <c r="K24" s="34">
        <v>1.67E-2</v>
      </c>
      <c r="L24" s="115">
        <f>(J24*K24)</f>
        <v>35.637799999999999</v>
      </c>
      <c r="M24" s="37">
        <f>(G24-H24)</f>
        <v>534</v>
      </c>
      <c r="N24" s="32">
        <f>(I24)</f>
        <v>1</v>
      </c>
      <c r="O24" s="30">
        <f>+M24*N24</f>
        <v>534</v>
      </c>
      <c r="P24" s="35">
        <f t="shared" ref="P24:P25" si="45">K24</f>
        <v>1.67E-2</v>
      </c>
      <c r="Q24" s="36">
        <f>+O24*P24</f>
        <v>8.9177999999999997</v>
      </c>
      <c r="R24" s="129">
        <f t="shared" si="29"/>
        <v>44.555599999999998</v>
      </c>
      <c r="S24" s="172">
        <v>7.25</v>
      </c>
      <c r="T24" s="138">
        <f t="shared" si="1"/>
        <v>323.02809999999999</v>
      </c>
      <c r="U24" s="147">
        <f t="shared" si="2"/>
        <v>106.599273</v>
      </c>
      <c r="V24" s="148">
        <f t="shared" si="3"/>
        <v>429.62737299999998</v>
      </c>
    </row>
    <row r="25" spans="1:22" ht="14.4" thickBot="1" x14ac:dyDescent="0.35">
      <c r="A25" s="217"/>
      <c r="B25" s="233"/>
      <c r="C25" s="235" t="s">
        <v>55</v>
      </c>
      <c r="D25" s="235"/>
      <c r="E25" s="236"/>
      <c r="F25" s="197" t="s">
        <v>118</v>
      </c>
      <c r="G25" s="60">
        <f>G10</f>
        <v>2668</v>
      </c>
      <c r="H25" s="59">
        <f>ROUND(G25*0.8,0)</f>
        <v>2134</v>
      </c>
      <c r="I25" s="39">
        <v>1</v>
      </c>
      <c r="J25" s="40">
        <f t="shared" si="12"/>
        <v>2134</v>
      </c>
      <c r="K25" s="41">
        <v>3.3399999999999999E-2</v>
      </c>
      <c r="L25" s="117">
        <f t="shared" ref="L25" si="46">(J25*K25)</f>
        <v>71.275599999999997</v>
      </c>
      <c r="M25" s="60">
        <f t="shared" si="20"/>
        <v>534</v>
      </c>
      <c r="N25" s="39">
        <f t="shared" ref="N25" si="47">(I25)</f>
        <v>1</v>
      </c>
      <c r="O25" s="38">
        <f t="shared" ref="O25" si="48">+M25*N25</f>
        <v>534</v>
      </c>
      <c r="P25" s="42">
        <f t="shared" si="45"/>
        <v>3.3399999999999999E-2</v>
      </c>
      <c r="Q25" s="43">
        <f t="shared" ref="Q25" si="49">+O25*P25</f>
        <v>17.835599999999999</v>
      </c>
      <c r="R25" s="130">
        <f t="shared" ref="R25:R39" si="50">(L25+Q25)</f>
        <v>89.111199999999997</v>
      </c>
      <c r="S25" s="173">
        <v>7.25</v>
      </c>
      <c r="T25" s="139">
        <f t="shared" si="1"/>
        <v>646.05619999999999</v>
      </c>
      <c r="U25" s="149">
        <f t="shared" si="2"/>
        <v>213.19854599999999</v>
      </c>
      <c r="V25" s="150">
        <f t="shared" si="3"/>
        <v>859.25474599999995</v>
      </c>
    </row>
    <row r="26" spans="1:22" s="107" customFormat="1" ht="14.4" thickBot="1" x14ac:dyDescent="0.35">
      <c r="A26" s="239" t="s">
        <v>67</v>
      </c>
      <c r="B26" s="240"/>
      <c r="C26" s="240"/>
      <c r="D26" s="240"/>
      <c r="E26" s="241"/>
      <c r="F26" s="198"/>
      <c r="G26" s="72">
        <f>G4</f>
        <v>3020</v>
      </c>
      <c r="H26" s="62">
        <f>H4</f>
        <v>2668</v>
      </c>
      <c r="I26" s="63">
        <f>J26/H26</f>
        <v>7.3406499250374813</v>
      </c>
      <c r="J26" s="64">
        <f>SUM(J4:J25)</f>
        <v>19584.853999999999</v>
      </c>
      <c r="K26" s="65">
        <f>L26/J26</f>
        <v>0.14601892687073389</v>
      </c>
      <c r="L26" s="118">
        <f>SUM(L4:L25)</f>
        <v>2859.759364</v>
      </c>
      <c r="M26" s="66">
        <f>M4</f>
        <v>352</v>
      </c>
      <c r="N26" s="67">
        <f>O26/M26</f>
        <v>37.4401875</v>
      </c>
      <c r="O26" s="68">
        <f>SUM(O4:O25)</f>
        <v>13178.946</v>
      </c>
      <c r="P26" s="65">
        <f>Q26/O26</f>
        <v>5.0608039216489695E-2</v>
      </c>
      <c r="Q26" s="69">
        <f>SUM(Q4:Q25)</f>
        <v>666.96061599999996</v>
      </c>
      <c r="R26" s="131">
        <f>SUM(R4:R25)</f>
        <v>3526.7199799999989</v>
      </c>
      <c r="S26" s="174"/>
      <c r="T26" s="140">
        <f>SUM(T4:T25)</f>
        <v>25568.719854999996</v>
      </c>
      <c r="U26" s="151">
        <f>SUM(U4:U25)</f>
        <v>8437.6775521499985</v>
      </c>
      <c r="V26" s="152">
        <f>SUM(V4:V25)</f>
        <v>34006.397407149998</v>
      </c>
    </row>
    <row r="27" spans="1:22" x14ac:dyDescent="0.3">
      <c r="A27" s="245" t="s">
        <v>7</v>
      </c>
      <c r="B27" s="222" t="s">
        <v>42</v>
      </c>
      <c r="C27" s="242" t="s">
        <v>119</v>
      </c>
      <c r="D27" s="242"/>
      <c r="E27" s="243"/>
      <c r="F27" s="199" t="s">
        <v>120</v>
      </c>
      <c r="G27" s="61">
        <v>27</v>
      </c>
      <c r="H27" s="44">
        <v>27</v>
      </c>
      <c r="I27" s="26">
        <v>1</v>
      </c>
      <c r="J27" s="45">
        <f>+H27*I27</f>
        <v>27</v>
      </c>
      <c r="K27" s="27">
        <v>8.3500000000000005E-2</v>
      </c>
      <c r="L27" s="119">
        <f t="shared" ref="L27" si="51">+J27*K27</f>
        <v>2.2545000000000002</v>
      </c>
      <c r="M27" s="61">
        <f t="shared" si="20"/>
        <v>0</v>
      </c>
      <c r="N27" s="45">
        <v>0</v>
      </c>
      <c r="O27" s="25">
        <f t="shared" ref="O27" si="52">+M27*N27</f>
        <v>0</v>
      </c>
      <c r="P27" s="28">
        <v>0</v>
      </c>
      <c r="Q27" s="29">
        <f>(O27*P27)</f>
        <v>0</v>
      </c>
      <c r="R27" s="132">
        <f t="shared" ref="R27" si="53">(L27+Q27)</f>
        <v>2.2545000000000002</v>
      </c>
      <c r="S27" s="175">
        <v>60.81</v>
      </c>
      <c r="T27" s="141">
        <f>S27*R27</f>
        <v>137.09614500000001</v>
      </c>
      <c r="U27" s="153">
        <f>T27*0.33</f>
        <v>45.241727850000004</v>
      </c>
      <c r="V27" s="154">
        <f>T27+U27</f>
        <v>182.33787285</v>
      </c>
    </row>
    <row r="28" spans="1:22" x14ac:dyDescent="0.3">
      <c r="A28" s="216"/>
      <c r="B28" s="223"/>
      <c r="C28" s="208" t="s">
        <v>56</v>
      </c>
      <c r="D28" s="208"/>
      <c r="E28" s="234"/>
      <c r="F28" s="201" t="s">
        <v>123</v>
      </c>
      <c r="G28" s="37">
        <v>27</v>
      </c>
      <c r="H28" s="46">
        <v>27</v>
      </c>
      <c r="I28" s="32">
        <v>1</v>
      </c>
      <c r="J28" s="47">
        <f>+H28*I28</f>
        <v>27</v>
      </c>
      <c r="K28" s="34">
        <v>1</v>
      </c>
      <c r="L28" s="115">
        <f t="shared" ref="L28" si="54">+J28*K28</f>
        <v>27</v>
      </c>
      <c r="M28" s="37">
        <f t="shared" ref="M28" si="55">G28-H28</f>
        <v>0</v>
      </c>
      <c r="N28" s="47">
        <v>0</v>
      </c>
      <c r="O28" s="30">
        <f t="shared" ref="O28" si="56">+M28*N28</f>
        <v>0</v>
      </c>
      <c r="P28" s="35">
        <v>0</v>
      </c>
      <c r="Q28" s="36">
        <f>(O28*P28)</f>
        <v>0</v>
      </c>
      <c r="R28" s="129">
        <f t="shared" ref="R28" si="57">(L28+Q28)</f>
        <v>27</v>
      </c>
      <c r="S28" s="172">
        <v>60.81</v>
      </c>
      <c r="T28" s="138">
        <f>S28*R28</f>
        <v>1641.8700000000001</v>
      </c>
      <c r="U28" s="147">
        <f t="shared" si="2"/>
        <v>541.8171000000001</v>
      </c>
      <c r="V28" s="148">
        <f t="shared" ref="V28:V39" si="58">T28+U28</f>
        <v>2183.6871000000001</v>
      </c>
    </row>
    <row r="29" spans="1:22" x14ac:dyDescent="0.3">
      <c r="A29" s="216"/>
      <c r="B29" s="223"/>
      <c r="C29" s="208" t="s">
        <v>57</v>
      </c>
      <c r="D29" s="208"/>
      <c r="E29" s="234"/>
      <c r="F29" s="201" t="s">
        <v>124</v>
      </c>
      <c r="G29" s="37">
        <v>27</v>
      </c>
      <c r="H29" s="46">
        <v>27</v>
      </c>
      <c r="I29" s="32">
        <v>1</v>
      </c>
      <c r="J29" s="47">
        <f>+H29*I29</f>
        <v>27</v>
      </c>
      <c r="K29" s="34">
        <v>1</v>
      </c>
      <c r="L29" s="115">
        <f t="shared" ref="L29" si="59">+J29*K29</f>
        <v>27</v>
      </c>
      <c r="M29" s="37">
        <f t="shared" si="20"/>
        <v>0</v>
      </c>
      <c r="N29" s="47">
        <v>0</v>
      </c>
      <c r="O29" s="30">
        <f t="shared" ref="O29" si="60">+M29*N29</f>
        <v>0</v>
      </c>
      <c r="P29" s="35">
        <v>0</v>
      </c>
      <c r="Q29" s="36">
        <f>(O29*P29)</f>
        <v>0</v>
      </c>
      <c r="R29" s="129">
        <f t="shared" ref="R29" si="61">(L29+Q29)</f>
        <v>27</v>
      </c>
      <c r="S29" s="172">
        <v>60.81</v>
      </c>
      <c r="T29" s="138">
        <f t="shared" ref="T29:T39" si="62">S29*R29</f>
        <v>1641.8700000000001</v>
      </c>
      <c r="U29" s="147">
        <f t="shared" si="2"/>
        <v>541.8171000000001</v>
      </c>
      <c r="V29" s="148">
        <f t="shared" si="58"/>
        <v>2183.6871000000001</v>
      </c>
    </row>
    <row r="30" spans="1:22" s="56" customFormat="1" x14ac:dyDescent="0.3">
      <c r="A30" s="216"/>
      <c r="B30" s="223"/>
      <c r="C30" s="209" t="s">
        <v>58</v>
      </c>
      <c r="D30" s="209"/>
      <c r="E30" s="210"/>
      <c r="F30" s="195" t="s">
        <v>134</v>
      </c>
      <c r="G30" s="37">
        <v>27</v>
      </c>
      <c r="H30" s="30">
        <v>27</v>
      </c>
      <c r="I30" s="32">
        <v>1</v>
      </c>
      <c r="J30" s="32">
        <f>(I30*H30)</f>
        <v>27</v>
      </c>
      <c r="K30" s="34">
        <v>0.76770000000000005</v>
      </c>
      <c r="L30" s="115">
        <f>J30*K30</f>
        <v>20.727900000000002</v>
      </c>
      <c r="M30" s="48">
        <v>0</v>
      </c>
      <c r="N30" s="47">
        <v>0</v>
      </c>
      <c r="O30" s="31">
        <f>(M30*N30)</f>
        <v>0</v>
      </c>
      <c r="P30" s="34">
        <v>0</v>
      </c>
      <c r="Q30" s="49">
        <f>(P30*O30)</f>
        <v>0</v>
      </c>
      <c r="R30" s="129">
        <f>(L30+Q30)</f>
        <v>20.727900000000002</v>
      </c>
      <c r="S30" s="172">
        <v>60.81</v>
      </c>
      <c r="T30" s="138">
        <f t="shared" si="62"/>
        <v>1260.4635990000002</v>
      </c>
      <c r="U30" s="147">
        <f t="shared" si="2"/>
        <v>415.95298767000008</v>
      </c>
      <c r="V30" s="148">
        <f t="shared" si="58"/>
        <v>1676.4165866700002</v>
      </c>
    </row>
    <row r="31" spans="1:22" s="56" customFormat="1" x14ac:dyDescent="0.3">
      <c r="A31" s="216"/>
      <c r="B31" s="223"/>
      <c r="C31" s="209" t="s">
        <v>125</v>
      </c>
      <c r="D31" s="209"/>
      <c r="E31" s="210"/>
      <c r="F31" s="195" t="s">
        <v>126</v>
      </c>
      <c r="G31" s="37">
        <v>14</v>
      </c>
      <c r="H31" s="30">
        <v>14</v>
      </c>
      <c r="I31" s="32">
        <v>9</v>
      </c>
      <c r="J31" s="32">
        <f>(I31*H31)</f>
        <v>126</v>
      </c>
      <c r="K31" s="34">
        <v>8.3500000000000005E-2</v>
      </c>
      <c r="L31" s="115">
        <f>J31*K31</f>
        <v>10.521000000000001</v>
      </c>
      <c r="M31" s="48">
        <v>0</v>
      </c>
      <c r="N31" s="47">
        <v>0</v>
      </c>
      <c r="O31" s="31">
        <f>(M31*N31)</f>
        <v>0</v>
      </c>
      <c r="P31" s="34">
        <v>0</v>
      </c>
      <c r="Q31" s="49">
        <f>(P31*O31)</f>
        <v>0</v>
      </c>
      <c r="R31" s="129">
        <f>(L31+Q31)</f>
        <v>10.521000000000001</v>
      </c>
      <c r="S31" s="172">
        <v>60.81</v>
      </c>
      <c r="T31" s="138">
        <f t="shared" si="62"/>
        <v>639.78201000000013</v>
      </c>
      <c r="U31" s="147">
        <f t="shared" si="2"/>
        <v>211.12806330000006</v>
      </c>
      <c r="V31" s="148">
        <f t="shared" si="58"/>
        <v>850.91007330000025</v>
      </c>
    </row>
    <row r="32" spans="1:22" s="56" customFormat="1" ht="14.4" thickBot="1" x14ac:dyDescent="0.35">
      <c r="A32" s="216"/>
      <c r="B32" s="223"/>
      <c r="C32" s="246" t="s">
        <v>59</v>
      </c>
      <c r="D32" s="246"/>
      <c r="E32" s="247"/>
      <c r="F32" s="204" t="s">
        <v>129</v>
      </c>
      <c r="G32" s="60">
        <v>27</v>
      </c>
      <c r="H32" s="38">
        <v>27</v>
      </c>
      <c r="I32" s="39">
        <v>1</v>
      </c>
      <c r="J32" s="32">
        <f>(I32*H32)</f>
        <v>27</v>
      </c>
      <c r="K32" s="41">
        <v>57.759300000000003</v>
      </c>
      <c r="L32" s="117">
        <f>J32*K32</f>
        <v>1559.5011000000002</v>
      </c>
      <c r="M32" s="111">
        <v>0</v>
      </c>
      <c r="N32" s="85">
        <v>0</v>
      </c>
      <c r="O32" s="59">
        <v>0</v>
      </c>
      <c r="P32" s="41">
        <v>0</v>
      </c>
      <c r="Q32" s="126">
        <v>0</v>
      </c>
      <c r="R32" s="130">
        <f>(L32+Q32)</f>
        <v>1559.5011000000002</v>
      </c>
      <c r="S32" s="173">
        <v>60.81</v>
      </c>
      <c r="T32" s="139">
        <f>S32*R32</f>
        <v>94833.261891000016</v>
      </c>
      <c r="U32" s="149">
        <f t="shared" si="2"/>
        <v>31294.976424030006</v>
      </c>
      <c r="V32" s="150">
        <f t="shared" si="58"/>
        <v>126128.23831503003</v>
      </c>
    </row>
    <row r="33" spans="1:22" ht="14.4" thickBot="1" x14ac:dyDescent="0.35">
      <c r="A33" s="216"/>
      <c r="B33" s="224"/>
      <c r="C33" s="213" t="s">
        <v>65</v>
      </c>
      <c r="D33" s="214"/>
      <c r="E33" s="215"/>
      <c r="F33" s="198"/>
      <c r="G33" s="120">
        <f>G27</f>
        <v>27</v>
      </c>
      <c r="H33" s="63">
        <f>H27</f>
        <v>27</v>
      </c>
      <c r="I33" s="63">
        <f>J33/H33</f>
        <v>9.6666666666666661</v>
      </c>
      <c r="J33" s="63">
        <f>SUM(J27:J32)</f>
        <v>261</v>
      </c>
      <c r="K33" s="63">
        <f>L33/J33</f>
        <v>6.3103620689655182</v>
      </c>
      <c r="L33" s="121">
        <f>SUM(L27:L32)</f>
        <v>1647.0045000000002</v>
      </c>
      <c r="M33" s="72">
        <f>(G33-H33)</f>
        <v>0</v>
      </c>
      <c r="N33" s="63">
        <v>0</v>
      </c>
      <c r="O33" s="62">
        <f>SUM(O30:O30)</f>
        <v>0</v>
      </c>
      <c r="P33" s="63">
        <f>SUM(P27:P32)</f>
        <v>0</v>
      </c>
      <c r="Q33" s="74">
        <f>SUM(Q30:Q30)</f>
        <v>0</v>
      </c>
      <c r="R33" s="133">
        <f>SUM(R27:R32)</f>
        <v>1647.0045000000002</v>
      </c>
      <c r="S33" s="176"/>
      <c r="T33" s="142">
        <f>SUM(T27:T32)</f>
        <v>100154.34364500002</v>
      </c>
      <c r="U33" s="151">
        <f>SUM(U27:U32)</f>
        <v>33050.933402850009</v>
      </c>
      <c r="V33" s="152">
        <f>SUM(V27:V32)</f>
        <v>133205.27704785002</v>
      </c>
    </row>
    <row r="34" spans="1:22" x14ac:dyDescent="0.3">
      <c r="A34" s="216"/>
      <c r="B34" s="223" t="s">
        <v>40</v>
      </c>
      <c r="C34" s="242" t="s">
        <v>121</v>
      </c>
      <c r="D34" s="242"/>
      <c r="E34" s="243"/>
      <c r="F34" s="199" t="s">
        <v>122</v>
      </c>
      <c r="G34" s="61">
        <v>52</v>
      </c>
      <c r="H34" s="25">
        <f>G34</f>
        <v>52</v>
      </c>
      <c r="I34" s="26">
        <v>1</v>
      </c>
      <c r="J34" s="45">
        <f>+H34*I34</f>
        <v>52</v>
      </c>
      <c r="K34" s="27">
        <v>8.3500000000000005E-2</v>
      </c>
      <c r="L34" s="119">
        <f t="shared" ref="L34:L36" si="63">+J34*K34</f>
        <v>4.3420000000000005</v>
      </c>
      <c r="M34" s="61">
        <f>G34-H34</f>
        <v>0</v>
      </c>
      <c r="N34" s="45">
        <v>0</v>
      </c>
      <c r="O34" s="25">
        <f t="shared" ref="O34:O36" si="64">+M34*N34</f>
        <v>0</v>
      </c>
      <c r="P34" s="28">
        <v>0</v>
      </c>
      <c r="Q34" s="29">
        <f>(O34*P34)</f>
        <v>0</v>
      </c>
      <c r="R34" s="132">
        <f t="shared" si="50"/>
        <v>4.3420000000000005</v>
      </c>
      <c r="S34" s="177">
        <v>15.5</v>
      </c>
      <c r="T34" s="141">
        <f>S34*R34</f>
        <v>67.301000000000002</v>
      </c>
      <c r="U34" s="153">
        <f t="shared" si="2"/>
        <v>22.209330000000001</v>
      </c>
      <c r="V34" s="154">
        <f t="shared" si="58"/>
        <v>89.51033000000001</v>
      </c>
    </row>
    <row r="35" spans="1:22" x14ac:dyDescent="0.3">
      <c r="A35" s="216"/>
      <c r="B35" s="223"/>
      <c r="C35" s="208" t="s">
        <v>43</v>
      </c>
      <c r="D35" s="208"/>
      <c r="E35" s="234"/>
      <c r="F35" s="201" t="s">
        <v>123</v>
      </c>
      <c r="G35" s="37">
        <v>52</v>
      </c>
      <c r="H35" s="30">
        <f>G35</f>
        <v>52</v>
      </c>
      <c r="I35" s="32">
        <v>1</v>
      </c>
      <c r="J35" s="47">
        <f>+H35*I35</f>
        <v>52</v>
      </c>
      <c r="K35" s="34">
        <v>1</v>
      </c>
      <c r="L35" s="115">
        <f t="shared" ref="L35" si="65">+J35*K35</f>
        <v>52</v>
      </c>
      <c r="M35" s="37">
        <f>G35-H35</f>
        <v>0</v>
      </c>
      <c r="N35" s="47">
        <v>0</v>
      </c>
      <c r="O35" s="30">
        <f t="shared" ref="O35" si="66">+M35*N35</f>
        <v>0</v>
      </c>
      <c r="P35" s="35">
        <v>0</v>
      </c>
      <c r="Q35" s="36">
        <f>(O35*P35)</f>
        <v>0</v>
      </c>
      <c r="R35" s="129">
        <f t="shared" ref="R35" si="67">(L35+Q35)</f>
        <v>52</v>
      </c>
      <c r="S35" s="178">
        <v>15.5</v>
      </c>
      <c r="T35" s="138">
        <f t="shared" si="62"/>
        <v>806</v>
      </c>
      <c r="U35" s="147">
        <f t="shared" si="2"/>
        <v>265.98</v>
      </c>
      <c r="V35" s="148">
        <f t="shared" si="58"/>
        <v>1071.98</v>
      </c>
    </row>
    <row r="36" spans="1:22" x14ac:dyDescent="0.3">
      <c r="A36" s="216"/>
      <c r="B36" s="223"/>
      <c r="C36" s="208" t="s">
        <v>44</v>
      </c>
      <c r="D36" s="208"/>
      <c r="E36" s="234"/>
      <c r="F36" s="201" t="s">
        <v>124</v>
      </c>
      <c r="G36" s="37">
        <v>52</v>
      </c>
      <c r="H36" s="30">
        <f>G36</f>
        <v>52</v>
      </c>
      <c r="I36" s="32">
        <v>1</v>
      </c>
      <c r="J36" s="47">
        <f>+H36*I36</f>
        <v>52</v>
      </c>
      <c r="K36" s="34">
        <v>1</v>
      </c>
      <c r="L36" s="115">
        <f t="shared" si="63"/>
        <v>52</v>
      </c>
      <c r="M36" s="37">
        <f>G36-H36</f>
        <v>0</v>
      </c>
      <c r="N36" s="47">
        <v>0</v>
      </c>
      <c r="O36" s="30">
        <f t="shared" si="64"/>
        <v>0</v>
      </c>
      <c r="P36" s="35">
        <v>0</v>
      </c>
      <c r="Q36" s="36">
        <f>(O36*P36)</f>
        <v>0</v>
      </c>
      <c r="R36" s="129">
        <f t="shared" si="50"/>
        <v>52</v>
      </c>
      <c r="S36" s="178">
        <v>15.5</v>
      </c>
      <c r="T36" s="138">
        <f t="shared" si="62"/>
        <v>806</v>
      </c>
      <c r="U36" s="147">
        <f t="shared" si="2"/>
        <v>265.98</v>
      </c>
      <c r="V36" s="148">
        <f t="shared" si="58"/>
        <v>1071.98</v>
      </c>
    </row>
    <row r="37" spans="1:22" s="56" customFormat="1" x14ac:dyDescent="0.3">
      <c r="A37" s="216"/>
      <c r="B37" s="223"/>
      <c r="C37" s="209" t="s">
        <v>58</v>
      </c>
      <c r="D37" s="209"/>
      <c r="E37" s="210"/>
      <c r="F37" s="195" t="s">
        <v>134</v>
      </c>
      <c r="G37" s="37">
        <v>52</v>
      </c>
      <c r="H37" s="47">
        <f>G37</f>
        <v>52</v>
      </c>
      <c r="I37" s="32">
        <v>1</v>
      </c>
      <c r="J37" s="32">
        <f>(H37*I37)</f>
        <v>52</v>
      </c>
      <c r="K37" s="34">
        <v>0.76770000000000005</v>
      </c>
      <c r="L37" s="115">
        <f>(J37*K37)</f>
        <v>39.920400000000001</v>
      </c>
      <c r="M37" s="37">
        <v>0</v>
      </c>
      <c r="N37" s="47">
        <v>0</v>
      </c>
      <c r="O37" s="30">
        <f>(M37*N37)</f>
        <v>0</v>
      </c>
      <c r="P37" s="35">
        <v>0</v>
      </c>
      <c r="Q37" s="36">
        <f>(P37*O37)</f>
        <v>0</v>
      </c>
      <c r="R37" s="129">
        <f>(L37+Q37)</f>
        <v>39.920400000000001</v>
      </c>
      <c r="S37" s="178">
        <v>15.5</v>
      </c>
      <c r="T37" s="138">
        <f t="shared" si="62"/>
        <v>618.76620000000003</v>
      </c>
      <c r="U37" s="147">
        <f t="shared" si="2"/>
        <v>204.19284600000003</v>
      </c>
      <c r="V37" s="148">
        <f t="shared" si="58"/>
        <v>822.95904600000006</v>
      </c>
    </row>
    <row r="38" spans="1:22" x14ac:dyDescent="0.3">
      <c r="A38" s="216"/>
      <c r="B38" s="223"/>
      <c r="C38" s="251" t="s">
        <v>125</v>
      </c>
      <c r="D38" s="251"/>
      <c r="E38" s="252"/>
      <c r="F38" s="201" t="s">
        <v>126</v>
      </c>
      <c r="G38" s="122">
        <v>52</v>
      </c>
      <c r="H38" s="46">
        <v>52</v>
      </c>
      <c r="I38" s="32">
        <v>15</v>
      </c>
      <c r="J38" s="50">
        <f>H38*I38</f>
        <v>780</v>
      </c>
      <c r="K38" s="34">
        <v>8.3500000000000005E-2</v>
      </c>
      <c r="L38" s="115">
        <f t="shared" ref="L38" si="68">+J38*K38</f>
        <v>65.13000000000001</v>
      </c>
      <c r="M38" s="37">
        <f>G38-H38</f>
        <v>0</v>
      </c>
      <c r="N38" s="47">
        <v>0</v>
      </c>
      <c r="O38" s="30">
        <f t="shared" ref="O38" si="69">+M38*N38</f>
        <v>0</v>
      </c>
      <c r="P38" s="35">
        <v>0</v>
      </c>
      <c r="Q38" s="36">
        <f>(O38*P38)</f>
        <v>0</v>
      </c>
      <c r="R38" s="129">
        <f t="shared" si="50"/>
        <v>65.13000000000001</v>
      </c>
      <c r="S38" s="178">
        <v>15.5</v>
      </c>
      <c r="T38" s="138">
        <f t="shared" si="62"/>
        <v>1009.5150000000001</v>
      </c>
      <c r="U38" s="147">
        <f t="shared" si="2"/>
        <v>333.13995000000006</v>
      </c>
      <c r="V38" s="148">
        <f t="shared" si="58"/>
        <v>1342.6549500000001</v>
      </c>
    </row>
    <row r="39" spans="1:22" ht="14.4" thickBot="1" x14ac:dyDescent="0.35">
      <c r="A39" s="216"/>
      <c r="B39" s="223"/>
      <c r="C39" s="253" t="s">
        <v>127</v>
      </c>
      <c r="D39" s="253"/>
      <c r="E39" s="254"/>
      <c r="F39" s="196" t="s">
        <v>114</v>
      </c>
      <c r="G39" s="123">
        <v>52</v>
      </c>
      <c r="H39" s="83">
        <v>52</v>
      </c>
      <c r="I39" s="39">
        <v>4</v>
      </c>
      <c r="J39" s="84">
        <f>H39*I39</f>
        <v>208</v>
      </c>
      <c r="K39" s="41">
        <v>0.16700000000000001</v>
      </c>
      <c r="L39" s="117">
        <f>+J39*K39</f>
        <v>34.736000000000004</v>
      </c>
      <c r="M39" s="60">
        <f>G39-H39</f>
        <v>0</v>
      </c>
      <c r="N39" s="85">
        <v>0</v>
      </c>
      <c r="O39" s="38">
        <f>+M39*N39</f>
        <v>0</v>
      </c>
      <c r="P39" s="42">
        <v>0</v>
      </c>
      <c r="Q39" s="43">
        <f>(O39*P39)</f>
        <v>0</v>
      </c>
      <c r="R39" s="130">
        <f t="shared" si="50"/>
        <v>34.736000000000004</v>
      </c>
      <c r="S39" s="179">
        <v>15.5</v>
      </c>
      <c r="T39" s="139">
        <f t="shared" si="62"/>
        <v>538.40800000000002</v>
      </c>
      <c r="U39" s="149">
        <f t="shared" si="2"/>
        <v>177.67464000000001</v>
      </c>
      <c r="V39" s="150">
        <f t="shared" si="58"/>
        <v>716.08264000000008</v>
      </c>
    </row>
    <row r="40" spans="1:22" s="57" customFormat="1" ht="14.4" thickBot="1" x14ac:dyDescent="0.35">
      <c r="A40" s="217"/>
      <c r="B40" s="225"/>
      <c r="C40" s="255" t="s">
        <v>65</v>
      </c>
      <c r="D40" s="256"/>
      <c r="E40" s="257"/>
      <c r="F40" s="205"/>
      <c r="G40" s="79">
        <f>G34</f>
        <v>52</v>
      </c>
      <c r="H40" s="161">
        <v>52</v>
      </c>
      <c r="I40" s="77">
        <f>J40/H40</f>
        <v>23</v>
      </c>
      <c r="J40" s="78">
        <f>SUM(J34:J39)</f>
        <v>1196</v>
      </c>
      <c r="K40" s="162">
        <f>L40/J40</f>
        <v>0.20746521739130436</v>
      </c>
      <c r="L40" s="163">
        <f>SUM(L34:L39)</f>
        <v>248.1284</v>
      </c>
      <c r="M40" s="79">
        <f>(G40-H40)</f>
        <v>0</v>
      </c>
      <c r="N40" s="164">
        <v>0</v>
      </c>
      <c r="O40" s="76">
        <f>SUM(O37:O39)</f>
        <v>0</v>
      </c>
      <c r="P40" s="165">
        <v>0</v>
      </c>
      <c r="Q40" s="80">
        <f>SUM(Q37:Q39)</f>
        <v>0</v>
      </c>
      <c r="R40" s="166">
        <f>SUM(R34:R39)</f>
        <v>248.1284</v>
      </c>
      <c r="S40" s="180"/>
      <c r="T40" s="167">
        <f>SUM(T34:T39)</f>
        <v>3845.9901999999997</v>
      </c>
      <c r="U40" s="167">
        <f>SUM(U34:U39)</f>
        <v>1269.176766</v>
      </c>
      <c r="V40" s="168">
        <f>SUM(V34:V39)</f>
        <v>5115.1669660000007</v>
      </c>
    </row>
    <row r="41" spans="1:22" ht="14.4" thickBot="1" x14ac:dyDescent="0.35">
      <c r="A41" s="226" t="s">
        <v>36</v>
      </c>
      <c r="B41" s="227"/>
      <c r="C41" s="227"/>
      <c r="D41" s="227"/>
      <c r="E41" s="228"/>
      <c r="F41" s="198"/>
      <c r="G41" s="72">
        <f>(G33+G40)</f>
        <v>79</v>
      </c>
      <c r="H41" s="62">
        <f>(H33+H40)</f>
        <v>79</v>
      </c>
      <c r="I41" s="63">
        <f>J41/H41</f>
        <v>18.443037974683545</v>
      </c>
      <c r="J41" s="70">
        <f>(J33+J40)</f>
        <v>1457</v>
      </c>
      <c r="K41" s="71">
        <f>L41/J41</f>
        <v>1.300708922443377</v>
      </c>
      <c r="L41" s="112">
        <f>(L33+L40)</f>
        <v>1895.1329000000003</v>
      </c>
      <c r="M41" s="72">
        <f>G41-H41</f>
        <v>0</v>
      </c>
      <c r="N41" s="63">
        <v>0</v>
      </c>
      <c r="O41" s="63">
        <f>O33+O40</f>
        <v>0</v>
      </c>
      <c r="P41" s="73">
        <v>0</v>
      </c>
      <c r="Q41" s="74">
        <f>SUM(Q33+Q40)</f>
        <v>0</v>
      </c>
      <c r="R41" s="133">
        <f>SUM(R40+R33)</f>
        <v>1895.1329000000003</v>
      </c>
      <c r="S41" s="176"/>
      <c r="T41" s="142">
        <f>T33+T40</f>
        <v>104000.33384500002</v>
      </c>
      <c r="U41" s="142">
        <f t="shared" ref="U41:V41" si="70">U33+U40</f>
        <v>34320.110168850006</v>
      </c>
      <c r="V41" s="155">
        <f t="shared" si="70"/>
        <v>138320.44401385001</v>
      </c>
    </row>
    <row r="42" spans="1:22" x14ac:dyDescent="0.3">
      <c r="A42" s="169"/>
      <c r="B42" s="222" t="s">
        <v>40</v>
      </c>
      <c r="C42" s="242" t="s">
        <v>78</v>
      </c>
      <c r="D42" s="242"/>
      <c r="E42" s="243"/>
      <c r="F42" s="199" t="s">
        <v>122</v>
      </c>
      <c r="G42" s="61">
        <v>28</v>
      </c>
      <c r="H42" s="25">
        <f>G42</f>
        <v>28</v>
      </c>
      <c r="I42" s="26">
        <v>1</v>
      </c>
      <c r="J42" s="45">
        <f>+H42*I42</f>
        <v>28</v>
      </c>
      <c r="K42" s="27">
        <v>8.3500000000000005E-2</v>
      </c>
      <c r="L42" s="119">
        <f t="shared" ref="L42:L44" si="71">+J42*K42</f>
        <v>2.3380000000000001</v>
      </c>
      <c r="M42" s="61">
        <f>G42-H42</f>
        <v>0</v>
      </c>
      <c r="N42" s="45">
        <v>0</v>
      </c>
      <c r="O42" s="25">
        <f t="shared" ref="O42:O44" si="72">+M42*N42</f>
        <v>0</v>
      </c>
      <c r="P42" s="28">
        <v>0</v>
      </c>
      <c r="Q42" s="29">
        <f>(O42*P42)</f>
        <v>0</v>
      </c>
      <c r="R42" s="132">
        <f t="shared" ref="R42:R44" si="73">(L42+Q42)</f>
        <v>2.3380000000000001</v>
      </c>
      <c r="S42" s="175">
        <v>15.5</v>
      </c>
      <c r="T42" s="141">
        <f>R42*S42</f>
        <v>36.239000000000004</v>
      </c>
      <c r="U42" s="153">
        <f>T42*0.33</f>
        <v>11.958870000000003</v>
      </c>
      <c r="V42" s="154">
        <f>T42+U42</f>
        <v>48.197870000000009</v>
      </c>
    </row>
    <row r="43" spans="1:22" x14ac:dyDescent="0.3">
      <c r="A43" s="99"/>
      <c r="B43" s="223"/>
      <c r="C43" s="208" t="s">
        <v>43</v>
      </c>
      <c r="D43" s="208"/>
      <c r="E43" s="234"/>
      <c r="F43" s="201" t="s">
        <v>123</v>
      </c>
      <c r="G43" s="37">
        <v>28</v>
      </c>
      <c r="H43" s="30">
        <f>G43</f>
        <v>28</v>
      </c>
      <c r="I43" s="32">
        <v>1</v>
      </c>
      <c r="J43" s="47">
        <f>+H43*I43</f>
        <v>28</v>
      </c>
      <c r="K43" s="34">
        <v>1</v>
      </c>
      <c r="L43" s="115">
        <f t="shared" si="71"/>
        <v>28</v>
      </c>
      <c r="M43" s="37">
        <f>G43-H43</f>
        <v>0</v>
      </c>
      <c r="N43" s="47">
        <v>0</v>
      </c>
      <c r="O43" s="30">
        <f t="shared" si="72"/>
        <v>0</v>
      </c>
      <c r="P43" s="35">
        <v>0</v>
      </c>
      <c r="Q43" s="36">
        <f>(O43*P43)</f>
        <v>0</v>
      </c>
      <c r="R43" s="129">
        <f t="shared" si="73"/>
        <v>28</v>
      </c>
      <c r="S43" s="172">
        <v>15.5</v>
      </c>
      <c r="T43" s="141">
        <f t="shared" ref="T43:T47" si="74">R43*S43</f>
        <v>434</v>
      </c>
      <c r="U43" s="153">
        <f t="shared" ref="U43:U47" si="75">T43*0.33</f>
        <v>143.22</v>
      </c>
      <c r="V43" s="154">
        <f t="shared" ref="V43:V47" si="76">T43+U43</f>
        <v>577.22</v>
      </c>
    </row>
    <row r="44" spans="1:22" x14ac:dyDescent="0.3">
      <c r="A44" s="216" t="s">
        <v>68</v>
      </c>
      <c r="B44" s="223"/>
      <c r="C44" s="208" t="s">
        <v>44</v>
      </c>
      <c r="D44" s="208"/>
      <c r="E44" s="234"/>
      <c r="F44" s="201" t="s">
        <v>124</v>
      </c>
      <c r="G44" s="37">
        <v>28</v>
      </c>
      <c r="H44" s="30">
        <f>G44</f>
        <v>28</v>
      </c>
      <c r="I44" s="32">
        <v>1</v>
      </c>
      <c r="J44" s="47">
        <f>+H44*I44</f>
        <v>28</v>
      </c>
      <c r="K44" s="34">
        <v>1</v>
      </c>
      <c r="L44" s="115">
        <f t="shared" si="71"/>
        <v>28</v>
      </c>
      <c r="M44" s="37">
        <f>G44-H44</f>
        <v>0</v>
      </c>
      <c r="N44" s="47">
        <v>0</v>
      </c>
      <c r="O44" s="30">
        <f t="shared" si="72"/>
        <v>0</v>
      </c>
      <c r="P44" s="35">
        <v>0</v>
      </c>
      <c r="Q44" s="36">
        <f>(O44*P44)</f>
        <v>0</v>
      </c>
      <c r="R44" s="129">
        <f t="shared" si="73"/>
        <v>28</v>
      </c>
      <c r="S44" s="172">
        <v>15.5</v>
      </c>
      <c r="T44" s="141">
        <f t="shared" si="74"/>
        <v>434</v>
      </c>
      <c r="U44" s="153">
        <f t="shared" si="75"/>
        <v>143.22</v>
      </c>
      <c r="V44" s="154">
        <f t="shared" si="76"/>
        <v>577.22</v>
      </c>
    </row>
    <row r="45" spans="1:22" s="56" customFormat="1" x14ac:dyDescent="0.3">
      <c r="A45" s="216"/>
      <c r="B45" s="223"/>
      <c r="C45" s="209" t="s">
        <v>58</v>
      </c>
      <c r="D45" s="209"/>
      <c r="E45" s="210"/>
      <c r="F45" s="195" t="s">
        <v>134</v>
      </c>
      <c r="G45" s="37">
        <v>28</v>
      </c>
      <c r="H45" s="47">
        <f>G45</f>
        <v>28</v>
      </c>
      <c r="I45" s="32">
        <v>1</v>
      </c>
      <c r="J45" s="32">
        <f>(H45*I45)</f>
        <v>28</v>
      </c>
      <c r="K45" s="34">
        <v>0.76770000000000005</v>
      </c>
      <c r="L45" s="115">
        <f>(J45*K45)</f>
        <v>21.495600000000003</v>
      </c>
      <c r="M45" s="37">
        <v>0</v>
      </c>
      <c r="N45" s="47">
        <v>0</v>
      </c>
      <c r="O45" s="30">
        <f>(M45*N45)</f>
        <v>0</v>
      </c>
      <c r="P45" s="35">
        <v>0</v>
      </c>
      <c r="Q45" s="36">
        <f>(P45*O45)</f>
        <v>0</v>
      </c>
      <c r="R45" s="129">
        <f>(L45+Q45)</f>
        <v>21.495600000000003</v>
      </c>
      <c r="S45" s="172">
        <v>15.5</v>
      </c>
      <c r="T45" s="141">
        <f t="shared" si="74"/>
        <v>333.18180000000007</v>
      </c>
      <c r="U45" s="153">
        <f t="shared" si="75"/>
        <v>109.94999400000003</v>
      </c>
      <c r="V45" s="154">
        <f t="shared" si="76"/>
        <v>443.13179400000013</v>
      </c>
    </row>
    <row r="46" spans="1:22" x14ac:dyDescent="0.3">
      <c r="A46" s="216"/>
      <c r="B46" s="223"/>
      <c r="C46" s="251" t="s">
        <v>125</v>
      </c>
      <c r="D46" s="251"/>
      <c r="E46" s="252"/>
      <c r="F46" s="201" t="s">
        <v>126</v>
      </c>
      <c r="G46" s="122">
        <v>28</v>
      </c>
      <c r="H46" s="46">
        <v>28</v>
      </c>
      <c r="I46" s="32">
        <v>15</v>
      </c>
      <c r="J46" s="50">
        <f>H46*I46</f>
        <v>420</v>
      </c>
      <c r="K46" s="34">
        <v>8.3500000000000005E-2</v>
      </c>
      <c r="L46" s="115">
        <f t="shared" ref="L46" si="77">+J46*K46</f>
        <v>35.07</v>
      </c>
      <c r="M46" s="37">
        <f>G46-H46</f>
        <v>0</v>
      </c>
      <c r="N46" s="47">
        <v>0</v>
      </c>
      <c r="O46" s="30">
        <f t="shared" ref="O46" si="78">+M46*N46</f>
        <v>0</v>
      </c>
      <c r="P46" s="35">
        <v>0</v>
      </c>
      <c r="Q46" s="36">
        <f>(O46*P46)</f>
        <v>0</v>
      </c>
      <c r="R46" s="129">
        <f t="shared" ref="R46:R47" si="79">(L46+Q46)</f>
        <v>35.07</v>
      </c>
      <c r="S46" s="172">
        <v>15.5</v>
      </c>
      <c r="T46" s="141">
        <f t="shared" si="74"/>
        <v>543.58500000000004</v>
      </c>
      <c r="U46" s="153">
        <f t="shared" si="75"/>
        <v>179.38305000000003</v>
      </c>
      <c r="V46" s="154">
        <f t="shared" si="76"/>
        <v>722.96805000000006</v>
      </c>
    </row>
    <row r="47" spans="1:22" ht="14.4" thickBot="1" x14ac:dyDescent="0.35">
      <c r="A47" s="216"/>
      <c r="B47" s="223"/>
      <c r="C47" s="253" t="s">
        <v>127</v>
      </c>
      <c r="D47" s="253"/>
      <c r="E47" s="254"/>
      <c r="F47" s="196" t="s">
        <v>114</v>
      </c>
      <c r="G47" s="123">
        <v>28</v>
      </c>
      <c r="H47" s="83">
        <v>28</v>
      </c>
      <c r="I47" s="39">
        <v>4</v>
      </c>
      <c r="J47" s="84">
        <f>H47*I47</f>
        <v>112</v>
      </c>
      <c r="K47" s="41">
        <v>0.16700000000000001</v>
      </c>
      <c r="L47" s="117">
        <f>+J47*K47</f>
        <v>18.704000000000001</v>
      </c>
      <c r="M47" s="60">
        <f>G47-H47</f>
        <v>0</v>
      </c>
      <c r="N47" s="85">
        <v>0</v>
      </c>
      <c r="O47" s="38">
        <f>+M47*N47</f>
        <v>0</v>
      </c>
      <c r="P47" s="42">
        <v>0</v>
      </c>
      <c r="Q47" s="43">
        <f>(O47*P47)</f>
        <v>0</v>
      </c>
      <c r="R47" s="130">
        <f t="shared" si="79"/>
        <v>18.704000000000001</v>
      </c>
      <c r="S47" s="173">
        <v>15.5</v>
      </c>
      <c r="T47" s="141">
        <f t="shared" si="74"/>
        <v>289.91200000000003</v>
      </c>
      <c r="U47" s="153">
        <f t="shared" si="75"/>
        <v>95.670960000000022</v>
      </c>
      <c r="V47" s="154">
        <f t="shared" si="76"/>
        <v>385.58296000000007</v>
      </c>
    </row>
    <row r="48" spans="1:22" s="57" customFormat="1" ht="14.4" thickBot="1" x14ac:dyDescent="0.35">
      <c r="A48" s="216"/>
      <c r="B48" s="224"/>
      <c r="C48" s="213" t="s">
        <v>65</v>
      </c>
      <c r="D48" s="214"/>
      <c r="E48" s="215"/>
      <c r="F48" s="198"/>
      <c r="G48" s="72">
        <f>G42</f>
        <v>28</v>
      </c>
      <c r="H48" s="94">
        <v>28</v>
      </c>
      <c r="I48" s="63">
        <f>J48/H48</f>
        <v>23</v>
      </c>
      <c r="J48" s="70">
        <f>SUM(J42:J47)</f>
        <v>644</v>
      </c>
      <c r="K48" s="95">
        <f>L48/J48</f>
        <v>0.20746521739130439</v>
      </c>
      <c r="L48" s="121">
        <f>SUM(L42:L47)</f>
        <v>133.60760000000002</v>
      </c>
      <c r="M48" s="72">
        <f>(G48-H48)</f>
        <v>0</v>
      </c>
      <c r="N48" s="96">
        <v>0</v>
      </c>
      <c r="O48" s="62">
        <f>SUM(O45:O47)</f>
        <v>0</v>
      </c>
      <c r="P48" s="97">
        <v>0</v>
      </c>
      <c r="Q48" s="74">
        <f>SUM(Q45:Q47)</f>
        <v>0</v>
      </c>
      <c r="R48" s="133">
        <f>SUM(R42:R47)</f>
        <v>133.60760000000002</v>
      </c>
      <c r="S48" s="176"/>
      <c r="T48" s="142">
        <f>SUM(T42:T47)</f>
        <v>2070.9178000000002</v>
      </c>
      <c r="U48" s="151">
        <f>SUM(U42:U47)</f>
        <v>683.40287400000011</v>
      </c>
      <c r="V48" s="152">
        <f>SUM(V42:V47)</f>
        <v>2754.3206740000005</v>
      </c>
    </row>
    <row r="49" spans="1:25" ht="54.6" thickBot="1" x14ac:dyDescent="0.35">
      <c r="A49" s="217"/>
      <c r="B49" s="75" t="s">
        <v>69</v>
      </c>
      <c r="C49" s="211" t="s">
        <v>128</v>
      </c>
      <c r="D49" s="211"/>
      <c r="E49" s="212"/>
      <c r="F49" s="196" t="s">
        <v>114</v>
      </c>
      <c r="G49" s="91">
        <v>428</v>
      </c>
      <c r="H49" s="86">
        <v>428</v>
      </c>
      <c r="I49" s="87">
        <v>1</v>
      </c>
      <c r="J49" s="88">
        <v>428</v>
      </c>
      <c r="K49" s="89">
        <v>0.16700000000000001</v>
      </c>
      <c r="L49" s="90">
        <f>+J49*K49</f>
        <v>71.475999999999999</v>
      </c>
      <c r="M49" s="91">
        <v>0</v>
      </c>
      <c r="N49" s="87">
        <v>0</v>
      </c>
      <c r="O49" s="87">
        <v>0</v>
      </c>
      <c r="P49" s="92">
        <v>0</v>
      </c>
      <c r="Q49" s="93">
        <v>0</v>
      </c>
      <c r="R49" s="134">
        <f t="shared" ref="R49" si="80">(L49+Q49)</f>
        <v>71.475999999999999</v>
      </c>
      <c r="S49" s="181">
        <v>38.47</v>
      </c>
      <c r="T49" s="143">
        <f>R49*S49</f>
        <v>2749.68172</v>
      </c>
      <c r="U49" s="156">
        <f>T49*0.33</f>
        <v>907.39496760000009</v>
      </c>
      <c r="V49" s="157">
        <f>T49+U49</f>
        <v>3657.0766876000002</v>
      </c>
    </row>
    <row r="50" spans="1:25" ht="14.4" thickBot="1" x14ac:dyDescent="0.35">
      <c r="A50" s="248" t="s">
        <v>70</v>
      </c>
      <c r="B50" s="249"/>
      <c r="C50" s="249"/>
      <c r="D50" s="249"/>
      <c r="E50" s="250"/>
      <c r="F50" s="202"/>
      <c r="G50" s="113">
        <f>SUM(G49+G48)</f>
        <v>456</v>
      </c>
      <c r="H50" s="105">
        <f>SUM(H49+H48)</f>
        <v>456</v>
      </c>
      <c r="I50" s="106">
        <f>J50/H50</f>
        <v>2.3508771929824563</v>
      </c>
      <c r="J50" s="108">
        <f>SUM(J49+J48)</f>
        <v>1072</v>
      </c>
      <c r="K50" s="109">
        <f>L50/J50</f>
        <v>0.19130932835820896</v>
      </c>
      <c r="L50" s="124">
        <f>SUM(L49+L48)</f>
        <v>205.08360000000002</v>
      </c>
      <c r="M50" s="113">
        <v>0</v>
      </c>
      <c r="N50" s="106">
        <v>0</v>
      </c>
      <c r="O50" s="106">
        <v>0</v>
      </c>
      <c r="P50" s="110">
        <v>0</v>
      </c>
      <c r="Q50" s="127">
        <v>0</v>
      </c>
      <c r="R50" s="135">
        <f>(R49+R48)</f>
        <v>205.08360000000002</v>
      </c>
      <c r="S50" s="182"/>
      <c r="T50" s="144">
        <f>T49+T48</f>
        <v>4820.5995199999998</v>
      </c>
      <c r="U50" s="158">
        <f>SUM(U48:U49)</f>
        <v>1590.7978416000001</v>
      </c>
      <c r="V50" s="159">
        <f>SUM(V48:V49)</f>
        <v>6411.3973616000003</v>
      </c>
      <c r="Y50" s="187"/>
    </row>
    <row r="51" spans="1:25" ht="14.4" thickBot="1" x14ac:dyDescent="0.35">
      <c r="A51" s="226" t="s">
        <v>37</v>
      </c>
      <c r="B51" s="227"/>
      <c r="C51" s="227"/>
      <c r="D51" s="227"/>
      <c r="E51" s="228"/>
      <c r="F51" s="198"/>
      <c r="G51" s="72">
        <f>G26+G41+G50</f>
        <v>3555</v>
      </c>
      <c r="H51" s="62">
        <f>H26+H41+H50</f>
        <v>3203</v>
      </c>
      <c r="I51" s="62">
        <f>J51/H51</f>
        <v>6.9041067748985325</v>
      </c>
      <c r="J51" s="62">
        <f>J26+J41+J50</f>
        <v>22113.853999999999</v>
      </c>
      <c r="K51" s="81">
        <f>L51/J51</f>
        <v>0.2242926928974027</v>
      </c>
      <c r="L51" s="125">
        <f>L26+L41+L50</f>
        <v>4959.975864</v>
      </c>
      <c r="M51" s="72">
        <f>SUM(M41,M26)</f>
        <v>352</v>
      </c>
      <c r="N51" s="62">
        <f>O51/M51</f>
        <v>37.4401875</v>
      </c>
      <c r="O51" s="82">
        <f>(O26+O41)</f>
        <v>13178.946</v>
      </c>
      <c r="P51" s="81">
        <f>Q51/O51</f>
        <v>5.0608039216489695E-2</v>
      </c>
      <c r="Q51" s="74">
        <f>SUM(Q26+Q41)</f>
        <v>666.96061599999996</v>
      </c>
      <c r="R51" s="131">
        <f>SUM(R50+R41+R26)</f>
        <v>5626.9364799999994</v>
      </c>
      <c r="S51" s="183"/>
      <c r="T51" s="142">
        <f>T50+T41+T26</f>
        <v>134389.65322000001</v>
      </c>
      <c r="U51" s="142">
        <f t="shared" ref="U51" si="81">U50+U41+U26</f>
        <v>44348.585562599998</v>
      </c>
      <c r="V51" s="142">
        <f>V50+V41+V26</f>
        <v>178738.23878260003</v>
      </c>
      <c r="Y51" s="188"/>
    </row>
    <row r="52" spans="1:25" s="58" customFormat="1" x14ac:dyDescent="0.3">
      <c r="A52" s="207" t="s">
        <v>48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184"/>
      <c r="T52" s="136"/>
      <c r="U52" s="136"/>
      <c r="V52" s="136"/>
    </row>
    <row r="53" spans="1:25" s="58" customFormat="1" x14ac:dyDescent="0.3">
      <c r="A53" s="207" t="s">
        <v>53</v>
      </c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184"/>
      <c r="T53" s="136"/>
      <c r="U53" s="136"/>
      <c r="V53" s="136"/>
    </row>
    <row r="54" spans="1:25" x14ac:dyDescent="0.3">
      <c r="A54" s="207" t="s">
        <v>72</v>
      </c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184"/>
    </row>
    <row r="55" spans="1:25" x14ac:dyDescent="0.3">
      <c r="A55" s="207" t="s">
        <v>50</v>
      </c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184"/>
    </row>
    <row r="56" spans="1:25" x14ac:dyDescent="0.3">
      <c r="A56" s="207" t="s">
        <v>76</v>
      </c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184"/>
    </row>
    <row r="57" spans="1:25" x14ac:dyDescent="0.3">
      <c r="A57" s="207" t="s">
        <v>51</v>
      </c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184"/>
    </row>
    <row r="58" spans="1:25" x14ac:dyDescent="0.3">
      <c r="A58" s="207" t="s">
        <v>52</v>
      </c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184"/>
    </row>
    <row r="59" spans="1:25" x14ac:dyDescent="0.3">
      <c r="A59" s="207" t="s">
        <v>135</v>
      </c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184"/>
    </row>
    <row r="60" spans="1:25" x14ac:dyDescent="0.3">
      <c r="A60" s="207" t="s">
        <v>60</v>
      </c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184"/>
      <c r="U60" s="160"/>
    </row>
    <row r="61" spans="1:25" x14ac:dyDescent="0.3">
      <c r="A61" s="207" t="s">
        <v>66</v>
      </c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184"/>
      <c r="U61" s="160"/>
    </row>
    <row r="62" spans="1:25" x14ac:dyDescent="0.3">
      <c r="A62" s="207" t="s">
        <v>61</v>
      </c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184"/>
      <c r="U62" s="160"/>
    </row>
    <row r="63" spans="1:25" x14ac:dyDescent="0.3">
      <c r="A63" s="207" t="s">
        <v>62</v>
      </c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184"/>
      <c r="U63" s="160"/>
    </row>
    <row r="64" spans="1:25" x14ac:dyDescent="0.3">
      <c r="A64" s="207" t="s">
        <v>63</v>
      </c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184"/>
    </row>
    <row r="65" spans="1:19" x14ac:dyDescent="0.3">
      <c r="A65" s="207" t="s">
        <v>64</v>
      </c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184"/>
    </row>
    <row r="66" spans="1:19" x14ac:dyDescent="0.3">
      <c r="A66" s="207" t="s">
        <v>136</v>
      </c>
      <c r="B66" s="207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184"/>
    </row>
    <row r="67" spans="1:19" x14ac:dyDescent="0.3">
      <c r="A67" s="207" t="s">
        <v>73</v>
      </c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100"/>
      <c r="N67" s="100"/>
      <c r="O67" s="100"/>
      <c r="P67" s="100"/>
      <c r="Q67" s="100"/>
      <c r="R67" s="100"/>
      <c r="S67" s="184"/>
    </row>
    <row r="68" spans="1:19" x14ac:dyDescent="0.3">
      <c r="A68" s="207" t="s">
        <v>79</v>
      </c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184"/>
    </row>
    <row r="69" spans="1:19" x14ac:dyDescent="0.3">
      <c r="A69" s="207" t="s">
        <v>77</v>
      </c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  <c r="R69" s="207"/>
      <c r="S69" s="184"/>
    </row>
    <row r="70" spans="1:19" x14ac:dyDescent="0.3">
      <c r="A70" s="207" t="s">
        <v>74</v>
      </c>
      <c r="B70" s="207"/>
      <c r="C70" s="207"/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207"/>
      <c r="Q70" s="207"/>
      <c r="R70" s="207"/>
    </row>
    <row r="71" spans="1:19" x14ac:dyDescent="0.3">
      <c r="A71" s="53" t="s">
        <v>75</v>
      </c>
    </row>
  </sheetData>
  <mergeCells count="78">
    <mergeCell ref="A66:R66"/>
    <mergeCell ref="A67:L67"/>
    <mergeCell ref="A70:R70"/>
    <mergeCell ref="A53:R53"/>
    <mergeCell ref="A54:R54"/>
    <mergeCell ref="A55:R55"/>
    <mergeCell ref="A62:R62"/>
    <mergeCell ref="A56:R56"/>
    <mergeCell ref="A69:R69"/>
    <mergeCell ref="A68:R68"/>
    <mergeCell ref="A57:R57"/>
    <mergeCell ref="A61:R61"/>
    <mergeCell ref="A63:R63"/>
    <mergeCell ref="A64:R64"/>
    <mergeCell ref="A65:R65"/>
    <mergeCell ref="A58:R58"/>
    <mergeCell ref="A50:E50"/>
    <mergeCell ref="A52:R52"/>
    <mergeCell ref="C35:E35"/>
    <mergeCell ref="B42:B48"/>
    <mergeCell ref="C42:E42"/>
    <mergeCell ref="C43:E43"/>
    <mergeCell ref="C44:E44"/>
    <mergeCell ref="C45:E45"/>
    <mergeCell ref="C46:E46"/>
    <mergeCell ref="C47:E47"/>
    <mergeCell ref="A51:E51"/>
    <mergeCell ref="C38:E38"/>
    <mergeCell ref="C40:E40"/>
    <mergeCell ref="C39:E39"/>
    <mergeCell ref="A1:R1"/>
    <mergeCell ref="C3:E3"/>
    <mergeCell ref="B4:B25"/>
    <mergeCell ref="C23:E23"/>
    <mergeCell ref="C25:E25"/>
    <mergeCell ref="C24:E24"/>
    <mergeCell ref="C14:E14"/>
    <mergeCell ref="A4:A25"/>
    <mergeCell ref="C4:E4"/>
    <mergeCell ref="C5:E5"/>
    <mergeCell ref="C10:E10"/>
    <mergeCell ref="C22:E22"/>
    <mergeCell ref="C12:E12"/>
    <mergeCell ref="C6:E6"/>
    <mergeCell ref="C11:E11"/>
    <mergeCell ref="C7:E7"/>
    <mergeCell ref="H2:L2"/>
    <mergeCell ref="M2:Q2"/>
    <mergeCell ref="B27:B33"/>
    <mergeCell ref="B34:B40"/>
    <mergeCell ref="C30:E30"/>
    <mergeCell ref="C37:E37"/>
    <mergeCell ref="A26:E26"/>
    <mergeCell ref="C13:E13"/>
    <mergeCell ref="C34:E34"/>
    <mergeCell ref="C27:E27"/>
    <mergeCell ref="C29:E29"/>
    <mergeCell ref="C28:E28"/>
    <mergeCell ref="C31:E31"/>
    <mergeCell ref="C15:E15"/>
    <mergeCell ref="C16:E16"/>
    <mergeCell ref="C20:E20"/>
    <mergeCell ref="A59:R59"/>
    <mergeCell ref="A60:R60"/>
    <mergeCell ref="C9:E9"/>
    <mergeCell ref="C8:E8"/>
    <mergeCell ref="C49:E49"/>
    <mergeCell ref="C48:E48"/>
    <mergeCell ref="A44:A49"/>
    <mergeCell ref="A41:E41"/>
    <mergeCell ref="C21:E21"/>
    <mergeCell ref="C17:E17"/>
    <mergeCell ref="C19:E19"/>
    <mergeCell ref="C18:E18"/>
    <mergeCell ref="C33:E33"/>
    <mergeCell ref="A27:A40"/>
    <mergeCell ref="C36:E36"/>
    <mergeCell ref="C32:E32"/>
  </mergeCells>
  <pageMargins left="0.25" right="0.25" top="0.75" bottom="0.75" header="0.3" footer="0.3"/>
  <pageSetup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8" sqref="C8"/>
    </sheetView>
  </sheetViews>
  <sheetFormatPr defaultRowHeight="14.4" x14ac:dyDescent="0.3"/>
  <cols>
    <col min="1" max="1" width="54.77734375" customWidth="1"/>
    <col min="2" max="2" width="37.77734375" customWidth="1"/>
    <col min="3" max="3" width="11.5546875" customWidth="1"/>
    <col min="4" max="4" width="8.77734375" customWidth="1"/>
  </cols>
  <sheetData>
    <row r="1" spans="1:4" ht="16.2" thickBot="1" x14ac:dyDescent="0.35">
      <c r="A1" s="2" t="s">
        <v>8</v>
      </c>
    </row>
    <row r="2" spans="1:4" ht="15" thickBot="1" x14ac:dyDescent="0.35">
      <c r="A2" s="3" t="s">
        <v>9</v>
      </c>
      <c r="B2" s="4" t="s">
        <v>10</v>
      </c>
      <c r="C2" s="258" t="s">
        <v>1</v>
      </c>
      <c r="D2" s="259"/>
    </row>
    <row r="3" spans="1:4" ht="15" thickBot="1" x14ac:dyDescent="0.35">
      <c r="A3" s="5" t="s">
        <v>11</v>
      </c>
      <c r="B3" s="6" t="s">
        <v>12</v>
      </c>
      <c r="C3" s="7" t="e">
        <f>'Age 9 Extension Burden Table'!#REF!</f>
        <v>#REF!</v>
      </c>
      <c r="D3" s="8"/>
    </row>
    <row r="4" spans="1:4" ht="15" thickBot="1" x14ac:dyDescent="0.35">
      <c r="A4" s="9" t="s">
        <v>11</v>
      </c>
      <c r="B4" s="6" t="s">
        <v>13</v>
      </c>
      <c r="C4" s="14" t="e">
        <f>SUM('Age 9 Extension Burden Table'!#REF!+'Age 9 Extension Burden Table'!J38)</f>
        <v>#REF!</v>
      </c>
      <c r="D4" s="8"/>
    </row>
    <row r="5" spans="1:4" ht="15" thickBot="1" x14ac:dyDescent="0.35">
      <c r="A5" s="9" t="s">
        <v>14</v>
      </c>
      <c r="B5" s="6" t="s">
        <v>15</v>
      </c>
      <c r="C5" s="14" t="e">
        <f>'Age 9 Extension Burden Table'!#REF!</f>
        <v>#REF!</v>
      </c>
      <c r="D5" s="8"/>
    </row>
    <row r="6" spans="1:4" ht="15" thickBot="1" x14ac:dyDescent="0.35">
      <c r="A6" s="5" t="s">
        <v>16</v>
      </c>
      <c r="B6" s="6" t="s">
        <v>17</v>
      </c>
      <c r="C6" s="14" t="e">
        <f>'Age 9 Extension Burden Table'!#REF!</f>
        <v>#REF!</v>
      </c>
      <c r="D6" s="8"/>
    </row>
    <row r="7" spans="1:4" ht="15" thickBot="1" x14ac:dyDescent="0.35">
      <c r="A7" s="5" t="s">
        <v>18</v>
      </c>
      <c r="B7" s="6" t="s">
        <v>19</v>
      </c>
      <c r="C7" s="14" t="e">
        <f>'Age 9 Extension Burden Table'!#REF!</f>
        <v>#REF!</v>
      </c>
      <c r="D7" s="8"/>
    </row>
    <row r="8" spans="1:4" ht="15" thickBot="1" x14ac:dyDescent="0.35">
      <c r="A8" s="10" t="s">
        <v>20</v>
      </c>
      <c r="B8" s="11"/>
      <c r="C8" s="24">
        <v>2680</v>
      </c>
      <c r="D8" s="21">
        <f>C8/C17</f>
        <v>0.19869513641755635</v>
      </c>
    </row>
    <row r="9" spans="1:4" ht="15" thickBot="1" x14ac:dyDescent="0.35">
      <c r="A9" s="12" t="s">
        <v>21</v>
      </c>
      <c r="B9" s="13"/>
      <c r="C9" s="258" t="s">
        <v>1</v>
      </c>
      <c r="D9" s="259"/>
    </row>
    <row r="10" spans="1:4" ht="15" thickBot="1" x14ac:dyDescent="0.35">
      <c r="A10" s="5" t="s">
        <v>22</v>
      </c>
      <c r="B10" s="6" t="s">
        <v>23</v>
      </c>
      <c r="C10" s="23" t="e">
        <f>'Age 9 Extension Burden Table'!#REF!</f>
        <v>#REF!</v>
      </c>
      <c r="D10" s="8"/>
    </row>
    <row r="11" spans="1:4" ht="15" thickBot="1" x14ac:dyDescent="0.35">
      <c r="A11" s="5" t="s">
        <v>24</v>
      </c>
      <c r="B11" s="6" t="s">
        <v>25</v>
      </c>
      <c r="C11" s="23" t="e">
        <f>'Age 9 Extension Burden Table'!#REF!+'Age 9 Extension Burden Table'!#REF!</f>
        <v>#REF!</v>
      </c>
      <c r="D11" s="8"/>
    </row>
    <row r="12" spans="1:4" ht="15" thickBot="1" x14ac:dyDescent="0.35">
      <c r="A12" s="5" t="s">
        <v>26</v>
      </c>
      <c r="B12" s="6" t="s">
        <v>13</v>
      </c>
      <c r="C12" s="14" t="e">
        <f>'Age 9 Extension Burden Table'!#REF!</f>
        <v>#REF!</v>
      </c>
      <c r="D12" s="8"/>
    </row>
    <row r="13" spans="1:4" ht="15" thickBot="1" x14ac:dyDescent="0.35">
      <c r="A13" s="5" t="s">
        <v>27</v>
      </c>
      <c r="B13" s="6" t="s">
        <v>28</v>
      </c>
      <c r="C13" s="14" t="e">
        <f>'Age 9 Extension Burden Table'!#REF!</f>
        <v>#REF!</v>
      </c>
      <c r="D13" s="8"/>
    </row>
    <row r="14" spans="1:4" ht="15" thickBot="1" x14ac:dyDescent="0.35">
      <c r="A14" s="5" t="s">
        <v>29</v>
      </c>
      <c r="B14" s="6" t="s">
        <v>5</v>
      </c>
      <c r="C14" s="14" t="e">
        <f>'Age 9 Extension Burden Table'!#REF!</f>
        <v>#REF!</v>
      </c>
      <c r="D14" s="8"/>
    </row>
    <row r="15" spans="1:4" ht="15" thickBot="1" x14ac:dyDescent="0.35">
      <c r="A15" s="5" t="s">
        <v>30</v>
      </c>
      <c r="B15" s="6" t="s">
        <v>31</v>
      </c>
      <c r="C15" s="14" t="e">
        <f>SUM('Age 9 Extension Burden Table'!#REF!)</f>
        <v>#REF!</v>
      </c>
      <c r="D15" s="8"/>
    </row>
    <row r="16" spans="1:4" x14ac:dyDescent="0.3">
      <c r="A16" s="15" t="s">
        <v>32</v>
      </c>
      <c r="B16" s="16"/>
      <c r="C16" s="18">
        <v>10808</v>
      </c>
      <c r="D16" s="22">
        <f>C16/C17</f>
        <v>0.80130486358244368</v>
      </c>
    </row>
    <row r="17" spans="1:4" x14ac:dyDescent="0.3">
      <c r="A17" s="17" t="s">
        <v>33</v>
      </c>
      <c r="B17" s="1"/>
      <c r="C17" s="19">
        <f>SUM(C8+C16)</f>
        <v>13488</v>
      </c>
      <c r="D17" s="20"/>
    </row>
  </sheetData>
  <mergeCells count="2">
    <mergeCell ref="C2:D2"/>
    <mergeCell ref="C9:D9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Age 9 Extension Burden Table</vt:lpstr>
      <vt:lpstr>Sheet2</vt:lpstr>
      <vt:lpstr>'Age 9 Extension Burden Table'!Print_Area</vt:lpstr>
      <vt:lpstr>'Age 9 Extension Burden 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Reat, Amanda - FNS</cp:lastModifiedBy>
  <cp:lastPrinted>2018-03-26T21:52:19Z</cp:lastPrinted>
  <dcterms:created xsi:type="dcterms:W3CDTF">2012-11-27T19:01:45Z</dcterms:created>
  <dcterms:modified xsi:type="dcterms:W3CDTF">2021-10-19T20:26:05Z</dcterms:modified>
</cp:coreProperties>
</file>