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8B1102C-754C-4F1A-88E3-03B6B2E12888}" xr6:coauthVersionLast="45" xr6:coauthVersionMax="45" xr10:uidLastSave="{00000000-0000-0000-0000-000000000000}"/>
  <bookViews>
    <workbookView xWindow="-110" yWindow="-110" windowWidth="19420" windowHeight="10420" tabRatio="806" xr2:uid="{00000000-000D-0000-FFFF-FFFF00000000}"/>
  </bookViews>
  <sheets>
    <sheet name="Table 1" sheetId="1" r:id="rId1"/>
    <sheet name="Table 2" sheetId="8" r:id="rId2"/>
    <sheet name="Table 3" sheetId="9" r:id="rId3"/>
    <sheet name="Table 4" sheetId="2" r:id="rId4"/>
    <sheet name="Table 5" sheetId="10" r:id="rId5"/>
    <sheet name="Table 6" sheetId="11" r:id="rId6"/>
    <sheet name="3-Year Summary" sheetId="12" r:id="rId7"/>
    <sheet name="O&amp;M" sheetId="3" r:id="rId8"/>
    <sheet name="Wages" sheetId="7" r:id="rId9"/>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1" l="1"/>
  <c r="F13" i="11"/>
  <c r="E11" i="11"/>
  <c r="E7" i="11"/>
  <c r="E5" i="11"/>
  <c r="E7" i="10"/>
  <c r="E5" i="10"/>
  <c r="C44" i="3"/>
  <c r="C46" i="3"/>
  <c r="C43" i="3"/>
  <c r="C40" i="3"/>
  <c r="B41" i="3"/>
  <c r="C41" i="3"/>
  <c r="C42" i="3"/>
  <c r="C39" i="3"/>
  <c r="B39" i="3"/>
  <c r="C35" i="3"/>
  <c r="B36" i="3"/>
  <c r="E36" i="3" s="1"/>
  <c r="C36" i="3"/>
  <c r="C37" i="3"/>
  <c r="C34" i="3"/>
  <c r="B34" i="3"/>
  <c r="C30" i="3"/>
  <c r="B31" i="3"/>
  <c r="C31" i="3"/>
  <c r="C32" i="3"/>
  <c r="C29" i="3"/>
  <c r="B29" i="3"/>
  <c r="D11" i="11"/>
  <c r="D12" i="11"/>
  <c r="F12" i="11" s="1"/>
  <c r="D10" i="11"/>
  <c r="F10" i="11" s="1"/>
  <c r="H10" i="11" s="1"/>
  <c r="D8" i="11"/>
  <c r="D7" i="11"/>
  <c r="D6" i="11"/>
  <c r="D5" i="11"/>
  <c r="D8" i="10"/>
  <c r="D7" i="10"/>
  <c r="D6" i="10"/>
  <c r="D5" i="10"/>
  <c r="D30" i="9"/>
  <c r="D29" i="9"/>
  <c r="D28" i="9"/>
  <c r="D26" i="9"/>
  <c r="D20" i="9"/>
  <c r="D19" i="9"/>
  <c r="D18" i="9"/>
  <c r="D17" i="9"/>
  <c r="D25" i="9"/>
  <c r="F25" i="9" s="1"/>
  <c r="D24" i="9"/>
  <c r="F24" i="9" s="1"/>
  <c r="D15" i="9"/>
  <c r="D14" i="9"/>
  <c r="F14" i="9" s="1"/>
  <c r="D13" i="9"/>
  <c r="D12" i="9"/>
  <c r="F12" i="9" s="1"/>
  <c r="D10" i="9"/>
  <c r="F10" i="9" s="1"/>
  <c r="D9" i="9"/>
  <c r="D8" i="9"/>
  <c r="F8" i="9" s="1"/>
  <c r="D21" i="8"/>
  <c r="D20" i="8"/>
  <c r="F20" i="8" s="1"/>
  <c r="G20" i="8" s="1"/>
  <c r="D19" i="8"/>
  <c r="F19" i="8" s="1"/>
  <c r="D15" i="8"/>
  <c r="D14" i="8"/>
  <c r="F14" i="8" s="1"/>
  <c r="D13" i="8"/>
  <c r="D12" i="8"/>
  <c r="F12" i="8" s="1"/>
  <c r="D10" i="8"/>
  <c r="F10" i="8" s="1"/>
  <c r="D9" i="8"/>
  <c r="D8" i="8"/>
  <c r="F8" i="8" s="1"/>
  <c r="C20" i="3"/>
  <c r="C21" i="3" s="1"/>
  <c r="E9" i="9" s="1"/>
  <c r="E15" i="9" s="1"/>
  <c r="F15" i="9" s="1"/>
  <c r="E9" i="1"/>
  <c r="E13" i="1" s="1"/>
  <c r="D10" i="7"/>
  <c r="L6" i="8" s="1"/>
  <c r="D11" i="7"/>
  <c r="L7" i="9" s="1"/>
  <c r="D9" i="7"/>
  <c r="L5" i="8" s="1"/>
  <c r="E7" i="2"/>
  <c r="E5" i="2"/>
  <c r="D6" i="2"/>
  <c r="D7" i="2"/>
  <c r="D8" i="2"/>
  <c r="F11" i="11" l="1"/>
  <c r="G11" i="11" s="1"/>
  <c r="E41" i="3"/>
  <c r="E8" i="11"/>
  <c r="F7" i="11"/>
  <c r="F7" i="10"/>
  <c r="G7" i="10" s="1"/>
  <c r="B30" i="3"/>
  <c r="B42" i="3"/>
  <c r="L5" i="1"/>
  <c r="L6" i="1"/>
  <c r="L5" i="9"/>
  <c r="L7" i="1"/>
  <c r="L7" i="8"/>
  <c r="I10" i="8" s="1"/>
  <c r="L6" i="9"/>
  <c r="E39" i="3"/>
  <c r="E9" i="8"/>
  <c r="F9" i="8" s="1"/>
  <c r="G9" i="8" s="1"/>
  <c r="F5" i="10"/>
  <c r="G5" i="10" s="1"/>
  <c r="H12" i="11"/>
  <c r="G12" i="11"/>
  <c r="F5" i="11"/>
  <c r="G5" i="11" s="1"/>
  <c r="G10" i="11"/>
  <c r="I10" i="11"/>
  <c r="G7" i="11"/>
  <c r="H7" i="11"/>
  <c r="I7" i="11" s="1"/>
  <c r="H5" i="10"/>
  <c r="F9" i="9"/>
  <c r="H25" i="9"/>
  <c r="G25" i="9"/>
  <c r="H10" i="9"/>
  <c r="G10" i="9"/>
  <c r="G15" i="9"/>
  <c r="H15" i="9"/>
  <c r="G12" i="9"/>
  <c r="H12" i="9"/>
  <c r="H14" i="9"/>
  <c r="G14" i="9"/>
  <c r="H8" i="9"/>
  <c r="G8" i="9"/>
  <c r="H24" i="9"/>
  <c r="G24" i="9"/>
  <c r="E13" i="9"/>
  <c r="H19" i="8"/>
  <c r="G19" i="8"/>
  <c r="G10" i="8"/>
  <c r="H10" i="8"/>
  <c r="G14" i="8"/>
  <c r="H14" i="8"/>
  <c r="H8" i="8"/>
  <c r="G8" i="8"/>
  <c r="H12" i="8"/>
  <c r="G12" i="8"/>
  <c r="H20" i="8"/>
  <c r="E15" i="1"/>
  <c r="B32" i="3" s="1"/>
  <c r="F7" i="2"/>
  <c r="H7" i="2" s="1"/>
  <c r="H11" i="11" l="1"/>
  <c r="I11" i="11" s="1"/>
  <c r="B40" i="3"/>
  <c r="E40" i="3" s="1"/>
  <c r="E6" i="11"/>
  <c r="F6" i="11" s="1"/>
  <c r="H6" i="11" s="1"/>
  <c r="I14" i="8"/>
  <c r="H7" i="10"/>
  <c r="I7" i="10" s="1"/>
  <c r="I19" i="8"/>
  <c r="I8" i="8"/>
  <c r="I5" i="10"/>
  <c r="I20" i="8"/>
  <c r="I12" i="8"/>
  <c r="H9" i="8"/>
  <c r="I9" i="8" s="1"/>
  <c r="E8" i="2"/>
  <c r="F8" i="2" s="1"/>
  <c r="F8" i="11"/>
  <c r="E13" i="8"/>
  <c r="E6" i="10" s="1"/>
  <c r="F6" i="10" s="1"/>
  <c r="E15" i="8"/>
  <c r="E8" i="10" s="1"/>
  <c r="F8" i="10" s="1"/>
  <c r="E29" i="9"/>
  <c r="F29" i="9" s="1"/>
  <c r="H29" i="9" s="1"/>
  <c r="E26" i="9"/>
  <c r="F26" i="9" s="1"/>
  <c r="H26" i="9" s="1"/>
  <c r="E30" i="9"/>
  <c r="F30" i="9" s="1"/>
  <c r="G30" i="9" s="1"/>
  <c r="E28" i="9"/>
  <c r="F28" i="9" s="1"/>
  <c r="I24" i="9"/>
  <c r="I12" i="11"/>
  <c r="H5" i="11"/>
  <c r="E20" i="9"/>
  <c r="E19" i="9"/>
  <c r="E17" i="9"/>
  <c r="E18" i="9"/>
  <c r="I14" i="9"/>
  <c r="H9" i="9"/>
  <c r="I15" i="9"/>
  <c r="I8" i="9"/>
  <c r="G9" i="9"/>
  <c r="I12" i="9"/>
  <c r="I25" i="9"/>
  <c r="F13" i="9"/>
  <c r="H13" i="9" s="1"/>
  <c r="I10" i="9"/>
  <c r="G7" i="2"/>
  <c r="I7" i="2" s="1"/>
  <c r="G6" i="11" l="1"/>
  <c r="I6" i="11" s="1"/>
  <c r="G6" i="10"/>
  <c r="H6" i="10"/>
  <c r="I6" i="10" s="1"/>
  <c r="F15" i="8"/>
  <c r="H15" i="8" s="1"/>
  <c r="B37" i="3"/>
  <c r="E37" i="3" s="1"/>
  <c r="F13" i="8"/>
  <c r="B35" i="3"/>
  <c r="F18" i="9"/>
  <c r="H18" i="9" s="1"/>
  <c r="B44" i="3"/>
  <c r="E44" i="3" s="1"/>
  <c r="F17" i="9"/>
  <c r="H17" i="9" s="1"/>
  <c r="B43" i="3"/>
  <c r="E43" i="3" s="1"/>
  <c r="F19" i="9"/>
  <c r="H19" i="9" s="1"/>
  <c r="B45" i="3"/>
  <c r="E45" i="3" s="1"/>
  <c r="F20" i="9"/>
  <c r="G20" i="9" s="1"/>
  <c r="B46" i="3"/>
  <c r="E46" i="3" s="1"/>
  <c r="E21" i="8"/>
  <c r="F21" i="8" s="1"/>
  <c r="G21" i="8" s="1"/>
  <c r="G26" i="9"/>
  <c r="I26" i="9" s="1"/>
  <c r="G29" i="9"/>
  <c r="G8" i="11"/>
  <c r="H8" i="11"/>
  <c r="I29" i="9"/>
  <c r="G28" i="9"/>
  <c r="H28" i="9"/>
  <c r="H8" i="10"/>
  <c r="G8" i="10"/>
  <c r="H8" i="2"/>
  <c r="G8" i="2"/>
  <c r="I8" i="2" s="1"/>
  <c r="I5" i="11"/>
  <c r="I9" i="9"/>
  <c r="G13" i="9"/>
  <c r="I13" i="9" s="1"/>
  <c r="H30" i="9"/>
  <c r="I30" i="9" s="1"/>
  <c r="G19" i="9"/>
  <c r="G13" i="8"/>
  <c r="H13" i="8"/>
  <c r="G18" i="9" l="1"/>
  <c r="H20" i="9"/>
  <c r="B15" i="12"/>
  <c r="G17" i="9"/>
  <c r="I17" i="9" s="1"/>
  <c r="G15" i="8"/>
  <c r="I15" i="8" s="1"/>
  <c r="I8" i="11"/>
  <c r="C15" i="12" s="1"/>
  <c r="H21" i="8"/>
  <c r="F22" i="8" s="1"/>
  <c r="C6" i="12" s="1"/>
  <c r="I28" i="9"/>
  <c r="I31" i="9" s="1"/>
  <c r="F7" i="12" s="1"/>
  <c r="I13" i="8"/>
  <c r="I8" i="10"/>
  <c r="I9" i="10" s="1"/>
  <c r="C14" i="12" s="1"/>
  <c r="F9" i="10"/>
  <c r="B14" i="12" s="1"/>
  <c r="F31" i="9"/>
  <c r="C7" i="12" s="1"/>
  <c r="I18" i="9"/>
  <c r="I20" i="9"/>
  <c r="I19" i="9"/>
  <c r="F21" i="9" l="1"/>
  <c r="B7" i="12" s="1"/>
  <c r="D7" i="12" s="1"/>
  <c r="I16" i="8"/>
  <c r="E6" i="12" s="1"/>
  <c r="F16" i="8"/>
  <c r="B6" i="12" s="1"/>
  <c r="D6" i="12" s="1"/>
  <c r="I21" i="8"/>
  <c r="I22" i="8" s="1"/>
  <c r="F23" i="8"/>
  <c r="I21" i="9"/>
  <c r="E7" i="12" s="1"/>
  <c r="G7" i="12" s="1"/>
  <c r="F32" i="9" l="1"/>
  <c r="I23" i="8"/>
  <c r="F6" i="12"/>
  <c r="G6" i="12" s="1"/>
  <c r="I32" i="9"/>
  <c r="D9" i="1" l="1"/>
  <c r="D8" i="1"/>
  <c r="F8" i="1" s="1"/>
  <c r="D19" i="1"/>
  <c r="F19" i="1" s="1"/>
  <c r="H19" i="1" s="1"/>
  <c r="D20" i="1"/>
  <c r="F20" i="1" s="1"/>
  <c r="G20" i="1" s="1"/>
  <c r="D21" i="1"/>
  <c r="D10" i="1"/>
  <c r="F10" i="1" s="1"/>
  <c r="H10" i="1" s="1"/>
  <c r="G8" i="1" l="1"/>
  <c r="H8" i="1"/>
  <c r="H20" i="1"/>
  <c r="I20" i="1" s="1"/>
  <c r="G19" i="1"/>
  <c r="I19" i="1"/>
  <c r="G10" i="1"/>
  <c r="I10" i="1" s="1"/>
  <c r="I8" i="1" l="1"/>
  <c r="E30" i="3" l="1"/>
  <c r="E31" i="3"/>
  <c r="E32" i="3"/>
  <c r="E34" i="3"/>
  <c r="E35" i="3"/>
  <c r="E42" i="3"/>
  <c r="E29" i="3"/>
  <c r="F20" i="3" l="1"/>
  <c r="F21" i="3"/>
  <c r="F19" i="3"/>
  <c r="F22" i="3" s="1"/>
  <c r="B22" i="3" l="1"/>
  <c r="D22" i="3"/>
  <c r="E22" i="3"/>
  <c r="C22" i="3"/>
  <c r="E47" i="3" l="1"/>
  <c r="E48" i="3" s="1"/>
  <c r="G11" i="3"/>
  <c r="D5" i="2"/>
  <c r="F5" i="2" s="1"/>
  <c r="D15" i="1"/>
  <c r="D14" i="1"/>
  <c r="F14" i="1" s="1"/>
  <c r="G14" i="1" s="1"/>
  <c r="D13" i="1"/>
  <c r="D12" i="1"/>
  <c r="F12" i="1" s="1"/>
  <c r="G12" i="1" s="1"/>
  <c r="I24" i="8" l="1"/>
  <c r="I25" i="8" s="1"/>
  <c r="I33" i="9"/>
  <c r="I34" i="9" s="1"/>
  <c r="I24" i="1"/>
  <c r="G5" i="2"/>
  <c r="H5" i="2"/>
  <c r="H12" i="1"/>
  <c r="I12" i="1" s="1"/>
  <c r="H14" i="1"/>
  <c r="I14" i="1" s="1"/>
  <c r="I5" i="2" l="1"/>
  <c r="F15" i="1"/>
  <c r="F9" i="1"/>
  <c r="G9" i="1" s="1"/>
  <c r="E6" i="2"/>
  <c r="F6" i="2" s="1"/>
  <c r="G6" i="2" s="1"/>
  <c r="F13" i="1"/>
  <c r="E21" i="1"/>
  <c r="F21" i="1" s="1"/>
  <c r="H21" i="1" s="1"/>
  <c r="G15" i="1" l="1"/>
  <c r="H15" i="1"/>
  <c r="H13" i="1"/>
  <c r="G13" i="1"/>
  <c r="H9" i="1"/>
  <c r="I9" i="1" s="1"/>
  <c r="H6" i="2"/>
  <c r="I6" i="2" s="1"/>
  <c r="I9" i="2" s="1"/>
  <c r="C13" i="12" s="1"/>
  <c r="C16" i="12" s="1"/>
  <c r="C17" i="12" s="1"/>
  <c r="G21" i="1"/>
  <c r="I21" i="1" s="1"/>
  <c r="I22" i="1" s="1"/>
  <c r="F5" i="12" l="1"/>
  <c r="F8" i="12" s="1"/>
  <c r="F9" i="12" s="1"/>
  <c r="F22" i="1"/>
  <c r="C5" i="12" s="1"/>
  <c r="C8" i="12" s="1"/>
  <c r="C9" i="12" s="1"/>
  <c r="I15" i="1"/>
  <c r="F9" i="2"/>
  <c r="B13" i="12" s="1"/>
  <c r="B16" i="12" s="1"/>
  <c r="B17" i="12" s="1"/>
  <c r="F16" i="1"/>
  <c r="B5" i="12" s="1"/>
  <c r="I13" i="1"/>
  <c r="D5" i="12" l="1"/>
  <c r="D8" i="12" s="1"/>
  <c r="D9" i="12" s="1"/>
  <c r="C19" i="12" s="1"/>
  <c r="B8" i="12"/>
  <c r="B9" i="12" s="1"/>
  <c r="I16" i="1"/>
  <c r="F23" i="1"/>
  <c r="E5" i="12" l="1"/>
  <c r="I23" i="1"/>
  <c r="I25" i="1"/>
  <c r="E8" i="12" l="1"/>
  <c r="E9" i="12" s="1"/>
  <c r="G5" i="12"/>
  <c r="G8" i="12" s="1"/>
  <c r="G9" i="12" s="1"/>
</calcChain>
</file>

<file path=xl/sharedStrings.xml><?xml version="1.0" encoding="utf-8"?>
<sst xmlns="http://schemas.openxmlformats.org/spreadsheetml/2006/main" count="394" uniqueCount="183">
  <si>
    <t>Burden item</t>
  </si>
  <si>
    <t>(A)</t>
  </si>
  <si>
    <t>(B)</t>
  </si>
  <si>
    <t>(C)</t>
  </si>
  <si>
    <t>(D)</t>
  </si>
  <si>
    <t>(E)</t>
  </si>
  <si>
    <t>(F)</t>
  </si>
  <si>
    <t>(G)</t>
  </si>
  <si>
    <t>(H)</t>
  </si>
  <si>
    <t>1.  Applications</t>
  </si>
  <si>
    <t>N/A</t>
  </si>
  <si>
    <t>2.  Survey and Studies</t>
  </si>
  <si>
    <t>3.  Reporting requirements</t>
  </si>
  <si>
    <t>Subtotal  for Reporting  Requirements</t>
  </si>
  <si>
    <t>4.  Recordkeeping requirements</t>
  </si>
  <si>
    <t>See 3A</t>
  </si>
  <si>
    <t xml:space="preserve">Subtotal  for Recordkeeping Requirements  </t>
  </si>
  <si>
    <t>Technical person- hours per year (E=CxD)</t>
  </si>
  <si>
    <t>Assumptions:</t>
  </si>
  <si>
    <t>Activity</t>
  </si>
  <si>
    <t>EPA person- hours per occurrence</t>
  </si>
  <si>
    <t>No. of occurrences per plant per year</t>
  </si>
  <si>
    <t>EPA person- hours per plant per year (C=AxB)</t>
  </si>
  <si>
    <t>Management person-hours per year (Ex0.05)</t>
  </si>
  <si>
    <t>Clerical person-hours per year (Ex0.1)</t>
  </si>
  <si>
    <t>(A)
Person hours per occurrence</t>
  </si>
  <si>
    <t>(B)
No. of occurrences per respondent per year</t>
  </si>
  <si>
    <t>(C)
Person hours per respondent per year
(C = A x B)</t>
  </si>
  <si>
    <t>(E)
Technical person- hours per year 
(E = C x D)</t>
  </si>
  <si>
    <t>(F)
Management person hours per year 
(E x 0.05)</t>
  </si>
  <si>
    <t>(G)
Clerical person hours per year 
(E x 0.1)</t>
  </si>
  <si>
    <t>Clerical</t>
  </si>
  <si>
    <t>Technical</t>
  </si>
  <si>
    <t>Management</t>
  </si>
  <si>
    <r>
      <t xml:space="preserve">Cost, $ </t>
    </r>
    <r>
      <rPr>
        <b/>
        <vertAlign val="superscript"/>
        <sz val="10"/>
        <color theme="1"/>
        <rFont val="Times New Roman"/>
        <family val="1"/>
      </rPr>
      <t>b</t>
    </r>
  </si>
  <si>
    <t>Labor Rates</t>
  </si>
  <si>
    <t>Capital/Startup vs. Operation and Maintenance (O&amp;M) Costs</t>
  </si>
  <si>
    <t>Continuous Monitoring Device</t>
  </si>
  <si>
    <t xml:space="preserve">Number of New Respondents </t>
  </si>
  <si>
    <t>Total Capital/Startup Cost, (B X C)</t>
  </si>
  <si>
    <t>Number of Respondents with O&amp;M</t>
  </si>
  <si>
    <t>Total</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</si>
  <si>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</si>
  <si>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</si>
  <si>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</si>
  <si>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</si>
  <si>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</si>
  <si>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</si>
  <si>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</si>
  <si>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</si>
  <si>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</si>
  <si>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</si>
  <si>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</si>
  <si>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</si>
  <si>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Total O&amp;M, (ExF)</t>
  </si>
  <si>
    <t>Number of Respondents (E=A+B+C-D)</t>
  </si>
  <si>
    <r>
      <t xml:space="preserve">Number of New Respondents </t>
    </r>
    <r>
      <rPr>
        <vertAlign val="superscript"/>
        <sz val="10"/>
        <color rgb="FF000000"/>
        <rFont val="Times New Roman"/>
        <family val="1"/>
      </rPr>
      <t>a</t>
    </r>
  </si>
  <si>
    <t>Total Annual Responses E=(BxC)+D</t>
  </si>
  <si>
    <r>
      <t xml:space="preserve">Capital/Startup Cost for One Respondent </t>
    </r>
    <r>
      <rPr>
        <vertAlign val="superscript"/>
        <sz val="10"/>
        <color rgb="FF000000"/>
        <rFont val="Times New Roman"/>
        <family val="1"/>
      </rPr>
      <t>a</t>
    </r>
  </si>
  <si>
    <r>
      <t xml:space="preserve">Annual O&amp;M Costs for One Respondent </t>
    </r>
    <r>
      <rPr>
        <vertAlign val="superscript"/>
        <sz val="10"/>
        <color rgb="FF000000"/>
        <rFont val="Times New Roman"/>
        <family val="1"/>
      </rPr>
      <t>a</t>
    </r>
  </si>
  <si>
    <r>
      <t xml:space="preserve">(D)
Respondents per year </t>
    </r>
    <r>
      <rPr>
        <b/>
        <vertAlign val="superscript"/>
        <sz val="10"/>
        <color theme="1"/>
        <rFont val="Times New Roman"/>
        <family val="1"/>
      </rPr>
      <t>a</t>
    </r>
  </si>
  <si>
    <r>
      <t xml:space="preserve">(H)
Total Cost Per year </t>
    </r>
    <r>
      <rPr>
        <b/>
        <vertAlign val="superscript"/>
        <sz val="10"/>
        <color theme="1"/>
        <rFont val="Times New Roman"/>
        <family val="1"/>
      </rPr>
      <t>b</t>
    </r>
  </si>
  <si>
    <t>A.  Familiarization with rule requirements</t>
  </si>
  <si>
    <t>B.  Plan activities</t>
  </si>
  <si>
    <t>B.  Gather information</t>
  </si>
  <si>
    <t>C.  Write Report</t>
  </si>
  <si>
    <t>Respond to the EPA request for data</t>
  </si>
  <si>
    <t>Establish account for NEI</t>
  </si>
  <si>
    <t>Enter general information into database</t>
  </si>
  <si>
    <t>Enter product formulations into database</t>
  </si>
  <si>
    <t>Enter company wide volumes of coating constituents into database</t>
  </si>
  <si>
    <t>E.  Triennial Report</t>
  </si>
  <si>
    <t>Read instructions/take training for reporting</t>
  </si>
  <si>
    <t xml:space="preserve">No capital/startup and operation and maintenance costs are associated with this rulemaking. </t>
  </si>
  <si>
    <t>Table 1: Annual Respondent Burden and Cost (Year 1) – National Volatile Organic Compound Emission Standards for Aerosol Coatings (40 CFR Part 59, Subpart E) (Renewal)</t>
  </si>
  <si>
    <t>Table 3: Annual Respondent Burden and Cost (Year 3) – National Volatile Organic Compound Emission Standards for Aerosol Coatings (40 CFR Part 59, Subpart E) (Renewal)</t>
  </si>
  <si>
    <t>New sources</t>
  </si>
  <si>
    <r>
      <t xml:space="preserve">Existing sources </t>
    </r>
    <r>
      <rPr>
        <vertAlign val="superscript"/>
        <sz val="10"/>
        <color theme="1"/>
        <rFont val="Times New Roman"/>
        <family val="1"/>
      </rPr>
      <t>c</t>
    </r>
  </si>
  <si>
    <r>
      <t>c</t>
    </r>
    <r>
      <rPr>
        <sz val="10"/>
        <color theme="1"/>
        <rFont val="Times New Roman"/>
        <family val="1"/>
      </rPr>
      <t xml:space="preserve">  We have assumed that each existing source will re-familiarize with the requirements each year.</t>
    </r>
  </si>
  <si>
    <r>
      <t xml:space="preserve">Initial report (including small quantity manufacturers) </t>
    </r>
    <r>
      <rPr>
        <vertAlign val="superscript"/>
        <sz val="10"/>
        <color theme="1"/>
        <rFont val="Times New Roman"/>
        <family val="1"/>
      </rPr>
      <t>d</t>
    </r>
  </si>
  <si>
    <r>
      <t xml:space="preserve">l   </t>
    </r>
    <r>
      <rPr>
        <sz val="10"/>
        <color theme="1"/>
        <rFont val="Times New Roman"/>
        <family val="1"/>
      </rPr>
      <t>Totals have been rounded to 3 significant figures. Figures may not add exactly due to rounding.</t>
    </r>
  </si>
  <si>
    <t>Initial report</t>
  </si>
  <si>
    <t>Supplemental report</t>
  </si>
  <si>
    <r>
      <t xml:space="preserve">Supplemental report </t>
    </r>
    <r>
      <rPr>
        <vertAlign val="superscript"/>
        <sz val="10"/>
        <color theme="1"/>
        <rFont val="Times New Roman"/>
        <family val="1"/>
      </rPr>
      <t>e</t>
    </r>
  </si>
  <si>
    <r>
      <t xml:space="preserve">Variance or compliance extension application </t>
    </r>
    <r>
      <rPr>
        <vertAlign val="superscript"/>
        <sz val="10"/>
        <color theme="1"/>
        <rFont val="Times New Roman"/>
        <family val="1"/>
      </rPr>
      <t>f</t>
    </r>
  </si>
  <si>
    <r>
      <t xml:space="preserve">Respond to the EPA request for data </t>
    </r>
    <r>
      <rPr>
        <vertAlign val="superscript"/>
        <sz val="10"/>
        <color theme="1"/>
        <rFont val="Times New Roman"/>
        <family val="1"/>
      </rPr>
      <t>g</t>
    </r>
  </si>
  <si>
    <r>
      <t xml:space="preserve">C.  Calculation of reactivity </t>
    </r>
    <r>
      <rPr>
        <vertAlign val="superscript"/>
        <sz val="10"/>
        <color theme="1"/>
        <rFont val="Times New Roman"/>
        <family val="1"/>
      </rPr>
      <t>h, i,  j</t>
    </r>
  </si>
  <si>
    <r>
      <t xml:space="preserve">D.  Maintenance of batch information </t>
    </r>
    <r>
      <rPr>
        <vertAlign val="superscript"/>
        <sz val="10"/>
        <color theme="1"/>
        <rFont val="Times New Roman"/>
        <family val="1"/>
      </rPr>
      <t>k</t>
    </r>
  </si>
  <si>
    <r>
      <t xml:space="preserve">Total Labor Burden and Costs (rounded) </t>
    </r>
    <r>
      <rPr>
        <b/>
        <vertAlign val="superscript"/>
        <sz val="10"/>
        <color theme="1"/>
        <rFont val="Times New Roman"/>
        <family val="1"/>
      </rPr>
      <t>k</t>
    </r>
  </si>
  <si>
    <r>
      <t xml:space="preserve">Total Capital and O&amp;M Cost (rounded) </t>
    </r>
    <r>
      <rPr>
        <b/>
        <vertAlign val="superscript"/>
        <sz val="10"/>
        <color rgb="FF000000"/>
        <rFont val="Times New Roman"/>
        <family val="1"/>
      </rPr>
      <t>k</t>
    </r>
  </si>
  <si>
    <r>
      <t xml:space="preserve">GRAND TOTAL (rounded) </t>
    </r>
    <r>
      <rPr>
        <b/>
        <vertAlign val="superscript"/>
        <sz val="10"/>
        <color theme="1"/>
        <rFont val="Times New Roman"/>
        <family val="1"/>
      </rPr>
      <t>k</t>
    </r>
  </si>
  <si>
    <r>
      <t>d</t>
    </r>
    <r>
      <rPr>
        <sz val="10"/>
        <color theme="1"/>
        <rFont val="Times New Roman"/>
        <family val="1"/>
      </rPr>
      <t xml:space="preserve">  New sources file initial reports in their first year.</t>
    </r>
  </si>
  <si>
    <r>
      <t>f</t>
    </r>
    <r>
      <rPr>
        <sz val="10"/>
        <color theme="1"/>
        <rFont val="Times New Roman"/>
        <family val="1"/>
      </rPr>
      <t xml:space="preserve">  We assume that 10 percent of new respondents will request a variance or extension on their compliance application. </t>
    </r>
  </si>
  <si>
    <r>
      <t>h</t>
    </r>
    <r>
      <rPr>
        <sz val="10"/>
        <color theme="1"/>
        <rFont val="Times New Roman"/>
        <family val="1"/>
      </rPr>
      <t xml:space="preserve">  We assume that the time required (0.5 hours) for the calculation of reactivity for formulations for new coating categories is the same for new sources and existing sources.  </t>
    </r>
  </si>
  <si>
    <r>
      <t xml:space="preserve">k   </t>
    </r>
    <r>
      <rPr>
        <sz val="10"/>
        <color theme="1"/>
        <rFont val="Times New Roman"/>
        <family val="1"/>
      </rPr>
      <t xml:space="preserve">We have assumed that it takes the same amount of time (0.25 hours) for new and existing sources to maintain batch information. </t>
    </r>
  </si>
  <si>
    <t>Wages</t>
  </si>
  <si>
    <t>U.S Bureau of Labor Statistics</t>
  </si>
  <si>
    <t>May 2020 National Occupational Employment and Wage Estimates</t>
  </si>
  <si>
    <t>Labor Category</t>
  </si>
  <si>
    <t>Occupational Code</t>
  </si>
  <si>
    <t xml:space="preserve">Mean Wage Estimate ($2020) </t>
  </si>
  <si>
    <t>Loaded Wage (+110%)($2020)</t>
  </si>
  <si>
    <t>Managerial</t>
  </si>
  <si>
    <t>11-1021</t>
  </si>
  <si>
    <t>51-8090</t>
  </si>
  <si>
    <t>43-6010</t>
  </si>
  <si>
    <t xml:space="preserve">This ICR uses the following labor rates:  $126.95 (managerial), $71.38 (technical), and $45.23 (clerical). These rates are from the United States Department of Labor, Bureau of Labor Statistics, May 2020 National Occupational Employment and Wage Estimates, for occupational groups 11-1021 (managerial), 51-8090 (technical), and 43-6010 (clerical). The rates represent the mean hourly wage, and have been increased by 110 percent to account for the benefit packages available to those employed by private industry. </t>
  </si>
  <si>
    <t>https://www.bls.gov/oes/current/oes_nat.htm#00-0000</t>
  </si>
  <si>
    <r>
      <t>i</t>
    </r>
    <r>
      <rPr>
        <sz val="10"/>
        <color theme="1"/>
        <rFont val="Times New Roman"/>
        <family val="1"/>
      </rPr>
      <t xml:space="preserve">  We assume each respondent will maintain records on 37 formulations (average for industry). </t>
    </r>
  </si>
  <si>
    <r>
      <t>e</t>
    </r>
    <r>
      <rPr>
        <sz val="10"/>
        <color theme="1"/>
        <rFont val="Times New Roman"/>
        <family val="1"/>
      </rPr>
      <t xml:space="preserve">  We assume each new and existing respondent will have one incident per year that will require supplemental reporting (also referred to as a “notice of change” report).</t>
    </r>
  </si>
  <si>
    <r>
      <t>j</t>
    </r>
    <r>
      <rPr>
        <sz val="10"/>
        <color theme="1"/>
        <rFont val="Times New Roman"/>
        <family val="1"/>
      </rPr>
      <t xml:space="preserve">  The number of respondents includes one new and 10 existing respondents. We have assumed that 10 existing manufacturers add new coating categories each year.</t>
    </r>
  </si>
  <si>
    <t>Table 2: Annual Respondent Burden and Cost (Year 2) – National Volatile Organic Compound Emission Standards for Aerosol Coatings (40 CFR Part 59, Subpart E) (Renewal)</t>
  </si>
  <si>
    <r>
      <t>a</t>
    </r>
    <r>
      <rPr>
        <sz val="10"/>
        <color theme="1"/>
        <rFont val="Times New Roman"/>
        <family val="1"/>
      </rPr>
      <t xml:space="preserve">  We have assumed 65 existing respondents in year 1 and one additional new aerosol coating manufacturer each year.</t>
    </r>
  </si>
  <si>
    <r>
      <t>a</t>
    </r>
    <r>
      <rPr>
        <sz val="10"/>
        <color theme="1"/>
        <rFont val="Times New Roman"/>
        <family val="1"/>
      </rPr>
      <t xml:space="preserve">  We have assumed 66 existing respondents in year 2 and one additional new aerosol coating manufacturer each year.</t>
    </r>
  </si>
  <si>
    <r>
      <t xml:space="preserve">D. Write Triennial Report </t>
    </r>
    <r>
      <rPr>
        <vertAlign val="superscript"/>
        <sz val="10"/>
        <color theme="1"/>
        <rFont val="Times New Roman"/>
        <family val="1"/>
      </rPr>
      <t>h</t>
    </r>
  </si>
  <si>
    <r>
      <t>h</t>
    </r>
    <r>
      <rPr>
        <sz val="10"/>
        <color theme="1"/>
        <rFont val="Times New Roman"/>
        <family val="1"/>
      </rPr>
      <t xml:space="preserve">  We assume each respondent will submit a triennial report of formulations and VOC usage.  </t>
    </r>
  </si>
  <si>
    <r>
      <t>i</t>
    </r>
    <r>
      <rPr>
        <sz val="10"/>
        <color theme="1"/>
        <rFont val="Times New Roman"/>
        <family val="1"/>
      </rPr>
      <t xml:space="preserve">  We assume that the time required (0.5 hours) for the calculation of reactivity for formulations for new coating categories is the same for new sources and existing sources.  </t>
    </r>
  </si>
  <si>
    <r>
      <t>j</t>
    </r>
    <r>
      <rPr>
        <sz val="10"/>
        <color theme="1"/>
        <rFont val="Times New Roman"/>
        <family val="1"/>
      </rPr>
      <t xml:space="preserve"> We assume each respondent will maintain records on 37 formulations (average for industry). </t>
    </r>
  </si>
  <si>
    <r>
      <t>k</t>
    </r>
    <r>
      <rPr>
        <sz val="10"/>
        <color theme="1"/>
        <rFont val="Times New Roman"/>
        <family val="1"/>
      </rPr>
      <t xml:space="preserve">  The number of respondents includes one new and 10 existing respondents. We have assumed that 10 existing manufacturers add new coating categories each year.</t>
    </r>
  </si>
  <si>
    <r>
      <t xml:space="preserve">l   </t>
    </r>
    <r>
      <rPr>
        <sz val="10"/>
        <color theme="1"/>
        <rFont val="Times New Roman"/>
        <family val="1"/>
      </rPr>
      <t xml:space="preserve">We have assumed that it takes the same amount of time (0.25 hours) for new and existing sources to maintain batch information. </t>
    </r>
  </si>
  <si>
    <r>
      <t xml:space="preserve">C.  Calculation of reactivity </t>
    </r>
    <r>
      <rPr>
        <vertAlign val="superscript"/>
        <sz val="10"/>
        <color theme="1"/>
        <rFont val="Times New Roman"/>
        <family val="1"/>
      </rPr>
      <t>i,  j, k</t>
    </r>
  </si>
  <si>
    <r>
      <t xml:space="preserve">D.  Maintenance of batch information </t>
    </r>
    <r>
      <rPr>
        <vertAlign val="superscript"/>
        <sz val="10"/>
        <color theme="1"/>
        <rFont val="Times New Roman"/>
        <family val="1"/>
      </rPr>
      <t>l</t>
    </r>
  </si>
  <si>
    <r>
      <t xml:space="preserve">m   </t>
    </r>
    <r>
      <rPr>
        <sz val="10"/>
        <color theme="1"/>
        <rFont val="Times New Roman"/>
        <family val="1"/>
      </rPr>
      <t>We have assumed that it takes 16 hours to gather information and an additional 40 hours to perform calculations. We have assumed that an average of 20 different constituents are used by each facility and that it takes 2 hours to sum the information for each constituent. (16 + (20 x 2) = 56)</t>
    </r>
  </si>
  <si>
    <r>
      <t xml:space="preserve">o   </t>
    </r>
    <r>
      <rPr>
        <sz val="10"/>
        <color theme="1"/>
        <rFont val="Times New Roman"/>
        <family val="1"/>
      </rPr>
      <t>Totals have been rounded to 3 significant figures. Figures may not add exactly due to rounding.</t>
    </r>
  </si>
  <si>
    <r>
      <t xml:space="preserve">QA/QC and review </t>
    </r>
    <r>
      <rPr>
        <vertAlign val="superscript"/>
        <sz val="10"/>
        <color theme="1"/>
        <rFont val="Times New Roman"/>
        <family val="1"/>
      </rPr>
      <t>n</t>
    </r>
  </si>
  <si>
    <r>
      <t xml:space="preserve">Total Labor Burden and Costs (rounded) </t>
    </r>
    <r>
      <rPr>
        <b/>
        <vertAlign val="superscript"/>
        <sz val="10"/>
        <color theme="1"/>
        <rFont val="Times New Roman"/>
        <family val="1"/>
      </rPr>
      <t>o</t>
    </r>
  </si>
  <si>
    <r>
      <t xml:space="preserve">Total Capital and O&amp;M Cost (rounded) </t>
    </r>
    <r>
      <rPr>
        <b/>
        <vertAlign val="superscript"/>
        <sz val="10"/>
        <color rgb="FF000000"/>
        <rFont val="Times New Roman"/>
        <family val="1"/>
      </rPr>
      <t>o</t>
    </r>
  </si>
  <si>
    <r>
      <t xml:space="preserve">GRAND TOTAL (rounded) </t>
    </r>
    <r>
      <rPr>
        <b/>
        <vertAlign val="superscript"/>
        <sz val="10"/>
        <color theme="1"/>
        <rFont val="Times New Roman"/>
        <family val="1"/>
      </rPr>
      <t>o</t>
    </r>
  </si>
  <si>
    <r>
      <t>b</t>
    </r>
    <r>
      <rPr>
        <sz val="10"/>
        <color theme="1"/>
        <rFont val="Times New Roman"/>
        <family val="1"/>
      </rPr>
      <t xml:space="preserve">  This ICR uses the following labor rates: $69.04 (managerial), $51.23 (technical), and $27.73 (clerical).  These rates are from the Office of Personnel Management (OPM), 2021 General Schedule, which excludes locality rates of pay.  The rates have been increased by 60 percent to account for the benefit packages available to government employees.</t>
    </r>
  </si>
  <si>
    <r>
      <t xml:space="preserve">c </t>
    </r>
    <r>
      <rPr>
        <sz val="10"/>
        <color theme="1"/>
        <rFont val="Times New Roman"/>
        <family val="1"/>
      </rPr>
      <t xml:space="preserve"> We have assumed that it will take eight hours for the Agency to review the initial report filed by new sources.</t>
    </r>
  </si>
  <si>
    <r>
      <t>e</t>
    </r>
    <r>
      <rPr>
        <sz val="10"/>
        <color theme="1"/>
        <rFont val="Times New Roman"/>
        <family val="1"/>
      </rPr>
      <t xml:space="preserve">  We have assumed that it will take sixteen hours for the Agency to review requests for variances or extensions filed by new sources on their compliance application. </t>
    </r>
  </si>
  <si>
    <r>
      <t xml:space="preserve">g   </t>
    </r>
    <r>
      <rPr>
        <sz val="10"/>
        <color theme="1"/>
        <rFont val="Times New Roman"/>
        <family val="1"/>
      </rPr>
      <t>Totals have been rounded to 3 significant figures. Figures may not add exactly due to rounding.</t>
    </r>
  </si>
  <si>
    <r>
      <t xml:space="preserve">TOTAL (rounded) </t>
    </r>
    <r>
      <rPr>
        <b/>
        <vertAlign val="superscript"/>
        <sz val="10"/>
        <color theme="1"/>
        <rFont val="Times New Roman"/>
        <family val="1"/>
      </rPr>
      <t>g</t>
    </r>
  </si>
  <si>
    <r>
      <t xml:space="preserve">TOTAL (rounded) </t>
    </r>
    <r>
      <rPr>
        <b/>
        <vertAlign val="superscript"/>
        <sz val="10"/>
        <color theme="1"/>
        <rFont val="Times New Roman"/>
        <family val="1"/>
      </rPr>
      <t>h</t>
    </r>
  </si>
  <si>
    <r>
      <t xml:space="preserve">h   </t>
    </r>
    <r>
      <rPr>
        <sz val="10"/>
        <color theme="1"/>
        <rFont val="Times New Roman"/>
        <family val="1"/>
      </rPr>
      <t>Totals have been rounded to 3 significant figures. Figures may not add exactly due to rounding.</t>
    </r>
  </si>
  <si>
    <r>
      <t xml:space="preserve">1.  Initial report </t>
    </r>
    <r>
      <rPr>
        <vertAlign val="superscript"/>
        <sz val="10"/>
        <color theme="1"/>
        <rFont val="Times New Roman"/>
        <family val="1"/>
      </rPr>
      <t>c</t>
    </r>
  </si>
  <si>
    <r>
      <t xml:space="preserve">2.  Supplemental report </t>
    </r>
    <r>
      <rPr>
        <vertAlign val="superscript"/>
        <sz val="10"/>
        <color theme="1"/>
        <rFont val="Times New Roman"/>
        <family val="1"/>
      </rPr>
      <t>d</t>
    </r>
  </si>
  <si>
    <r>
      <t xml:space="preserve">3.  Variance application </t>
    </r>
    <r>
      <rPr>
        <vertAlign val="superscript"/>
        <sz val="10"/>
        <color theme="1"/>
        <rFont val="Times New Roman"/>
        <family val="1"/>
      </rPr>
      <t>e</t>
    </r>
  </si>
  <si>
    <r>
      <t xml:space="preserve">4.  Supplemental data request </t>
    </r>
    <r>
      <rPr>
        <vertAlign val="superscript"/>
        <sz val="10"/>
        <color theme="1"/>
        <rFont val="Times New Roman"/>
        <family val="1"/>
      </rPr>
      <t>f</t>
    </r>
  </si>
  <si>
    <t>A. Develop Database and Report Forms</t>
  </si>
  <si>
    <t>B. Populate Database</t>
  </si>
  <si>
    <t>C. QA/Review Data</t>
  </si>
  <si>
    <r>
      <t xml:space="preserve">5.  Triennial Report </t>
    </r>
    <r>
      <rPr>
        <vertAlign val="superscript"/>
        <sz val="10"/>
        <color theme="1"/>
        <rFont val="Times New Roman"/>
        <family val="1"/>
      </rPr>
      <t>g</t>
    </r>
  </si>
  <si>
    <t>Variance or compliance extension application</t>
  </si>
  <si>
    <t>Year 1</t>
  </si>
  <si>
    <t>Year 2</t>
  </si>
  <si>
    <t xml:space="preserve">Initial report </t>
  </si>
  <si>
    <t>Year 3</t>
  </si>
  <si>
    <t>Industry</t>
  </si>
  <si>
    <t>Government</t>
  </si>
  <si>
    <t>This ICR uses the following labor rates: $69.04 (managerial), $51.23 (technical), and $27.73 (clerical).  These rates are from the Office of Personnel Management (OPM), 2021 General Schedule, which excludes locality rates of pay.  The rates have been increased by 60 percent to account for the benefit packages available to government employees.</t>
  </si>
  <si>
    <r>
      <t>b</t>
    </r>
    <r>
      <rPr>
        <sz val="10"/>
        <color theme="1"/>
        <rFont val="Times New Roman"/>
        <family val="1"/>
      </rPr>
      <t xml:space="preserve">  This ICR uses the following labor rates:  $126.95 (managerial), $71.38 (technical), and $45.23 (clerical). These rates are from the United States Department of Labor, Bureau of Labor Statistics, May 2020 National Occupational Employment and Wage Estimates, for occupational groups 11-1021 (managerial), 51-8090 (technical), and 43-6010 (clerical). The rates represent the mean hourly wage, and have been increased by 110 percent to account for the benefit packages available to those employed by private industry. </t>
    </r>
    <r>
      <rPr>
        <vertAlign val="superscript"/>
        <sz val="10"/>
        <color theme="1"/>
        <rFont val="Times New Roman"/>
        <family val="1"/>
      </rPr>
      <t xml:space="preserve">  </t>
    </r>
  </si>
  <si>
    <r>
      <t>b</t>
    </r>
    <r>
      <rPr>
        <sz val="10"/>
        <color theme="1"/>
        <rFont val="Times New Roman"/>
        <family val="1"/>
      </rPr>
      <t xml:space="preserve">  This ICR uses the following labor rates:  $126.95 (managerial), $71.38 (technical), and $45.23 (clerical). These rates are from the United States Department of Labor, Bureau of Labor Statistics, May 2020 National Occupational Employment and Wage Estimates, for occupational groups 11-1021 (managerial), 51-8090 (technical), and 43-6010 (clerical). The rates represent the mean hourly wage, and have been increased by 110 percent to account for the benefit packages available to those employed by private industry. </t>
    </r>
  </si>
  <si>
    <r>
      <t>b</t>
    </r>
    <r>
      <rPr>
        <sz val="10"/>
        <color theme="1"/>
        <rFont val="Times New Roman"/>
        <family val="1"/>
      </rPr>
      <t xml:space="preserve">  This ICR uses the following labor rates:  $126.95 (managerial), $71.38 (technical), and $45.23 (clerical). These rates are from the United States Department of Labor, Bureau of Labor Statistics, May 2020 National Occupational Employment and Wage Estimates, for occupational groups 11-1021 (managerial), 51-8090 (technical), and 43-6010 (clerical). The rates represent the mean hourly wage, and have been increased by 110 percent to account for the benefit packages available to those employed by private industry. </t>
    </r>
    <r>
      <rPr>
        <vertAlign val="superscript"/>
        <sz val="10"/>
        <color theme="1"/>
        <rFont val="Times New Roman"/>
        <family val="1"/>
      </rPr>
      <t xml:space="preserve"> </t>
    </r>
  </si>
  <si>
    <r>
      <t>d</t>
    </r>
    <r>
      <rPr>
        <sz val="10"/>
        <color theme="1"/>
        <rFont val="Times New Roman"/>
        <family val="1"/>
      </rPr>
      <t xml:space="preserve">  We have assumed that it will take four hours for the Agency to review to review the supplemental reports.</t>
    </r>
  </si>
  <si>
    <r>
      <t xml:space="preserve">g   </t>
    </r>
    <r>
      <rPr>
        <sz val="10"/>
        <color theme="1"/>
        <rFont val="Times New Roman"/>
        <family val="1"/>
      </rPr>
      <t>Each respondent is required to submit a report of formulations and VOC usage once every three years. We assume EPA will develop/update the database and reporting forms, collect the data submissions from all respondents, populate the database, and then perform a QA and review of the data in year 3.</t>
    </r>
  </si>
  <si>
    <t>Three Year Summary</t>
  </si>
  <si>
    <t>Respondent Burden and Costs</t>
  </si>
  <si>
    <t>Agency Burden and Costs</t>
  </si>
  <si>
    <t>Reporting Hours</t>
  </si>
  <si>
    <t>Reporting Costs</t>
  </si>
  <si>
    <t>Recordkeeping Hours</t>
  </si>
  <si>
    <t>Total Hours</t>
  </si>
  <si>
    <t>Recordkeeping Costs</t>
  </si>
  <si>
    <t>Total Costs</t>
  </si>
  <si>
    <t>3-Year Average</t>
  </si>
  <si>
    <t>Labor Hours</t>
  </si>
  <si>
    <t>Labor Costs</t>
  </si>
  <si>
    <r>
      <t>g</t>
    </r>
    <r>
      <rPr>
        <sz val="10"/>
        <color theme="1"/>
        <rFont val="Times New Roman"/>
        <family val="1"/>
      </rPr>
      <t xml:space="preserve">  We assume that 15 percent of new and existing sources per year will be required to respond to enforcement questions or other agency requests for information.</t>
    </r>
  </si>
  <si>
    <r>
      <t>f</t>
    </r>
    <r>
      <rPr>
        <sz val="10"/>
        <color theme="1"/>
        <rFont val="Times New Roman"/>
        <family val="1"/>
      </rPr>
      <t xml:space="preserve">  We assume that EPA will request additional data from 15 percent of new and existing sources regarding enforcement questions or other agency requests for information, and that it will take 40 hours to review this data. </t>
    </r>
  </si>
  <si>
    <t xml:space="preserve">Average Hours per Response </t>
  </si>
  <si>
    <r>
      <t>a</t>
    </r>
    <r>
      <rPr>
        <sz val="10"/>
        <color theme="1"/>
        <rFont val="Times New Roman"/>
        <family val="1"/>
      </rPr>
      <t xml:space="preserve">  We have assumed 67 existing respondents in year 3 and one additional new aerosol coating manufacturer each year.</t>
    </r>
  </si>
  <si>
    <t>Enter company-wide volumes of coating constituents into database</t>
  </si>
  <si>
    <t>(GS-13, Step 5, $43.15 + 60%)</t>
  </si>
  <si>
    <t>(GS-12, Step 1, $32.02 + 60%)</t>
  </si>
  <si>
    <t>(GS-6, Step 3, $17.33 + 60%)</t>
  </si>
  <si>
    <t>Note to EPA: We have accounted for time for existing respondents to refamiliarize with the rule requirements, a standard in most CAA ICRs.</t>
  </si>
  <si>
    <t>Table 5: Annual EPA Burden and Cost (Year 2) - National Volatile Organic Compound Emission Standards for Aerosol Coatings (40 CFR Part 59, Subpart E) (Renewal)</t>
  </si>
  <si>
    <t>Table 4: Annual EPA Burden and Cost (Year 1) - National Volatile Organic Compound Emission Standards for Aerosol Coatings (40 CFR Part 59, Subpart E) (Renewal)</t>
  </si>
  <si>
    <t>Table 6: Annual EPA Burden and Cost (Year 3) - National Volatile Organic Compound Emission Standards for Aerosol Coatings (40 CFR Part 59, Subpart E) (Renewal)</t>
  </si>
  <si>
    <r>
      <t xml:space="preserve">n   </t>
    </r>
    <r>
      <rPr>
        <sz val="10"/>
        <color theme="1"/>
        <rFont val="Times New Roman"/>
        <family val="1"/>
      </rPr>
      <t>We have assumed that the Triennial report undergoes QA/QC and review prior to submittal to EPA.</t>
    </r>
  </si>
  <si>
    <r>
      <t xml:space="preserve">Calculate company-wide volume usage of coating constituents </t>
    </r>
    <r>
      <rPr>
        <vertAlign val="superscript"/>
        <sz val="10"/>
        <color theme="1"/>
        <rFont val="Times New Roman"/>
        <family val="1"/>
      </rPr>
      <t>m</t>
    </r>
  </si>
  <si>
    <r>
      <t xml:space="preserve">Number of occurrences per respondent per year  </t>
    </r>
    <r>
      <rPr>
        <b/>
        <vertAlign val="superscript"/>
        <sz val="10"/>
        <color theme="1"/>
        <rFont val="Times New Roman"/>
        <family val="1"/>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</si>
</sst>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0"/>
    <numFmt numFmtId="165" formatCode="&quot;$&quot;#,##0.00"/>
    <numFmt numFmtId="166" formatCode="0.000"/>
    <numFmt numFmtId="167" formatCode="&quot;$&quot;#,##0"/>
  </numFmts>
  <fonts count="24"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i/>
      <sz val="10"/>
      <color theme="1"/>
      <name val="Times New Roman"/>
      <family val="1"/>
    </font>
    <font>
      <b/>
      <sz val="10"/>
      <color rgb="FF000000"/>
      <name val="Times New Roman"/>
      <family val="1"/>
    </font>
    <font>
      <b/>
      <vertAlign val="superscript"/>
      <sz val="10"/>
      <color rgb="FF000000"/>
      <name val="Times New Roman"/>
      <family val="1"/>
    </font>
    <font>
      <sz val="10"/>
      <name val="Times New Roman"/>
      <family val="1"/>
    </font>
    <font>
      <i/>
      <sz val="10"/>
      <color theme="1"/>
      <name val="Times New Roman"/>
      <family val="1"/>
    </font>
    <font>
      <sz val="11"/>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8"/>
      <color theme="1"/>
      <name val="Arial"/>
      <family val="2"/>
    </font>
    <font>
      <sz val="12"/>
      <color theme="1"/>
      <name val="Times New Roman"/>
      <family val="1"/>
    </font>
    <font>
      <i/>
      <sz val="12"/>
      <color theme="1"/>
      <name val="Times New Roman"/>
      <family val="1"/>
    </font>
    <font>
      <sz val="12"/>
      <color theme="1"/>
      <name val="Symbol"/>
      <family val="1"/>
      <charset val="2"/>
    </font>
    <font>
      <sz val="8"/>
      <name val="Calibri"/>
      <family val="2"/>
      <scheme val="minor"/>
    </font>
    <font>
      <b/>
      <sz val="14"/>
      <color theme="1"/>
      <name val="Times New Roman"/>
      <family val="1"/>
    </font>
    <font>
      <sz val="10"/>
      <color rgb="FFFF0000"/>
      <name val="Times New Roman"/>
      <family val="1"/>
    </font>
    <font>
      <sz val="10"/>
      <color rgb="FF7030A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39">
    <xf numFmtId="0" fontId="0" fillId="0" borderId="0" xfId="0"/>
    <xf numFmtId="0" fontId="3" fillId="0" borderId="1" xfId="0" applyFont="1" applyBorder="1" applyAlignment="1">
      <alignment horizontal="left" vertical="top" wrapText="1" indent="1"/>
    </xf>
    <xf numFmtId="0" fontId="3" fillId="0" borderId="1" xfId="0" applyFont="1" applyBorder="1" applyAlignment="1">
      <alignment horizontal="center" vertical="top" wrapText="1"/>
    </xf>
    <xf numFmtId="0" fontId="3" fillId="0" borderId="1" xfId="0" applyFont="1" applyBorder="1" applyAlignment="1">
      <alignment horizontal="right" vertical="top" wrapText="1" indent="1"/>
    </xf>
    <xf numFmtId="6" fontId="3" fillId="0" borderId="1" xfId="0" applyNumberFormat="1" applyFont="1" applyBorder="1" applyAlignment="1">
      <alignment horizontal="right" vertical="top" wrapText="1" indent="1"/>
    </xf>
    <xf numFmtId="3" fontId="3" fillId="0" borderId="1" xfId="0" applyNumberFormat="1" applyFont="1" applyBorder="1" applyAlignment="1">
      <alignment horizontal="center" vertical="top" wrapText="1"/>
    </xf>
    <xf numFmtId="0" fontId="1" fillId="0" borderId="0" xfId="0" applyFont="1"/>
    <xf numFmtId="0" fontId="3" fillId="0" borderId="0" xfId="0" applyFont="1"/>
    <xf numFmtId="164" fontId="3" fillId="0" borderId="1" xfId="0" applyNumberFormat="1" applyFont="1" applyBorder="1" applyAlignment="1">
      <alignment horizontal="center" vertical="top" wrapText="1"/>
    </xf>
    <xf numFmtId="6" fontId="1" fillId="0" borderId="1" xfId="0" applyNumberFormat="1" applyFont="1" applyBorder="1" applyAlignment="1">
      <alignment horizontal="right" vertical="top" wrapText="1" indent="1"/>
    </xf>
    <xf numFmtId="6" fontId="6" fillId="0" borderId="1" xfId="0" applyNumberFormat="1" applyFont="1" applyBorder="1" applyAlignment="1">
      <alignment horizontal="right" vertical="top" wrapText="1" indent="1"/>
    </xf>
    <xf numFmtId="0" fontId="1" fillId="0" borderId="1" xfId="0" applyFont="1" applyBorder="1" applyAlignment="1">
      <alignment vertical="top"/>
    </xf>
    <xf numFmtId="0" fontId="7" fillId="0" borderId="1" xfId="0" applyFont="1" applyFill="1" applyBorder="1" applyAlignment="1">
      <alignment horizontal="left"/>
    </xf>
    <xf numFmtId="0" fontId="9" fillId="0" borderId="1" xfId="0" applyFont="1" applyBorder="1" applyAlignment="1">
      <alignment horizontal="center" vertical="top" wrapText="1"/>
    </xf>
    <xf numFmtId="8" fontId="3" fillId="0" borderId="1" xfId="0" applyNumberFormat="1" applyFont="1" applyBorder="1" applyAlignment="1">
      <alignment horizontal="right" vertical="top" wrapText="1" indent="1"/>
    </xf>
    <xf numFmtId="0" fontId="11" fillId="0" borderId="0" xfId="0" applyFont="1"/>
    <xf numFmtId="0" fontId="3" fillId="0" borderId="1" xfId="0" applyFont="1" applyBorder="1"/>
    <xf numFmtId="165" fontId="3" fillId="0" borderId="1" xfId="0" applyNumberFormat="1" applyFont="1" applyBorder="1"/>
    <xf numFmtId="6" fontId="3" fillId="0" borderId="0" xfId="0" applyNumberFormat="1" applyFont="1"/>
    <xf numFmtId="0" fontId="14" fillId="0" borderId="1" xfId="0" applyFont="1" applyBorder="1" applyAlignment="1">
      <alignment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12" fillId="0" borderId="0" xfId="0" applyFont="1" applyBorder="1" applyAlignment="1">
      <alignment vertical="center" wrapText="1"/>
    </xf>
    <xf numFmtId="0" fontId="3" fillId="0" borderId="1" xfId="0" applyFont="1" applyBorder="1" applyAlignment="1">
      <alignment vertical="center" wrapText="1"/>
    </xf>
    <xf numFmtId="1" fontId="3" fillId="0" borderId="0" xfId="0" applyNumberFormat="1" applyFont="1"/>
    <xf numFmtId="0" fontId="1" fillId="0" borderId="1" xfId="0" applyFont="1" applyFill="1" applyBorder="1" applyAlignment="1">
      <alignment horizontal="center" vertical="top" wrapText="1"/>
    </xf>
    <xf numFmtId="6" fontId="1" fillId="0" borderId="1" xfId="0" applyNumberFormat="1" applyFont="1" applyFill="1" applyBorder="1" applyAlignment="1">
      <alignment horizontal="right" vertical="top" wrapText="1" indent="1"/>
    </xf>
    <xf numFmtId="0" fontId="1" fillId="0" borderId="5" xfId="0" applyFont="1" applyFill="1" applyBorder="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indent="2"/>
    </xf>
    <xf numFmtId="0" fontId="3" fillId="0" borderId="0" xfId="0" applyFont="1" applyBorder="1" applyAlignment="1">
      <alignment vertical="center"/>
    </xf>
    <xf numFmtId="0" fontId="3" fillId="0" borderId="0" xfId="0" applyFont="1" applyBorder="1" applyAlignment="1">
      <alignment horizontal="center" vertical="center"/>
    </xf>
    <xf numFmtId="8" fontId="3" fillId="0" borderId="0" xfId="0" applyNumberFormat="1" applyFont="1" applyBorder="1" applyAlignment="1">
      <alignment horizontal="right" vertical="center"/>
    </xf>
    <xf numFmtId="0" fontId="3" fillId="0" borderId="0" xfId="0" applyFont="1" applyBorder="1" applyAlignment="1">
      <alignment horizontal="right" vertical="center"/>
    </xf>
    <xf numFmtId="6" fontId="3" fillId="0" borderId="0" xfId="0" applyNumberFormat="1" applyFont="1" applyBorder="1" applyAlignment="1">
      <alignment horizontal="right" vertical="center"/>
    </xf>
    <xf numFmtId="3" fontId="3" fillId="0" borderId="0" xfId="0" applyNumberFormat="1" applyFont="1" applyBorder="1" applyAlignment="1">
      <alignment horizontal="center" vertical="center"/>
    </xf>
    <xf numFmtId="0" fontId="6" fillId="0" borderId="0" xfId="0" applyFont="1" applyBorder="1" applyAlignment="1">
      <alignment vertical="center"/>
    </xf>
    <xf numFmtId="6" fontId="6" fillId="0" borderId="0" xfId="0" applyNumberFormat="1" applyFont="1" applyBorder="1" applyAlignment="1">
      <alignment horizontal="right" vertical="center"/>
    </xf>
    <xf numFmtId="0" fontId="3" fillId="0" borderId="0" xfId="0" applyFont="1" applyBorder="1" applyAlignment="1">
      <alignment vertical="top"/>
    </xf>
    <xf numFmtId="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Border="1" applyAlignment="1">
      <alignment vertical="center"/>
    </xf>
    <xf numFmtId="0" fontId="7" fillId="0" borderId="0" xfId="0" applyFont="1" applyBorder="1" applyAlignment="1">
      <alignment vertical="center"/>
    </xf>
    <xf numFmtId="6" fontId="1"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6" fillId="0" borderId="0" xfId="0" applyFont="1" applyAlignment="1">
      <alignment vertical="center"/>
    </xf>
    <xf numFmtId="2" fontId="3" fillId="0" borderId="1" xfId="0" applyNumberFormat="1" applyFont="1" applyBorder="1" applyAlignment="1">
      <alignment horizontal="center" vertical="top" wrapText="1"/>
    </xf>
    <xf numFmtId="1" fontId="9" fillId="0" borderId="1" xfId="0" applyNumberFormat="1" applyFont="1" applyBorder="1" applyAlignment="1">
      <alignment horizontal="center" vertical="top" wrapText="1"/>
    </xf>
    <xf numFmtId="0" fontId="1" fillId="0" borderId="2" xfId="0" applyFont="1" applyBorder="1" applyAlignment="1">
      <alignment vertical="top" wrapText="1"/>
    </xf>
    <xf numFmtId="0" fontId="16" fillId="0" borderId="0" xfId="0" applyFont="1" applyBorder="1" applyAlignment="1">
      <alignment vertical="center" wrapText="1"/>
    </xf>
    <xf numFmtId="0" fontId="3" fillId="0" borderId="1" xfId="0" applyFont="1" applyBorder="1" applyAlignment="1">
      <alignment horizontal="left" wrapText="1" indent="2"/>
    </xf>
    <xf numFmtId="0" fontId="3" fillId="0" borderId="0" xfId="0" applyFont="1" applyBorder="1" applyAlignment="1">
      <alignment horizontal="center"/>
    </xf>
    <xf numFmtId="0" fontId="3" fillId="0" borderId="0" xfId="0" applyFont="1" applyBorder="1" applyAlignment="1"/>
    <xf numFmtId="0" fontId="3" fillId="0" borderId="0" xfId="0" applyFont="1" applyBorder="1"/>
    <xf numFmtId="165" fontId="3" fillId="0" borderId="0" xfId="0" applyNumberFormat="1" applyFont="1" applyBorder="1"/>
    <xf numFmtId="166" fontId="3" fillId="0" borderId="0" xfId="0" applyNumberFormat="1" applyFont="1" applyBorder="1" applyAlignment="1">
      <alignment vertical="center"/>
    </xf>
    <xf numFmtId="0" fontId="17" fillId="0" borderId="0" xfId="0" applyFont="1" applyAlignment="1">
      <alignment horizontal="left" vertical="center" indent="2"/>
    </xf>
    <xf numFmtId="0" fontId="18" fillId="0" borderId="0" xfId="0" applyFont="1" applyAlignment="1">
      <alignment horizontal="left" vertical="center" indent="8"/>
    </xf>
    <xf numFmtId="0" fontId="17" fillId="0" borderId="0" xfId="0" applyFont="1" applyAlignment="1">
      <alignment horizontal="left" vertical="center" indent="5"/>
    </xf>
    <xf numFmtId="0" fontId="19" fillId="0" borderId="0" xfId="0" applyFont="1" applyAlignment="1">
      <alignment horizontal="left" vertical="center" indent="10"/>
    </xf>
    <xf numFmtId="0" fontId="19" fillId="0" borderId="0" xfId="0" applyFont="1" applyAlignment="1">
      <alignment horizontal="left" vertical="center" indent="15"/>
    </xf>
    <xf numFmtId="0" fontId="17" fillId="0" borderId="0" xfId="0" applyFont="1" applyAlignment="1">
      <alignment horizontal="left" vertical="center" indent="10"/>
    </xf>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0" fontId="1" fillId="0" borderId="1" xfId="0" applyFont="1" applyBorder="1" applyAlignment="1">
      <alignment horizontal="center" vertical="center"/>
    </xf>
    <xf numFmtId="167"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8" fontId="3" fillId="0" borderId="1" xfId="0" applyNumberFormat="1" applyFont="1" applyBorder="1" applyAlignment="1">
      <alignment horizontal="right" vertical="center" wrapText="1"/>
    </xf>
    <xf numFmtId="0" fontId="5" fillId="0" borderId="0" xfId="0" applyFont="1"/>
    <xf numFmtId="0" fontId="21" fillId="0" borderId="0" xfId="0" applyFont="1"/>
    <xf numFmtId="0" fontId="3" fillId="0" borderId="5" xfId="0" applyFont="1" applyBorder="1" applyAlignment="1">
      <alignment horizontal="center" vertical="center" wrapText="1"/>
    </xf>
    <xf numFmtId="0" fontId="3" fillId="0" borderId="2" xfId="0" applyFont="1" applyBorder="1"/>
    <xf numFmtId="165" fontId="3" fillId="0" borderId="4" xfId="0" applyNumberFormat="1" applyFont="1" applyBorder="1" applyAlignment="1">
      <alignment horizontal="center"/>
    </xf>
    <xf numFmtId="165" fontId="3" fillId="0" borderId="1" xfId="0" applyNumberFormat="1" applyFont="1" applyBorder="1" applyAlignment="1">
      <alignment horizontal="center"/>
    </xf>
    <xf numFmtId="0" fontId="1" fillId="0" borderId="0" xfId="0" applyFont="1" applyAlignment="1">
      <alignment horizontal="center" vertical="center"/>
    </xf>
    <xf numFmtId="1" fontId="7" fillId="0" borderId="9" xfId="0" applyNumberFormat="1" applyFont="1" applyFill="1" applyBorder="1" applyAlignment="1">
      <alignment horizontal="center" vertical="center" wrapText="1"/>
    </xf>
    <xf numFmtId="164" fontId="3" fillId="0" borderId="1" xfId="0" applyNumberFormat="1" applyFont="1" applyBorder="1" applyAlignment="1">
      <alignment horizontal="center"/>
    </xf>
    <xf numFmtId="0" fontId="22" fillId="0" borderId="0" xfId="0" applyFont="1"/>
    <xf numFmtId="0" fontId="23" fillId="0" borderId="0" xfId="0" applyFont="1"/>
    <xf numFmtId="0" fontId="3" fillId="0" borderId="1" xfId="0" applyFont="1" applyFill="1" applyBorder="1" applyAlignment="1">
      <alignment horizontal="center" vertical="top" wrapText="1"/>
    </xf>
    <xf numFmtId="1" fontId="3" fillId="0" borderId="1" xfId="0" applyNumberFormat="1" applyFont="1" applyBorder="1" applyAlignment="1">
      <alignment horizontal="center" vertical="top" wrapText="1"/>
    </xf>
    <xf numFmtId="0" fontId="9" fillId="0" borderId="0" xfId="0" applyFont="1"/>
    <xf numFmtId="0" fontId="4" fillId="0" borderId="0" xfId="0" applyFont="1" applyAlignment="1">
      <alignment horizontal="left" vertical="top"/>
    </xf>
    <xf numFmtId="3" fontId="6" fillId="0" borderId="0" xfId="0" applyNumberFormat="1" applyFont="1" applyBorder="1" applyAlignment="1">
      <alignment horizontal="center" vertical="center"/>
    </xf>
    <xf numFmtId="0" fontId="4" fillId="0" borderId="0" xfId="0" applyFont="1" applyAlignment="1">
      <alignment horizontal="left" vertical="top" wrapText="1"/>
    </xf>
    <xf numFmtId="0" fontId="1" fillId="0" borderId="1" xfId="0" applyFont="1" applyFill="1" applyBorder="1" applyAlignment="1">
      <alignment horizontal="center" wrapText="1"/>
    </xf>
    <xf numFmtId="0" fontId="5" fillId="0" borderId="0" xfId="0" applyFont="1" applyAlignment="1">
      <alignment horizontal="left" vertical="top" wrapText="1"/>
    </xf>
    <xf numFmtId="3" fontId="6" fillId="0" borderId="2" xfId="0" applyNumberFormat="1" applyFont="1" applyBorder="1" applyAlignment="1">
      <alignment horizontal="center" vertical="top" wrapText="1"/>
    </xf>
    <xf numFmtId="3" fontId="6" fillId="0" borderId="3" xfId="0" applyNumberFormat="1" applyFont="1" applyBorder="1" applyAlignment="1">
      <alignment horizontal="center" vertical="top" wrapText="1"/>
    </xf>
    <xf numFmtId="3" fontId="6" fillId="0" borderId="4" xfId="0" applyNumberFormat="1" applyFont="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6" fillId="0" borderId="0" xfId="0" applyFont="1" applyAlignment="1">
      <alignment vertical="center"/>
    </xf>
    <xf numFmtId="0" fontId="7" fillId="0" borderId="0" xfId="0" applyFont="1" applyBorder="1" applyAlignment="1">
      <alignment horizontal="center" vertical="center"/>
    </xf>
    <xf numFmtId="0" fontId="5" fillId="0" borderId="0" xfId="0" applyFont="1" applyAlignment="1">
      <alignment horizontal="left"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top"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left"/>
    </xf>
    <xf numFmtId="0" fontId="1" fillId="0" borderId="8" xfId="0" applyFont="1" applyBorder="1" applyAlignment="1">
      <alignment horizontal="left" vertical="top"/>
    </xf>
    <xf numFmtId="0" fontId="3" fillId="0" borderId="1"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
  <sheetViews>
    <sheetView tabSelected="1" zoomScale="115" zoomScaleNormal="115" workbookViewId="0">
      <selection activeCell="K20" sqref="K20"/>
    </sheetView>
  </sheetViews>
  <sheetFormatPr defaultColWidth="9.1796875" defaultRowHeight="14" x14ac:dyDescent="0.3"/>
  <cols>
    <col min="1" max="1" width="40.7265625" style="15" customWidth="1"/>
    <col min="2" max="8" width="11.26953125" style="15" customWidth="1"/>
    <col min="9" max="9" width="12.81640625" style="15" customWidth="1"/>
    <col min="10" max="10" width="3.54296875" style="15" customWidth="1"/>
    <col min="11" max="11" width="12.7265625" style="15" customWidth="1"/>
    <col min="12" max="12" width="9.1796875" style="15"/>
    <col min="13" max="13" width="2.81640625" style="15" customWidth="1"/>
    <col min="14" max="14" width="46.1796875" style="15" customWidth="1"/>
    <col min="15" max="16384" width="9.1796875" style="15"/>
  </cols>
  <sheetData>
    <row r="1" spans="1:22" ht="31.5" customHeight="1" x14ac:dyDescent="0.3">
      <c r="A1" s="98" t="s">
        <v>74</v>
      </c>
      <c r="B1" s="98"/>
      <c r="C1" s="98"/>
      <c r="D1" s="98"/>
      <c r="E1" s="98"/>
      <c r="F1" s="98"/>
      <c r="G1" s="98"/>
      <c r="H1" s="98"/>
      <c r="I1" s="98"/>
    </row>
    <row r="3" spans="1:22" s="7" customFormat="1" ht="83.25" customHeight="1" x14ac:dyDescent="0.3">
      <c r="A3" s="29" t="s">
        <v>0</v>
      </c>
      <c r="B3" s="27" t="s">
        <v>25</v>
      </c>
      <c r="C3" s="27" t="s">
        <v>26</v>
      </c>
      <c r="D3" s="27" t="s">
        <v>27</v>
      </c>
      <c r="E3" s="27" t="s">
        <v>60</v>
      </c>
      <c r="F3" s="27" t="s">
        <v>28</v>
      </c>
      <c r="G3" s="27" t="s">
        <v>29</v>
      </c>
      <c r="H3" s="27" t="s">
        <v>30</v>
      </c>
      <c r="I3" s="27" t="s">
        <v>61</v>
      </c>
    </row>
    <row r="4" spans="1:22" s="7" customFormat="1" ht="13" x14ac:dyDescent="0.3">
      <c r="A4" s="31" t="s">
        <v>9</v>
      </c>
      <c r="B4" s="2" t="s">
        <v>10</v>
      </c>
      <c r="C4" s="1"/>
      <c r="D4" s="2"/>
      <c r="E4" s="2"/>
      <c r="F4" s="2"/>
      <c r="G4" s="2"/>
      <c r="H4" s="2"/>
      <c r="I4" s="3"/>
      <c r="K4" s="97" t="s">
        <v>35</v>
      </c>
      <c r="L4" s="97"/>
      <c r="N4" s="33"/>
      <c r="O4" s="34"/>
      <c r="P4" s="33"/>
      <c r="Q4" s="33"/>
      <c r="R4" s="33"/>
      <c r="S4" s="33"/>
      <c r="T4" s="33"/>
      <c r="U4" s="33"/>
      <c r="V4" s="33"/>
    </row>
    <row r="5" spans="1:22" s="7" customFormat="1" ht="13" x14ac:dyDescent="0.3">
      <c r="A5" s="31" t="s">
        <v>11</v>
      </c>
      <c r="B5" s="2" t="s">
        <v>10</v>
      </c>
      <c r="C5" s="1"/>
      <c r="D5" s="2"/>
      <c r="E5" s="2"/>
      <c r="F5" s="2"/>
      <c r="G5" s="2"/>
      <c r="H5" s="2"/>
      <c r="I5" s="3"/>
      <c r="K5" s="16" t="s">
        <v>33</v>
      </c>
      <c r="L5" s="17">
        <f>Wages!$D$9</f>
        <v>126.94500000000001</v>
      </c>
      <c r="N5" s="33"/>
      <c r="O5" s="34"/>
      <c r="P5" s="33"/>
      <c r="Q5" s="33"/>
      <c r="R5" s="33"/>
      <c r="S5" s="33"/>
      <c r="T5" s="33"/>
      <c r="U5" s="33"/>
      <c r="V5" s="33"/>
    </row>
    <row r="6" spans="1:22" s="7" customFormat="1" ht="13" x14ac:dyDescent="0.3">
      <c r="A6" s="31" t="s">
        <v>12</v>
      </c>
      <c r="B6" s="2"/>
      <c r="C6" s="2"/>
      <c r="D6" s="2"/>
      <c r="E6" s="2"/>
      <c r="F6" s="2"/>
      <c r="G6" s="2"/>
      <c r="H6" s="2"/>
      <c r="I6" s="3"/>
      <c r="K6" s="16" t="s">
        <v>32</v>
      </c>
      <c r="L6" s="17">
        <f>Wages!$D$10</f>
        <v>71.379000000000005</v>
      </c>
      <c r="N6" s="33"/>
      <c r="O6" s="33"/>
      <c r="P6" s="33"/>
      <c r="Q6" s="33"/>
      <c r="R6" s="33"/>
      <c r="S6" s="33"/>
      <c r="T6" s="33"/>
      <c r="U6" s="33"/>
      <c r="V6" s="33"/>
    </row>
    <row r="7" spans="1:22" s="7" customFormat="1" ht="13" x14ac:dyDescent="0.3">
      <c r="A7" s="1" t="s">
        <v>62</v>
      </c>
      <c r="B7" s="2"/>
      <c r="C7" s="2"/>
      <c r="D7" s="2"/>
      <c r="E7" s="2"/>
      <c r="F7" s="2"/>
      <c r="G7" s="8"/>
      <c r="H7" s="2"/>
      <c r="I7" s="14"/>
      <c r="K7" s="16" t="s">
        <v>31</v>
      </c>
      <c r="L7" s="17">
        <f>Wages!$D$11</f>
        <v>45.234000000000002</v>
      </c>
      <c r="N7" s="56"/>
      <c r="O7" s="34"/>
      <c r="P7" s="34"/>
      <c r="Q7" s="34"/>
      <c r="R7" s="34"/>
      <c r="S7" s="34"/>
      <c r="T7" s="34"/>
      <c r="U7" s="34"/>
      <c r="V7" s="35"/>
    </row>
    <row r="8" spans="1:22" s="7" customFormat="1" ht="13" x14ac:dyDescent="0.3">
      <c r="A8" s="32" t="s">
        <v>76</v>
      </c>
      <c r="B8" s="2">
        <v>4</v>
      </c>
      <c r="C8" s="2">
        <v>1</v>
      </c>
      <c r="D8" s="2">
        <f>B8*C8</f>
        <v>4</v>
      </c>
      <c r="E8" s="2">
        <v>1</v>
      </c>
      <c r="F8" s="2">
        <f>D8*E8</f>
        <v>4</v>
      </c>
      <c r="G8" s="8">
        <f>F8*0.05</f>
        <v>0.2</v>
      </c>
      <c r="H8" s="2">
        <f t="shared" ref="H8:H9" si="0">F8*0.1</f>
        <v>0.4</v>
      </c>
      <c r="I8" s="14">
        <f>F8*$L$6+G8*$L$5+H8*$L$7</f>
        <v>328.99860000000001</v>
      </c>
      <c r="K8" s="60"/>
      <c r="L8" s="61"/>
      <c r="N8" s="56"/>
      <c r="O8" s="34"/>
      <c r="P8" s="34"/>
      <c r="Q8" s="34"/>
      <c r="R8" s="34"/>
      <c r="S8" s="34"/>
      <c r="T8" s="34"/>
      <c r="U8" s="34"/>
      <c r="V8" s="35"/>
    </row>
    <row r="9" spans="1:22" s="7" customFormat="1" ht="15.5" x14ac:dyDescent="0.3">
      <c r="A9" s="32" t="s">
        <v>77</v>
      </c>
      <c r="B9" s="2">
        <v>1</v>
      </c>
      <c r="C9" s="2">
        <v>1</v>
      </c>
      <c r="D9" s="2">
        <f>B9*C9</f>
        <v>1</v>
      </c>
      <c r="E9" s="2">
        <f>'O&amp;M'!C19</f>
        <v>65</v>
      </c>
      <c r="F9" s="2">
        <f>D9*E9</f>
        <v>65</v>
      </c>
      <c r="G9" s="8">
        <f>F9*0.05</f>
        <v>3.25</v>
      </c>
      <c r="H9" s="2">
        <f t="shared" si="0"/>
        <v>6.5</v>
      </c>
      <c r="I9" s="14">
        <f>F9*$L$6+G9*$L$5+H9*$L$7</f>
        <v>5346.2272499999999</v>
      </c>
      <c r="J9" s="89" t="s">
        <v>176</v>
      </c>
      <c r="K9" s="60"/>
      <c r="L9" s="61"/>
      <c r="N9" s="56"/>
      <c r="O9" s="34"/>
      <c r="P9" s="34"/>
      <c r="Q9" s="34"/>
      <c r="R9" s="34"/>
      <c r="S9" s="34"/>
      <c r="T9" s="34"/>
      <c r="U9" s="34"/>
      <c r="V9" s="35"/>
    </row>
    <row r="10" spans="1:22" s="7" customFormat="1" ht="13" x14ac:dyDescent="0.3">
      <c r="A10" s="1" t="s">
        <v>64</v>
      </c>
      <c r="B10" s="2">
        <v>4</v>
      </c>
      <c r="C10" s="2">
        <v>1</v>
      </c>
      <c r="D10" s="2">
        <f>B10*C10</f>
        <v>4</v>
      </c>
      <c r="E10" s="2">
        <v>1</v>
      </c>
      <c r="F10" s="2">
        <f>D10*E10</f>
        <v>4</v>
      </c>
      <c r="G10" s="8">
        <f>F10*0.05</f>
        <v>0.2</v>
      </c>
      <c r="H10" s="2">
        <f>F10*0.1</f>
        <v>0.4</v>
      </c>
      <c r="I10" s="14">
        <f>F10*$L$6+G10*$L$5+H10*$L$7</f>
        <v>328.99860000000001</v>
      </c>
      <c r="N10" s="56"/>
      <c r="O10" s="33"/>
      <c r="P10" s="33"/>
      <c r="Q10" s="33"/>
      <c r="R10" s="33"/>
      <c r="S10" s="33"/>
      <c r="T10" s="33"/>
      <c r="U10" s="33"/>
      <c r="V10" s="36"/>
    </row>
    <row r="11" spans="1:22" s="7" customFormat="1" ht="13" x14ac:dyDescent="0.3">
      <c r="A11" s="1" t="s">
        <v>65</v>
      </c>
      <c r="B11" s="2"/>
      <c r="C11" s="2"/>
      <c r="D11" s="2"/>
      <c r="E11" s="2"/>
      <c r="F11" s="2"/>
      <c r="G11" s="2"/>
      <c r="H11" s="2"/>
      <c r="I11" s="3"/>
      <c r="N11" s="56"/>
      <c r="O11" s="34"/>
      <c r="P11" s="34"/>
      <c r="Q11" s="34"/>
      <c r="R11" s="34"/>
      <c r="S11" s="34"/>
      <c r="T11" s="34"/>
      <c r="U11" s="34"/>
      <c r="V11" s="37"/>
    </row>
    <row r="12" spans="1:22" s="7" customFormat="1" ht="28.5" x14ac:dyDescent="0.3">
      <c r="A12" s="49" t="s">
        <v>79</v>
      </c>
      <c r="B12" s="8">
        <v>25.25</v>
      </c>
      <c r="C12" s="2">
        <v>1</v>
      </c>
      <c r="D12" s="8">
        <f t="shared" ref="D12:D15" si="1">B12*C12</f>
        <v>25.25</v>
      </c>
      <c r="E12" s="2">
        <v>1</v>
      </c>
      <c r="F12" s="8">
        <f t="shared" ref="F12:F15" si="2">D12*E12</f>
        <v>25.25</v>
      </c>
      <c r="G12" s="53">
        <f t="shared" ref="G12:G15" si="3">F12*0.05</f>
        <v>1.2625000000000002</v>
      </c>
      <c r="H12" s="53">
        <f t="shared" ref="H12:H15" si="4">F12*0.1</f>
        <v>2.5250000000000004</v>
      </c>
      <c r="I12" s="14">
        <f t="shared" ref="I12:I14" si="5">F12*$L$6+G12*$L$5+H12*$L$7</f>
        <v>2076.8036625</v>
      </c>
      <c r="N12" s="56"/>
      <c r="O12" s="34"/>
      <c r="P12" s="34"/>
      <c r="Q12" s="34"/>
      <c r="R12" s="34"/>
      <c r="S12" s="34"/>
      <c r="T12" s="34"/>
      <c r="U12" s="34"/>
      <c r="V12" s="37"/>
    </row>
    <row r="13" spans="1:22" s="7" customFormat="1" ht="15.5" x14ac:dyDescent="0.3">
      <c r="A13" s="49" t="s">
        <v>83</v>
      </c>
      <c r="B13" s="2">
        <v>4</v>
      </c>
      <c r="C13" s="2">
        <v>1</v>
      </c>
      <c r="D13" s="2">
        <f t="shared" si="1"/>
        <v>4</v>
      </c>
      <c r="E13" s="2">
        <f>E9+E8</f>
        <v>66</v>
      </c>
      <c r="F13" s="2">
        <f t="shared" si="2"/>
        <v>264</v>
      </c>
      <c r="G13" s="2">
        <f t="shared" si="3"/>
        <v>13.200000000000001</v>
      </c>
      <c r="H13" s="2">
        <f t="shared" si="4"/>
        <v>26.400000000000002</v>
      </c>
      <c r="I13" s="14">
        <f t="shared" si="5"/>
        <v>21713.907599999999</v>
      </c>
      <c r="N13" s="56"/>
      <c r="O13" s="34"/>
      <c r="P13" s="33"/>
      <c r="Q13" s="33"/>
      <c r="R13" s="33"/>
      <c r="S13" s="33"/>
      <c r="T13" s="33"/>
      <c r="U13" s="33"/>
      <c r="V13" s="36"/>
    </row>
    <row r="14" spans="1:22" s="7" customFormat="1" ht="15.5" x14ac:dyDescent="0.3">
      <c r="A14" s="49" t="s">
        <v>84</v>
      </c>
      <c r="B14" s="2">
        <v>24</v>
      </c>
      <c r="C14" s="2">
        <v>1</v>
      </c>
      <c r="D14" s="2">
        <f t="shared" si="1"/>
        <v>24</v>
      </c>
      <c r="E14" s="2">
        <v>0.1</v>
      </c>
      <c r="F14" s="2">
        <f t="shared" si="2"/>
        <v>2.4000000000000004</v>
      </c>
      <c r="G14" s="2">
        <f t="shared" si="3"/>
        <v>0.12000000000000002</v>
      </c>
      <c r="H14" s="2">
        <f t="shared" si="4"/>
        <v>0.24000000000000005</v>
      </c>
      <c r="I14" s="14">
        <f t="shared" si="5"/>
        <v>197.39916000000005</v>
      </c>
      <c r="J14" s="90"/>
      <c r="N14" s="56"/>
      <c r="O14" s="33"/>
      <c r="P14" s="33"/>
      <c r="Q14" s="33"/>
      <c r="R14" s="33"/>
      <c r="S14" s="33"/>
      <c r="T14" s="33"/>
      <c r="U14" s="33"/>
      <c r="V14" s="36"/>
    </row>
    <row r="15" spans="1:22" s="7" customFormat="1" ht="15.5" x14ac:dyDescent="0.3">
      <c r="A15" s="49" t="s">
        <v>85</v>
      </c>
      <c r="B15" s="2">
        <v>60</v>
      </c>
      <c r="C15" s="2">
        <v>1</v>
      </c>
      <c r="D15" s="2">
        <f t="shared" si="1"/>
        <v>60</v>
      </c>
      <c r="E15" s="2">
        <f>ROUND(((E8+E9)*0.15),0)</f>
        <v>10</v>
      </c>
      <c r="F15" s="2">
        <f t="shared" si="2"/>
        <v>600</v>
      </c>
      <c r="G15" s="2">
        <f t="shared" si="3"/>
        <v>30</v>
      </c>
      <c r="H15" s="2">
        <f t="shared" si="4"/>
        <v>60</v>
      </c>
      <c r="I15" s="14">
        <f>F15*$L$6+G15*$L$5+H15*$L$7</f>
        <v>49349.79</v>
      </c>
      <c r="N15" s="33"/>
      <c r="O15" s="34"/>
      <c r="P15" s="34"/>
      <c r="Q15" s="34"/>
      <c r="R15" s="34"/>
      <c r="S15" s="34"/>
      <c r="T15" s="34"/>
      <c r="U15" s="34"/>
      <c r="V15" s="37"/>
    </row>
    <row r="16" spans="1:22" s="7" customFormat="1" ht="13.5" x14ac:dyDescent="0.3">
      <c r="A16" s="102" t="s">
        <v>13</v>
      </c>
      <c r="B16" s="103"/>
      <c r="C16" s="103"/>
      <c r="D16" s="103"/>
      <c r="E16" s="104"/>
      <c r="F16" s="99">
        <f>SUM(F7:H15)</f>
        <v>1109.3474999999999</v>
      </c>
      <c r="G16" s="100"/>
      <c r="H16" s="101"/>
      <c r="I16" s="10">
        <f>SUM(I7:I15)</f>
        <v>79342.124872500004</v>
      </c>
      <c r="N16" s="33"/>
      <c r="O16" s="34"/>
      <c r="P16" s="34"/>
      <c r="Q16" s="34"/>
      <c r="R16" s="34"/>
      <c r="S16" s="34"/>
      <c r="T16" s="34"/>
      <c r="U16" s="34"/>
      <c r="V16" s="37"/>
    </row>
    <row r="17" spans="1:22" s="7" customFormat="1" ht="13" x14ac:dyDescent="0.3">
      <c r="A17" s="31" t="s">
        <v>14</v>
      </c>
      <c r="B17" s="2"/>
      <c r="C17" s="2"/>
      <c r="D17" s="2"/>
      <c r="E17" s="2"/>
      <c r="F17" s="2"/>
      <c r="G17" s="2"/>
      <c r="H17" s="2"/>
      <c r="I17" s="3"/>
      <c r="N17" s="62"/>
      <c r="O17" s="34"/>
      <c r="P17" s="34"/>
      <c r="Q17" s="34"/>
      <c r="R17" s="34"/>
      <c r="S17" s="34"/>
      <c r="T17" s="34"/>
      <c r="U17" s="34"/>
      <c r="V17" s="37"/>
    </row>
    <row r="18" spans="1:22" s="7" customFormat="1" ht="13" x14ac:dyDescent="0.3">
      <c r="A18" s="1" t="s">
        <v>62</v>
      </c>
      <c r="B18" s="2" t="s">
        <v>15</v>
      </c>
      <c r="C18" s="2"/>
      <c r="D18" s="2"/>
      <c r="E18" s="2"/>
      <c r="F18" s="2"/>
      <c r="G18" s="2"/>
      <c r="H18" s="2"/>
      <c r="I18" s="3"/>
      <c r="N18" s="33"/>
      <c r="O18" s="34"/>
      <c r="P18" s="34"/>
      <c r="Q18" s="34"/>
      <c r="R18" s="34"/>
      <c r="S18" s="34"/>
      <c r="T18" s="34"/>
      <c r="U18" s="34"/>
      <c r="V18" s="37"/>
    </row>
    <row r="19" spans="1:22" s="7" customFormat="1" ht="13" x14ac:dyDescent="0.3">
      <c r="A19" s="1" t="s">
        <v>63</v>
      </c>
      <c r="B19" s="2">
        <v>16</v>
      </c>
      <c r="C19" s="2">
        <v>1</v>
      </c>
      <c r="D19" s="13">
        <f t="shared" ref="D19:D21" si="6">B19*C19</f>
        <v>16</v>
      </c>
      <c r="E19" s="2">
        <v>1</v>
      </c>
      <c r="F19" s="5">
        <f t="shared" ref="F19:F20" si="7">D19*E19</f>
        <v>16</v>
      </c>
      <c r="G19" s="5">
        <f t="shared" ref="G19:G21" si="8">F19*0.05</f>
        <v>0.8</v>
      </c>
      <c r="H19" s="5">
        <f t="shared" ref="H19:H21" si="9">F19*0.1</f>
        <v>1.6</v>
      </c>
      <c r="I19" s="14">
        <f t="shared" ref="I19:I21" si="10">F19*$L$6+G19*$L$5+H19*$L$7</f>
        <v>1315.9944</v>
      </c>
      <c r="N19" s="33"/>
      <c r="O19" s="34"/>
      <c r="P19" s="34"/>
      <c r="Q19" s="34"/>
      <c r="R19" s="34"/>
      <c r="S19" s="34"/>
      <c r="T19" s="34"/>
      <c r="U19" s="34"/>
      <c r="V19" s="37"/>
    </row>
    <row r="20" spans="1:22" s="7" customFormat="1" ht="15.5" x14ac:dyDescent="0.3">
      <c r="A20" s="1" t="s">
        <v>86</v>
      </c>
      <c r="B20" s="2">
        <v>0.5</v>
      </c>
      <c r="C20" s="2">
        <v>37</v>
      </c>
      <c r="D20" s="13">
        <f t="shared" si="6"/>
        <v>18.5</v>
      </c>
      <c r="E20" s="2">
        <v>11</v>
      </c>
      <c r="F20" s="5">
        <f t="shared" si="7"/>
        <v>203.5</v>
      </c>
      <c r="G20" s="5">
        <f t="shared" si="8"/>
        <v>10.175000000000001</v>
      </c>
      <c r="H20" s="5">
        <f t="shared" si="9"/>
        <v>20.350000000000001</v>
      </c>
      <c r="I20" s="14">
        <f t="shared" si="10"/>
        <v>16737.803775</v>
      </c>
      <c r="N20" s="33"/>
      <c r="O20" s="34"/>
      <c r="P20" s="34"/>
      <c r="Q20" s="34"/>
      <c r="R20" s="34"/>
      <c r="S20" s="34"/>
      <c r="T20" s="34"/>
      <c r="U20" s="34"/>
      <c r="V20" s="37"/>
    </row>
    <row r="21" spans="1:22" s="7" customFormat="1" ht="15.5" x14ac:dyDescent="0.3">
      <c r="A21" s="1" t="s">
        <v>87</v>
      </c>
      <c r="B21" s="2">
        <v>0.25</v>
      </c>
      <c r="C21" s="2">
        <v>481</v>
      </c>
      <c r="D21" s="54">
        <f t="shared" si="6"/>
        <v>120.25</v>
      </c>
      <c r="E21" s="2">
        <f>E13</f>
        <v>66</v>
      </c>
      <c r="F21" s="5">
        <f>D21*E21</f>
        <v>7936.5</v>
      </c>
      <c r="G21" s="5">
        <f t="shared" si="8"/>
        <v>396.82500000000005</v>
      </c>
      <c r="H21" s="5">
        <f t="shared" si="9"/>
        <v>793.65000000000009</v>
      </c>
      <c r="I21" s="14">
        <f t="shared" si="10"/>
        <v>652774.34722500003</v>
      </c>
      <c r="N21" s="33"/>
      <c r="O21" s="34"/>
      <c r="P21" s="33"/>
      <c r="Q21" s="33"/>
      <c r="R21" s="33"/>
      <c r="S21" s="33"/>
      <c r="T21" s="33"/>
      <c r="U21" s="33"/>
      <c r="V21" s="36"/>
    </row>
    <row r="22" spans="1:22" s="7" customFormat="1" ht="13.5" x14ac:dyDescent="0.3">
      <c r="A22" s="102" t="s">
        <v>16</v>
      </c>
      <c r="B22" s="105"/>
      <c r="C22" s="105"/>
      <c r="D22" s="105"/>
      <c r="E22" s="106"/>
      <c r="F22" s="99">
        <f>SUM(F17:H21)</f>
        <v>9379.4</v>
      </c>
      <c r="G22" s="100"/>
      <c r="H22" s="101"/>
      <c r="I22" s="10">
        <f>SUM(I17:I21)</f>
        <v>670828.14540000004</v>
      </c>
      <c r="N22" s="33"/>
      <c r="O22" s="34"/>
      <c r="P22" s="34"/>
      <c r="Q22" s="34"/>
      <c r="R22" s="34"/>
      <c r="S22" s="38"/>
      <c r="T22" s="34"/>
      <c r="U22" s="34"/>
      <c r="V22" s="35"/>
    </row>
    <row r="23" spans="1:22" s="7" customFormat="1" ht="15" x14ac:dyDescent="0.3">
      <c r="A23" s="11" t="s">
        <v>88</v>
      </c>
      <c r="B23" s="110"/>
      <c r="C23" s="111"/>
      <c r="D23" s="111"/>
      <c r="E23" s="112"/>
      <c r="F23" s="107">
        <f>ROUND(SUM(F16,F22),-2)</f>
        <v>10500</v>
      </c>
      <c r="G23" s="108"/>
      <c r="H23" s="109"/>
      <c r="I23" s="28">
        <f>ROUND(I22+I16,-3)</f>
        <v>750000</v>
      </c>
      <c r="N23" s="33"/>
      <c r="O23" s="34"/>
      <c r="P23" s="34"/>
      <c r="Q23" s="34"/>
      <c r="R23" s="34"/>
      <c r="S23" s="38"/>
      <c r="T23" s="34"/>
      <c r="U23" s="34"/>
      <c r="V23" s="35"/>
    </row>
    <row r="24" spans="1:22" s="7" customFormat="1" ht="15" x14ac:dyDescent="0.3">
      <c r="A24" s="12" t="s">
        <v>89</v>
      </c>
      <c r="B24" s="110"/>
      <c r="C24" s="111"/>
      <c r="D24" s="111"/>
      <c r="E24" s="111"/>
      <c r="F24" s="111"/>
      <c r="G24" s="111"/>
      <c r="H24" s="112"/>
      <c r="I24" s="9">
        <f>'O&amp;M'!G11</f>
        <v>0</v>
      </c>
      <c r="N24" s="39"/>
      <c r="O24" s="33"/>
      <c r="P24" s="33"/>
      <c r="Q24" s="33"/>
      <c r="R24" s="33"/>
      <c r="S24" s="95"/>
      <c r="T24" s="95"/>
      <c r="U24" s="95"/>
      <c r="V24" s="40"/>
    </row>
    <row r="25" spans="1:22" s="7" customFormat="1" ht="17.25" customHeight="1" x14ac:dyDescent="0.3">
      <c r="A25" s="55" t="s">
        <v>90</v>
      </c>
      <c r="B25" s="113"/>
      <c r="C25" s="113"/>
      <c r="D25" s="113"/>
      <c r="E25" s="113"/>
      <c r="F25" s="113"/>
      <c r="G25" s="113"/>
      <c r="H25" s="114"/>
      <c r="I25" s="9">
        <f>ROUND(SUM(I22,I16,I24),-3)</f>
        <v>750000</v>
      </c>
      <c r="N25" s="56"/>
      <c r="O25" s="33"/>
      <c r="P25" s="33"/>
      <c r="Q25" s="33"/>
      <c r="R25" s="33"/>
      <c r="S25" s="33"/>
      <c r="T25" s="33"/>
      <c r="U25" s="33"/>
      <c r="V25" s="33"/>
    </row>
    <row r="26" spans="1:22" s="7" customFormat="1" ht="13" x14ac:dyDescent="0.3">
      <c r="N26" s="56"/>
      <c r="O26" s="34"/>
      <c r="P26" s="33"/>
      <c r="Q26" s="33"/>
      <c r="R26" s="33"/>
      <c r="S26" s="33"/>
      <c r="T26" s="33"/>
      <c r="U26" s="33"/>
      <c r="V26" s="33"/>
    </row>
    <row r="27" spans="1:22" s="7" customFormat="1" ht="13" x14ac:dyDescent="0.3">
      <c r="A27" s="6" t="s">
        <v>18</v>
      </c>
      <c r="N27" s="56"/>
      <c r="O27" s="34"/>
      <c r="P27" s="33"/>
      <c r="Q27" s="33"/>
      <c r="R27" s="33"/>
      <c r="S27" s="33"/>
      <c r="T27" s="33"/>
      <c r="U27" s="33"/>
      <c r="V27" s="33"/>
    </row>
    <row r="28" spans="1:22" s="7" customFormat="1" ht="15.5" x14ac:dyDescent="0.3">
      <c r="A28" s="94" t="s">
        <v>112</v>
      </c>
      <c r="B28" s="94"/>
      <c r="C28" s="94"/>
      <c r="D28" s="94"/>
      <c r="E28" s="94"/>
      <c r="F28" s="94"/>
      <c r="G28" s="94"/>
      <c r="H28" s="94"/>
      <c r="I28" s="94"/>
      <c r="N28" s="56"/>
      <c r="O28" s="34"/>
      <c r="P28" s="33"/>
      <c r="Q28" s="33"/>
      <c r="R28" s="33"/>
      <c r="S28" s="33"/>
      <c r="T28" s="33"/>
      <c r="U28" s="33"/>
      <c r="V28" s="33"/>
    </row>
    <row r="29" spans="1:22" s="7" customFormat="1" ht="45.75" customHeight="1" x14ac:dyDescent="0.3">
      <c r="A29" s="96" t="s">
        <v>151</v>
      </c>
      <c r="B29" s="96"/>
      <c r="C29" s="96"/>
      <c r="D29" s="96"/>
      <c r="E29" s="96"/>
      <c r="F29" s="96"/>
      <c r="G29" s="96"/>
      <c r="H29" s="96"/>
      <c r="I29" s="96"/>
      <c r="N29" s="33"/>
      <c r="O29" s="34"/>
      <c r="P29" s="33"/>
      <c r="Q29" s="33"/>
      <c r="R29" s="33"/>
      <c r="S29" s="33"/>
      <c r="T29" s="33"/>
      <c r="U29" s="33"/>
      <c r="V29" s="33"/>
    </row>
    <row r="30" spans="1:22" s="7" customFormat="1" ht="15.5" x14ac:dyDescent="0.3">
      <c r="A30" s="94" t="s">
        <v>78</v>
      </c>
      <c r="B30" s="94"/>
      <c r="C30" s="94"/>
      <c r="D30" s="94"/>
      <c r="E30" s="94"/>
      <c r="F30" s="94"/>
      <c r="G30" s="94"/>
      <c r="H30" s="94"/>
      <c r="I30" s="94"/>
      <c r="N30" s="33"/>
      <c r="O30" s="41"/>
      <c r="P30" s="41"/>
      <c r="Q30" s="41"/>
      <c r="R30" s="41"/>
      <c r="S30" s="41"/>
      <c r="T30" s="33"/>
      <c r="U30" s="33"/>
      <c r="V30" s="33"/>
    </row>
    <row r="31" spans="1:22" s="7" customFormat="1" ht="15.5" x14ac:dyDescent="0.3">
      <c r="A31" s="94" t="s">
        <v>91</v>
      </c>
      <c r="B31" s="94"/>
      <c r="C31" s="94"/>
      <c r="D31" s="94"/>
      <c r="E31" s="94"/>
      <c r="F31" s="94"/>
      <c r="G31" s="94"/>
      <c r="H31" s="94"/>
      <c r="I31" s="94"/>
      <c r="N31" s="33"/>
      <c r="O31" s="34"/>
      <c r="P31" s="34"/>
      <c r="Q31" s="34"/>
      <c r="R31" s="34"/>
      <c r="S31" s="42"/>
      <c r="T31" s="43"/>
      <c r="U31" s="43"/>
      <c r="V31" s="35"/>
    </row>
    <row r="32" spans="1:22" s="7" customFormat="1" ht="15.5" x14ac:dyDescent="0.3">
      <c r="A32" s="94" t="s">
        <v>109</v>
      </c>
      <c r="B32" s="94"/>
      <c r="C32" s="94"/>
      <c r="D32" s="94"/>
      <c r="E32" s="94"/>
      <c r="F32" s="94"/>
      <c r="G32" s="94"/>
      <c r="H32" s="94"/>
      <c r="I32" s="94"/>
      <c r="N32" s="33"/>
      <c r="O32" s="34"/>
      <c r="P32" s="34"/>
      <c r="Q32" s="34"/>
      <c r="R32" s="34"/>
      <c r="S32" s="42"/>
      <c r="T32" s="43"/>
      <c r="U32" s="43"/>
      <c r="V32" s="35"/>
    </row>
    <row r="33" spans="1:12" s="7" customFormat="1" ht="15.5" x14ac:dyDescent="0.3">
      <c r="A33" s="94" t="s">
        <v>92</v>
      </c>
      <c r="B33" s="94"/>
      <c r="C33" s="94"/>
      <c r="D33" s="94"/>
      <c r="E33" s="94"/>
      <c r="F33" s="94"/>
      <c r="G33" s="94"/>
      <c r="H33" s="94"/>
      <c r="I33" s="94"/>
    </row>
    <row r="34" spans="1:12" s="7" customFormat="1" ht="15.5" x14ac:dyDescent="0.3">
      <c r="A34" s="94" t="s">
        <v>168</v>
      </c>
      <c r="B34" s="94"/>
      <c r="C34" s="94"/>
      <c r="D34" s="94"/>
      <c r="E34" s="94"/>
      <c r="F34" s="94"/>
      <c r="G34" s="94"/>
      <c r="H34" s="94"/>
      <c r="I34" s="94"/>
    </row>
    <row r="35" spans="1:12" s="7" customFormat="1" ht="20.25" customHeight="1" x14ac:dyDescent="0.3">
      <c r="A35" s="96" t="s">
        <v>93</v>
      </c>
      <c r="B35" s="96"/>
      <c r="C35" s="96"/>
      <c r="D35" s="96"/>
      <c r="E35" s="96"/>
      <c r="F35" s="96"/>
      <c r="G35" s="96"/>
      <c r="H35" s="96"/>
      <c r="I35" s="96"/>
    </row>
    <row r="36" spans="1:12" s="7" customFormat="1" ht="19.5" customHeight="1" x14ac:dyDescent="0.3">
      <c r="A36" s="96" t="s">
        <v>108</v>
      </c>
      <c r="B36" s="96"/>
      <c r="C36" s="96"/>
      <c r="D36" s="96"/>
      <c r="E36" s="96"/>
      <c r="F36" s="96"/>
      <c r="G36" s="96"/>
      <c r="H36" s="96"/>
      <c r="I36" s="96"/>
    </row>
    <row r="37" spans="1:12" s="7" customFormat="1" ht="18.75" customHeight="1" x14ac:dyDescent="0.3">
      <c r="A37" s="94" t="s">
        <v>110</v>
      </c>
      <c r="B37" s="94"/>
      <c r="C37" s="94"/>
      <c r="D37" s="94"/>
      <c r="E37" s="94"/>
      <c r="F37" s="94"/>
      <c r="G37" s="94"/>
      <c r="H37" s="94"/>
      <c r="I37" s="94"/>
      <c r="J37" s="18"/>
    </row>
    <row r="38" spans="1:12" s="7" customFormat="1" ht="21" customHeight="1" x14ac:dyDescent="0.3">
      <c r="A38" s="94" t="s">
        <v>94</v>
      </c>
      <c r="B38" s="94"/>
      <c r="C38" s="94"/>
      <c r="D38" s="94"/>
      <c r="E38" s="94"/>
      <c r="F38" s="94"/>
      <c r="G38" s="94"/>
      <c r="H38" s="94"/>
      <c r="I38" s="94"/>
      <c r="L38" s="26"/>
    </row>
    <row r="39" spans="1:12" s="7" customFormat="1" ht="21" customHeight="1" x14ac:dyDescent="0.3">
      <c r="A39" s="94" t="s">
        <v>80</v>
      </c>
      <c r="B39" s="94"/>
      <c r="C39" s="94"/>
      <c r="D39" s="94"/>
      <c r="E39" s="94"/>
      <c r="F39" s="94"/>
      <c r="G39" s="94"/>
      <c r="H39" s="94"/>
      <c r="I39" s="94"/>
    </row>
    <row r="40" spans="1:12" s="7" customFormat="1" ht="15.5" x14ac:dyDescent="0.3">
      <c r="A40" s="94"/>
      <c r="B40" s="94"/>
      <c r="C40" s="94"/>
      <c r="D40" s="94"/>
      <c r="E40" s="94"/>
      <c r="F40" s="94"/>
      <c r="G40" s="94"/>
      <c r="H40" s="94"/>
      <c r="I40" s="94"/>
    </row>
  </sheetData>
  <mergeCells count="24">
    <mergeCell ref="K4:L4"/>
    <mergeCell ref="A1:I1"/>
    <mergeCell ref="A28:I28"/>
    <mergeCell ref="A31:I31"/>
    <mergeCell ref="A33:I33"/>
    <mergeCell ref="A29:I29"/>
    <mergeCell ref="F16:H16"/>
    <mergeCell ref="A16:E16"/>
    <mergeCell ref="A22:E22"/>
    <mergeCell ref="F22:H22"/>
    <mergeCell ref="F23:H23"/>
    <mergeCell ref="B23:E23"/>
    <mergeCell ref="B24:H24"/>
    <mergeCell ref="B25:H25"/>
    <mergeCell ref="A32:I32"/>
    <mergeCell ref="A34:I34"/>
    <mergeCell ref="S24:U24"/>
    <mergeCell ref="A30:I30"/>
    <mergeCell ref="A40:I40"/>
    <mergeCell ref="A35:I35"/>
    <mergeCell ref="A36:I36"/>
    <mergeCell ref="A37:I37"/>
    <mergeCell ref="A38:I38"/>
    <mergeCell ref="A39:I39"/>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AB29-A150-4856-A933-5C09F9F69D3C}">
  <dimension ref="A1:V56"/>
  <sheetViews>
    <sheetView topLeftCell="A16" zoomScale="115" zoomScaleNormal="115" workbookViewId="0">
      <selection activeCell="E15" sqref="E15"/>
    </sheetView>
  </sheetViews>
  <sheetFormatPr defaultColWidth="9.1796875" defaultRowHeight="14" x14ac:dyDescent="0.3"/>
  <cols>
    <col min="1" max="1" width="40.7265625" style="15" customWidth="1"/>
    <col min="2" max="8" width="11.26953125" style="15" customWidth="1"/>
    <col min="9" max="9" width="12.81640625" style="15" customWidth="1"/>
    <col min="10" max="10" width="3.54296875" style="15" customWidth="1"/>
    <col min="11" max="11" width="12.7265625" style="15" customWidth="1"/>
    <col min="12" max="12" width="9.1796875" style="15"/>
    <col min="13" max="13" width="2.81640625" style="15" customWidth="1"/>
    <col min="14" max="14" width="46.1796875" style="15" customWidth="1"/>
    <col min="15" max="16384" width="9.1796875" style="15"/>
  </cols>
  <sheetData>
    <row r="1" spans="1:22" ht="31.5" customHeight="1" x14ac:dyDescent="0.3">
      <c r="A1" s="98" t="s">
        <v>111</v>
      </c>
      <c r="B1" s="98"/>
      <c r="C1" s="98"/>
      <c r="D1" s="98"/>
      <c r="E1" s="98"/>
      <c r="F1" s="98"/>
      <c r="G1" s="98"/>
      <c r="H1" s="98"/>
      <c r="I1" s="98"/>
    </row>
    <row r="3" spans="1:22" s="7" customFormat="1" ht="83.25" customHeight="1" x14ac:dyDescent="0.3">
      <c r="A3" s="29" t="s">
        <v>0</v>
      </c>
      <c r="B3" s="27" t="s">
        <v>25</v>
      </c>
      <c r="C3" s="27" t="s">
        <v>26</v>
      </c>
      <c r="D3" s="27" t="s">
        <v>27</v>
      </c>
      <c r="E3" s="27" t="s">
        <v>60</v>
      </c>
      <c r="F3" s="27" t="s">
        <v>28</v>
      </c>
      <c r="G3" s="27" t="s">
        <v>29</v>
      </c>
      <c r="H3" s="27" t="s">
        <v>30</v>
      </c>
      <c r="I3" s="27" t="s">
        <v>61</v>
      </c>
    </row>
    <row r="4" spans="1:22" s="7" customFormat="1" ht="13" x14ac:dyDescent="0.3">
      <c r="A4" s="31" t="s">
        <v>9</v>
      </c>
      <c r="B4" s="2" t="s">
        <v>10</v>
      </c>
      <c r="C4" s="1"/>
      <c r="D4" s="2"/>
      <c r="E4" s="2"/>
      <c r="F4" s="2"/>
      <c r="G4" s="2"/>
      <c r="H4" s="2"/>
      <c r="I4" s="3"/>
      <c r="K4" s="97" t="s">
        <v>35</v>
      </c>
      <c r="L4" s="97"/>
      <c r="N4" s="33"/>
      <c r="O4" s="34"/>
      <c r="P4" s="33"/>
      <c r="Q4" s="33"/>
      <c r="R4" s="33"/>
      <c r="S4" s="33"/>
      <c r="T4" s="33"/>
      <c r="U4" s="33"/>
      <c r="V4" s="33"/>
    </row>
    <row r="5" spans="1:22" s="7" customFormat="1" ht="13" x14ac:dyDescent="0.3">
      <c r="A5" s="31" t="s">
        <v>11</v>
      </c>
      <c r="B5" s="2" t="s">
        <v>10</v>
      </c>
      <c r="C5" s="1"/>
      <c r="D5" s="2"/>
      <c r="E5" s="2"/>
      <c r="F5" s="2"/>
      <c r="G5" s="2"/>
      <c r="H5" s="2"/>
      <c r="I5" s="3"/>
      <c r="K5" s="16" t="s">
        <v>33</v>
      </c>
      <c r="L5" s="17">
        <f>Wages!$D$9</f>
        <v>126.94500000000001</v>
      </c>
      <c r="N5" s="33"/>
      <c r="O5" s="34"/>
      <c r="P5" s="33"/>
      <c r="Q5" s="33"/>
      <c r="R5" s="33"/>
      <c r="S5" s="33"/>
      <c r="T5" s="33"/>
      <c r="U5" s="33"/>
      <c r="V5" s="33"/>
    </row>
    <row r="6" spans="1:22" s="7" customFormat="1" ht="13" x14ac:dyDescent="0.3">
      <c r="A6" s="31" t="s">
        <v>12</v>
      </c>
      <c r="B6" s="2"/>
      <c r="C6" s="2"/>
      <c r="D6" s="2"/>
      <c r="E6" s="2"/>
      <c r="F6" s="2"/>
      <c r="G6" s="2"/>
      <c r="H6" s="2"/>
      <c r="I6" s="3"/>
      <c r="K6" s="16" t="s">
        <v>32</v>
      </c>
      <c r="L6" s="17">
        <f>Wages!$D$10</f>
        <v>71.379000000000005</v>
      </c>
      <c r="N6" s="33"/>
      <c r="O6" s="33"/>
      <c r="P6" s="33"/>
      <c r="Q6" s="33"/>
      <c r="R6" s="33"/>
      <c r="S6" s="33"/>
      <c r="T6" s="33"/>
      <c r="U6" s="33"/>
      <c r="V6" s="33"/>
    </row>
    <row r="7" spans="1:22" s="7" customFormat="1" ht="13" x14ac:dyDescent="0.3">
      <c r="A7" s="1" t="s">
        <v>62</v>
      </c>
      <c r="B7" s="2"/>
      <c r="C7" s="2"/>
      <c r="D7" s="2"/>
      <c r="E7" s="2"/>
      <c r="F7" s="2"/>
      <c r="G7" s="8"/>
      <c r="H7" s="2"/>
      <c r="I7" s="14"/>
      <c r="K7" s="16" t="s">
        <v>31</v>
      </c>
      <c r="L7" s="17">
        <f>Wages!$D$11</f>
        <v>45.234000000000002</v>
      </c>
      <c r="N7" s="56"/>
      <c r="O7" s="34"/>
      <c r="P7" s="34"/>
      <c r="Q7" s="34"/>
      <c r="R7" s="34"/>
      <c r="S7" s="34"/>
      <c r="T7" s="34"/>
      <c r="U7" s="34"/>
      <c r="V7" s="35"/>
    </row>
    <row r="8" spans="1:22" s="7" customFormat="1" ht="13" x14ac:dyDescent="0.3">
      <c r="A8" s="32" t="s">
        <v>76</v>
      </c>
      <c r="B8" s="2">
        <v>4</v>
      </c>
      <c r="C8" s="2">
        <v>1</v>
      </c>
      <c r="D8" s="2">
        <f>B8*C8</f>
        <v>4</v>
      </c>
      <c r="E8" s="2">
        <v>1</v>
      </c>
      <c r="F8" s="2">
        <f>D8*E8</f>
        <v>4</v>
      </c>
      <c r="G8" s="8">
        <f>F8*0.05</f>
        <v>0.2</v>
      </c>
      <c r="H8" s="2">
        <f t="shared" ref="H8:H9" si="0">F8*0.1</f>
        <v>0.4</v>
      </c>
      <c r="I8" s="14">
        <f>F8*$L$6+G8*$L$5+H8*$L$7</f>
        <v>328.99860000000001</v>
      </c>
      <c r="K8" s="60"/>
      <c r="L8" s="61"/>
      <c r="N8" s="56"/>
      <c r="O8" s="34"/>
      <c r="P8" s="34"/>
      <c r="Q8" s="34"/>
      <c r="R8" s="34"/>
      <c r="S8" s="34"/>
      <c r="T8" s="34"/>
      <c r="U8" s="34"/>
      <c r="V8" s="35"/>
    </row>
    <row r="9" spans="1:22" s="7" customFormat="1" ht="15.5" x14ac:dyDescent="0.3">
      <c r="A9" s="32" t="s">
        <v>77</v>
      </c>
      <c r="B9" s="2">
        <v>1</v>
      </c>
      <c r="C9" s="2">
        <v>1</v>
      </c>
      <c r="D9" s="2">
        <f>B9*C9</f>
        <v>1</v>
      </c>
      <c r="E9" s="2">
        <f>'O&amp;M'!C20</f>
        <v>66</v>
      </c>
      <c r="F9" s="2">
        <f>D9*E9</f>
        <v>66</v>
      </c>
      <c r="G9" s="8">
        <f>F9*0.05</f>
        <v>3.3000000000000003</v>
      </c>
      <c r="H9" s="2">
        <f t="shared" si="0"/>
        <v>6.6000000000000005</v>
      </c>
      <c r="I9" s="14">
        <f>F9*$L$6+G9*$L$5+H9*$L$7</f>
        <v>5428.4768999999997</v>
      </c>
      <c r="J9" s="89" t="s">
        <v>176</v>
      </c>
      <c r="K9" s="60"/>
      <c r="L9" s="61"/>
      <c r="N9" s="56"/>
      <c r="O9" s="34"/>
      <c r="P9" s="34"/>
      <c r="Q9" s="34"/>
      <c r="R9" s="34"/>
      <c r="S9" s="34"/>
      <c r="T9" s="34"/>
      <c r="U9" s="34"/>
      <c r="V9" s="35"/>
    </row>
    <row r="10" spans="1:22" s="7" customFormat="1" ht="13" x14ac:dyDescent="0.3">
      <c r="A10" s="1" t="s">
        <v>64</v>
      </c>
      <c r="B10" s="2">
        <v>4</v>
      </c>
      <c r="C10" s="2">
        <v>1</v>
      </c>
      <c r="D10" s="2">
        <f>B10*C10</f>
        <v>4</v>
      </c>
      <c r="E10" s="2">
        <v>1</v>
      </c>
      <c r="F10" s="2">
        <f>D10*E10</f>
        <v>4</v>
      </c>
      <c r="G10" s="8">
        <f>F10*0.05</f>
        <v>0.2</v>
      </c>
      <c r="H10" s="2">
        <f>F10*0.1</f>
        <v>0.4</v>
      </c>
      <c r="I10" s="14">
        <f>F10*$L$6+G10*$L$5+H10*$L$7</f>
        <v>328.99860000000001</v>
      </c>
      <c r="N10" s="56"/>
      <c r="O10" s="33"/>
      <c r="P10" s="33"/>
      <c r="Q10" s="33"/>
      <c r="R10" s="33"/>
      <c r="S10" s="33"/>
      <c r="T10" s="33"/>
      <c r="U10" s="33"/>
      <c r="V10" s="36"/>
    </row>
    <row r="11" spans="1:22" s="7" customFormat="1" ht="13" x14ac:dyDescent="0.3">
      <c r="A11" s="1" t="s">
        <v>65</v>
      </c>
      <c r="B11" s="2"/>
      <c r="C11" s="2"/>
      <c r="D11" s="2"/>
      <c r="E11" s="2"/>
      <c r="F11" s="2"/>
      <c r="G11" s="2"/>
      <c r="H11" s="2"/>
      <c r="I11" s="3"/>
      <c r="N11" s="56"/>
      <c r="O11" s="34"/>
      <c r="P11" s="34"/>
      <c r="Q11" s="34"/>
      <c r="R11" s="34"/>
      <c r="S11" s="34"/>
      <c r="T11" s="34"/>
      <c r="U11" s="34"/>
      <c r="V11" s="37"/>
    </row>
    <row r="12" spans="1:22" s="7" customFormat="1" ht="28.5" x14ac:dyDescent="0.3">
      <c r="A12" s="49" t="s">
        <v>79</v>
      </c>
      <c r="B12" s="8">
        <v>25.25</v>
      </c>
      <c r="C12" s="2">
        <v>1</v>
      </c>
      <c r="D12" s="8">
        <f t="shared" ref="D12:D15" si="1">B12*C12</f>
        <v>25.25</v>
      </c>
      <c r="E12" s="2">
        <v>1</v>
      </c>
      <c r="F12" s="8">
        <f t="shared" ref="F12:F15" si="2">D12*E12</f>
        <v>25.25</v>
      </c>
      <c r="G12" s="53">
        <f t="shared" ref="G12:G15" si="3">F12*0.05</f>
        <v>1.2625000000000002</v>
      </c>
      <c r="H12" s="53">
        <f t="shared" ref="H12:H15" si="4">F12*0.1</f>
        <v>2.5250000000000004</v>
      </c>
      <c r="I12" s="14">
        <f t="shared" ref="I12:I14" si="5">F12*$L$6+G12*$L$5+H12*$L$7</f>
        <v>2076.8036625</v>
      </c>
      <c r="N12" s="56"/>
      <c r="O12" s="34"/>
      <c r="P12" s="34"/>
      <c r="Q12" s="34"/>
      <c r="R12" s="34"/>
      <c r="S12" s="34"/>
      <c r="T12" s="34"/>
      <c r="U12" s="34"/>
      <c r="V12" s="37"/>
    </row>
    <row r="13" spans="1:22" s="7" customFormat="1" ht="15.5" x14ac:dyDescent="0.3">
      <c r="A13" s="49" t="s">
        <v>83</v>
      </c>
      <c r="B13" s="2">
        <v>4</v>
      </c>
      <c r="C13" s="2">
        <v>1</v>
      </c>
      <c r="D13" s="2">
        <f t="shared" si="1"/>
        <v>4</v>
      </c>
      <c r="E13" s="2">
        <f>E9+E8</f>
        <v>67</v>
      </c>
      <c r="F13" s="2">
        <f t="shared" si="2"/>
        <v>268</v>
      </c>
      <c r="G13" s="2">
        <f t="shared" si="3"/>
        <v>13.4</v>
      </c>
      <c r="H13" s="2">
        <f t="shared" si="4"/>
        <v>26.8</v>
      </c>
      <c r="I13" s="14">
        <f t="shared" si="5"/>
        <v>22042.906200000001</v>
      </c>
      <c r="N13" s="56"/>
      <c r="O13" s="34"/>
      <c r="P13" s="33"/>
      <c r="Q13" s="33"/>
      <c r="R13" s="33"/>
      <c r="S13" s="33"/>
      <c r="T13" s="33"/>
      <c r="U13" s="33"/>
      <c r="V13" s="36"/>
    </row>
    <row r="14" spans="1:22" s="7" customFormat="1" ht="15.5" x14ac:dyDescent="0.3">
      <c r="A14" s="49" t="s">
        <v>84</v>
      </c>
      <c r="B14" s="2">
        <v>24</v>
      </c>
      <c r="C14" s="2">
        <v>1</v>
      </c>
      <c r="D14" s="2">
        <f t="shared" si="1"/>
        <v>24</v>
      </c>
      <c r="E14" s="2">
        <v>0.1</v>
      </c>
      <c r="F14" s="2">
        <f t="shared" si="2"/>
        <v>2.4000000000000004</v>
      </c>
      <c r="G14" s="2">
        <f t="shared" si="3"/>
        <v>0.12000000000000002</v>
      </c>
      <c r="H14" s="2">
        <f t="shared" si="4"/>
        <v>0.24000000000000005</v>
      </c>
      <c r="I14" s="14">
        <f t="shared" si="5"/>
        <v>197.39916000000005</v>
      </c>
      <c r="N14" s="56"/>
      <c r="O14" s="33"/>
      <c r="P14" s="33"/>
      <c r="Q14" s="33"/>
      <c r="R14" s="33"/>
      <c r="S14" s="33"/>
      <c r="T14" s="33"/>
      <c r="U14" s="33"/>
      <c r="V14" s="36"/>
    </row>
    <row r="15" spans="1:22" s="7" customFormat="1" ht="15.5" x14ac:dyDescent="0.3">
      <c r="A15" s="49" t="s">
        <v>85</v>
      </c>
      <c r="B15" s="2">
        <v>60</v>
      </c>
      <c r="C15" s="2">
        <v>1</v>
      </c>
      <c r="D15" s="2">
        <f t="shared" si="1"/>
        <v>60</v>
      </c>
      <c r="E15" s="2">
        <f>ROUND(((E8+E9)*0.15),0)</f>
        <v>10</v>
      </c>
      <c r="F15" s="2">
        <f t="shared" si="2"/>
        <v>600</v>
      </c>
      <c r="G15" s="2">
        <f t="shared" si="3"/>
        <v>30</v>
      </c>
      <c r="H15" s="2">
        <f t="shared" si="4"/>
        <v>60</v>
      </c>
      <c r="I15" s="14">
        <f>F15*$L$6+G15*$L$5+H15*$L$7</f>
        <v>49349.79</v>
      </c>
      <c r="N15" s="33"/>
      <c r="O15" s="34"/>
      <c r="P15" s="34"/>
      <c r="Q15" s="34"/>
      <c r="R15" s="34"/>
      <c r="S15" s="34"/>
      <c r="T15" s="34"/>
      <c r="U15" s="34"/>
      <c r="V15" s="37"/>
    </row>
    <row r="16" spans="1:22" s="7" customFormat="1" ht="13.5" x14ac:dyDescent="0.3">
      <c r="A16" s="102" t="s">
        <v>13</v>
      </c>
      <c r="B16" s="103"/>
      <c r="C16" s="103"/>
      <c r="D16" s="103"/>
      <c r="E16" s="104"/>
      <c r="F16" s="99">
        <f>SUM(F7:H15)</f>
        <v>1115.0974999999999</v>
      </c>
      <c r="G16" s="100"/>
      <c r="H16" s="101"/>
      <c r="I16" s="10">
        <f>SUM(I7:I15)</f>
        <v>79753.373122499994</v>
      </c>
      <c r="N16" s="33"/>
      <c r="O16" s="34"/>
      <c r="P16" s="34"/>
      <c r="Q16" s="34"/>
      <c r="R16" s="34"/>
      <c r="S16" s="34"/>
      <c r="T16" s="34"/>
      <c r="U16" s="34"/>
      <c r="V16" s="37"/>
    </row>
    <row r="17" spans="1:22" s="7" customFormat="1" ht="13" x14ac:dyDescent="0.3">
      <c r="A17" s="31" t="s">
        <v>14</v>
      </c>
      <c r="B17" s="2"/>
      <c r="C17" s="2"/>
      <c r="D17" s="2"/>
      <c r="E17" s="2"/>
      <c r="F17" s="2"/>
      <c r="G17" s="2"/>
      <c r="H17" s="2"/>
      <c r="I17" s="3"/>
      <c r="N17" s="62"/>
      <c r="O17" s="34"/>
      <c r="P17" s="34"/>
      <c r="Q17" s="34"/>
      <c r="R17" s="34"/>
      <c r="S17" s="34"/>
      <c r="T17" s="34"/>
      <c r="U17" s="34"/>
      <c r="V17" s="37"/>
    </row>
    <row r="18" spans="1:22" s="7" customFormat="1" ht="13" x14ac:dyDescent="0.3">
      <c r="A18" s="1" t="s">
        <v>62</v>
      </c>
      <c r="B18" s="2" t="s">
        <v>15</v>
      </c>
      <c r="C18" s="2"/>
      <c r="D18" s="2"/>
      <c r="E18" s="2"/>
      <c r="F18" s="2"/>
      <c r="G18" s="2"/>
      <c r="H18" s="2"/>
      <c r="I18" s="3"/>
      <c r="N18" s="33"/>
      <c r="O18" s="34"/>
      <c r="P18" s="34"/>
      <c r="Q18" s="34"/>
      <c r="R18" s="34"/>
      <c r="S18" s="34"/>
      <c r="T18" s="34"/>
      <c r="U18" s="34"/>
      <c r="V18" s="37"/>
    </row>
    <row r="19" spans="1:22" s="7" customFormat="1" ht="13" x14ac:dyDescent="0.3">
      <c r="A19" s="1" t="s">
        <v>63</v>
      </c>
      <c r="B19" s="2">
        <v>16</v>
      </c>
      <c r="C19" s="2">
        <v>1</v>
      </c>
      <c r="D19" s="13">
        <f t="shared" ref="D19:D21" si="6">B19*C19</f>
        <v>16</v>
      </c>
      <c r="E19" s="2">
        <v>1</v>
      </c>
      <c r="F19" s="5">
        <f t="shared" ref="F19:F20" si="7">D19*E19</f>
        <v>16</v>
      </c>
      <c r="G19" s="5">
        <f t="shared" ref="G19:G21" si="8">F19*0.05</f>
        <v>0.8</v>
      </c>
      <c r="H19" s="5">
        <f t="shared" ref="H19:H21" si="9">F19*0.1</f>
        <v>1.6</v>
      </c>
      <c r="I19" s="14">
        <f t="shared" ref="I19:I21" si="10">F19*$L$6+G19*$L$5+H19*$L$7</f>
        <v>1315.9944</v>
      </c>
      <c r="N19" s="33"/>
      <c r="O19" s="34"/>
      <c r="P19" s="34"/>
      <c r="Q19" s="34"/>
      <c r="R19" s="34"/>
      <c r="S19" s="34"/>
      <c r="T19" s="34"/>
      <c r="U19" s="34"/>
      <c r="V19" s="37"/>
    </row>
    <row r="20" spans="1:22" s="7" customFormat="1" ht="15.5" x14ac:dyDescent="0.3">
      <c r="A20" s="1" t="s">
        <v>86</v>
      </c>
      <c r="B20" s="2">
        <v>0.5</v>
      </c>
      <c r="C20" s="2">
        <v>37</v>
      </c>
      <c r="D20" s="13">
        <f t="shared" si="6"/>
        <v>18.5</v>
      </c>
      <c r="E20" s="2">
        <v>11</v>
      </c>
      <c r="F20" s="5">
        <f t="shared" si="7"/>
        <v>203.5</v>
      </c>
      <c r="G20" s="5">
        <f t="shared" si="8"/>
        <v>10.175000000000001</v>
      </c>
      <c r="H20" s="5">
        <f t="shared" si="9"/>
        <v>20.350000000000001</v>
      </c>
      <c r="I20" s="14">
        <f t="shared" si="10"/>
        <v>16737.803775</v>
      </c>
      <c r="N20" s="33"/>
      <c r="O20" s="34"/>
      <c r="P20" s="34"/>
      <c r="Q20" s="34"/>
      <c r="R20" s="34"/>
      <c r="S20" s="34"/>
      <c r="T20" s="34"/>
      <c r="U20" s="34"/>
      <c r="V20" s="37"/>
    </row>
    <row r="21" spans="1:22" s="7" customFormat="1" ht="15.5" x14ac:dyDescent="0.3">
      <c r="A21" s="1" t="s">
        <v>87</v>
      </c>
      <c r="B21" s="2">
        <v>0.25</v>
      </c>
      <c r="C21" s="2">
        <v>481</v>
      </c>
      <c r="D21" s="54">
        <f t="shared" si="6"/>
        <v>120.25</v>
      </c>
      <c r="E21" s="2">
        <f>E13</f>
        <v>67</v>
      </c>
      <c r="F21" s="5">
        <f>D21*E21</f>
        <v>8056.75</v>
      </c>
      <c r="G21" s="5">
        <f t="shared" si="8"/>
        <v>402.83750000000003</v>
      </c>
      <c r="H21" s="5">
        <f t="shared" si="9"/>
        <v>805.67500000000007</v>
      </c>
      <c r="I21" s="14">
        <f t="shared" si="10"/>
        <v>662664.86763750005</v>
      </c>
      <c r="N21" s="33"/>
      <c r="O21" s="34"/>
      <c r="P21" s="33"/>
      <c r="Q21" s="33"/>
      <c r="R21" s="33"/>
      <c r="S21" s="33"/>
      <c r="T21" s="33"/>
      <c r="U21" s="33"/>
      <c r="V21" s="36"/>
    </row>
    <row r="22" spans="1:22" s="7" customFormat="1" ht="13.5" x14ac:dyDescent="0.3">
      <c r="A22" s="102" t="s">
        <v>16</v>
      </c>
      <c r="B22" s="105"/>
      <c r="C22" s="105"/>
      <c r="D22" s="105"/>
      <c r="E22" s="106"/>
      <c r="F22" s="99">
        <f>SUM(F17:H21)</f>
        <v>9517.6874999999982</v>
      </c>
      <c r="G22" s="100"/>
      <c r="H22" s="101"/>
      <c r="I22" s="10">
        <f>SUM(I17:I21)</f>
        <v>680718.66581250005</v>
      </c>
      <c r="N22" s="33"/>
      <c r="O22" s="34"/>
      <c r="P22" s="34"/>
      <c r="Q22" s="34"/>
      <c r="R22" s="34"/>
      <c r="S22" s="38"/>
      <c r="T22" s="34"/>
      <c r="U22" s="34"/>
      <c r="V22" s="35"/>
    </row>
    <row r="23" spans="1:22" s="7" customFormat="1" ht="15" x14ac:dyDescent="0.3">
      <c r="A23" s="11" t="s">
        <v>88</v>
      </c>
      <c r="B23" s="110"/>
      <c r="C23" s="111"/>
      <c r="D23" s="111"/>
      <c r="E23" s="112"/>
      <c r="F23" s="107">
        <f>ROUND(SUM(F16,F22),-2)</f>
        <v>10600</v>
      </c>
      <c r="G23" s="108"/>
      <c r="H23" s="109"/>
      <c r="I23" s="28">
        <f>ROUND(I22+I16,-3)</f>
        <v>760000</v>
      </c>
      <c r="N23" s="33"/>
      <c r="O23" s="34"/>
      <c r="P23" s="34"/>
      <c r="Q23" s="34"/>
      <c r="R23" s="34"/>
      <c r="S23" s="38"/>
      <c r="T23" s="34"/>
      <c r="U23" s="34"/>
      <c r="V23" s="35"/>
    </row>
    <row r="24" spans="1:22" s="7" customFormat="1" ht="15" x14ac:dyDescent="0.3">
      <c r="A24" s="12" t="s">
        <v>89</v>
      </c>
      <c r="B24" s="110"/>
      <c r="C24" s="111"/>
      <c r="D24" s="111"/>
      <c r="E24" s="111"/>
      <c r="F24" s="111"/>
      <c r="G24" s="111"/>
      <c r="H24" s="112"/>
      <c r="I24" s="9">
        <f>'O&amp;M'!G11</f>
        <v>0</v>
      </c>
      <c r="N24" s="39"/>
      <c r="O24" s="33"/>
      <c r="P24" s="33"/>
      <c r="Q24" s="33"/>
      <c r="R24" s="33"/>
      <c r="S24" s="95"/>
      <c r="T24" s="95"/>
      <c r="U24" s="95"/>
      <c r="V24" s="40"/>
    </row>
    <row r="25" spans="1:22" s="7" customFormat="1" ht="17.25" customHeight="1" x14ac:dyDescent="0.3">
      <c r="A25" s="55" t="s">
        <v>90</v>
      </c>
      <c r="B25" s="113"/>
      <c r="C25" s="113"/>
      <c r="D25" s="113"/>
      <c r="E25" s="113"/>
      <c r="F25" s="113"/>
      <c r="G25" s="113"/>
      <c r="H25" s="114"/>
      <c r="I25" s="9">
        <f>ROUND(SUM(I22,I16,I24),-3)</f>
        <v>760000</v>
      </c>
      <c r="N25" s="56"/>
      <c r="O25" s="33"/>
      <c r="P25" s="33"/>
      <c r="Q25" s="33"/>
      <c r="R25" s="33"/>
      <c r="S25" s="33"/>
      <c r="T25" s="33"/>
      <c r="U25" s="33"/>
      <c r="V25" s="33"/>
    </row>
    <row r="26" spans="1:22" s="7" customFormat="1" ht="13" x14ac:dyDescent="0.3">
      <c r="N26" s="56"/>
      <c r="O26" s="34"/>
      <c r="P26" s="33"/>
      <c r="Q26" s="33"/>
      <c r="R26" s="33"/>
      <c r="S26" s="33"/>
      <c r="T26" s="33"/>
      <c r="U26" s="33"/>
      <c r="V26" s="33"/>
    </row>
    <row r="27" spans="1:22" s="7" customFormat="1" ht="13" x14ac:dyDescent="0.3">
      <c r="A27" s="6" t="s">
        <v>18</v>
      </c>
      <c r="N27" s="56"/>
      <c r="O27" s="34"/>
      <c r="P27" s="33"/>
      <c r="Q27" s="33"/>
      <c r="R27" s="33"/>
      <c r="S27" s="33"/>
      <c r="T27" s="33"/>
      <c r="U27" s="33"/>
      <c r="V27" s="33"/>
    </row>
    <row r="28" spans="1:22" s="7" customFormat="1" ht="15.5" x14ac:dyDescent="0.3">
      <c r="A28" s="94" t="s">
        <v>113</v>
      </c>
      <c r="B28" s="94"/>
      <c r="C28" s="94"/>
      <c r="D28" s="94"/>
      <c r="E28" s="94"/>
      <c r="F28" s="94"/>
      <c r="G28" s="94"/>
      <c r="H28" s="94"/>
      <c r="I28" s="94"/>
      <c r="N28" s="56"/>
      <c r="O28" s="34"/>
      <c r="P28" s="33"/>
      <c r="Q28" s="33"/>
      <c r="R28" s="33"/>
      <c r="S28" s="33"/>
      <c r="T28" s="33"/>
      <c r="U28" s="33"/>
      <c r="V28" s="33"/>
    </row>
    <row r="29" spans="1:22" s="7" customFormat="1" ht="45" customHeight="1" x14ac:dyDescent="0.3">
      <c r="A29" s="96" t="s">
        <v>152</v>
      </c>
      <c r="B29" s="96"/>
      <c r="C29" s="96"/>
      <c r="D29" s="96"/>
      <c r="E29" s="96"/>
      <c r="F29" s="96"/>
      <c r="G29" s="96"/>
      <c r="H29" s="96"/>
      <c r="I29" s="96"/>
      <c r="N29" s="33"/>
      <c r="O29" s="34"/>
      <c r="P29" s="33"/>
      <c r="Q29" s="33"/>
      <c r="R29" s="33"/>
      <c r="S29" s="33"/>
      <c r="T29" s="33"/>
      <c r="U29" s="33"/>
      <c r="V29" s="33"/>
    </row>
    <row r="30" spans="1:22" s="7" customFormat="1" ht="15.5" x14ac:dyDescent="0.3">
      <c r="A30" s="94" t="s">
        <v>78</v>
      </c>
      <c r="B30" s="94"/>
      <c r="C30" s="94"/>
      <c r="D30" s="94"/>
      <c r="E30" s="94"/>
      <c r="F30" s="94"/>
      <c r="G30" s="94"/>
      <c r="H30" s="94"/>
      <c r="I30" s="94"/>
      <c r="N30" s="33"/>
      <c r="O30" s="41"/>
      <c r="P30" s="41"/>
      <c r="Q30" s="41"/>
      <c r="R30" s="41"/>
      <c r="S30" s="41"/>
      <c r="T30" s="33"/>
      <c r="U30" s="33"/>
      <c r="V30" s="33"/>
    </row>
    <row r="31" spans="1:22" s="7" customFormat="1" ht="15.5" x14ac:dyDescent="0.3">
      <c r="A31" s="94" t="s">
        <v>91</v>
      </c>
      <c r="B31" s="94"/>
      <c r="C31" s="94"/>
      <c r="D31" s="94"/>
      <c r="E31" s="94"/>
      <c r="F31" s="94"/>
      <c r="G31" s="94"/>
      <c r="H31" s="94"/>
      <c r="I31" s="94"/>
      <c r="N31" s="33"/>
      <c r="O31" s="34"/>
      <c r="P31" s="34"/>
      <c r="Q31" s="34"/>
      <c r="R31" s="34"/>
      <c r="S31" s="42"/>
      <c r="T31" s="43"/>
      <c r="U31" s="43"/>
      <c r="V31" s="35"/>
    </row>
    <row r="32" spans="1:22" s="7" customFormat="1" ht="15.5" x14ac:dyDescent="0.3">
      <c r="A32" s="94" t="s">
        <v>109</v>
      </c>
      <c r="B32" s="94"/>
      <c r="C32" s="94"/>
      <c r="D32" s="94"/>
      <c r="E32" s="94"/>
      <c r="F32" s="94"/>
      <c r="G32" s="94"/>
      <c r="H32" s="94"/>
      <c r="I32" s="94"/>
      <c r="N32" s="33"/>
      <c r="O32" s="34"/>
      <c r="P32" s="34"/>
      <c r="Q32" s="34"/>
      <c r="R32" s="34"/>
      <c r="S32" s="42"/>
      <c r="T32" s="43"/>
      <c r="U32" s="43"/>
      <c r="V32" s="35"/>
    </row>
    <row r="33" spans="1:19" s="7" customFormat="1" ht="15.5" x14ac:dyDescent="0.3">
      <c r="A33" s="94" t="s">
        <v>92</v>
      </c>
      <c r="B33" s="94"/>
      <c r="C33" s="94"/>
      <c r="D33" s="94"/>
      <c r="E33" s="94"/>
      <c r="F33" s="94"/>
      <c r="G33" s="94"/>
      <c r="H33" s="94"/>
      <c r="I33" s="94"/>
    </row>
    <row r="34" spans="1:19" s="7" customFormat="1" ht="15.5" x14ac:dyDescent="0.3">
      <c r="A34" s="94" t="s">
        <v>168</v>
      </c>
      <c r="B34" s="94"/>
      <c r="C34" s="94"/>
      <c r="D34" s="94"/>
      <c r="E34" s="94"/>
      <c r="F34" s="94"/>
      <c r="G34" s="94"/>
      <c r="H34" s="94"/>
      <c r="I34" s="94"/>
    </row>
    <row r="35" spans="1:19" s="7" customFormat="1" ht="20.25" customHeight="1" x14ac:dyDescent="0.3">
      <c r="A35" s="96" t="s">
        <v>93</v>
      </c>
      <c r="B35" s="96"/>
      <c r="C35" s="96"/>
      <c r="D35" s="96"/>
      <c r="E35" s="96"/>
      <c r="F35" s="96"/>
      <c r="G35" s="96"/>
      <c r="H35" s="96"/>
      <c r="I35" s="96"/>
    </row>
    <row r="36" spans="1:19" s="7" customFormat="1" ht="19.5" customHeight="1" x14ac:dyDescent="0.3">
      <c r="A36" s="96" t="s">
        <v>108</v>
      </c>
      <c r="B36" s="96"/>
      <c r="C36" s="96"/>
      <c r="D36" s="96"/>
      <c r="E36" s="96"/>
      <c r="F36" s="96"/>
      <c r="G36" s="96"/>
      <c r="H36" s="96"/>
      <c r="I36" s="96"/>
    </row>
    <row r="37" spans="1:19" s="7" customFormat="1" ht="18.75" customHeight="1" x14ac:dyDescent="0.3">
      <c r="A37" s="94" t="s">
        <v>110</v>
      </c>
      <c r="B37" s="94"/>
      <c r="C37" s="94"/>
      <c r="D37" s="94"/>
      <c r="E37" s="94"/>
      <c r="F37" s="94"/>
      <c r="G37" s="94"/>
      <c r="H37" s="94"/>
      <c r="I37" s="94"/>
      <c r="J37" s="18"/>
    </row>
    <row r="38" spans="1:19" s="7" customFormat="1" ht="21" customHeight="1" x14ac:dyDescent="0.3">
      <c r="A38" s="94" t="s">
        <v>94</v>
      </c>
      <c r="B38" s="94"/>
      <c r="C38" s="94"/>
      <c r="D38" s="94"/>
      <c r="E38" s="94"/>
      <c r="F38" s="94"/>
      <c r="G38" s="94"/>
      <c r="H38" s="94"/>
      <c r="I38" s="94"/>
      <c r="L38" s="26"/>
    </row>
    <row r="39" spans="1:19" s="7" customFormat="1" ht="21" customHeight="1" x14ac:dyDescent="0.3">
      <c r="A39" s="94" t="s">
        <v>80</v>
      </c>
      <c r="B39" s="94"/>
      <c r="C39" s="94"/>
      <c r="D39" s="94"/>
      <c r="E39" s="94"/>
      <c r="F39" s="94"/>
      <c r="G39" s="94"/>
      <c r="H39" s="94"/>
      <c r="I39" s="94"/>
    </row>
    <row r="40" spans="1:19" s="7" customFormat="1" ht="15.5" x14ac:dyDescent="0.3">
      <c r="A40" s="94"/>
      <c r="B40" s="94"/>
      <c r="C40" s="94"/>
      <c r="D40" s="94"/>
      <c r="E40" s="94"/>
      <c r="F40" s="94"/>
      <c r="G40" s="94"/>
      <c r="H40" s="94"/>
      <c r="I40" s="94"/>
    </row>
    <row r="41" spans="1:19" s="7" customFormat="1" x14ac:dyDescent="0.3">
      <c r="A41" s="15"/>
      <c r="B41" s="15"/>
      <c r="C41" s="15"/>
      <c r="D41" s="15"/>
      <c r="E41" s="15"/>
      <c r="F41" s="15"/>
      <c r="G41" s="15"/>
      <c r="H41" s="15"/>
      <c r="I41" s="15"/>
    </row>
    <row r="42" spans="1:19" s="7" customFormat="1" ht="18.75" customHeight="1" x14ac:dyDescent="0.3">
      <c r="A42" s="15"/>
      <c r="B42" s="15"/>
      <c r="C42" s="15"/>
      <c r="D42" s="15"/>
      <c r="E42" s="15"/>
      <c r="F42" s="15"/>
      <c r="G42" s="15"/>
      <c r="H42" s="15"/>
      <c r="I42" s="15"/>
      <c r="J42" s="44"/>
    </row>
    <row r="43" spans="1:19" s="7" customFormat="1" ht="19.5" customHeight="1" x14ac:dyDescent="0.3">
      <c r="A43" s="63"/>
      <c r="B43" s="63"/>
      <c r="C43" s="15"/>
      <c r="D43" s="15"/>
      <c r="E43" s="15"/>
      <c r="F43" s="15"/>
      <c r="G43" s="15"/>
      <c r="H43" s="15"/>
      <c r="I43" s="15"/>
      <c r="J43" s="45"/>
    </row>
    <row r="44" spans="1:19" s="7" customFormat="1" ht="18" customHeight="1" x14ac:dyDescent="0.35">
      <c r="A44" s="64"/>
      <c r="B44"/>
      <c r="C44" s="15"/>
      <c r="D44" s="15"/>
      <c r="E44" s="15"/>
      <c r="F44" s="15"/>
      <c r="G44" s="15"/>
      <c r="H44" s="15"/>
      <c r="I44" s="15"/>
      <c r="J44" s="45"/>
    </row>
    <row r="45" spans="1:19" s="7" customFormat="1" ht="15.5" x14ac:dyDescent="0.35">
      <c r="A45"/>
      <c r="B45" s="65"/>
      <c r="C45" s="15"/>
      <c r="D45" s="15"/>
      <c r="E45" s="15"/>
      <c r="F45" s="15"/>
      <c r="G45" s="15"/>
      <c r="H45" s="15"/>
      <c r="I45" s="15"/>
      <c r="J45" s="44"/>
    </row>
    <row r="46" spans="1:19" s="7" customFormat="1" ht="15.5" x14ac:dyDescent="0.35">
      <c r="A46" s="65"/>
      <c r="B46"/>
      <c r="C46" s="15"/>
      <c r="D46" s="15"/>
      <c r="E46" s="15"/>
      <c r="F46" s="15"/>
      <c r="G46" s="15"/>
      <c r="H46" s="15"/>
      <c r="I46" s="15"/>
      <c r="J46" s="44"/>
      <c r="N46" s="115"/>
      <c r="O46" s="115"/>
      <c r="P46" s="52"/>
      <c r="Q46" s="52"/>
      <c r="R46" s="52"/>
      <c r="S46" s="52"/>
    </row>
    <row r="47" spans="1:19" s="7" customFormat="1" ht="15.5" x14ac:dyDescent="0.35">
      <c r="A47" s="66"/>
      <c r="B47"/>
      <c r="C47" s="15"/>
      <c r="D47" s="15"/>
      <c r="E47" s="15"/>
      <c r="F47" s="15"/>
      <c r="G47" s="15"/>
      <c r="H47" s="15"/>
      <c r="I47" s="15"/>
      <c r="J47" s="44"/>
    </row>
    <row r="48" spans="1:19" s="7" customFormat="1" ht="15.5" x14ac:dyDescent="0.35">
      <c r="A48" s="66"/>
      <c r="B48"/>
      <c r="C48" s="15"/>
      <c r="D48" s="15"/>
      <c r="E48" s="15"/>
      <c r="F48" s="15"/>
      <c r="G48" s="15"/>
      <c r="H48" s="15"/>
      <c r="I48" s="15"/>
      <c r="J48" s="44"/>
    </row>
    <row r="49" spans="1:10" s="7" customFormat="1" ht="15.5" x14ac:dyDescent="0.35">
      <c r="A49" s="66"/>
      <c r="B49"/>
      <c r="C49" s="15"/>
      <c r="D49" s="15"/>
      <c r="E49" s="15"/>
      <c r="F49" s="15"/>
      <c r="G49" s="15"/>
      <c r="H49" s="15"/>
      <c r="I49" s="15"/>
      <c r="J49" s="44"/>
    </row>
    <row r="50" spans="1:10" s="7" customFormat="1" ht="15.5" x14ac:dyDescent="0.35">
      <c r="A50" s="66"/>
      <c r="B50"/>
      <c r="C50" s="15"/>
      <c r="D50" s="15"/>
      <c r="E50" s="15"/>
      <c r="F50" s="15"/>
      <c r="G50" s="15"/>
      <c r="H50" s="15"/>
      <c r="I50" s="15"/>
      <c r="J50" s="44"/>
    </row>
    <row r="51" spans="1:10" s="7" customFormat="1" ht="15.5" x14ac:dyDescent="0.35">
      <c r="A51" s="67"/>
      <c r="B51"/>
      <c r="C51" s="15"/>
      <c r="D51" s="15"/>
      <c r="E51" s="15"/>
      <c r="F51" s="15"/>
      <c r="G51" s="15"/>
      <c r="H51" s="15"/>
      <c r="I51" s="15"/>
    </row>
    <row r="52" spans="1:10" s="7" customFormat="1" ht="15.5" x14ac:dyDescent="0.35">
      <c r="A52" s="67"/>
      <c r="B52"/>
      <c r="C52" s="15"/>
      <c r="D52" s="15"/>
      <c r="E52" s="15"/>
      <c r="F52" s="15"/>
      <c r="G52" s="15"/>
      <c r="H52" s="15"/>
      <c r="I52" s="15"/>
    </row>
    <row r="53" spans="1:10" ht="15.5" x14ac:dyDescent="0.35">
      <c r="A53" s="68"/>
      <c r="B53"/>
    </row>
    <row r="54" spans="1:10" ht="15.5" x14ac:dyDescent="0.35">
      <c r="A54" s="66"/>
      <c r="B54"/>
    </row>
    <row r="55" spans="1:10" ht="15.5" x14ac:dyDescent="0.35">
      <c r="A55" s="66"/>
      <c r="B55"/>
    </row>
    <row r="56" spans="1:10" ht="15.5" x14ac:dyDescent="0.35">
      <c r="A56" s="66"/>
      <c r="B56"/>
    </row>
  </sheetData>
  <mergeCells count="25">
    <mergeCell ref="A1:I1"/>
    <mergeCell ref="K4:L4"/>
    <mergeCell ref="A16:E16"/>
    <mergeCell ref="F16:H16"/>
    <mergeCell ref="A22:E22"/>
    <mergeCell ref="F22:H22"/>
    <mergeCell ref="A34:I34"/>
    <mergeCell ref="B23:E23"/>
    <mergeCell ref="F23:H23"/>
    <mergeCell ref="B24:H24"/>
    <mergeCell ref="S24:U24"/>
    <mergeCell ref="B25:H25"/>
    <mergeCell ref="A28:I28"/>
    <mergeCell ref="A29:I29"/>
    <mergeCell ref="A30:I30"/>
    <mergeCell ref="A31:I31"/>
    <mergeCell ref="A32:I32"/>
    <mergeCell ref="A33:I33"/>
    <mergeCell ref="N46:O46"/>
    <mergeCell ref="A35:I35"/>
    <mergeCell ref="A36:I36"/>
    <mergeCell ref="A37:I37"/>
    <mergeCell ref="A38:I38"/>
    <mergeCell ref="A39:I39"/>
    <mergeCell ref="A40:I40"/>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2F37-CAC8-45A3-89CA-6AD466577F88}">
  <dimension ref="A1:V66"/>
  <sheetViews>
    <sheetView zoomScale="115" zoomScaleNormal="115" workbookViewId="0">
      <selection activeCell="A28" sqref="A28"/>
    </sheetView>
  </sheetViews>
  <sheetFormatPr defaultColWidth="9.1796875" defaultRowHeight="14" x14ac:dyDescent="0.3"/>
  <cols>
    <col min="1" max="1" width="40.7265625" style="15" customWidth="1"/>
    <col min="2" max="8" width="11.26953125" style="15" customWidth="1"/>
    <col min="9" max="9" width="12.81640625" style="15" customWidth="1"/>
    <col min="10" max="10" width="3.54296875" style="15" customWidth="1"/>
    <col min="11" max="11" width="12.7265625" style="15" customWidth="1"/>
    <col min="12" max="12" width="9.1796875" style="15"/>
    <col min="13" max="13" width="2.81640625" style="15" customWidth="1"/>
    <col min="14" max="14" width="46.1796875" style="15" customWidth="1"/>
    <col min="15" max="16384" width="9.1796875" style="15"/>
  </cols>
  <sheetData>
    <row r="1" spans="1:22" ht="31.5" customHeight="1" x14ac:dyDescent="0.3">
      <c r="A1" s="98" t="s">
        <v>75</v>
      </c>
      <c r="B1" s="98"/>
      <c r="C1" s="98"/>
      <c r="D1" s="98"/>
      <c r="E1" s="98"/>
      <c r="F1" s="98"/>
      <c r="G1" s="98"/>
      <c r="H1" s="98"/>
      <c r="I1" s="98"/>
    </row>
    <row r="3" spans="1:22" s="7" customFormat="1" ht="83.25" customHeight="1" x14ac:dyDescent="0.3">
      <c r="A3" s="29" t="s">
        <v>0</v>
      </c>
      <c r="B3" s="27" t="s">
        <v>25</v>
      </c>
      <c r="C3" s="27" t="s">
        <v>26</v>
      </c>
      <c r="D3" s="27" t="s">
        <v>27</v>
      </c>
      <c r="E3" s="27" t="s">
        <v>60</v>
      </c>
      <c r="F3" s="27" t="s">
        <v>28</v>
      </c>
      <c r="G3" s="27" t="s">
        <v>29</v>
      </c>
      <c r="H3" s="27" t="s">
        <v>30</v>
      </c>
      <c r="I3" s="27" t="s">
        <v>61</v>
      </c>
    </row>
    <row r="4" spans="1:22" s="7" customFormat="1" ht="13" x14ac:dyDescent="0.3">
      <c r="A4" s="31" t="s">
        <v>9</v>
      </c>
      <c r="B4" s="2" t="s">
        <v>10</v>
      </c>
      <c r="C4" s="1"/>
      <c r="D4" s="2"/>
      <c r="E4" s="2"/>
      <c r="F4" s="2"/>
      <c r="G4" s="2"/>
      <c r="H4" s="2"/>
      <c r="I4" s="3"/>
      <c r="K4" s="97" t="s">
        <v>35</v>
      </c>
      <c r="L4" s="97"/>
      <c r="N4" s="33"/>
      <c r="O4" s="34"/>
      <c r="P4" s="33"/>
      <c r="Q4" s="33"/>
      <c r="R4" s="33"/>
      <c r="S4" s="33"/>
      <c r="T4" s="33"/>
      <c r="U4" s="33"/>
      <c r="V4" s="33"/>
    </row>
    <row r="5" spans="1:22" s="7" customFormat="1" ht="13" x14ac:dyDescent="0.3">
      <c r="A5" s="31" t="s">
        <v>11</v>
      </c>
      <c r="B5" s="2" t="s">
        <v>10</v>
      </c>
      <c r="C5" s="1"/>
      <c r="D5" s="2"/>
      <c r="E5" s="2"/>
      <c r="F5" s="2"/>
      <c r="G5" s="2"/>
      <c r="H5" s="2"/>
      <c r="I5" s="3"/>
      <c r="K5" s="16" t="s">
        <v>33</v>
      </c>
      <c r="L5" s="17">
        <f>Wages!$D$9</f>
        <v>126.94500000000001</v>
      </c>
      <c r="N5" s="33"/>
      <c r="O5" s="34"/>
      <c r="P5" s="33"/>
      <c r="Q5" s="33"/>
      <c r="R5" s="33"/>
      <c r="S5" s="33"/>
      <c r="T5" s="33"/>
      <c r="U5" s="33"/>
      <c r="V5" s="33"/>
    </row>
    <row r="6" spans="1:22" s="7" customFormat="1" ht="13" x14ac:dyDescent="0.3">
      <c r="A6" s="31" t="s">
        <v>12</v>
      </c>
      <c r="B6" s="2"/>
      <c r="C6" s="2"/>
      <c r="D6" s="2"/>
      <c r="E6" s="2"/>
      <c r="F6" s="2"/>
      <c r="G6" s="2"/>
      <c r="H6" s="2"/>
      <c r="I6" s="3"/>
      <c r="K6" s="16" t="s">
        <v>32</v>
      </c>
      <c r="L6" s="17">
        <f>Wages!$D$10</f>
        <v>71.379000000000005</v>
      </c>
      <c r="N6" s="33"/>
      <c r="O6" s="33"/>
      <c r="P6" s="33"/>
      <c r="Q6" s="33"/>
      <c r="R6" s="33"/>
      <c r="S6" s="33"/>
      <c r="T6" s="33"/>
      <c r="U6" s="33"/>
      <c r="V6" s="33"/>
    </row>
    <row r="7" spans="1:22" s="7" customFormat="1" ht="13" x14ac:dyDescent="0.3">
      <c r="A7" s="1" t="s">
        <v>62</v>
      </c>
      <c r="B7" s="2"/>
      <c r="C7" s="2"/>
      <c r="D7" s="2"/>
      <c r="E7" s="2"/>
      <c r="F7" s="2"/>
      <c r="G7" s="8"/>
      <c r="H7" s="2"/>
      <c r="I7" s="14"/>
      <c r="K7" s="16" t="s">
        <v>31</v>
      </c>
      <c r="L7" s="17">
        <f>Wages!$D$11</f>
        <v>45.234000000000002</v>
      </c>
      <c r="N7" s="56"/>
      <c r="O7" s="34"/>
      <c r="P7" s="34"/>
      <c r="Q7" s="34"/>
      <c r="R7" s="34"/>
      <c r="S7" s="34"/>
      <c r="T7" s="34"/>
      <c r="U7" s="34"/>
      <c r="V7" s="35"/>
    </row>
    <row r="8" spans="1:22" s="7" customFormat="1" ht="13" x14ac:dyDescent="0.3">
      <c r="A8" s="32" t="s">
        <v>76</v>
      </c>
      <c r="B8" s="2">
        <v>4</v>
      </c>
      <c r="C8" s="2">
        <v>1</v>
      </c>
      <c r="D8" s="2">
        <f>B8*C8</f>
        <v>4</v>
      </c>
      <c r="E8" s="2">
        <v>1</v>
      </c>
      <c r="F8" s="2">
        <f>D8*E8</f>
        <v>4</v>
      </c>
      <c r="G8" s="8">
        <f>F8*0.05</f>
        <v>0.2</v>
      </c>
      <c r="H8" s="2">
        <f t="shared" ref="H8:H9" si="0">F8*0.1</f>
        <v>0.4</v>
      </c>
      <c r="I8" s="14">
        <f>F8*$L$6+G8*$L$5+H8*$L$7</f>
        <v>328.99860000000001</v>
      </c>
      <c r="K8" s="60"/>
      <c r="L8" s="61"/>
      <c r="N8" s="56"/>
      <c r="O8" s="34"/>
      <c r="P8" s="34"/>
      <c r="Q8" s="34"/>
      <c r="R8" s="34"/>
      <c r="S8" s="34"/>
      <c r="T8" s="34"/>
      <c r="U8" s="34"/>
      <c r="V8" s="35"/>
    </row>
    <row r="9" spans="1:22" s="7" customFormat="1" ht="15.5" x14ac:dyDescent="0.3">
      <c r="A9" s="32" t="s">
        <v>77</v>
      </c>
      <c r="B9" s="2">
        <v>1</v>
      </c>
      <c r="C9" s="2">
        <v>1</v>
      </c>
      <c r="D9" s="2">
        <f>B9*C9</f>
        <v>1</v>
      </c>
      <c r="E9" s="2">
        <f>'O&amp;M'!C21</f>
        <v>67</v>
      </c>
      <c r="F9" s="2">
        <f>D9*E9</f>
        <v>67</v>
      </c>
      <c r="G9" s="8">
        <f>F9*0.05</f>
        <v>3.35</v>
      </c>
      <c r="H9" s="2">
        <f t="shared" si="0"/>
        <v>6.7</v>
      </c>
      <c r="I9" s="14">
        <f>F9*$L$6+G9*$L$5+H9*$L$7</f>
        <v>5510.7265500000003</v>
      </c>
      <c r="J9" s="89" t="s">
        <v>176</v>
      </c>
      <c r="K9" s="60"/>
      <c r="L9" s="61"/>
      <c r="N9" s="56"/>
      <c r="O9" s="34"/>
      <c r="P9" s="34"/>
      <c r="Q9" s="34"/>
      <c r="R9" s="34"/>
      <c r="S9" s="34"/>
      <c r="T9" s="34"/>
      <c r="U9" s="34"/>
      <c r="V9" s="35"/>
    </row>
    <row r="10" spans="1:22" s="7" customFormat="1" ht="13" x14ac:dyDescent="0.3">
      <c r="A10" s="1" t="s">
        <v>64</v>
      </c>
      <c r="B10" s="2">
        <v>4</v>
      </c>
      <c r="C10" s="2">
        <v>1</v>
      </c>
      <c r="D10" s="2">
        <f>B10*C10</f>
        <v>4</v>
      </c>
      <c r="E10" s="2">
        <v>1</v>
      </c>
      <c r="F10" s="2">
        <f>D10*E10</f>
        <v>4</v>
      </c>
      <c r="G10" s="8">
        <f>F10*0.05</f>
        <v>0.2</v>
      </c>
      <c r="H10" s="2">
        <f>F10*0.1</f>
        <v>0.4</v>
      </c>
      <c r="I10" s="14">
        <f>F10*$L$6+G10*$L$5+H10*$L$7</f>
        <v>328.99860000000001</v>
      </c>
      <c r="N10" s="56"/>
      <c r="O10" s="33"/>
      <c r="P10" s="33"/>
      <c r="Q10" s="33"/>
      <c r="R10" s="33"/>
      <c r="S10" s="33"/>
      <c r="T10" s="33"/>
      <c r="U10" s="33"/>
      <c r="V10" s="36"/>
    </row>
    <row r="11" spans="1:22" s="7" customFormat="1" ht="13" x14ac:dyDescent="0.3">
      <c r="A11" s="1" t="s">
        <v>65</v>
      </c>
      <c r="B11" s="2"/>
      <c r="C11" s="2"/>
      <c r="D11" s="2"/>
      <c r="E11" s="2"/>
      <c r="F11" s="2"/>
      <c r="G11" s="2"/>
      <c r="H11" s="2"/>
      <c r="I11" s="3"/>
      <c r="N11" s="56"/>
      <c r="O11" s="34"/>
      <c r="P11" s="34"/>
      <c r="Q11" s="34"/>
      <c r="R11" s="34"/>
      <c r="S11" s="34"/>
      <c r="T11" s="34"/>
      <c r="U11" s="34"/>
      <c r="V11" s="37"/>
    </row>
    <row r="12" spans="1:22" s="7" customFormat="1" ht="28.5" x14ac:dyDescent="0.3">
      <c r="A12" s="49" t="s">
        <v>79</v>
      </c>
      <c r="B12" s="8">
        <v>25.25</v>
      </c>
      <c r="C12" s="2">
        <v>1</v>
      </c>
      <c r="D12" s="8">
        <f t="shared" ref="D12:D15" si="1">B12*C12</f>
        <v>25.25</v>
      </c>
      <c r="E12" s="2">
        <v>1</v>
      </c>
      <c r="F12" s="8">
        <f t="shared" ref="F12:F15" si="2">D12*E12</f>
        <v>25.25</v>
      </c>
      <c r="G12" s="53">
        <f t="shared" ref="G12:G15" si="3">F12*0.05</f>
        <v>1.2625000000000002</v>
      </c>
      <c r="H12" s="53">
        <f t="shared" ref="H12:H15" si="4">F12*0.1</f>
        <v>2.5250000000000004</v>
      </c>
      <c r="I12" s="14">
        <f t="shared" ref="I12:I14" si="5">F12*$L$6+G12*$L$5+H12*$L$7</f>
        <v>2076.8036625</v>
      </c>
      <c r="N12" s="56"/>
      <c r="O12" s="34"/>
      <c r="P12" s="34"/>
      <c r="Q12" s="34"/>
      <c r="R12" s="34"/>
      <c r="S12" s="34"/>
      <c r="T12" s="34"/>
      <c r="U12" s="34"/>
      <c r="V12" s="37"/>
    </row>
    <row r="13" spans="1:22" s="7" customFormat="1" ht="15.5" x14ac:dyDescent="0.3">
      <c r="A13" s="49" t="s">
        <v>83</v>
      </c>
      <c r="B13" s="2">
        <v>4</v>
      </c>
      <c r="C13" s="2">
        <v>1</v>
      </c>
      <c r="D13" s="2">
        <f t="shared" si="1"/>
        <v>4</v>
      </c>
      <c r="E13" s="2">
        <f>E9+E8</f>
        <v>68</v>
      </c>
      <c r="F13" s="2">
        <f t="shared" si="2"/>
        <v>272</v>
      </c>
      <c r="G13" s="2">
        <f t="shared" si="3"/>
        <v>13.600000000000001</v>
      </c>
      <c r="H13" s="2">
        <f t="shared" si="4"/>
        <v>27.200000000000003</v>
      </c>
      <c r="I13" s="14">
        <f t="shared" si="5"/>
        <v>22371.9048</v>
      </c>
      <c r="N13" s="56"/>
      <c r="O13" s="34"/>
      <c r="P13" s="33"/>
      <c r="Q13" s="33"/>
      <c r="R13" s="33"/>
      <c r="S13" s="33"/>
      <c r="T13" s="33"/>
      <c r="U13" s="33"/>
      <c r="V13" s="36"/>
    </row>
    <row r="14" spans="1:22" s="7" customFormat="1" ht="15.5" x14ac:dyDescent="0.3">
      <c r="A14" s="49" t="s">
        <v>84</v>
      </c>
      <c r="B14" s="2">
        <v>24</v>
      </c>
      <c r="C14" s="2">
        <v>1</v>
      </c>
      <c r="D14" s="2">
        <f t="shared" si="1"/>
        <v>24</v>
      </c>
      <c r="E14" s="2">
        <v>0.1</v>
      </c>
      <c r="F14" s="2">
        <f t="shared" si="2"/>
        <v>2.4000000000000004</v>
      </c>
      <c r="G14" s="2">
        <f t="shared" si="3"/>
        <v>0.12000000000000002</v>
      </c>
      <c r="H14" s="2">
        <f t="shared" si="4"/>
        <v>0.24000000000000005</v>
      </c>
      <c r="I14" s="14">
        <f t="shared" si="5"/>
        <v>197.39916000000005</v>
      </c>
      <c r="N14" s="56"/>
      <c r="O14" s="33"/>
      <c r="P14" s="33"/>
      <c r="Q14" s="33"/>
      <c r="R14" s="33"/>
      <c r="S14" s="33"/>
      <c r="T14" s="33"/>
      <c r="U14" s="33"/>
      <c r="V14" s="36"/>
    </row>
    <row r="15" spans="1:22" s="7" customFormat="1" ht="15.5" x14ac:dyDescent="0.3">
      <c r="A15" s="49" t="s">
        <v>85</v>
      </c>
      <c r="B15" s="2">
        <v>60</v>
      </c>
      <c r="C15" s="2">
        <v>1</v>
      </c>
      <c r="D15" s="2">
        <f t="shared" si="1"/>
        <v>60</v>
      </c>
      <c r="E15" s="2">
        <f>ROUND(((E8+E9)*0.15),0)</f>
        <v>10</v>
      </c>
      <c r="F15" s="2">
        <f t="shared" si="2"/>
        <v>600</v>
      </c>
      <c r="G15" s="2">
        <f t="shared" si="3"/>
        <v>30</v>
      </c>
      <c r="H15" s="2">
        <f t="shared" si="4"/>
        <v>60</v>
      </c>
      <c r="I15" s="14">
        <f>F15*$L$6+G15*$L$5+H15*$L$7</f>
        <v>49349.79</v>
      </c>
      <c r="N15" s="33"/>
      <c r="O15" s="34"/>
      <c r="P15" s="34"/>
      <c r="Q15" s="34"/>
      <c r="R15" s="34"/>
      <c r="S15" s="34"/>
      <c r="T15" s="34"/>
      <c r="U15" s="34"/>
      <c r="V15" s="37"/>
    </row>
    <row r="16" spans="1:22" s="7" customFormat="1" ht="15.5" x14ac:dyDescent="0.3">
      <c r="A16" s="1" t="s">
        <v>114</v>
      </c>
      <c r="B16" s="2"/>
      <c r="C16" s="2"/>
      <c r="D16" s="2"/>
      <c r="E16" s="2"/>
      <c r="F16" s="2"/>
      <c r="G16" s="2"/>
      <c r="H16" s="2"/>
      <c r="I16" s="4"/>
      <c r="N16" s="33"/>
      <c r="O16" s="34"/>
      <c r="P16" s="34"/>
      <c r="Q16" s="34"/>
      <c r="R16" s="34"/>
      <c r="S16" s="34"/>
      <c r="T16" s="34"/>
      <c r="U16" s="34"/>
      <c r="V16" s="37"/>
    </row>
    <row r="17" spans="1:22" s="7" customFormat="1" ht="13" x14ac:dyDescent="0.3">
      <c r="A17" s="49" t="s">
        <v>67</v>
      </c>
      <c r="B17" s="2">
        <v>2</v>
      </c>
      <c r="C17" s="2">
        <v>1</v>
      </c>
      <c r="D17" s="2">
        <f t="shared" ref="D17:D20" si="6">B17*C17</f>
        <v>2</v>
      </c>
      <c r="E17" s="2">
        <f>E$13</f>
        <v>68</v>
      </c>
      <c r="F17" s="2">
        <f t="shared" ref="F17:F20" si="7">D17*E17</f>
        <v>136</v>
      </c>
      <c r="G17" s="2">
        <f t="shared" ref="G17:G20" si="8">F17*0.05</f>
        <v>6.8000000000000007</v>
      </c>
      <c r="H17" s="2">
        <f t="shared" ref="H17:H20" si="9">F17*0.1</f>
        <v>13.600000000000001</v>
      </c>
      <c r="I17" s="14">
        <f t="shared" ref="I17:I20" si="10">F17*$L$6+G17*$L$5+H17*$L$7</f>
        <v>11185.9524</v>
      </c>
      <c r="N17" s="33"/>
      <c r="O17" s="34"/>
      <c r="P17" s="34"/>
      <c r="Q17" s="34"/>
      <c r="R17" s="34"/>
      <c r="S17" s="34"/>
      <c r="T17" s="34"/>
      <c r="U17" s="34"/>
      <c r="V17" s="37"/>
    </row>
    <row r="18" spans="1:22" s="7" customFormat="1" ht="13" x14ac:dyDescent="0.3">
      <c r="A18" s="49" t="s">
        <v>68</v>
      </c>
      <c r="B18" s="2">
        <v>0.5</v>
      </c>
      <c r="C18" s="2">
        <v>1</v>
      </c>
      <c r="D18" s="2">
        <f t="shared" si="6"/>
        <v>0.5</v>
      </c>
      <c r="E18" s="2">
        <f t="shared" ref="E18:E20" si="11">E$13</f>
        <v>68</v>
      </c>
      <c r="F18" s="2">
        <f t="shared" si="7"/>
        <v>34</v>
      </c>
      <c r="G18" s="2">
        <f t="shared" si="8"/>
        <v>1.7000000000000002</v>
      </c>
      <c r="H18" s="2">
        <f t="shared" si="9"/>
        <v>3.4000000000000004</v>
      </c>
      <c r="I18" s="14">
        <f t="shared" si="10"/>
        <v>2796.4881</v>
      </c>
      <c r="N18" s="33"/>
      <c r="O18" s="34"/>
      <c r="P18" s="34"/>
      <c r="Q18" s="34"/>
      <c r="R18" s="34"/>
      <c r="S18" s="34"/>
      <c r="T18" s="34"/>
      <c r="U18" s="34"/>
      <c r="V18" s="37"/>
    </row>
    <row r="19" spans="1:22" s="7" customFormat="1" ht="13" x14ac:dyDescent="0.3">
      <c r="A19" s="49" t="s">
        <v>69</v>
      </c>
      <c r="B19" s="2">
        <v>0.25</v>
      </c>
      <c r="C19" s="2">
        <v>37</v>
      </c>
      <c r="D19" s="2">
        <f t="shared" si="6"/>
        <v>9.25</v>
      </c>
      <c r="E19" s="2">
        <f t="shared" si="11"/>
        <v>68</v>
      </c>
      <c r="F19" s="2">
        <f t="shared" si="7"/>
        <v>629</v>
      </c>
      <c r="G19" s="2">
        <f t="shared" si="8"/>
        <v>31.450000000000003</v>
      </c>
      <c r="H19" s="2">
        <f t="shared" si="9"/>
        <v>62.900000000000006</v>
      </c>
      <c r="I19" s="14">
        <f t="shared" si="10"/>
        <v>51735.029850000006</v>
      </c>
      <c r="N19" s="33"/>
      <c r="O19" s="34"/>
      <c r="P19" s="34"/>
      <c r="Q19" s="34"/>
      <c r="R19" s="34"/>
      <c r="S19" s="34"/>
      <c r="T19" s="34"/>
      <c r="U19" s="34"/>
      <c r="V19" s="37"/>
    </row>
    <row r="20" spans="1:22" s="7" customFormat="1" ht="26" x14ac:dyDescent="0.3">
      <c r="A20" s="49" t="s">
        <v>172</v>
      </c>
      <c r="B20" s="2">
        <v>2</v>
      </c>
      <c r="C20" s="2">
        <v>1</v>
      </c>
      <c r="D20" s="2">
        <f t="shared" si="6"/>
        <v>2</v>
      </c>
      <c r="E20" s="2">
        <f t="shared" si="11"/>
        <v>68</v>
      </c>
      <c r="F20" s="2">
        <f t="shared" si="7"/>
        <v>136</v>
      </c>
      <c r="G20" s="2">
        <f t="shared" si="8"/>
        <v>6.8000000000000007</v>
      </c>
      <c r="H20" s="2">
        <f t="shared" si="9"/>
        <v>13.600000000000001</v>
      </c>
      <c r="I20" s="14">
        <f t="shared" si="10"/>
        <v>11185.9524</v>
      </c>
      <c r="N20" s="33"/>
      <c r="O20" s="34"/>
      <c r="P20" s="34"/>
      <c r="Q20" s="34"/>
      <c r="R20" s="34"/>
      <c r="S20" s="34"/>
      <c r="T20" s="34"/>
      <c r="U20" s="34"/>
      <c r="V20" s="37"/>
    </row>
    <row r="21" spans="1:22" s="7" customFormat="1" ht="13.5" x14ac:dyDescent="0.3">
      <c r="A21" s="102" t="s">
        <v>13</v>
      </c>
      <c r="B21" s="103"/>
      <c r="C21" s="103"/>
      <c r="D21" s="103"/>
      <c r="E21" s="104"/>
      <c r="F21" s="99">
        <f>SUM(F7:H20)</f>
        <v>2196.0975000000003</v>
      </c>
      <c r="G21" s="100"/>
      <c r="H21" s="101"/>
      <c r="I21" s="10">
        <f>SUM(I7:I20)</f>
        <v>157068.0441225</v>
      </c>
      <c r="N21" s="33"/>
      <c r="O21" s="34"/>
      <c r="P21" s="34"/>
      <c r="Q21" s="34"/>
      <c r="R21" s="34"/>
      <c r="S21" s="34"/>
      <c r="T21" s="34"/>
      <c r="U21" s="34"/>
      <c r="V21" s="37"/>
    </row>
    <row r="22" spans="1:22" s="7" customFormat="1" ht="13" x14ac:dyDescent="0.3">
      <c r="A22" s="31" t="s">
        <v>14</v>
      </c>
      <c r="B22" s="2"/>
      <c r="C22" s="2"/>
      <c r="D22" s="2"/>
      <c r="E22" s="2"/>
      <c r="F22" s="2"/>
      <c r="G22" s="2"/>
      <c r="H22" s="2"/>
      <c r="I22" s="3"/>
      <c r="N22" s="62"/>
      <c r="O22" s="34"/>
      <c r="P22" s="34"/>
      <c r="Q22" s="34"/>
      <c r="R22" s="34"/>
      <c r="S22" s="34"/>
      <c r="T22" s="34"/>
      <c r="U22" s="34"/>
      <c r="V22" s="37"/>
    </row>
    <row r="23" spans="1:22" s="7" customFormat="1" ht="13" x14ac:dyDescent="0.3">
      <c r="A23" s="1" t="s">
        <v>62</v>
      </c>
      <c r="B23" s="2" t="s">
        <v>15</v>
      </c>
      <c r="C23" s="2"/>
      <c r="D23" s="2"/>
      <c r="E23" s="2"/>
      <c r="F23" s="2"/>
      <c r="G23" s="2"/>
      <c r="H23" s="2"/>
      <c r="I23" s="3"/>
      <c r="N23" s="33"/>
      <c r="O23" s="34"/>
      <c r="P23" s="34"/>
      <c r="Q23" s="34"/>
      <c r="R23" s="34"/>
      <c r="S23" s="34"/>
      <c r="T23" s="34"/>
      <c r="U23" s="34"/>
      <c r="V23" s="37"/>
    </row>
    <row r="24" spans="1:22" s="7" customFormat="1" ht="13" x14ac:dyDescent="0.3">
      <c r="A24" s="1" t="s">
        <v>63</v>
      </c>
      <c r="B24" s="2">
        <v>16</v>
      </c>
      <c r="C24" s="2">
        <v>1</v>
      </c>
      <c r="D24" s="13">
        <f t="shared" ref="D24:D25" si="12">B24*C24</f>
        <v>16</v>
      </c>
      <c r="E24" s="2">
        <v>1</v>
      </c>
      <c r="F24" s="5">
        <f t="shared" ref="F24:F29" si="13">D24*E24</f>
        <v>16</v>
      </c>
      <c r="G24" s="5">
        <f t="shared" ref="G24:G30" si="14">F24*0.05</f>
        <v>0.8</v>
      </c>
      <c r="H24" s="5">
        <f t="shared" ref="H24:H30" si="15">F24*0.1</f>
        <v>1.6</v>
      </c>
      <c r="I24" s="14">
        <f t="shared" ref="I24:I30" si="16">F24*$L$6+G24*$L$5+H24*$L$7</f>
        <v>1315.9944</v>
      </c>
      <c r="N24" s="33"/>
      <c r="O24" s="34"/>
      <c r="P24" s="34"/>
      <c r="Q24" s="34"/>
      <c r="R24" s="34"/>
      <c r="S24" s="34"/>
      <c r="T24" s="34"/>
      <c r="U24" s="34"/>
      <c r="V24" s="37"/>
    </row>
    <row r="25" spans="1:22" s="7" customFormat="1" ht="15.5" x14ac:dyDescent="0.3">
      <c r="A25" s="1" t="s">
        <v>120</v>
      </c>
      <c r="B25" s="2">
        <v>0.5</v>
      </c>
      <c r="C25" s="2">
        <v>37</v>
      </c>
      <c r="D25" s="13">
        <f t="shared" si="12"/>
        <v>18.5</v>
      </c>
      <c r="E25" s="2">
        <v>11</v>
      </c>
      <c r="F25" s="5">
        <f t="shared" si="13"/>
        <v>203.5</v>
      </c>
      <c r="G25" s="5">
        <f t="shared" si="14"/>
        <v>10.175000000000001</v>
      </c>
      <c r="H25" s="5">
        <f t="shared" si="15"/>
        <v>20.350000000000001</v>
      </c>
      <c r="I25" s="14">
        <f t="shared" si="16"/>
        <v>16737.803775</v>
      </c>
      <c r="N25" s="33"/>
      <c r="O25" s="34"/>
      <c r="P25" s="34"/>
      <c r="Q25" s="34"/>
      <c r="R25" s="34"/>
      <c r="S25" s="34"/>
      <c r="T25" s="34"/>
      <c r="U25" s="34"/>
      <c r="V25" s="37"/>
    </row>
    <row r="26" spans="1:22" s="7" customFormat="1" ht="15.5" x14ac:dyDescent="0.3">
      <c r="A26" s="1" t="s">
        <v>121</v>
      </c>
      <c r="B26" s="2">
        <v>0.25</v>
      </c>
      <c r="C26" s="2">
        <v>481</v>
      </c>
      <c r="D26" s="54">
        <f t="shared" ref="D26" si="17">B26*C26</f>
        <v>120.25</v>
      </c>
      <c r="E26" s="2">
        <f>E13</f>
        <v>68</v>
      </c>
      <c r="F26" s="5">
        <f t="shared" si="13"/>
        <v>8177</v>
      </c>
      <c r="G26" s="5">
        <f t="shared" ref="G26:G29" si="18">F26*0.05</f>
        <v>408.85</v>
      </c>
      <c r="H26" s="5">
        <f t="shared" ref="H26:H29" si="19">F26*0.1</f>
        <v>817.7</v>
      </c>
      <c r="I26" s="14">
        <f t="shared" ref="I26:I29" si="20">F26*$L$6+G26*$L$5+H26*$L$7</f>
        <v>672555.38805000007</v>
      </c>
      <c r="N26" s="33"/>
      <c r="O26" s="34"/>
      <c r="P26" s="34"/>
      <c r="Q26" s="34"/>
      <c r="R26" s="34"/>
      <c r="S26" s="34"/>
      <c r="T26" s="34"/>
      <c r="U26" s="34"/>
      <c r="V26" s="37"/>
    </row>
    <row r="27" spans="1:22" s="7" customFormat="1" ht="13" x14ac:dyDescent="0.3">
      <c r="A27" s="1" t="s">
        <v>71</v>
      </c>
      <c r="B27" s="2"/>
      <c r="C27" s="2"/>
      <c r="D27" s="2"/>
      <c r="E27" s="2"/>
      <c r="F27" s="5"/>
      <c r="G27" s="5"/>
      <c r="H27" s="5"/>
      <c r="I27" s="14"/>
      <c r="N27" s="33"/>
      <c r="O27" s="34"/>
      <c r="P27" s="34"/>
      <c r="Q27" s="34"/>
      <c r="R27" s="34"/>
      <c r="S27" s="34"/>
      <c r="T27" s="34"/>
      <c r="U27" s="34"/>
      <c r="V27" s="37"/>
    </row>
    <row r="28" spans="1:22" s="7" customFormat="1" ht="28.5" x14ac:dyDescent="0.3">
      <c r="A28" s="49" t="s">
        <v>181</v>
      </c>
      <c r="B28" s="2">
        <v>56</v>
      </c>
      <c r="C28" s="2">
        <v>1</v>
      </c>
      <c r="D28" s="2">
        <f t="shared" ref="D28:D30" si="21">B28*C28</f>
        <v>56</v>
      </c>
      <c r="E28" s="2">
        <f>E$13</f>
        <v>68</v>
      </c>
      <c r="F28" s="5">
        <f t="shared" si="13"/>
        <v>3808</v>
      </c>
      <c r="G28" s="5">
        <f t="shared" si="18"/>
        <v>190.4</v>
      </c>
      <c r="H28" s="5">
        <f t="shared" si="19"/>
        <v>380.8</v>
      </c>
      <c r="I28" s="14">
        <f t="shared" si="20"/>
        <v>313206.66720000003</v>
      </c>
      <c r="N28" s="33"/>
      <c r="O28" s="34"/>
      <c r="P28" s="34"/>
      <c r="Q28" s="34"/>
      <c r="R28" s="34"/>
      <c r="S28" s="34"/>
      <c r="T28" s="34"/>
      <c r="U28" s="34"/>
      <c r="V28" s="37"/>
    </row>
    <row r="29" spans="1:22" s="7" customFormat="1" ht="15.5" x14ac:dyDescent="0.3">
      <c r="A29" s="57" t="s">
        <v>124</v>
      </c>
      <c r="B29" s="2">
        <v>40</v>
      </c>
      <c r="C29" s="2">
        <v>1</v>
      </c>
      <c r="D29" s="2">
        <f t="shared" si="21"/>
        <v>40</v>
      </c>
      <c r="E29" s="2">
        <f t="shared" ref="E29:E30" si="22">E$13</f>
        <v>68</v>
      </c>
      <c r="F29" s="5">
        <f t="shared" si="13"/>
        <v>2720</v>
      </c>
      <c r="G29" s="5">
        <f t="shared" si="18"/>
        <v>136</v>
      </c>
      <c r="H29" s="5">
        <f t="shared" si="19"/>
        <v>272</v>
      </c>
      <c r="I29" s="14">
        <f t="shared" si="20"/>
        <v>223719.04800000001</v>
      </c>
      <c r="J29" s="90"/>
      <c r="N29" s="33"/>
      <c r="O29" s="34"/>
      <c r="P29" s="34"/>
      <c r="Q29" s="34"/>
      <c r="R29" s="34"/>
      <c r="S29" s="34"/>
      <c r="T29" s="34"/>
      <c r="U29" s="34"/>
      <c r="V29" s="37"/>
    </row>
    <row r="30" spans="1:22" s="7" customFormat="1" ht="13" x14ac:dyDescent="0.3">
      <c r="A30" s="57" t="s">
        <v>72</v>
      </c>
      <c r="B30" s="2">
        <v>4</v>
      </c>
      <c r="C30" s="2">
        <v>1</v>
      </c>
      <c r="D30" s="2">
        <f t="shared" si="21"/>
        <v>4</v>
      </c>
      <c r="E30" s="2">
        <f t="shared" si="22"/>
        <v>68</v>
      </c>
      <c r="F30" s="5">
        <f>D30*E30</f>
        <v>272</v>
      </c>
      <c r="G30" s="5">
        <f t="shared" si="14"/>
        <v>13.600000000000001</v>
      </c>
      <c r="H30" s="5">
        <f t="shared" si="15"/>
        <v>27.200000000000003</v>
      </c>
      <c r="I30" s="14">
        <f t="shared" si="16"/>
        <v>22371.9048</v>
      </c>
      <c r="J30" s="90"/>
      <c r="N30" s="33"/>
      <c r="O30" s="34"/>
      <c r="P30" s="33"/>
      <c r="Q30" s="33"/>
      <c r="R30" s="33"/>
      <c r="S30" s="33"/>
      <c r="T30" s="33"/>
      <c r="U30" s="33"/>
      <c r="V30" s="36"/>
    </row>
    <row r="31" spans="1:22" s="7" customFormat="1" ht="13.5" x14ac:dyDescent="0.3">
      <c r="A31" s="102" t="s">
        <v>16</v>
      </c>
      <c r="B31" s="105"/>
      <c r="C31" s="105"/>
      <c r="D31" s="105"/>
      <c r="E31" s="106"/>
      <c r="F31" s="99">
        <f>SUM(F22:H30)</f>
        <v>17475.974999999999</v>
      </c>
      <c r="G31" s="100"/>
      <c r="H31" s="101"/>
      <c r="I31" s="10">
        <f>SUM(I22:I30)</f>
        <v>1249906.8062249999</v>
      </c>
      <c r="N31" s="33"/>
      <c r="O31" s="34"/>
      <c r="P31" s="34"/>
      <c r="Q31" s="34"/>
      <c r="R31" s="34"/>
      <c r="S31" s="38"/>
      <c r="T31" s="34"/>
      <c r="U31" s="34"/>
      <c r="V31" s="35"/>
    </row>
    <row r="32" spans="1:22" s="7" customFormat="1" ht="15" x14ac:dyDescent="0.3">
      <c r="A32" s="11" t="s">
        <v>125</v>
      </c>
      <c r="B32" s="110"/>
      <c r="C32" s="111"/>
      <c r="D32" s="111"/>
      <c r="E32" s="112"/>
      <c r="F32" s="107">
        <f>ROUND(SUM(F21,F31),-2)</f>
        <v>19700</v>
      </c>
      <c r="G32" s="108"/>
      <c r="H32" s="109"/>
      <c r="I32" s="28">
        <f>ROUND(I31+I21,-4)</f>
        <v>1410000</v>
      </c>
      <c r="N32" s="33"/>
      <c r="O32" s="34"/>
      <c r="P32" s="34"/>
      <c r="Q32" s="34"/>
      <c r="R32" s="34"/>
      <c r="S32" s="38"/>
      <c r="T32" s="34"/>
      <c r="U32" s="34"/>
      <c r="V32" s="35"/>
    </row>
    <row r="33" spans="1:22" s="7" customFormat="1" ht="15" x14ac:dyDescent="0.3">
      <c r="A33" s="12" t="s">
        <v>126</v>
      </c>
      <c r="B33" s="110"/>
      <c r="C33" s="111"/>
      <c r="D33" s="111"/>
      <c r="E33" s="111"/>
      <c r="F33" s="111"/>
      <c r="G33" s="111"/>
      <c r="H33" s="112"/>
      <c r="I33" s="9">
        <f>'O&amp;M'!G11</f>
        <v>0</v>
      </c>
      <c r="N33" s="39"/>
      <c r="O33" s="33"/>
      <c r="P33" s="33"/>
      <c r="Q33" s="33"/>
      <c r="R33" s="33"/>
      <c r="S33" s="95"/>
      <c r="T33" s="95"/>
      <c r="U33" s="95"/>
      <c r="V33" s="40"/>
    </row>
    <row r="34" spans="1:22" s="7" customFormat="1" ht="17.25" customHeight="1" x14ac:dyDescent="0.3">
      <c r="A34" s="55" t="s">
        <v>127</v>
      </c>
      <c r="B34" s="113"/>
      <c r="C34" s="113"/>
      <c r="D34" s="113"/>
      <c r="E34" s="113"/>
      <c r="F34" s="113"/>
      <c r="G34" s="113"/>
      <c r="H34" s="114"/>
      <c r="I34" s="9">
        <f>ROUND(SUM(I31,I21,I33),-4)</f>
        <v>1410000</v>
      </c>
      <c r="N34" s="56"/>
      <c r="O34" s="33"/>
      <c r="P34" s="33"/>
      <c r="Q34" s="33"/>
      <c r="R34" s="33"/>
      <c r="S34" s="33"/>
      <c r="T34" s="33"/>
      <c r="U34" s="33"/>
      <c r="V34" s="33"/>
    </row>
    <row r="35" spans="1:22" s="7" customFormat="1" ht="13" x14ac:dyDescent="0.3">
      <c r="N35" s="56"/>
      <c r="O35" s="34"/>
      <c r="P35" s="33"/>
      <c r="Q35" s="33"/>
      <c r="R35" s="33"/>
      <c r="S35" s="33"/>
      <c r="T35" s="33"/>
      <c r="U35" s="33"/>
      <c r="V35" s="33"/>
    </row>
    <row r="36" spans="1:22" s="7" customFormat="1" ht="13" x14ac:dyDescent="0.3">
      <c r="A36" s="6" t="s">
        <v>18</v>
      </c>
      <c r="N36" s="56"/>
      <c r="O36" s="34"/>
      <c r="P36" s="33"/>
      <c r="Q36" s="33"/>
      <c r="R36" s="33"/>
      <c r="S36" s="33"/>
      <c r="T36" s="33"/>
      <c r="U36" s="33"/>
      <c r="V36" s="33"/>
    </row>
    <row r="37" spans="1:22" s="7" customFormat="1" ht="15.5" x14ac:dyDescent="0.3">
      <c r="A37" s="94" t="s">
        <v>171</v>
      </c>
      <c r="B37" s="94"/>
      <c r="C37" s="94"/>
      <c r="D37" s="94"/>
      <c r="E37" s="94"/>
      <c r="F37" s="94"/>
      <c r="G37" s="94"/>
      <c r="H37" s="94"/>
      <c r="I37" s="94"/>
      <c r="N37" s="56"/>
      <c r="O37" s="34"/>
      <c r="P37" s="33"/>
      <c r="Q37" s="33"/>
      <c r="R37" s="33"/>
      <c r="S37" s="33"/>
      <c r="T37" s="33"/>
      <c r="U37" s="33"/>
      <c r="V37" s="33"/>
    </row>
    <row r="38" spans="1:22" s="7" customFormat="1" ht="45" customHeight="1" x14ac:dyDescent="0.3">
      <c r="A38" s="96" t="s">
        <v>153</v>
      </c>
      <c r="B38" s="96"/>
      <c r="C38" s="96"/>
      <c r="D38" s="96"/>
      <c r="E38" s="96"/>
      <c r="F38" s="96"/>
      <c r="G38" s="96"/>
      <c r="H38" s="96"/>
      <c r="I38" s="96"/>
      <c r="N38" s="33"/>
      <c r="O38" s="34"/>
      <c r="P38" s="33"/>
      <c r="Q38" s="33"/>
      <c r="R38" s="33"/>
      <c r="S38" s="33"/>
      <c r="T38" s="33"/>
      <c r="U38" s="33"/>
      <c r="V38" s="33"/>
    </row>
    <row r="39" spans="1:22" s="7" customFormat="1" ht="15.5" x14ac:dyDescent="0.3">
      <c r="A39" s="94" t="s">
        <v>78</v>
      </c>
      <c r="B39" s="94"/>
      <c r="C39" s="94"/>
      <c r="D39" s="94"/>
      <c r="E39" s="94"/>
      <c r="F39" s="94"/>
      <c r="G39" s="94"/>
      <c r="H39" s="94"/>
      <c r="I39" s="94"/>
      <c r="N39" s="33"/>
      <c r="O39" s="41"/>
      <c r="P39" s="41"/>
      <c r="Q39" s="41"/>
      <c r="R39" s="41"/>
      <c r="S39" s="41"/>
      <c r="T39" s="33"/>
      <c r="U39" s="33"/>
      <c r="V39" s="33"/>
    </row>
    <row r="40" spans="1:22" s="7" customFormat="1" ht="15.5" x14ac:dyDescent="0.3">
      <c r="A40" s="94" t="s">
        <v>91</v>
      </c>
      <c r="B40" s="94"/>
      <c r="C40" s="94"/>
      <c r="D40" s="94"/>
      <c r="E40" s="94"/>
      <c r="F40" s="94"/>
      <c r="G40" s="94"/>
      <c r="H40" s="94"/>
      <c r="I40" s="94"/>
      <c r="N40" s="33"/>
      <c r="O40" s="34"/>
      <c r="P40" s="34"/>
      <c r="Q40" s="34"/>
      <c r="R40" s="34"/>
      <c r="S40" s="42"/>
      <c r="T40" s="43"/>
      <c r="U40" s="43"/>
      <c r="V40" s="35"/>
    </row>
    <row r="41" spans="1:22" s="7" customFormat="1" ht="15.5" x14ac:dyDescent="0.3">
      <c r="A41" s="94" t="s">
        <v>109</v>
      </c>
      <c r="B41" s="94"/>
      <c r="C41" s="94"/>
      <c r="D41" s="94"/>
      <c r="E41" s="94"/>
      <c r="F41" s="94"/>
      <c r="G41" s="94"/>
      <c r="H41" s="94"/>
      <c r="I41" s="94"/>
      <c r="N41" s="33"/>
      <c r="O41" s="34"/>
      <c r="P41" s="34"/>
      <c r="Q41" s="34"/>
      <c r="R41" s="34"/>
      <c r="S41" s="42"/>
      <c r="T41" s="43"/>
      <c r="U41" s="43"/>
      <c r="V41" s="35"/>
    </row>
    <row r="42" spans="1:22" s="7" customFormat="1" ht="15.5" x14ac:dyDescent="0.3">
      <c r="A42" s="94" t="s">
        <v>92</v>
      </c>
      <c r="B42" s="94"/>
      <c r="C42" s="94"/>
      <c r="D42" s="94"/>
      <c r="E42" s="94"/>
      <c r="F42" s="94"/>
      <c r="G42" s="94"/>
      <c r="H42" s="94"/>
      <c r="I42" s="94"/>
    </row>
    <row r="43" spans="1:22" s="7" customFormat="1" ht="15.5" x14ac:dyDescent="0.3">
      <c r="A43" s="94" t="s">
        <v>168</v>
      </c>
      <c r="B43" s="94"/>
      <c r="C43" s="94"/>
      <c r="D43" s="94"/>
      <c r="E43" s="94"/>
      <c r="F43" s="94"/>
      <c r="G43" s="94"/>
      <c r="H43" s="94"/>
      <c r="I43" s="94"/>
    </row>
    <row r="44" spans="1:22" s="7" customFormat="1" ht="15.5" x14ac:dyDescent="0.3">
      <c r="A44" s="96" t="s">
        <v>115</v>
      </c>
      <c r="B44" s="96"/>
      <c r="C44" s="96"/>
      <c r="D44" s="96"/>
      <c r="E44" s="96"/>
      <c r="F44" s="96"/>
      <c r="G44" s="96"/>
      <c r="H44" s="96"/>
      <c r="I44" s="96"/>
    </row>
    <row r="45" spans="1:22" s="7" customFormat="1" ht="17.25" customHeight="1" x14ac:dyDescent="0.3">
      <c r="A45" s="96" t="s">
        <v>116</v>
      </c>
      <c r="B45" s="96"/>
      <c r="C45" s="96"/>
      <c r="D45" s="96"/>
      <c r="E45" s="96"/>
      <c r="F45" s="96"/>
      <c r="G45" s="96"/>
      <c r="H45" s="96"/>
      <c r="I45" s="96"/>
    </row>
    <row r="46" spans="1:22" s="7" customFormat="1" ht="17.25" customHeight="1" x14ac:dyDescent="0.3">
      <c r="A46" s="96" t="s">
        <v>117</v>
      </c>
      <c r="B46" s="96"/>
      <c r="C46" s="96"/>
      <c r="D46" s="96"/>
      <c r="E46" s="96"/>
      <c r="F46" s="96"/>
      <c r="G46" s="96"/>
      <c r="H46" s="96"/>
      <c r="I46" s="96"/>
    </row>
    <row r="47" spans="1:22" s="7" customFormat="1" ht="17.25" customHeight="1" x14ac:dyDescent="0.3">
      <c r="A47" s="94" t="s">
        <v>118</v>
      </c>
      <c r="B47" s="94"/>
      <c r="C47" s="94"/>
      <c r="D47" s="94"/>
      <c r="E47" s="94"/>
      <c r="F47" s="94"/>
      <c r="G47" s="94"/>
      <c r="H47" s="94"/>
      <c r="I47" s="94"/>
      <c r="J47" s="18"/>
    </row>
    <row r="48" spans="1:22" s="7" customFormat="1" ht="17.25" customHeight="1" x14ac:dyDescent="0.3">
      <c r="A48" s="94" t="s">
        <v>119</v>
      </c>
      <c r="B48" s="94"/>
      <c r="C48" s="94"/>
      <c r="D48" s="94"/>
      <c r="E48" s="94"/>
      <c r="F48" s="94"/>
      <c r="G48" s="94"/>
      <c r="H48" s="94"/>
      <c r="I48" s="94"/>
      <c r="L48" s="26"/>
    </row>
    <row r="49" spans="1:10" s="7" customFormat="1" ht="32.25" customHeight="1" x14ac:dyDescent="0.3">
      <c r="A49" s="96" t="s">
        <v>122</v>
      </c>
      <c r="B49" s="96"/>
      <c r="C49" s="96"/>
      <c r="D49" s="96"/>
      <c r="E49" s="96"/>
      <c r="F49" s="96"/>
      <c r="G49" s="96"/>
      <c r="H49" s="96"/>
      <c r="I49" s="96"/>
    </row>
    <row r="50" spans="1:10" s="7" customFormat="1" ht="15.5" x14ac:dyDescent="0.3">
      <c r="A50" s="94" t="s">
        <v>180</v>
      </c>
      <c r="B50" s="94"/>
      <c r="C50" s="94"/>
      <c r="D50" s="94"/>
      <c r="E50" s="94"/>
      <c r="F50" s="94"/>
      <c r="G50" s="94"/>
      <c r="H50" s="94"/>
      <c r="I50" s="94"/>
    </row>
    <row r="51" spans="1:10" s="7" customFormat="1" ht="15.5" x14ac:dyDescent="0.3">
      <c r="A51" s="94" t="s">
        <v>123</v>
      </c>
      <c r="B51" s="94"/>
      <c r="C51" s="94"/>
      <c r="D51" s="94"/>
      <c r="E51" s="94"/>
      <c r="F51" s="94"/>
      <c r="G51" s="94"/>
      <c r="H51" s="94"/>
      <c r="I51" s="94"/>
    </row>
    <row r="52" spans="1:10" s="7" customFormat="1" ht="18.75" customHeight="1" x14ac:dyDescent="0.3">
      <c r="A52" s="15"/>
      <c r="B52" s="15"/>
      <c r="C52" s="15"/>
      <c r="D52" s="15"/>
      <c r="E52" s="15"/>
      <c r="F52" s="15"/>
      <c r="G52" s="15"/>
      <c r="H52" s="15"/>
      <c r="I52" s="15"/>
      <c r="J52" s="44"/>
    </row>
    <row r="53" spans="1:10" s="7" customFormat="1" ht="19.5" customHeight="1" x14ac:dyDescent="0.3">
      <c r="A53" s="63"/>
      <c r="B53" s="63"/>
      <c r="C53" s="15"/>
      <c r="D53" s="15"/>
      <c r="E53" s="15"/>
      <c r="F53" s="15"/>
      <c r="G53" s="15"/>
      <c r="H53" s="15"/>
      <c r="I53" s="15"/>
      <c r="J53" s="45"/>
    </row>
    <row r="54" spans="1:10" s="7" customFormat="1" ht="18" customHeight="1" x14ac:dyDescent="0.35">
      <c r="A54" s="64"/>
      <c r="B54"/>
      <c r="C54" s="15"/>
      <c r="D54" s="15"/>
      <c r="E54" s="15"/>
      <c r="F54" s="15"/>
      <c r="G54" s="15"/>
      <c r="H54" s="15"/>
      <c r="I54" s="15"/>
      <c r="J54" s="45"/>
    </row>
    <row r="55" spans="1:10" s="7" customFormat="1" ht="15.5" x14ac:dyDescent="0.35">
      <c r="A55"/>
      <c r="B55" s="65"/>
      <c r="C55" s="15"/>
      <c r="D55" s="15"/>
      <c r="E55" s="15"/>
      <c r="F55" s="15"/>
      <c r="G55" s="15"/>
      <c r="H55" s="15"/>
      <c r="I55" s="15"/>
      <c r="J55" s="44"/>
    </row>
    <row r="56" spans="1:10" s="7" customFormat="1" ht="15.5" x14ac:dyDescent="0.35">
      <c r="A56" s="65"/>
      <c r="B56"/>
      <c r="C56" s="15"/>
      <c r="D56" s="15"/>
      <c r="E56" s="15"/>
      <c r="F56" s="15"/>
      <c r="G56" s="15"/>
      <c r="H56" s="15"/>
      <c r="I56" s="15"/>
      <c r="J56" s="44"/>
    </row>
    <row r="57" spans="1:10" s="7" customFormat="1" ht="15.5" x14ac:dyDescent="0.35">
      <c r="A57" s="66"/>
      <c r="B57"/>
      <c r="C57" s="15"/>
      <c r="D57" s="15"/>
      <c r="E57" s="15"/>
      <c r="F57" s="15"/>
      <c r="G57" s="15"/>
      <c r="H57" s="15"/>
      <c r="I57" s="15"/>
      <c r="J57" s="44"/>
    </row>
    <row r="58" spans="1:10" s="7" customFormat="1" ht="15.5" x14ac:dyDescent="0.35">
      <c r="A58" s="66"/>
      <c r="B58"/>
      <c r="C58" s="15"/>
      <c r="D58" s="15"/>
      <c r="E58" s="15"/>
      <c r="F58" s="15"/>
      <c r="G58" s="15"/>
      <c r="H58" s="15"/>
      <c r="I58" s="15"/>
      <c r="J58" s="44"/>
    </row>
    <row r="59" spans="1:10" s="7" customFormat="1" ht="15.5" x14ac:dyDescent="0.35">
      <c r="A59" s="66"/>
      <c r="B59"/>
      <c r="C59" s="15"/>
      <c r="D59" s="15"/>
      <c r="E59" s="15"/>
      <c r="F59" s="15"/>
      <c r="G59" s="15"/>
      <c r="H59" s="15"/>
      <c r="I59" s="15"/>
      <c r="J59" s="44"/>
    </row>
    <row r="60" spans="1:10" s="7" customFormat="1" ht="15.5" x14ac:dyDescent="0.35">
      <c r="A60" s="66"/>
      <c r="B60"/>
      <c r="C60" s="15"/>
      <c r="D60" s="15"/>
      <c r="E60" s="15"/>
      <c r="F60" s="15"/>
      <c r="G60" s="15"/>
      <c r="H60" s="15"/>
      <c r="I60" s="15"/>
      <c r="J60" s="44"/>
    </row>
    <row r="61" spans="1:10" s="7" customFormat="1" ht="15.5" x14ac:dyDescent="0.35">
      <c r="A61" s="67"/>
      <c r="B61"/>
      <c r="C61" s="15"/>
      <c r="D61" s="15"/>
      <c r="E61" s="15"/>
      <c r="F61" s="15"/>
      <c r="G61" s="15"/>
      <c r="H61" s="15"/>
      <c r="I61" s="15"/>
    </row>
    <row r="62" spans="1:10" s="7" customFormat="1" ht="15.5" x14ac:dyDescent="0.35">
      <c r="A62" s="67"/>
      <c r="B62"/>
      <c r="C62" s="15"/>
      <c r="D62" s="15"/>
      <c r="E62" s="15"/>
      <c r="F62" s="15"/>
      <c r="G62" s="15"/>
      <c r="H62" s="15"/>
      <c r="I62" s="15"/>
    </row>
    <row r="63" spans="1:10" ht="15.5" x14ac:dyDescent="0.35">
      <c r="A63" s="68"/>
      <c r="B63"/>
    </row>
    <row r="64" spans="1:10" ht="15.5" x14ac:dyDescent="0.35">
      <c r="A64" s="66"/>
      <c r="B64"/>
    </row>
    <row r="65" spans="1:2" ht="15.5" x14ac:dyDescent="0.35">
      <c r="A65" s="66"/>
      <c r="B65"/>
    </row>
    <row r="66" spans="1:2" ht="15.5" x14ac:dyDescent="0.35">
      <c r="A66" s="66"/>
      <c r="B66"/>
    </row>
  </sheetData>
  <mergeCells count="26">
    <mergeCell ref="A1:I1"/>
    <mergeCell ref="K4:L4"/>
    <mergeCell ref="A21:E21"/>
    <mergeCell ref="F21:H21"/>
    <mergeCell ref="A31:E31"/>
    <mergeCell ref="F31:H31"/>
    <mergeCell ref="A43:I43"/>
    <mergeCell ref="B32:E32"/>
    <mergeCell ref="F32:H32"/>
    <mergeCell ref="B33:H33"/>
    <mergeCell ref="S33:U33"/>
    <mergeCell ref="B34:H34"/>
    <mergeCell ref="A37:I37"/>
    <mergeCell ref="A38:I38"/>
    <mergeCell ref="A39:I39"/>
    <mergeCell ref="A40:I40"/>
    <mergeCell ref="A41:I41"/>
    <mergeCell ref="A42:I42"/>
    <mergeCell ref="A44:I44"/>
    <mergeCell ref="A51:I51"/>
    <mergeCell ref="A45:I45"/>
    <mergeCell ref="A46:I46"/>
    <mergeCell ref="A47:I47"/>
    <mergeCell ref="A48:I48"/>
    <mergeCell ref="A49:I49"/>
    <mergeCell ref="A50:I50"/>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5"/>
  <sheetViews>
    <sheetView zoomScale="115" zoomScaleNormal="115" workbookViewId="0">
      <selection activeCell="E4" sqref="E4"/>
    </sheetView>
  </sheetViews>
  <sheetFormatPr defaultRowHeight="14.5" x14ac:dyDescent="0.35"/>
  <cols>
    <col min="1" max="1" width="42.81640625" customWidth="1"/>
    <col min="2" max="4" width="12.1796875" customWidth="1"/>
    <col min="5" max="5" width="13.26953125" customWidth="1"/>
    <col min="6" max="9" width="12.1796875" customWidth="1"/>
    <col min="11" max="11" width="12.453125" customWidth="1"/>
    <col min="14" max="14" width="37" customWidth="1"/>
  </cols>
  <sheetData>
    <row r="1" spans="1:21" ht="31.5" customHeight="1" x14ac:dyDescent="0.35">
      <c r="A1" s="117" t="s">
        <v>178</v>
      </c>
      <c r="B1" s="117"/>
      <c r="C1" s="117"/>
      <c r="D1" s="117"/>
      <c r="E1" s="117"/>
      <c r="F1" s="117"/>
      <c r="G1" s="117"/>
      <c r="H1" s="117"/>
      <c r="I1" s="117"/>
    </row>
    <row r="3" spans="1:21" s="7" customFormat="1" ht="13" x14ac:dyDescent="0.3">
      <c r="A3" s="118" t="s">
        <v>19</v>
      </c>
      <c r="B3" s="27" t="s">
        <v>1</v>
      </c>
      <c r="C3" s="27" t="s">
        <v>2</v>
      </c>
      <c r="D3" s="27" t="s">
        <v>3</v>
      </c>
      <c r="E3" s="27" t="s">
        <v>4</v>
      </c>
      <c r="F3" s="27" t="s">
        <v>5</v>
      </c>
      <c r="G3" s="27" t="s">
        <v>6</v>
      </c>
      <c r="H3" s="27" t="s">
        <v>7</v>
      </c>
      <c r="I3" s="27" t="s">
        <v>8</v>
      </c>
    </row>
    <row r="4" spans="1:21" s="7" customFormat="1" ht="54" x14ac:dyDescent="0.3">
      <c r="A4" s="118"/>
      <c r="B4" s="27" t="s">
        <v>20</v>
      </c>
      <c r="C4" s="27" t="s">
        <v>21</v>
      </c>
      <c r="D4" s="27" t="s">
        <v>22</v>
      </c>
      <c r="E4" s="27" t="s">
        <v>182</v>
      </c>
      <c r="F4" s="27" t="s">
        <v>17</v>
      </c>
      <c r="G4" s="27" t="s">
        <v>23</v>
      </c>
      <c r="H4" s="27" t="s">
        <v>24</v>
      </c>
      <c r="I4" s="27" t="s">
        <v>34</v>
      </c>
    </row>
    <row r="5" spans="1:21" s="7" customFormat="1" ht="15.5" x14ac:dyDescent="0.3">
      <c r="A5" s="70" t="s">
        <v>135</v>
      </c>
      <c r="B5" s="50">
        <v>8</v>
      </c>
      <c r="C5" s="50">
        <v>1</v>
      </c>
      <c r="D5" s="50">
        <f>B5*C5</f>
        <v>8</v>
      </c>
      <c r="E5" s="50">
        <f>'Table 1'!E12</f>
        <v>1</v>
      </c>
      <c r="F5" s="50">
        <f>D5*E5</f>
        <v>8</v>
      </c>
      <c r="G5" s="50">
        <f>F5*0.05</f>
        <v>0.4</v>
      </c>
      <c r="H5" s="50">
        <f>F5*0.1</f>
        <v>0.8</v>
      </c>
      <c r="I5" s="79">
        <f>F5*$L$7+G5*$L$6+H5*$L$8</f>
        <v>459.64</v>
      </c>
      <c r="K5" s="97" t="s">
        <v>35</v>
      </c>
      <c r="L5" s="97"/>
      <c r="N5" s="46"/>
      <c r="O5" s="46"/>
      <c r="P5" s="46"/>
      <c r="Q5" s="46"/>
      <c r="R5" s="46"/>
      <c r="S5" s="46"/>
      <c r="T5" s="46"/>
      <c r="U5" s="46"/>
    </row>
    <row r="6" spans="1:21" s="7" customFormat="1" ht="15.5" x14ac:dyDescent="0.3">
      <c r="A6" s="70" t="s">
        <v>136</v>
      </c>
      <c r="B6" s="50">
        <v>4</v>
      </c>
      <c r="C6" s="50">
        <v>1</v>
      </c>
      <c r="D6" s="50">
        <f t="shared" ref="D6:D8" si="0">B6*C6</f>
        <v>4</v>
      </c>
      <c r="E6" s="50">
        <f>'Table 1'!E13</f>
        <v>66</v>
      </c>
      <c r="F6" s="50">
        <f t="shared" ref="F6:F8" si="1">D6*E6</f>
        <v>264</v>
      </c>
      <c r="G6" s="50">
        <f t="shared" ref="G6:G8" si="2">F6*0.05</f>
        <v>13.200000000000001</v>
      </c>
      <c r="H6" s="50">
        <f t="shared" ref="H6:H8" si="3">F6*0.1</f>
        <v>26.400000000000002</v>
      </c>
      <c r="I6" s="79">
        <f t="shared" ref="I6:I8" si="4">F6*$L$7+G6*$L$6+H6*$L$8</f>
        <v>15168.119999999999</v>
      </c>
      <c r="K6" s="16" t="s">
        <v>33</v>
      </c>
      <c r="L6" s="17">
        <v>69.040000000000006</v>
      </c>
      <c r="N6" s="46"/>
      <c r="O6" s="43"/>
      <c r="P6" s="43"/>
      <c r="Q6" s="43"/>
      <c r="R6" s="43"/>
      <c r="S6" s="43"/>
      <c r="T6" s="43"/>
      <c r="U6" s="43"/>
    </row>
    <row r="7" spans="1:21" s="7" customFormat="1" ht="15.5" x14ac:dyDescent="0.3">
      <c r="A7" s="70" t="s">
        <v>137</v>
      </c>
      <c r="B7" s="50">
        <v>16</v>
      </c>
      <c r="C7" s="50">
        <v>1</v>
      </c>
      <c r="D7" s="50">
        <f t="shared" si="0"/>
        <v>16</v>
      </c>
      <c r="E7" s="50">
        <f>'Table 1'!E14</f>
        <v>0.1</v>
      </c>
      <c r="F7" s="50">
        <f t="shared" si="1"/>
        <v>1.6</v>
      </c>
      <c r="G7" s="50">
        <f t="shared" si="2"/>
        <v>8.0000000000000016E-2</v>
      </c>
      <c r="H7" s="50">
        <f t="shared" si="3"/>
        <v>0.16000000000000003</v>
      </c>
      <c r="I7" s="79">
        <f t="shared" si="4"/>
        <v>91.928000000000011</v>
      </c>
      <c r="K7" s="16" t="s">
        <v>32</v>
      </c>
      <c r="L7" s="17">
        <v>51.23</v>
      </c>
      <c r="N7" s="46"/>
      <c r="O7" s="41"/>
      <c r="P7" s="41"/>
      <c r="Q7" s="41"/>
      <c r="R7" s="41"/>
      <c r="S7" s="41"/>
      <c r="T7" s="41"/>
      <c r="U7" s="41"/>
    </row>
    <row r="8" spans="1:21" s="7" customFormat="1" ht="15.5" x14ac:dyDescent="0.3">
      <c r="A8" s="70" t="s">
        <v>138</v>
      </c>
      <c r="B8" s="50">
        <v>40</v>
      </c>
      <c r="C8" s="50">
        <v>1</v>
      </c>
      <c r="D8" s="50">
        <f t="shared" si="0"/>
        <v>40</v>
      </c>
      <c r="E8" s="50">
        <f>'Table 1'!E15</f>
        <v>10</v>
      </c>
      <c r="F8" s="50">
        <f t="shared" si="1"/>
        <v>400</v>
      </c>
      <c r="G8" s="50">
        <f t="shared" si="2"/>
        <v>20</v>
      </c>
      <c r="H8" s="50">
        <f t="shared" si="3"/>
        <v>40</v>
      </c>
      <c r="I8" s="79">
        <f t="shared" si="4"/>
        <v>22982</v>
      </c>
      <c r="K8" s="16" t="s">
        <v>31</v>
      </c>
      <c r="L8" s="17">
        <v>27.73</v>
      </c>
      <c r="N8" s="46"/>
      <c r="O8" s="43"/>
      <c r="P8" s="43"/>
      <c r="Q8" s="43"/>
      <c r="R8" s="43"/>
      <c r="S8" s="43"/>
      <c r="T8" s="43"/>
      <c r="U8" s="43"/>
    </row>
    <row r="9" spans="1:21" s="7" customFormat="1" ht="18.75" customHeight="1" x14ac:dyDescent="0.3">
      <c r="A9" s="119" t="s">
        <v>132</v>
      </c>
      <c r="B9" s="119"/>
      <c r="C9" s="119"/>
      <c r="D9" s="119"/>
      <c r="E9" s="119"/>
      <c r="F9" s="120">
        <f>ROUND(SUM(F5:H8),3)</f>
        <v>774.64</v>
      </c>
      <c r="G9" s="120"/>
      <c r="H9" s="120"/>
      <c r="I9" s="48">
        <f>ROUND(SUM(I5:I8),-2)</f>
        <v>38700</v>
      </c>
      <c r="N9" s="46"/>
      <c r="O9" s="43"/>
      <c r="P9" s="43"/>
      <c r="Q9" s="43"/>
      <c r="R9" s="43"/>
      <c r="S9" s="43"/>
      <c r="T9" s="43"/>
      <c r="U9" s="43"/>
    </row>
    <row r="10" spans="1:21" s="7" customFormat="1" ht="16.5" customHeight="1" x14ac:dyDescent="0.3">
      <c r="N10" s="46"/>
      <c r="O10" s="43"/>
      <c r="P10" s="43"/>
      <c r="Q10" s="43"/>
      <c r="R10" s="43"/>
      <c r="S10" s="43"/>
      <c r="T10" s="43"/>
      <c r="U10" s="43"/>
    </row>
    <row r="11" spans="1:21" s="7" customFormat="1" ht="13" x14ac:dyDescent="0.3">
      <c r="A11" s="6" t="s">
        <v>18</v>
      </c>
      <c r="N11" s="46"/>
      <c r="O11" s="43"/>
      <c r="P11" s="43"/>
      <c r="Q11" s="43"/>
      <c r="R11" s="43"/>
      <c r="S11" s="43"/>
      <c r="T11" s="43"/>
      <c r="U11" s="43"/>
    </row>
    <row r="12" spans="1:21" s="7" customFormat="1" ht="15.5" x14ac:dyDescent="0.3">
      <c r="A12" s="94" t="s">
        <v>112</v>
      </c>
      <c r="B12" s="94"/>
      <c r="C12" s="94"/>
      <c r="D12" s="94"/>
      <c r="E12" s="94"/>
      <c r="F12" s="94"/>
      <c r="G12" s="94"/>
      <c r="H12" s="94"/>
      <c r="I12" s="94"/>
      <c r="J12" s="44"/>
      <c r="N12" s="46"/>
      <c r="O12" s="41"/>
      <c r="P12" s="41"/>
      <c r="Q12" s="41"/>
      <c r="R12" s="41"/>
      <c r="S12" s="41"/>
      <c r="T12" s="41"/>
      <c r="U12" s="41"/>
    </row>
    <row r="13" spans="1:21" s="7" customFormat="1" ht="32.25" customHeight="1" x14ac:dyDescent="0.3">
      <c r="A13" s="96" t="s">
        <v>128</v>
      </c>
      <c r="B13" s="96"/>
      <c r="C13" s="96"/>
      <c r="D13" s="96"/>
      <c r="E13" s="96"/>
      <c r="F13" s="96"/>
      <c r="G13" s="96"/>
      <c r="H13" s="96"/>
      <c r="I13" s="96"/>
      <c r="J13" s="45"/>
      <c r="N13" s="46"/>
      <c r="O13" s="43"/>
      <c r="P13" s="43"/>
      <c r="Q13" s="43"/>
      <c r="R13" s="43"/>
      <c r="S13" s="43"/>
      <c r="T13" s="43"/>
      <c r="U13" s="43"/>
    </row>
    <row r="14" spans="1:21" s="7" customFormat="1" ht="18.75" customHeight="1" x14ac:dyDescent="0.3">
      <c r="A14" s="94" t="s">
        <v>129</v>
      </c>
      <c r="B14" s="94"/>
      <c r="C14" s="94"/>
      <c r="D14" s="94"/>
      <c r="E14" s="94"/>
      <c r="F14" s="94"/>
      <c r="G14" s="94"/>
      <c r="H14" s="94"/>
      <c r="I14" s="94"/>
      <c r="J14" s="44"/>
      <c r="N14" s="47"/>
      <c r="O14" s="47"/>
      <c r="P14" s="47"/>
      <c r="Q14" s="47"/>
      <c r="R14" s="47"/>
      <c r="S14" s="116"/>
      <c r="T14" s="116"/>
      <c r="U14" s="116"/>
    </row>
    <row r="15" spans="1:21" s="7" customFormat="1" ht="21.75" customHeight="1" x14ac:dyDescent="0.3">
      <c r="A15" s="94" t="s">
        <v>154</v>
      </c>
      <c r="B15" s="94"/>
      <c r="C15" s="94"/>
      <c r="D15" s="94"/>
      <c r="E15" s="94"/>
      <c r="F15" s="94"/>
      <c r="G15" s="94"/>
      <c r="H15" s="94"/>
      <c r="I15" s="94"/>
      <c r="J15" s="44"/>
    </row>
    <row r="16" spans="1:21" s="7" customFormat="1" ht="15.5" x14ac:dyDescent="0.3">
      <c r="A16" s="94" t="s">
        <v>130</v>
      </c>
      <c r="B16" s="94"/>
      <c r="C16" s="94"/>
      <c r="D16" s="94"/>
      <c r="E16" s="94"/>
      <c r="F16" s="94"/>
      <c r="G16" s="94"/>
      <c r="H16" s="94"/>
      <c r="I16" s="94"/>
      <c r="J16" s="44"/>
    </row>
    <row r="17" spans="1:10" s="7" customFormat="1" ht="32.25" customHeight="1" x14ac:dyDescent="0.3">
      <c r="A17" s="96" t="s">
        <v>169</v>
      </c>
      <c r="B17" s="96"/>
      <c r="C17" s="96"/>
      <c r="D17" s="96"/>
      <c r="E17" s="96"/>
      <c r="F17" s="96"/>
      <c r="G17" s="96"/>
      <c r="H17" s="96"/>
      <c r="I17" s="96"/>
      <c r="J17" s="44"/>
    </row>
    <row r="18" spans="1:10" s="7" customFormat="1" ht="15.5" x14ac:dyDescent="0.3">
      <c r="A18" s="94" t="s">
        <v>131</v>
      </c>
      <c r="B18" s="94"/>
      <c r="C18" s="94"/>
      <c r="D18" s="94"/>
      <c r="E18" s="94"/>
      <c r="F18" s="94"/>
      <c r="G18" s="94"/>
      <c r="H18" s="94"/>
      <c r="I18" s="94"/>
    </row>
    <row r="19" spans="1:10" s="7" customFormat="1" ht="13" x14ac:dyDescent="0.3"/>
    <row r="20" spans="1:10" s="7" customFormat="1" ht="13" x14ac:dyDescent="0.3"/>
    <row r="21" spans="1:10" s="7" customFormat="1" ht="13" x14ac:dyDescent="0.3"/>
    <row r="22" spans="1:10" s="7" customFormat="1" ht="13" x14ac:dyDescent="0.3"/>
    <row r="23" spans="1:10" s="7" customFormat="1" ht="13" x14ac:dyDescent="0.3"/>
    <row r="24" spans="1:10" s="7" customFormat="1" ht="13" x14ac:dyDescent="0.3"/>
    <row r="25" spans="1:10" s="7" customFormat="1" x14ac:dyDescent="0.35">
      <c r="A25"/>
      <c r="B25"/>
      <c r="C25"/>
      <c r="D25"/>
      <c r="E25"/>
      <c r="F25"/>
      <c r="G25"/>
      <c r="H25"/>
      <c r="I25"/>
      <c r="J25"/>
    </row>
  </sheetData>
  <mergeCells count="13">
    <mergeCell ref="A18:I18"/>
    <mergeCell ref="S14:U14"/>
    <mergeCell ref="K5:L5"/>
    <mergeCell ref="A17:I17"/>
    <mergeCell ref="A1:I1"/>
    <mergeCell ref="A12:I12"/>
    <mergeCell ref="A14:I14"/>
    <mergeCell ref="A15:I15"/>
    <mergeCell ref="A16:I16"/>
    <mergeCell ref="A3:A4"/>
    <mergeCell ref="A13:I13"/>
    <mergeCell ref="A9:E9"/>
    <mergeCell ref="F9:H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0F7F-4910-4624-949F-F7EB1C2A6681}">
  <dimension ref="A1:U25"/>
  <sheetViews>
    <sheetView zoomScale="115" zoomScaleNormal="115" workbookViewId="0">
      <selection activeCell="A14" sqref="A14:I14"/>
    </sheetView>
  </sheetViews>
  <sheetFormatPr defaultRowHeight="14.5" x14ac:dyDescent="0.35"/>
  <cols>
    <col min="1" max="1" width="42.81640625" customWidth="1"/>
    <col min="2" max="4" width="12.1796875" customWidth="1"/>
    <col min="5" max="5" width="12.54296875" customWidth="1"/>
    <col min="6" max="9" width="12.1796875" customWidth="1"/>
    <col min="11" max="11" width="12.453125" customWidth="1"/>
    <col min="14" max="14" width="37" customWidth="1"/>
  </cols>
  <sheetData>
    <row r="1" spans="1:21" ht="31.5" customHeight="1" x14ac:dyDescent="0.35">
      <c r="A1" s="117" t="s">
        <v>177</v>
      </c>
      <c r="B1" s="117"/>
      <c r="C1" s="117"/>
      <c r="D1" s="117"/>
      <c r="E1" s="117"/>
      <c r="F1" s="117"/>
      <c r="G1" s="117"/>
      <c r="H1" s="117"/>
      <c r="I1" s="117"/>
    </row>
    <row r="3" spans="1:21" s="7" customFormat="1" ht="13" x14ac:dyDescent="0.3">
      <c r="A3" s="118" t="s">
        <v>19</v>
      </c>
      <c r="B3" s="27" t="s">
        <v>1</v>
      </c>
      <c r="C3" s="27" t="s">
        <v>2</v>
      </c>
      <c r="D3" s="27" t="s">
        <v>3</v>
      </c>
      <c r="E3" s="27" t="s">
        <v>4</v>
      </c>
      <c r="F3" s="27" t="s">
        <v>5</v>
      </c>
      <c r="G3" s="27" t="s">
        <v>6</v>
      </c>
      <c r="H3" s="27" t="s">
        <v>7</v>
      </c>
      <c r="I3" s="27" t="s">
        <v>8</v>
      </c>
    </row>
    <row r="4" spans="1:21" s="7" customFormat="1" ht="54" x14ac:dyDescent="0.3">
      <c r="A4" s="118"/>
      <c r="B4" s="27" t="s">
        <v>20</v>
      </c>
      <c r="C4" s="27" t="s">
        <v>21</v>
      </c>
      <c r="D4" s="27" t="s">
        <v>22</v>
      </c>
      <c r="E4" s="27" t="s">
        <v>182</v>
      </c>
      <c r="F4" s="27" t="s">
        <v>17</v>
      </c>
      <c r="G4" s="27" t="s">
        <v>23</v>
      </c>
      <c r="H4" s="27" t="s">
        <v>24</v>
      </c>
      <c r="I4" s="27" t="s">
        <v>34</v>
      </c>
    </row>
    <row r="5" spans="1:21" s="7" customFormat="1" ht="15.5" x14ac:dyDescent="0.3">
      <c r="A5" s="70" t="s">
        <v>135</v>
      </c>
      <c r="B5" s="50">
        <v>8</v>
      </c>
      <c r="C5" s="50">
        <v>1</v>
      </c>
      <c r="D5" s="50">
        <f>B5*C5</f>
        <v>8</v>
      </c>
      <c r="E5" s="50">
        <f>'Table 2'!E12</f>
        <v>1</v>
      </c>
      <c r="F5" s="50">
        <f>D5*E5</f>
        <v>8</v>
      </c>
      <c r="G5" s="50">
        <f>F5*0.05</f>
        <v>0.4</v>
      </c>
      <c r="H5" s="50">
        <f>F5*0.1</f>
        <v>0.8</v>
      </c>
      <c r="I5" s="79">
        <f>F5*$L$7+G5*$L$6+H5*$L$8</f>
        <v>459.64</v>
      </c>
      <c r="K5" s="97" t="s">
        <v>35</v>
      </c>
      <c r="L5" s="97"/>
      <c r="N5" s="46"/>
      <c r="O5" s="46"/>
      <c r="P5" s="46"/>
      <c r="Q5" s="46"/>
      <c r="R5" s="46"/>
      <c r="S5" s="46"/>
      <c r="T5" s="46"/>
      <c r="U5" s="46"/>
    </row>
    <row r="6" spans="1:21" s="7" customFormat="1" ht="15.5" x14ac:dyDescent="0.3">
      <c r="A6" s="70" t="s">
        <v>136</v>
      </c>
      <c r="B6" s="50">
        <v>4</v>
      </c>
      <c r="C6" s="50">
        <v>1</v>
      </c>
      <c r="D6" s="50">
        <f t="shared" ref="D6:D8" si="0">B6*C6</f>
        <v>4</v>
      </c>
      <c r="E6" s="50">
        <f>'Table 2'!E13</f>
        <v>67</v>
      </c>
      <c r="F6" s="50">
        <f t="shared" ref="F6:F8" si="1">D6*E6</f>
        <v>268</v>
      </c>
      <c r="G6" s="50">
        <f t="shared" ref="G6:G8" si="2">F6*0.05</f>
        <v>13.4</v>
      </c>
      <c r="H6" s="50">
        <f t="shared" ref="H6:H8" si="3">F6*0.1</f>
        <v>26.8</v>
      </c>
      <c r="I6" s="79">
        <f t="shared" ref="I6:I8" si="4">F6*$L$7+G6*$L$6+H6*$L$8</f>
        <v>15397.94</v>
      </c>
      <c r="K6" s="16" t="s">
        <v>33</v>
      </c>
      <c r="L6" s="17">
        <v>69.040000000000006</v>
      </c>
      <c r="N6" s="46"/>
      <c r="O6" s="43"/>
      <c r="P6" s="43"/>
      <c r="Q6" s="43"/>
      <c r="R6" s="43"/>
      <c r="S6" s="43"/>
      <c r="T6" s="43"/>
      <c r="U6" s="43"/>
    </row>
    <row r="7" spans="1:21" s="7" customFormat="1" ht="15.5" x14ac:dyDescent="0.3">
      <c r="A7" s="70" t="s">
        <v>137</v>
      </c>
      <c r="B7" s="50">
        <v>16</v>
      </c>
      <c r="C7" s="50">
        <v>1</v>
      </c>
      <c r="D7" s="50">
        <f t="shared" si="0"/>
        <v>16</v>
      </c>
      <c r="E7" s="50">
        <f>'Table 2'!E14</f>
        <v>0.1</v>
      </c>
      <c r="F7" s="50">
        <f t="shared" si="1"/>
        <v>1.6</v>
      </c>
      <c r="G7" s="50">
        <f t="shared" si="2"/>
        <v>8.0000000000000016E-2</v>
      </c>
      <c r="H7" s="50">
        <f t="shared" si="3"/>
        <v>0.16000000000000003</v>
      </c>
      <c r="I7" s="79">
        <f t="shared" si="4"/>
        <v>91.928000000000011</v>
      </c>
      <c r="K7" s="16" t="s">
        <v>32</v>
      </c>
      <c r="L7" s="17">
        <v>51.23</v>
      </c>
      <c r="N7" s="46"/>
      <c r="O7" s="41"/>
      <c r="P7" s="41"/>
      <c r="Q7" s="41"/>
      <c r="R7" s="41"/>
      <c r="S7" s="41"/>
      <c r="T7" s="41"/>
      <c r="U7" s="41"/>
    </row>
    <row r="8" spans="1:21" s="7" customFormat="1" ht="15.5" x14ac:dyDescent="0.3">
      <c r="A8" s="70" t="s">
        <v>138</v>
      </c>
      <c r="B8" s="50">
        <v>40</v>
      </c>
      <c r="C8" s="50">
        <v>1</v>
      </c>
      <c r="D8" s="50">
        <f t="shared" si="0"/>
        <v>40</v>
      </c>
      <c r="E8" s="50">
        <f>'Table 2'!E15</f>
        <v>10</v>
      </c>
      <c r="F8" s="50">
        <f t="shared" si="1"/>
        <v>400</v>
      </c>
      <c r="G8" s="50">
        <f t="shared" si="2"/>
        <v>20</v>
      </c>
      <c r="H8" s="50">
        <f t="shared" si="3"/>
        <v>40</v>
      </c>
      <c r="I8" s="79">
        <f t="shared" si="4"/>
        <v>22982</v>
      </c>
      <c r="K8" s="16" t="s">
        <v>31</v>
      </c>
      <c r="L8" s="17">
        <v>27.73</v>
      </c>
      <c r="N8" s="46"/>
      <c r="O8" s="43"/>
      <c r="P8" s="43"/>
      <c r="Q8" s="43"/>
      <c r="R8" s="43"/>
      <c r="S8" s="43"/>
      <c r="T8" s="43"/>
      <c r="U8" s="43"/>
    </row>
    <row r="9" spans="1:21" s="7" customFormat="1" ht="18.75" customHeight="1" x14ac:dyDescent="0.3">
      <c r="A9" s="119" t="s">
        <v>132</v>
      </c>
      <c r="B9" s="119"/>
      <c r="C9" s="119"/>
      <c r="D9" s="119"/>
      <c r="E9" s="119"/>
      <c r="F9" s="120">
        <f>ROUND(SUM(F5:H8),3)</f>
        <v>779.24</v>
      </c>
      <c r="G9" s="120"/>
      <c r="H9" s="120"/>
      <c r="I9" s="48">
        <f>ROUND(SUM(I5:I8),-2)</f>
        <v>38900</v>
      </c>
      <c r="N9" s="46"/>
      <c r="O9" s="43"/>
      <c r="P9" s="43"/>
      <c r="Q9" s="43"/>
      <c r="R9" s="43"/>
      <c r="S9" s="43"/>
      <c r="T9" s="43"/>
      <c r="U9" s="43"/>
    </row>
    <row r="10" spans="1:21" s="7" customFormat="1" ht="16.5" customHeight="1" x14ac:dyDescent="0.3">
      <c r="N10" s="46"/>
      <c r="O10" s="43"/>
      <c r="P10" s="43"/>
      <c r="Q10" s="43"/>
      <c r="R10" s="43"/>
      <c r="S10" s="43"/>
      <c r="T10" s="43"/>
      <c r="U10" s="43"/>
    </row>
    <row r="11" spans="1:21" s="7" customFormat="1" ht="13" x14ac:dyDescent="0.3">
      <c r="A11" s="6" t="s">
        <v>18</v>
      </c>
      <c r="N11" s="46"/>
      <c r="O11" s="43"/>
      <c r="P11" s="43"/>
      <c r="Q11" s="43"/>
      <c r="R11" s="43"/>
      <c r="S11" s="43"/>
      <c r="T11" s="43"/>
      <c r="U11" s="43"/>
    </row>
    <row r="12" spans="1:21" s="7" customFormat="1" ht="15.5" x14ac:dyDescent="0.3">
      <c r="A12" s="94" t="s">
        <v>113</v>
      </c>
      <c r="B12" s="94"/>
      <c r="C12" s="94"/>
      <c r="D12" s="94"/>
      <c r="E12" s="94"/>
      <c r="F12" s="94"/>
      <c r="G12" s="94"/>
      <c r="H12" s="94"/>
      <c r="I12" s="94"/>
      <c r="J12" s="44"/>
      <c r="N12" s="46"/>
      <c r="O12" s="41"/>
      <c r="P12" s="41"/>
      <c r="Q12" s="41"/>
      <c r="R12" s="41"/>
      <c r="S12" s="41"/>
      <c r="T12" s="41"/>
      <c r="U12" s="41"/>
    </row>
    <row r="13" spans="1:21" s="7" customFormat="1" ht="32.25" customHeight="1" x14ac:dyDescent="0.3">
      <c r="A13" s="96" t="s">
        <v>128</v>
      </c>
      <c r="B13" s="96"/>
      <c r="C13" s="96"/>
      <c r="D13" s="96"/>
      <c r="E13" s="96"/>
      <c r="F13" s="96"/>
      <c r="G13" s="96"/>
      <c r="H13" s="96"/>
      <c r="I13" s="96"/>
      <c r="J13" s="45"/>
      <c r="N13" s="46"/>
      <c r="O13" s="43"/>
      <c r="P13" s="43"/>
      <c r="Q13" s="43"/>
      <c r="R13" s="43"/>
      <c r="S13" s="43"/>
      <c r="T13" s="43"/>
      <c r="U13" s="43"/>
    </row>
    <row r="14" spans="1:21" s="7" customFormat="1" ht="18.75" customHeight="1" x14ac:dyDescent="0.3">
      <c r="A14" s="94" t="s">
        <v>129</v>
      </c>
      <c r="B14" s="94"/>
      <c r="C14" s="94"/>
      <c r="D14" s="94"/>
      <c r="E14" s="94"/>
      <c r="F14" s="94"/>
      <c r="G14" s="94"/>
      <c r="H14" s="94"/>
      <c r="I14" s="94"/>
      <c r="J14" s="44"/>
      <c r="N14" s="47"/>
      <c r="O14" s="47"/>
      <c r="P14" s="47"/>
      <c r="Q14" s="47"/>
      <c r="R14" s="47"/>
      <c r="S14" s="116"/>
      <c r="T14" s="116"/>
      <c r="U14" s="116"/>
    </row>
    <row r="15" spans="1:21" s="7" customFormat="1" ht="21.75" customHeight="1" x14ac:dyDescent="0.3">
      <c r="A15" s="94" t="s">
        <v>154</v>
      </c>
      <c r="B15" s="94"/>
      <c r="C15" s="94"/>
      <c r="D15" s="94"/>
      <c r="E15" s="94"/>
      <c r="F15" s="94"/>
      <c r="G15" s="94"/>
      <c r="H15" s="94"/>
      <c r="I15" s="94"/>
      <c r="J15" s="44"/>
    </row>
    <row r="16" spans="1:21" s="7" customFormat="1" ht="15.5" x14ac:dyDescent="0.3">
      <c r="A16" s="94" t="s">
        <v>130</v>
      </c>
      <c r="B16" s="94"/>
      <c r="C16" s="94"/>
      <c r="D16" s="94"/>
      <c r="E16" s="94"/>
      <c r="F16" s="94"/>
      <c r="G16" s="94"/>
      <c r="H16" s="94"/>
      <c r="I16" s="94"/>
      <c r="J16" s="44"/>
    </row>
    <row r="17" spans="1:10" s="7" customFormat="1" ht="34.5" customHeight="1" x14ac:dyDescent="0.3">
      <c r="A17" s="96" t="s">
        <v>169</v>
      </c>
      <c r="B17" s="96"/>
      <c r="C17" s="96"/>
      <c r="D17" s="96"/>
      <c r="E17" s="96"/>
      <c r="F17" s="96"/>
      <c r="G17" s="96"/>
      <c r="H17" s="96"/>
      <c r="I17" s="96"/>
      <c r="J17" s="44"/>
    </row>
    <row r="18" spans="1:10" s="7" customFormat="1" ht="15.5" x14ac:dyDescent="0.3">
      <c r="A18" s="94" t="s">
        <v>131</v>
      </c>
      <c r="B18" s="94"/>
      <c r="C18" s="94"/>
      <c r="D18" s="94"/>
      <c r="E18" s="94"/>
      <c r="F18" s="94"/>
      <c r="G18" s="94"/>
      <c r="H18" s="94"/>
      <c r="I18" s="94"/>
    </row>
    <row r="19" spans="1:10" s="7" customFormat="1" ht="13" x14ac:dyDescent="0.3"/>
    <row r="20" spans="1:10" s="7" customFormat="1" ht="13" x14ac:dyDescent="0.3"/>
    <row r="21" spans="1:10" s="7" customFormat="1" ht="13" x14ac:dyDescent="0.3"/>
    <row r="22" spans="1:10" s="7" customFormat="1" ht="13" x14ac:dyDescent="0.3"/>
    <row r="23" spans="1:10" s="7" customFormat="1" ht="13" x14ac:dyDescent="0.3"/>
    <row r="24" spans="1:10" s="7" customFormat="1" ht="13" x14ac:dyDescent="0.3"/>
    <row r="25" spans="1:10" s="7" customFormat="1" x14ac:dyDescent="0.35">
      <c r="A25"/>
      <c r="B25"/>
      <c r="C25"/>
      <c r="D25"/>
      <c r="E25"/>
      <c r="F25"/>
      <c r="G25"/>
      <c r="H25"/>
      <c r="I25"/>
      <c r="J25"/>
    </row>
  </sheetData>
  <mergeCells count="13">
    <mergeCell ref="A12:I12"/>
    <mergeCell ref="A1:I1"/>
    <mergeCell ref="A3:A4"/>
    <mergeCell ref="K5:L5"/>
    <mergeCell ref="A9:E9"/>
    <mergeCell ref="F9:H9"/>
    <mergeCell ref="A18:I18"/>
    <mergeCell ref="A13:I13"/>
    <mergeCell ref="A14:I14"/>
    <mergeCell ref="S14:U14"/>
    <mergeCell ref="A15:I15"/>
    <mergeCell ref="A16:I16"/>
    <mergeCell ref="A17:I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47CD-9326-42E4-9CF0-695D7D01B59E}">
  <dimension ref="A1:U29"/>
  <sheetViews>
    <sheetView zoomScale="115" zoomScaleNormal="115" workbookViewId="0">
      <selection activeCell="A22" sqref="A22:I22"/>
    </sheetView>
  </sheetViews>
  <sheetFormatPr defaultRowHeight="14.5" x14ac:dyDescent="0.35"/>
  <cols>
    <col min="1" max="1" width="44.26953125" customWidth="1"/>
    <col min="2" max="4" width="12.1796875" customWidth="1"/>
    <col min="5" max="5" width="13.7265625" customWidth="1"/>
    <col min="6" max="9" width="12.1796875" customWidth="1"/>
    <col min="11" max="11" width="12.453125" customWidth="1"/>
    <col min="14" max="14" width="37" customWidth="1"/>
  </cols>
  <sheetData>
    <row r="1" spans="1:21" ht="31.5" customHeight="1" x14ac:dyDescent="0.35">
      <c r="A1" s="117" t="s">
        <v>179</v>
      </c>
      <c r="B1" s="117"/>
      <c r="C1" s="117"/>
      <c r="D1" s="117"/>
      <c r="E1" s="117"/>
      <c r="F1" s="117"/>
      <c r="G1" s="117"/>
      <c r="H1" s="117"/>
      <c r="I1" s="117"/>
    </row>
    <row r="3" spans="1:21" s="7" customFormat="1" ht="13" x14ac:dyDescent="0.3">
      <c r="A3" s="118" t="s">
        <v>19</v>
      </c>
      <c r="B3" s="27" t="s">
        <v>1</v>
      </c>
      <c r="C3" s="27" t="s">
        <v>2</v>
      </c>
      <c r="D3" s="27" t="s">
        <v>3</v>
      </c>
      <c r="E3" s="27" t="s">
        <v>4</v>
      </c>
      <c r="F3" s="27" t="s">
        <v>5</v>
      </c>
      <c r="G3" s="27" t="s">
        <v>6</v>
      </c>
      <c r="H3" s="27" t="s">
        <v>7</v>
      </c>
      <c r="I3" s="27" t="s">
        <v>8</v>
      </c>
    </row>
    <row r="4" spans="1:21" s="7" customFormat="1" ht="54" x14ac:dyDescent="0.3">
      <c r="A4" s="118"/>
      <c r="B4" s="27" t="s">
        <v>20</v>
      </c>
      <c r="C4" s="27" t="s">
        <v>21</v>
      </c>
      <c r="D4" s="27" t="s">
        <v>22</v>
      </c>
      <c r="E4" s="27" t="s">
        <v>182</v>
      </c>
      <c r="F4" s="27" t="s">
        <v>17</v>
      </c>
      <c r="G4" s="27" t="s">
        <v>23</v>
      </c>
      <c r="H4" s="27" t="s">
        <v>24</v>
      </c>
      <c r="I4" s="27" t="s">
        <v>34</v>
      </c>
    </row>
    <row r="5" spans="1:21" s="7" customFormat="1" ht="16.5" customHeight="1" x14ac:dyDescent="0.3">
      <c r="A5" s="70" t="s">
        <v>135</v>
      </c>
      <c r="B5" s="2">
        <v>8</v>
      </c>
      <c r="C5" s="2">
        <v>1</v>
      </c>
      <c r="D5" s="2">
        <f>B5*C5</f>
        <v>8</v>
      </c>
      <c r="E5" s="2">
        <f>'Table 3'!E12</f>
        <v>1</v>
      </c>
      <c r="F5" s="2">
        <f>D5*E5</f>
        <v>8</v>
      </c>
      <c r="G5" s="2">
        <f>F5*0.05</f>
        <v>0.4</v>
      </c>
      <c r="H5" s="2">
        <f>F5*0.1</f>
        <v>0.8</v>
      </c>
      <c r="I5" s="14">
        <f>F5*$L$7+G5*$L$6+H5*$L$8</f>
        <v>459.64</v>
      </c>
      <c r="K5" s="97" t="s">
        <v>35</v>
      </c>
      <c r="L5" s="97"/>
      <c r="N5" s="46"/>
      <c r="O5" s="46"/>
      <c r="P5" s="46"/>
      <c r="Q5" s="46"/>
      <c r="R5" s="46"/>
      <c r="S5" s="46"/>
      <c r="T5" s="46"/>
      <c r="U5" s="46"/>
    </row>
    <row r="6" spans="1:21" s="7" customFormat="1" ht="16.5" customHeight="1" x14ac:dyDescent="0.3">
      <c r="A6" s="70" t="s">
        <v>136</v>
      </c>
      <c r="B6" s="2">
        <v>4</v>
      </c>
      <c r="C6" s="2">
        <v>1</v>
      </c>
      <c r="D6" s="2">
        <f t="shared" ref="D6:D12" si="0">B6*C6</f>
        <v>4</v>
      </c>
      <c r="E6" s="2">
        <f>'Table 3'!E13</f>
        <v>68</v>
      </c>
      <c r="F6" s="2">
        <f t="shared" ref="F6:F8" si="1">D6*E6</f>
        <v>272</v>
      </c>
      <c r="G6" s="2">
        <f t="shared" ref="G6:G12" si="2">F6*0.05</f>
        <v>13.600000000000001</v>
      </c>
      <c r="H6" s="2">
        <f t="shared" ref="H6:H8" si="3">F6*0.1</f>
        <v>27.200000000000003</v>
      </c>
      <c r="I6" s="14">
        <f t="shared" ref="I6:I8" si="4">F6*$L$7+G6*$L$6+H6*$L$8</f>
        <v>15627.759999999998</v>
      </c>
      <c r="K6" s="16" t="s">
        <v>33</v>
      </c>
      <c r="L6" s="17">
        <v>69.040000000000006</v>
      </c>
      <c r="N6" s="46"/>
      <c r="O6" s="43"/>
      <c r="P6" s="43"/>
      <c r="Q6" s="43"/>
      <c r="R6" s="43"/>
      <c r="S6" s="43"/>
      <c r="T6" s="43"/>
      <c r="U6" s="43"/>
    </row>
    <row r="7" spans="1:21" s="7" customFormat="1" ht="16.5" customHeight="1" x14ac:dyDescent="0.3">
      <c r="A7" s="70" t="s">
        <v>137</v>
      </c>
      <c r="B7" s="2">
        <v>16</v>
      </c>
      <c r="C7" s="2">
        <v>1</v>
      </c>
      <c r="D7" s="2">
        <f t="shared" si="0"/>
        <v>16</v>
      </c>
      <c r="E7" s="2">
        <f>'Table 3'!E14</f>
        <v>0.1</v>
      </c>
      <c r="F7" s="2">
        <f t="shared" si="1"/>
        <v>1.6</v>
      </c>
      <c r="G7" s="2">
        <f t="shared" si="2"/>
        <v>8.0000000000000016E-2</v>
      </c>
      <c r="H7" s="2">
        <f t="shared" si="3"/>
        <v>0.16000000000000003</v>
      </c>
      <c r="I7" s="14">
        <f t="shared" si="4"/>
        <v>91.928000000000011</v>
      </c>
      <c r="K7" s="16" t="s">
        <v>32</v>
      </c>
      <c r="L7" s="17">
        <v>51.23</v>
      </c>
      <c r="N7" s="46"/>
      <c r="O7" s="41"/>
      <c r="P7" s="41"/>
      <c r="Q7" s="41"/>
      <c r="R7" s="41"/>
      <c r="S7" s="41"/>
      <c r="T7" s="41"/>
      <c r="U7" s="41"/>
    </row>
    <row r="8" spans="1:21" s="7" customFormat="1" ht="16.5" customHeight="1" x14ac:dyDescent="0.3">
      <c r="A8" s="70" t="s">
        <v>138</v>
      </c>
      <c r="B8" s="2">
        <v>40</v>
      </c>
      <c r="C8" s="2">
        <v>1</v>
      </c>
      <c r="D8" s="2">
        <f t="shared" si="0"/>
        <v>40</v>
      </c>
      <c r="E8" s="2">
        <f>'Table 3'!E15</f>
        <v>10</v>
      </c>
      <c r="F8" s="2">
        <f t="shared" si="1"/>
        <v>400</v>
      </c>
      <c r="G8" s="2">
        <f t="shared" si="2"/>
        <v>20</v>
      </c>
      <c r="H8" s="2">
        <f t="shared" si="3"/>
        <v>40</v>
      </c>
      <c r="I8" s="14">
        <f t="shared" si="4"/>
        <v>22982</v>
      </c>
      <c r="K8" s="16" t="s">
        <v>31</v>
      </c>
      <c r="L8" s="17">
        <v>27.73</v>
      </c>
      <c r="N8" s="46"/>
      <c r="O8" s="43"/>
      <c r="P8" s="43"/>
      <c r="Q8" s="43"/>
      <c r="R8" s="43"/>
      <c r="S8" s="43"/>
      <c r="T8" s="43"/>
      <c r="U8" s="43"/>
    </row>
    <row r="9" spans="1:21" s="7" customFormat="1" ht="16.5" customHeight="1" x14ac:dyDescent="0.3">
      <c r="A9" s="69" t="s">
        <v>142</v>
      </c>
      <c r="B9" s="2"/>
      <c r="C9" s="2"/>
      <c r="D9" s="2"/>
      <c r="E9" s="2"/>
      <c r="F9" s="2"/>
      <c r="G9" s="2"/>
      <c r="H9" s="2"/>
      <c r="I9" s="4"/>
      <c r="K9" s="60"/>
      <c r="L9" s="61"/>
      <c r="N9" s="46"/>
      <c r="O9" s="43"/>
      <c r="P9" s="43"/>
      <c r="Q9" s="43"/>
      <c r="R9" s="43"/>
      <c r="S9" s="43"/>
      <c r="T9" s="43"/>
      <c r="U9" s="43"/>
    </row>
    <row r="10" spans="1:21" s="7" customFormat="1" ht="16.5" customHeight="1" x14ac:dyDescent="0.3">
      <c r="A10" s="71" t="s">
        <v>139</v>
      </c>
      <c r="B10" s="2">
        <v>300</v>
      </c>
      <c r="C10" s="2">
        <v>1</v>
      </c>
      <c r="D10" s="2">
        <f t="shared" si="0"/>
        <v>300</v>
      </c>
      <c r="E10" s="2">
        <v>1</v>
      </c>
      <c r="F10" s="2">
        <f t="shared" ref="F10:F12" si="5">D10*E10</f>
        <v>300</v>
      </c>
      <c r="G10" s="2">
        <f t="shared" si="2"/>
        <v>15</v>
      </c>
      <c r="H10" s="2">
        <f t="shared" ref="H10:H12" si="6">F10*0.1</f>
        <v>30</v>
      </c>
      <c r="I10" s="14">
        <f t="shared" ref="I10:I12" si="7">F10*$L$7+G10*$L$6+H10*$L$8</f>
        <v>17236.5</v>
      </c>
      <c r="N10" s="46"/>
      <c r="O10" s="41"/>
      <c r="P10" s="41"/>
      <c r="Q10" s="41"/>
      <c r="R10" s="41"/>
      <c r="S10" s="41"/>
      <c r="T10" s="41"/>
      <c r="U10" s="41"/>
    </row>
    <row r="11" spans="1:21" s="7" customFormat="1" ht="16.5" customHeight="1" x14ac:dyDescent="0.3">
      <c r="A11" s="71" t="s">
        <v>140</v>
      </c>
      <c r="B11" s="2">
        <v>12</v>
      </c>
      <c r="C11" s="2">
        <v>1</v>
      </c>
      <c r="D11" s="2">
        <f t="shared" si="0"/>
        <v>12</v>
      </c>
      <c r="E11" s="91">
        <f>E6</f>
        <v>68</v>
      </c>
      <c r="F11" s="2">
        <f t="shared" si="5"/>
        <v>816</v>
      </c>
      <c r="G11" s="92">
        <f t="shared" si="2"/>
        <v>40.800000000000004</v>
      </c>
      <c r="H11" s="92">
        <f t="shared" si="6"/>
        <v>81.600000000000009</v>
      </c>
      <c r="I11" s="14">
        <f t="shared" si="7"/>
        <v>46883.280000000006</v>
      </c>
      <c r="N11" s="46"/>
      <c r="O11" s="41"/>
      <c r="P11" s="41"/>
      <c r="Q11" s="41"/>
      <c r="R11" s="41"/>
      <c r="S11" s="41"/>
      <c r="T11" s="41"/>
      <c r="U11" s="41"/>
    </row>
    <row r="12" spans="1:21" s="7" customFormat="1" ht="16.5" customHeight="1" x14ac:dyDescent="0.3">
      <c r="A12" s="72" t="s">
        <v>141</v>
      </c>
      <c r="B12" s="2">
        <v>600</v>
      </c>
      <c r="C12" s="2">
        <v>1</v>
      </c>
      <c r="D12" s="2">
        <f t="shared" si="0"/>
        <v>600</v>
      </c>
      <c r="E12" s="2">
        <v>1</v>
      </c>
      <c r="F12" s="2">
        <f t="shared" si="5"/>
        <v>600</v>
      </c>
      <c r="G12" s="2">
        <f t="shared" si="2"/>
        <v>30</v>
      </c>
      <c r="H12" s="2">
        <f t="shared" si="6"/>
        <v>60</v>
      </c>
      <c r="I12" s="14">
        <f t="shared" si="7"/>
        <v>34473</v>
      </c>
      <c r="N12" s="46"/>
      <c r="O12" s="41"/>
      <c r="P12" s="41"/>
      <c r="Q12" s="41"/>
      <c r="R12" s="41"/>
      <c r="S12" s="41"/>
      <c r="T12" s="41"/>
      <c r="U12" s="41"/>
    </row>
    <row r="13" spans="1:21" s="7" customFormat="1" ht="18.75" customHeight="1" x14ac:dyDescent="0.3">
      <c r="A13" s="119" t="s">
        <v>133</v>
      </c>
      <c r="B13" s="119"/>
      <c r="C13" s="119"/>
      <c r="D13" s="119"/>
      <c r="E13" s="119"/>
      <c r="F13" s="121">
        <f>ROUND(SUM(F5:H12),-1)</f>
        <v>2760</v>
      </c>
      <c r="G13" s="121"/>
      <c r="H13" s="121"/>
      <c r="I13" s="48">
        <f>ROUND(SUM(I5:I12),-3)</f>
        <v>138000</v>
      </c>
      <c r="N13" s="46"/>
      <c r="O13" s="43"/>
      <c r="P13" s="43"/>
      <c r="Q13" s="43"/>
      <c r="R13" s="43"/>
      <c r="S13" s="43"/>
      <c r="T13" s="43"/>
      <c r="U13" s="43"/>
    </row>
    <row r="14" spans="1:21" s="7" customFormat="1" ht="16.5" customHeight="1" x14ac:dyDescent="0.3">
      <c r="N14" s="46"/>
      <c r="O14" s="43"/>
      <c r="P14" s="43"/>
      <c r="Q14" s="43"/>
      <c r="R14" s="43"/>
      <c r="S14" s="43"/>
      <c r="T14" s="43"/>
      <c r="U14" s="43"/>
    </row>
    <row r="15" spans="1:21" s="7" customFormat="1" ht="13" x14ac:dyDescent="0.3">
      <c r="A15" s="6" t="s">
        <v>18</v>
      </c>
      <c r="N15" s="46"/>
      <c r="O15" s="43"/>
      <c r="P15" s="43"/>
      <c r="Q15" s="43"/>
      <c r="R15" s="43"/>
      <c r="S15" s="43"/>
      <c r="T15" s="43"/>
      <c r="U15" s="43"/>
    </row>
    <row r="16" spans="1:21" s="7" customFormat="1" ht="15.5" x14ac:dyDescent="0.3">
      <c r="A16" s="94" t="s">
        <v>171</v>
      </c>
      <c r="B16" s="94"/>
      <c r="C16" s="94"/>
      <c r="D16" s="94"/>
      <c r="E16" s="94"/>
      <c r="F16" s="94"/>
      <c r="G16" s="94"/>
      <c r="H16" s="94"/>
      <c r="I16" s="94"/>
      <c r="J16" s="44"/>
      <c r="N16" s="46"/>
      <c r="O16" s="41"/>
      <c r="P16" s="41"/>
      <c r="Q16" s="41"/>
      <c r="R16" s="41"/>
      <c r="S16" s="41"/>
      <c r="T16" s="41"/>
      <c r="U16" s="41"/>
    </row>
    <row r="17" spans="1:21" s="7" customFormat="1" ht="31.5" customHeight="1" x14ac:dyDescent="0.3">
      <c r="A17" s="96" t="s">
        <v>128</v>
      </c>
      <c r="B17" s="96"/>
      <c r="C17" s="96"/>
      <c r="D17" s="96"/>
      <c r="E17" s="96"/>
      <c r="F17" s="96"/>
      <c r="G17" s="96"/>
      <c r="H17" s="96"/>
      <c r="I17" s="96"/>
      <c r="J17" s="45"/>
      <c r="N17" s="46"/>
      <c r="O17" s="43"/>
      <c r="P17" s="43"/>
      <c r="Q17" s="43"/>
      <c r="R17" s="43"/>
      <c r="S17" s="43"/>
      <c r="T17" s="43"/>
      <c r="U17" s="43"/>
    </row>
    <row r="18" spans="1:21" s="7" customFormat="1" ht="15.5" x14ac:dyDescent="0.3">
      <c r="A18" s="94" t="s">
        <v>129</v>
      </c>
      <c r="B18" s="94"/>
      <c r="C18" s="94"/>
      <c r="D18" s="94"/>
      <c r="E18" s="94"/>
      <c r="F18" s="94"/>
      <c r="G18" s="94"/>
      <c r="H18" s="94"/>
      <c r="I18" s="94"/>
      <c r="J18" s="44"/>
      <c r="N18" s="47"/>
      <c r="O18" s="47"/>
      <c r="P18" s="47"/>
      <c r="Q18" s="47"/>
      <c r="R18" s="47"/>
      <c r="S18" s="116"/>
      <c r="T18" s="116"/>
      <c r="U18" s="116"/>
    </row>
    <row r="19" spans="1:21" s="7" customFormat="1" ht="15.5" x14ac:dyDescent="0.3">
      <c r="A19" s="94" t="s">
        <v>154</v>
      </c>
      <c r="B19" s="94"/>
      <c r="C19" s="94"/>
      <c r="D19" s="94"/>
      <c r="E19" s="94"/>
      <c r="F19" s="94"/>
      <c r="G19" s="94"/>
      <c r="H19" s="94"/>
      <c r="I19" s="94"/>
      <c r="J19" s="44"/>
    </row>
    <row r="20" spans="1:21" s="7" customFormat="1" ht="15.5" x14ac:dyDescent="0.3">
      <c r="A20" s="94" t="s">
        <v>130</v>
      </c>
      <c r="B20" s="94"/>
      <c r="C20" s="94"/>
      <c r="D20" s="94"/>
      <c r="E20" s="94"/>
      <c r="F20" s="94"/>
      <c r="G20" s="94"/>
      <c r="H20" s="94"/>
      <c r="I20" s="94"/>
      <c r="J20" s="44"/>
    </row>
    <row r="21" spans="1:21" s="7" customFormat="1" ht="33" customHeight="1" x14ac:dyDescent="0.3">
      <c r="A21" s="96" t="s">
        <v>169</v>
      </c>
      <c r="B21" s="96"/>
      <c r="C21" s="96"/>
      <c r="D21" s="96"/>
      <c r="E21" s="96"/>
      <c r="F21" s="96"/>
      <c r="G21" s="96"/>
      <c r="H21" s="96"/>
      <c r="I21" s="96"/>
      <c r="J21" s="44"/>
    </row>
    <row r="22" spans="1:21" s="7" customFormat="1" ht="32.25" customHeight="1" x14ac:dyDescent="0.3">
      <c r="A22" s="96" t="s">
        <v>155</v>
      </c>
      <c r="B22" s="96"/>
      <c r="C22" s="96"/>
      <c r="D22" s="96"/>
      <c r="E22" s="96"/>
      <c r="F22" s="96"/>
      <c r="G22" s="96"/>
      <c r="H22" s="96"/>
      <c r="I22" s="96"/>
    </row>
    <row r="23" spans="1:21" s="7" customFormat="1" ht="15.5" x14ac:dyDescent="0.3">
      <c r="A23" s="94" t="s">
        <v>134</v>
      </c>
      <c r="B23" s="94"/>
      <c r="C23" s="94"/>
      <c r="D23" s="94"/>
      <c r="E23" s="94"/>
      <c r="F23" s="94"/>
      <c r="G23" s="94"/>
      <c r="H23" s="94"/>
      <c r="I23" s="94"/>
    </row>
    <row r="24" spans="1:21" s="7" customFormat="1" ht="13" x14ac:dyDescent="0.3"/>
    <row r="25" spans="1:21" s="7" customFormat="1" ht="13" x14ac:dyDescent="0.3"/>
    <row r="26" spans="1:21" s="7" customFormat="1" ht="13" x14ac:dyDescent="0.3"/>
    <row r="27" spans="1:21" s="7" customFormat="1" ht="13" x14ac:dyDescent="0.3"/>
    <row r="28" spans="1:21" s="7" customFormat="1" ht="13" x14ac:dyDescent="0.3"/>
    <row r="29" spans="1:21" s="7" customFormat="1" x14ac:dyDescent="0.35">
      <c r="A29"/>
      <c r="B29"/>
      <c r="C29"/>
      <c r="D29"/>
      <c r="E29"/>
      <c r="F29"/>
      <c r="G29"/>
      <c r="H29"/>
      <c r="I29"/>
      <c r="J29"/>
    </row>
  </sheetData>
  <mergeCells count="14">
    <mergeCell ref="A16:I16"/>
    <mergeCell ref="A1:I1"/>
    <mergeCell ref="A3:A4"/>
    <mergeCell ref="K5:L5"/>
    <mergeCell ref="A13:E13"/>
    <mergeCell ref="F13:H13"/>
    <mergeCell ref="A22:I22"/>
    <mergeCell ref="A23:I23"/>
    <mergeCell ref="A17:I17"/>
    <mergeCell ref="A18:I18"/>
    <mergeCell ref="S18:U18"/>
    <mergeCell ref="A19:I19"/>
    <mergeCell ref="A20:I20"/>
    <mergeCell ref="A21:I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F90E-A18B-4C81-BEC7-C253B8BE86F6}">
  <dimension ref="A1:G19"/>
  <sheetViews>
    <sheetView zoomScale="130" zoomScaleNormal="130" workbookViewId="0">
      <selection activeCell="C16" sqref="C16"/>
    </sheetView>
  </sheetViews>
  <sheetFormatPr defaultColWidth="9.1796875" defaultRowHeight="13" x14ac:dyDescent="0.3"/>
  <cols>
    <col min="1" max="1" width="13.54296875" style="7" customWidth="1"/>
    <col min="2" max="2" width="17.453125" style="7" customWidth="1"/>
    <col min="3" max="3" width="19.1796875" style="7" customWidth="1"/>
    <col min="4" max="5" width="17.453125" style="7" customWidth="1"/>
    <col min="6" max="6" width="18.81640625" style="7" customWidth="1"/>
    <col min="7" max="7" width="15" style="7" customWidth="1"/>
    <col min="8" max="16384" width="9.1796875" style="7"/>
  </cols>
  <sheetData>
    <row r="1" spans="1:7" ht="15" x14ac:dyDescent="0.3">
      <c r="A1" s="80" t="s">
        <v>156</v>
      </c>
    </row>
    <row r="3" spans="1:7" x14ac:dyDescent="0.3">
      <c r="A3" s="122" t="s">
        <v>157</v>
      </c>
      <c r="B3" s="122"/>
      <c r="C3" s="122"/>
      <c r="D3" s="122"/>
      <c r="E3" s="122"/>
      <c r="F3" s="122"/>
      <c r="G3" s="122"/>
    </row>
    <row r="4" spans="1:7" x14ac:dyDescent="0.3">
      <c r="A4" s="76" t="s">
        <v>45</v>
      </c>
      <c r="B4" s="76" t="s">
        <v>159</v>
      </c>
      <c r="C4" s="76" t="s">
        <v>161</v>
      </c>
      <c r="D4" s="76" t="s">
        <v>162</v>
      </c>
      <c r="E4" s="76" t="s">
        <v>160</v>
      </c>
      <c r="F4" s="76" t="s">
        <v>163</v>
      </c>
      <c r="G4" s="76" t="s">
        <v>164</v>
      </c>
    </row>
    <row r="5" spans="1:7" x14ac:dyDescent="0.3">
      <c r="A5" s="73" t="s">
        <v>144</v>
      </c>
      <c r="B5" s="74">
        <f>'Table 1'!F16</f>
        <v>1109.3474999999999</v>
      </c>
      <c r="C5" s="74">
        <f>'Table 1'!F22</f>
        <v>9379.4</v>
      </c>
      <c r="D5" s="74">
        <f>SUM(B5:C5)</f>
        <v>10488.747499999999</v>
      </c>
      <c r="E5" s="75">
        <f>'Table 1'!I16</f>
        <v>79342.124872500004</v>
      </c>
      <c r="F5" s="75">
        <f>'Table 1'!I22</f>
        <v>670828.14540000004</v>
      </c>
      <c r="G5" s="75">
        <f>SUM(E5:F5)</f>
        <v>750170.2702725</v>
      </c>
    </row>
    <row r="6" spans="1:7" x14ac:dyDescent="0.3">
      <c r="A6" s="73" t="s">
        <v>145</v>
      </c>
      <c r="B6" s="74">
        <f>'Table 2'!F16</f>
        <v>1115.0974999999999</v>
      </c>
      <c r="C6" s="74">
        <f>'Table 2'!F22</f>
        <v>9517.6874999999982</v>
      </c>
      <c r="D6" s="74">
        <f t="shared" ref="D6:D7" si="0">SUM(B6:C6)</f>
        <v>10632.784999999998</v>
      </c>
      <c r="E6" s="75">
        <f>'Table 2'!I16</f>
        <v>79753.373122499994</v>
      </c>
      <c r="F6" s="75">
        <f>'Table 2'!I22</f>
        <v>680718.66581250005</v>
      </c>
      <c r="G6" s="75">
        <f t="shared" ref="G6:G7" si="1">SUM(E6:F6)</f>
        <v>760472.03893500008</v>
      </c>
    </row>
    <row r="7" spans="1:7" x14ac:dyDescent="0.3">
      <c r="A7" s="73" t="s">
        <v>147</v>
      </c>
      <c r="B7" s="74">
        <f>'Table 3'!F21</f>
        <v>2196.0975000000003</v>
      </c>
      <c r="C7" s="74">
        <f>'Table 3'!F31</f>
        <v>17475.974999999999</v>
      </c>
      <c r="D7" s="74">
        <f t="shared" si="0"/>
        <v>19672.072499999998</v>
      </c>
      <c r="E7" s="75">
        <f>'Table 3'!I21</f>
        <v>157068.0441225</v>
      </c>
      <c r="F7" s="75">
        <f>'Table 3'!I31</f>
        <v>1249906.8062249999</v>
      </c>
      <c r="G7" s="75">
        <f t="shared" si="1"/>
        <v>1406974.8503474998</v>
      </c>
    </row>
    <row r="8" spans="1:7" x14ac:dyDescent="0.3">
      <c r="A8" s="73" t="s">
        <v>41</v>
      </c>
      <c r="B8" s="74">
        <f>SUM(B5:B7)</f>
        <v>4420.5424999999996</v>
      </c>
      <c r="C8" s="74">
        <f>SUM(C5:C7)</f>
        <v>36373.0625</v>
      </c>
      <c r="D8" s="74">
        <f>SUM(D5:D7)</f>
        <v>40793.604999999996</v>
      </c>
      <c r="E8" s="77">
        <f t="shared" ref="E8:G8" si="2">SUM(E5:E7)</f>
        <v>316163.54211749998</v>
      </c>
      <c r="F8" s="77">
        <f t="shared" si="2"/>
        <v>2601453.6174375</v>
      </c>
      <c r="G8" s="77">
        <f t="shared" si="2"/>
        <v>2917617.1595549998</v>
      </c>
    </row>
    <row r="9" spans="1:7" x14ac:dyDescent="0.3">
      <c r="A9" s="73" t="s">
        <v>165</v>
      </c>
      <c r="B9" s="74">
        <f>B8/3</f>
        <v>1473.5141666666666</v>
      </c>
      <c r="C9" s="74">
        <f>C8/3</f>
        <v>12124.354166666666</v>
      </c>
      <c r="D9" s="74">
        <f>D8/3</f>
        <v>13597.868333333332</v>
      </c>
      <c r="E9" s="77">
        <f t="shared" ref="E9:G9" si="3">E8/3</f>
        <v>105387.84737249999</v>
      </c>
      <c r="F9" s="77">
        <f t="shared" si="3"/>
        <v>867151.20581249997</v>
      </c>
      <c r="G9" s="77">
        <f t="shared" si="3"/>
        <v>972539.05318499997</v>
      </c>
    </row>
    <row r="11" spans="1:7" x14ac:dyDescent="0.3">
      <c r="A11" s="123" t="s">
        <v>158</v>
      </c>
      <c r="B11" s="123"/>
      <c r="C11" s="123"/>
    </row>
    <row r="12" spans="1:7" x14ac:dyDescent="0.3">
      <c r="A12" s="76" t="s">
        <v>45</v>
      </c>
      <c r="B12" s="76" t="s">
        <v>166</v>
      </c>
      <c r="C12" s="76" t="s">
        <v>167</v>
      </c>
    </row>
    <row r="13" spans="1:7" x14ac:dyDescent="0.3">
      <c r="A13" s="73" t="s">
        <v>144</v>
      </c>
      <c r="B13" s="78">
        <f>'Table 4'!F$9</f>
        <v>774.64</v>
      </c>
      <c r="C13" s="75">
        <f>'Table 4'!I$9</f>
        <v>38700</v>
      </c>
    </row>
    <row r="14" spans="1:7" x14ac:dyDescent="0.3">
      <c r="A14" s="73" t="s">
        <v>145</v>
      </c>
      <c r="B14" s="78">
        <f>'Table 5'!F$9</f>
        <v>779.24</v>
      </c>
      <c r="C14" s="75">
        <f>'Table 5'!I$9</f>
        <v>38900</v>
      </c>
    </row>
    <row r="15" spans="1:7" x14ac:dyDescent="0.3">
      <c r="A15" s="73" t="s">
        <v>147</v>
      </c>
      <c r="B15" s="74">
        <f>'Table 6'!F13</f>
        <v>2760</v>
      </c>
      <c r="C15" s="75">
        <f>'Table 6'!I13</f>
        <v>138000</v>
      </c>
    </row>
    <row r="16" spans="1:7" x14ac:dyDescent="0.3">
      <c r="A16" s="73" t="s">
        <v>41</v>
      </c>
      <c r="B16" s="74">
        <f>SUM(B13:B15)</f>
        <v>4313.88</v>
      </c>
      <c r="C16" s="77">
        <f>SUM(C13:C15)</f>
        <v>215600</v>
      </c>
    </row>
    <row r="17" spans="1:3" x14ac:dyDescent="0.3">
      <c r="A17" s="73" t="s">
        <v>165</v>
      </c>
      <c r="B17" s="74">
        <f>B16/3</f>
        <v>1437.96</v>
      </c>
      <c r="C17" s="77">
        <f>C16/3</f>
        <v>71866.666666666672</v>
      </c>
    </row>
    <row r="19" spans="1:3" x14ac:dyDescent="0.3">
      <c r="A19" s="124" t="s">
        <v>170</v>
      </c>
      <c r="B19" s="124"/>
      <c r="C19" s="88">
        <f>D9/'O&amp;M'!E48</f>
        <v>80.572002765158999</v>
      </c>
    </row>
  </sheetData>
  <mergeCells count="3">
    <mergeCell ref="A3:G3"/>
    <mergeCell ref="A11:C11"/>
    <mergeCell ref="A19:B19"/>
  </mergeCells>
  <phoneticPr fontId="2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BAAF-D87A-4BBD-97E6-E7A5D88CA99E}">
  <dimension ref="A2:J48"/>
  <sheetViews>
    <sheetView topLeftCell="A31" zoomScale="115" zoomScaleNormal="115" workbookViewId="0">
      <selection activeCell="F64" sqref="E64:F65"/>
    </sheetView>
  </sheetViews>
  <sheetFormatPr defaultRowHeight="14.5" x14ac:dyDescent="0.35"/>
  <cols>
    <col min="1" max="1" width="36.1796875" customWidth="1"/>
    <col min="2" max="7" width="12.81640625" customWidth="1"/>
  </cols>
  <sheetData>
    <row r="2" spans="1:10" ht="15.5" x14ac:dyDescent="0.35">
      <c r="A2" s="24"/>
      <c r="B2" s="24"/>
      <c r="C2" s="24"/>
      <c r="D2" s="24"/>
      <c r="E2" s="24"/>
      <c r="F2" s="24"/>
      <c r="G2" s="24"/>
    </row>
    <row r="3" spans="1:10" ht="15" x14ac:dyDescent="0.35">
      <c r="A3" s="128" t="s">
        <v>36</v>
      </c>
      <c r="B3" s="128"/>
      <c r="C3" s="128"/>
      <c r="D3" s="128"/>
      <c r="E3" s="128"/>
      <c r="F3" s="128"/>
      <c r="G3" s="128"/>
    </row>
    <row r="4" spans="1:10" x14ac:dyDescent="0.35">
      <c r="A4" s="20" t="s">
        <v>1</v>
      </c>
      <c r="B4" s="20" t="s">
        <v>2</v>
      </c>
      <c r="C4" s="20" t="s">
        <v>3</v>
      </c>
      <c r="D4" s="20" t="s">
        <v>4</v>
      </c>
      <c r="E4" s="20" t="s">
        <v>5</v>
      </c>
      <c r="F4" s="20" t="s">
        <v>6</v>
      </c>
      <c r="G4" s="20" t="s">
        <v>7</v>
      </c>
    </row>
    <row r="5" spans="1:10" ht="41.5" x14ac:dyDescent="0.35">
      <c r="A5" s="20" t="s">
        <v>37</v>
      </c>
      <c r="B5" s="20" t="s">
        <v>58</v>
      </c>
      <c r="C5" s="20" t="s">
        <v>38</v>
      </c>
      <c r="D5" s="20" t="s">
        <v>39</v>
      </c>
      <c r="E5" s="20" t="s">
        <v>59</v>
      </c>
      <c r="F5" s="20" t="s">
        <v>40</v>
      </c>
      <c r="G5" s="20" t="s">
        <v>54</v>
      </c>
      <c r="I5" s="59"/>
      <c r="J5" s="59"/>
    </row>
    <row r="6" spans="1:10" x14ac:dyDescent="0.35">
      <c r="A6" s="25"/>
      <c r="B6" s="21"/>
      <c r="C6" s="20"/>
      <c r="D6" s="21"/>
      <c r="E6" s="21"/>
      <c r="F6" s="20"/>
      <c r="G6" s="21"/>
      <c r="I6" s="58"/>
      <c r="J6" s="58"/>
    </row>
    <row r="7" spans="1:10" x14ac:dyDescent="0.35">
      <c r="A7" s="25"/>
      <c r="B7" s="21"/>
      <c r="C7" s="20"/>
      <c r="D7" s="21"/>
      <c r="E7" s="21"/>
      <c r="F7" s="20"/>
      <c r="G7" s="21"/>
      <c r="I7" s="58"/>
      <c r="J7" s="58"/>
    </row>
    <row r="8" spans="1:10" x14ac:dyDescent="0.35">
      <c r="A8" s="25"/>
      <c r="B8" s="21"/>
      <c r="C8" s="20"/>
      <c r="D8" s="21"/>
      <c r="E8" s="21"/>
      <c r="F8" s="20"/>
      <c r="G8" s="21"/>
      <c r="I8" s="58"/>
      <c r="J8" s="58"/>
    </row>
    <row r="9" spans="1:10" x14ac:dyDescent="0.35">
      <c r="A9" s="25"/>
      <c r="B9" s="21"/>
      <c r="C9" s="20"/>
      <c r="D9" s="21"/>
      <c r="E9" s="21"/>
      <c r="F9" s="20"/>
      <c r="G9" s="21"/>
    </row>
    <row r="10" spans="1:10" x14ac:dyDescent="0.35">
      <c r="A10" s="25"/>
      <c r="B10" s="21"/>
      <c r="C10" s="20"/>
      <c r="D10" s="21"/>
      <c r="E10" s="21"/>
      <c r="F10" s="20"/>
      <c r="G10" s="21"/>
    </row>
    <row r="11" spans="1:10" x14ac:dyDescent="0.35">
      <c r="A11" s="22" t="s">
        <v>41</v>
      </c>
      <c r="B11" s="22"/>
      <c r="C11" s="22"/>
      <c r="D11" s="23">
        <v>0</v>
      </c>
      <c r="E11" s="22"/>
      <c r="F11" s="22"/>
      <c r="G11" s="23">
        <f>ROUND(SUM(G6:G10),-4)</f>
        <v>0</v>
      </c>
    </row>
    <row r="12" spans="1:10" ht="15" customHeight="1" x14ac:dyDescent="0.35">
      <c r="A12" s="129" t="s">
        <v>73</v>
      </c>
      <c r="B12" s="130"/>
      <c r="C12" s="130"/>
      <c r="D12" s="130"/>
      <c r="E12" s="130"/>
      <c r="F12" s="130"/>
      <c r="G12" s="130"/>
    </row>
    <row r="15" spans="1:10" ht="15" x14ac:dyDescent="0.35">
      <c r="A15" s="128" t="s">
        <v>42</v>
      </c>
      <c r="B15" s="128"/>
      <c r="C15" s="128"/>
      <c r="D15" s="128"/>
      <c r="E15" s="128"/>
      <c r="F15" s="128"/>
    </row>
    <row r="16" spans="1:10" ht="60" customHeight="1" x14ac:dyDescent="0.35">
      <c r="A16" s="30"/>
      <c r="B16" s="131" t="s">
        <v>43</v>
      </c>
      <c r="C16" s="131"/>
      <c r="D16" s="19" t="s">
        <v>44</v>
      </c>
      <c r="E16" s="19"/>
      <c r="F16" s="19"/>
    </row>
    <row r="17" spans="1:6" x14ac:dyDescent="0.35">
      <c r="A17" s="19"/>
      <c r="B17" s="20" t="s">
        <v>1</v>
      </c>
      <c r="C17" s="20" t="s">
        <v>2</v>
      </c>
      <c r="D17" s="20" t="s">
        <v>3</v>
      </c>
      <c r="E17" s="20" t="s">
        <v>4</v>
      </c>
      <c r="F17" s="20" t="s">
        <v>5</v>
      </c>
    </row>
    <row r="18" spans="1:6" ht="91" x14ac:dyDescent="0.35">
      <c r="A18" s="20" t="s">
        <v>45</v>
      </c>
      <c r="B18" s="20" t="s">
        <v>56</v>
      </c>
      <c r="C18" s="20" t="s">
        <v>46</v>
      </c>
      <c r="D18" s="20" t="s">
        <v>47</v>
      </c>
      <c r="E18" s="20" t="s">
        <v>48</v>
      </c>
      <c r="F18" s="20" t="s">
        <v>55</v>
      </c>
    </row>
    <row r="19" spans="1:6" x14ac:dyDescent="0.35">
      <c r="A19" s="20">
        <v>1</v>
      </c>
      <c r="B19" s="20">
        <v>1</v>
      </c>
      <c r="C19" s="20">
        <v>65</v>
      </c>
      <c r="D19" s="20">
        <v>0</v>
      </c>
      <c r="E19" s="20">
        <v>0</v>
      </c>
      <c r="F19" s="20">
        <f>B19+C19+D19-E19</f>
        <v>66</v>
      </c>
    </row>
    <row r="20" spans="1:6" x14ac:dyDescent="0.35">
      <c r="A20" s="20">
        <v>2</v>
      </c>
      <c r="B20" s="20">
        <v>1</v>
      </c>
      <c r="C20" s="20">
        <f>C19+B19</f>
        <v>66</v>
      </c>
      <c r="D20" s="20">
        <v>0</v>
      </c>
      <c r="E20" s="20">
        <v>0</v>
      </c>
      <c r="F20" s="20">
        <f t="shared" ref="F20:F21" si="0">B20+C20+D20-E20</f>
        <v>67</v>
      </c>
    </row>
    <row r="21" spans="1:6" x14ac:dyDescent="0.35">
      <c r="A21" s="20">
        <v>3</v>
      </c>
      <c r="B21" s="20">
        <v>1</v>
      </c>
      <c r="C21" s="20">
        <f>C20+B20</f>
        <v>67</v>
      </c>
      <c r="D21" s="20">
        <v>0</v>
      </c>
      <c r="E21" s="20">
        <v>0</v>
      </c>
      <c r="F21" s="20">
        <f t="shared" si="0"/>
        <v>68</v>
      </c>
    </row>
    <row r="22" spans="1:6" x14ac:dyDescent="0.35">
      <c r="A22" s="22" t="s">
        <v>49</v>
      </c>
      <c r="B22" s="22">
        <f>AVERAGE(B19:B21)</f>
        <v>1</v>
      </c>
      <c r="C22" s="22">
        <f>AVERAGE(C19:C21)</f>
        <v>66</v>
      </c>
      <c r="D22" s="22">
        <f t="shared" ref="D22:E22" si="1">AVERAGE(D19:D21)</f>
        <v>0</v>
      </c>
      <c r="E22" s="22">
        <f t="shared" si="1"/>
        <v>0</v>
      </c>
      <c r="F22" s="22">
        <f>AVERAGE(F19:F21)</f>
        <v>67</v>
      </c>
    </row>
    <row r="25" spans="1:6" ht="15" x14ac:dyDescent="0.35">
      <c r="A25" s="128" t="s">
        <v>50</v>
      </c>
      <c r="B25" s="128"/>
      <c r="C25" s="128"/>
      <c r="D25" s="128"/>
      <c r="E25" s="128"/>
    </row>
    <row r="26" spans="1:6" x14ac:dyDescent="0.35">
      <c r="A26" s="20" t="s">
        <v>1</v>
      </c>
      <c r="B26" s="20" t="s">
        <v>2</v>
      </c>
      <c r="C26" s="20" t="s">
        <v>3</v>
      </c>
      <c r="D26" s="20" t="s">
        <v>4</v>
      </c>
      <c r="E26" s="20" t="s">
        <v>5</v>
      </c>
    </row>
    <row r="27" spans="1:6" ht="91" x14ac:dyDescent="0.35">
      <c r="A27" s="20" t="s">
        <v>51</v>
      </c>
      <c r="B27" s="20" t="s">
        <v>42</v>
      </c>
      <c r="C27" s="20" t="s">
        <v>52</v>
      </c>
      <c r="D27" s="20" t="s">
        <v>53</v>
      </c>
      <c r="E27" s="20" t="s">
        <v>57</v>
      </c>
    </row>
    <row r="28" spans="1:6" x14ac:dyDescent="0.35">
      <c r="A28" s="132" t="s">
        <v>144</v>
      </c>
      <c r="B28" s="133"/>
      <c r="C28" s="133"/>
      <c r="D28" s="133"/>
      <c r="E28" s="134"/>
    </row>
    <row r="29" spans="1:6" x14ac:dyDescent="0.35">
      <c r="A29" s="69" t="s">
        <v>146</v>
      </c>
      <c r="B29" s="20">
        <f>'Table 1'!E12</f>
        <v>1</v>
      </c>
      <c r="C29" s="20">
        <f>'Table 1'!C12</f>
        <v>1</v>
      </c>
      <c r="D29" s="50">
        <v>0</v>
      </c>
      <c r="E29" s="20">
        <f>B29*C29+D29</f>
        <v>1</v>
      </c>
    </row>
    <row r="30" spans="1:6" x14ac:dyDescent="0.35">
      <c r="A30" s="69" t="s">
        <v>82</v>
      </c>
      <c r="B30" s="20">
        <f>'Table 1'!E13</f>
        <v>66</v>
      </c>
      <c r="C30" s="20">
        <f>'Table 1'!C13</f>
        <v>1</v>
      </c>
      <c r="D30" s="50">
        <v>0</v>
      </c>
      <c r="E30" s="20">
        <f t="shared" ref="E30:E42" si="2">B30*C30+D30</f>
        <v>66</v>
      </c>
    </row>
    <row r="31" spans="1:6" x14ac:dyDescent="0.35">
      <c r="A31" s="69" t="s">
        <v>143</v>
      </c>
      <c r="B31" s="20">
        <f>'Table 1'!E14</f>
        <v>0.1</v>
      </c>
      <c r="C31" s="20">
        <f>'Table 1'!C14</f>
        <v>1</v>
      </c>
      <c r="D31" s="50">
        <v>0</v>
      </c>
      <c r="E31" s="20">
        <f t="shared" si="2"/>
        <v>0.1</v>
      </c>
    </row>
    <row r="32" spans="1:6" x14ac:dyDescent="0.35">
      <c r="A32" s="69" t="s">
        <v>66</v>
      </c>
      <c r="B32" s="20">
        <f>'Table 1'!E15</f>
        <v>10</v>
      </c>
      <c r="C32" s="20">
        <f>'Table 1'!C15</f>
        <v>1</v>
      </c>
      <c r="D32" s="50">
        <v>0</v>
      </c>
      <c r="E32" s="20">
        <f t="shared" si="2"/>
        <v>10</v>
      </c>
    </row>
    <row r="33" spans="1:5" x14ac:dyDescent="0.35">
      <c r="A33" s="125" t="s">
        <v>145</v>
      </c>
      <c r="B33" s="126"/>
      <c r="C33" s="126"/>
      <c r="D33" s="126"/>
      <c r="E33" s="127"/>
    </row>
    <row r="34" spans="1:5" x14ac:dyDescent="0.35">
      <c r="A34" s="69" t="s">
        <v>81</v>
      </c>
      <c r="B34" s="50">
        <f>'Table 2'!E12</f>
        <v>1</v>
      </c>
      <c r="C34" s="50">
        <f>'Table 2'!C12</f>
        <v>1</v>
      </c>
      <c r="D34" s="50">
        <v>0</v>
      </c>
      <c r="E34" s="20">
        <f t="shared" si="2"/>
        <v>1</v>
      </c>
    </row>
    <row r="35" spans="1:5" x14ac:dyDescent="0.35">
      <c r="A35" s="69" t="s">
        <v>82</v>
      </c>
      <c r="B35" s="50">
        <f>'Table 2'!E13</f>
        <v>67</v>
      </c>
      <c r="C35" s="50">
        <f>'Table 2'!C13</f>
        <v>1</v>
      </c>
      <c r="D35" s="50">
        <v>0</v>
      </c>
      <c r="E35" s="20">
        <f t="shared" si="2"/>
        <v>67</v>
      </c>
    </row>
    <row r="36" spans="1:5" x14ac:dyDescent="0.35">
      <c r="A36" s="69" t="s">
        <v>143</v>
      </c>
      <c r="B36" s="50">
        <f>'Table 2'!E14</f>
        <v>0.1</v>
      </c>
      <c r="C36" s="50">
        <f>'Table 2'!C14</f>
        <v>1</v>
      </c>
      <c r="D36" s="50">
        <v>0</v>
      </c>
      <c r="E36" s="20">
        <f t="shared" ref="E36:E41" si="3">B36*C36+D36</f>
        <v>0.1</v>
      </c>
    </row>
    <row r="37" spans="1:5" x14ac:dyDescent="0.35">
      <c r="A37" s="69" t="s">
        <v>66</v>
      </c>
      <c r="B37" s="50">
        <f>'Table 2'!E15</f>
        <v>10</v>
      </c>
      <c r="C37" s="50">
        <f>'Table 2'!C15</f>
        <v>1</v>
      </c>
      <c r="D37" s="50">
        <v>0</v>
      </c>
      <c r="E37" s="20">
        <f t="shared" si="3"/>
        <v>10</v>
      </c>
    </row>
    <row r="38" spans="1:5" x14ac:dyDescent="0.35">
      <c r="A38" s="125" t="s">
        <v>147</v>
      </c>
      <c r="B38" s="126"/>
      <c r="C38" s="126"/>
      <c r="D38" s="126"/>
      <c r="E38" s="127"/>
    </row>
    <row r="39" spans="1:5" x14ac:dyDescent="0.35">
      <c r="A39" s="69" t="s">
        <v>81</v>
      </c>
      <c r="B39" s="50">
        <f>'Table 3'!E12</f>
        <v>1</v>
      </c>
      <c r="C39" s="50">
        <f>'Table 3'!C12</f>
        <v>1</v>
      </c>
      <c r="D39" s="50">
        <v>0</v>
      </c>
      <c r="E39" s="20">
        <f t="shared" si="3"/>
        <v>1</v>
      </c>
    </row>
    <row r="40" spans="1:5" x14ac:dyDescent="0.35">
      <c r="A40" s="69" t="s">
        <v>82</v>
      </c>
      <c r="B40" s="50">
        <f>'Table 3'!E13</f>
        <v>68</v>
      </c>
      <c r="C40" s="50">
        <f>'Table 3'!C13</f>
        <v>1</v>
      </c>
      <c r="D40" s="50">
        <v>0</v>
      </c>
      <c r="E40" s="20">
        <f t="shared" si="3"/>
        <v>68</v>
      </c>
    </row>
    <row r="41" spans="1:5" x14ac:dyDescent="0.35">
      <c r="A41" s="69" t="s">
        <v>143</v>
      </c>
      <c r="B41" s="50">
        <f>'Table 3'!E14</f>
        <v>0.1</v>
      </c>
      <c r="C41" s="50">
        <f>'Table 3'!C14</f>
        <v>1</v>
      </c>
      <c r="D41" s="50">
        <v>0</v>
      </c>
      <c r="E41" s="20">
        <f t="shared" si="3"/>
        <v>0.1</v>
      </c>
    </row>
    <row r="42" spans="1:5" x14ac:dyDescent="0.35">
      <c r="A42" s="69" t="s">
        <v>66</v>
      </c>
      <c r="B42" s="50">
        <f>'Table 3'!E15</f>
        <v>10</v>
      </c>
      <c r="C42" s="50">
        <f>'Table 3'!C15</f>
        <v>1</v>
      </c>
      <c r="D42" s="50">
        <v>0</v>
      </c>
      <c r="E42" s="20">
        <f t="shared" si="2"/>
        <v>10</v>
      </c>
    </row>
    <row r="43" spans="1:5" x14ac:dyDescent="0.35">
      <c r="A43" s="69" t="s">
        <v>67</v>
      </c>
      <c r="B43" s="50">
        <f>'Table 3'!E17</f>
        <v>68</v>
      </c>
      <c r="C43" s="50">
        <f>'Table 3'!C17</f>
        <v>1</v>
      </c>
      <c r="D43" s="50">
        <v>0</v>
      </c>
      <c r="E43" s="20">
        <f t="shared" ref="E43:E46" si="4">B43*C43+D43</f>
        <v>68</v>
      </c>
    </row>
    <row r="44" spans="1:5" x14ac:dyDescent="0.35">
      <c r="A44" s="69" t="s">
        <v>68</v>
      </c>
      <c r="B44" s="50">
        <f>'Table 3'!E18</f>
        <v>68</v>
      </c>
      <c r="C44" s="50">
        <f>'Table 3'!C18</f>
        <v>1</v>
      </c>
      <c r="D44" s="50">
        <v>0</v>
      </c>
      <c r="E44" s="20">
        <f t="shared" si="4"/>
        <v>68</v>
      </c>
    </row>
    <row r="45" spans="1:5" x14ac:dyDescent="0.35">
      <c r="A45" s="69" t="s">
        <v>69</v>
      </c>
      <c r="B45" s="50">
        <f>'Table 3'!E19</f>
        <v>68</v>
      </c>
      <c r="C45" s="50">
        <v>1</v>
      </c>
      <c r="D45" s="50">
        <v>0</v>
      </c>
      <c r="E45" s="20">
        <f t="shared" si="4"/>
        <v>68</v>
      </c>
    </row>
    <row r="46" spans="1:5" ht="26" x14ac:dyDescent="0.35">
      <c r="A46" s="69" t="s">
        <v>70</v>
      </c>
      <c r="B46" s="50">
        <f>'Table 3'!E20</f>
        <v>68</v>
      </c>
      <c r="C46" s="50">
        <f>'Table 3'!C20</f>
        <v>1</v>
      </c>
      <c r="D46" s="50">
        <v>0</v>
      </c>
      <c r="E46" s="20">
        <f t="shared" si="4"/>
        <v>68</v>
      </c>
    </row>
    <row r="47" spans="1:5" x14ac:dyDescent="0.35">
      <c r="A47" s="19"/>
      <c r="B47" s="20"/>
      <c r="C47" s="20"/>
      <c r="D47" s="22" t="s">
        <v>41</v>
      </c>
      <c r="E47" s="51">
        <f>SUM(E29:E46)</f>
        <v>506.29999999999995</v>
      </c>
    </row>
    <row r="48" spans="1:5" x14ac:dyDescent="0.35">
      <c r="D48" s="86" t="s">
        <v>49</v>
      </c>
      <c r="E48" s="87">
        <f>E47/3</f>
        <v>168.76666666666665</v>
      </c>
    </row>
  </sheetData>
  <mergeCells count="8">
    <mergeCell ref="A38:E38"/>
    <mergeCell ref="A25:E25"/>
    <mergeCell ref="A12:G12"/>
    <mergeCell ref="A3:G3"/>
    <mergeCell ref="A15:F15"/>
    <mergeCell ref="B16:C16"/>
    <mergeCell ref="A28:E28"/>
    <mergeCell ref="A33:E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7578-8BC7-42EA-B5E2-7FE772BD6406}">
  <dimension ref="A1:I21"/>
  <sheetViews>
    <sheetView zoomScale="130" zoomScaleNormal="130" workbookViewId="0">
      <selection activeCell="C16" sqref="C16"/>
    </sheetView>
  </sheetViews>
  <sheetFormatPr defaultColWidth="9.1796875" defaultRowHeight="14" x14ac:dyDescent="0.3"/>
  <cols>
    <col min="1" max="1" width="18.453125" style="15" customWidth="1"/>
    <col min="2" max="2" width="16" style="15" customWidth="1"/>
    <col min="3" max="3" width="17.81640625" style="15" customWidth="1"/>
    <col min="4" max="4" width="18.7265625" style="15" customWidth="1"/>
    <col min="5" max="16384" width="9.1796875" style="15"/>
  </cols>
  <sheetData>
    <row r="1" spans="1:9" ht="17.5" x14ac:dyDescent="0.35">
      <c r="A1" s="81" t="s">
        <v>95</v>
      </c>
    </row>
    <row r="3" spans="1:9" s="7" customFormat="1" ht="13" x14ac:dyDescent="0.3">
      <c r="A3" s="136" t="s">
        <v>148</v>
      </c>
      <c r="B3" s="137"/>
      <c r="C3" s="137"/>
      <c r="D3" s="138"/>
    </row>
    <row r="4" spans="1:9" s="7" customFormat="1" ht="13" x14ac:dyDescent="0.3">
      <c r="A4" s="7" t="s">
        <v>96</v>
      </c>
    </row>
    <row r="5" spans="1:9" s="7" customFormat="1" ht="13" x14ac:dyDescent="0.3">
      <c r="A5" s="7" t="s">
        <v>97</v>
      </c>
    </row>
    <row r="6" spans="1:9" s="7" customFormat="1" ht="13" x14ac:dyDescent="0.3">
      <c r="A6" s="7" t="s">
        <v>107</v>
      </c>
    </row>
    <row r="7" spans="1:9" s="7" customFormat="1" ht="13" x14ac:dyDescent="0.3"/>
    <row r="8" spans="1:9" s="7" customFormat="1" ht="26" x14ac:dyDescent="0.3">
      <c r="A8" s="50" t="s">
        <v>98</v>
      </c>
      <c r="B8" s="82" t="s">
        <v>99</v>
      </c>
      <c r="C8" s="50" t="s">
        <v>100</v>
      </c>
      <c r="D8" s="50" t="s">
        <v>101</v>
      </c>
    </row>
    <row r="9" spans="1:9" s="7" customFormat="1" ht="13" x14ac:dyDescent="0.3">
      <c r="A9" s="83" t="s">
        <v>102</v>
      </c>
      <c r="B9" s="50" t="s">
        <v>103</v>
      </c>
      <c r="C9" s="84">
        <v>60.45</v>
      </c>
      <c r="D9" s="85">
        <f>C9*2.1</f>
        <v>126.94500000000001</v>
      </c>
    </row>
    <row r="10" spans="1:9" s="7" customFormat="1" ht="13" x14ac:dyDescent="0.3">
      <c r="A10" s="83" t="s">
        <v>32</v>
      </c>
      <c r="B10" s="50" t="s">
        <v>104</v>
      </c>
      <c r="C10" s="84">
        <v>33.99</v>
      </c>
      <c r="D10" s="85">
        <f t="shared" ref="D10:D11" si="0">C10*2.1</f>
        <v>71.379000000000005</v>
      </c>
    </row>
    <row r="11" spans="1:9" s="7" customFormat="1" ht="13" x14ac:dyDescent="0.3">
      <c r="A11" s="83" t="s">
        <v>31</v>
      </c>
      <c r="B11" s="50" t="s">
        <v>105</v>
      </c>
      <c r="C11" s="84">
        <v>21.54</v>
      </c>
      <c r="D11" s="85">
        <f t="shared" si="0"/>
        <v>45.234000000000002</v>
      </c>
    </row>
    <row r="12" spans="1:9" s="7" customFormat="1" ht="56.25" customHeight="1" x14ac:dyDescent="0.3">
      <c r="A12" s="135" t="s">
        <v>106</v>
      </c>
      <c r="B12" s="135"/>
      <c r="C12" s="135"/>
      <c r="D12" s="135"/>
      <c r="E12" s="135"/>
      <c r="F12" s="135"/>
      <c r="G12" s="135"/>
      <c r="H12" s="135"/>
      <c r="I12" s="135"/>
    </row>
    <row r="13" spans="1:9" s="7" customFormat="1" ht="13" x14ac:dyDescent="0.3"/>
    <row r="14" spans="1:9" s="7" customFormat="1" ht="13" x14ac:dyDescent="0.3">
      <c r="A14" s="136" t="s">
        <v>149</v>
      </c>
      <c r="B14" s="137"/>
      <c r="C14" s="137"/>
      <c r="D14" s="138"/>
    </row>
    <row r="15" spans="1:9" s="7" customFormat="1" ht="13" x14ac:dyDescent="0.3"/>
    <row r="16" spans="1:9" s="7" customFormat="1" ht="13" x14ac:dyDescent="0.3">
      <c r="A16" s="136" t="s">
        <v>35</v>
      </c>
      <c r="B16" s="138"/>
    </row>
    <row r="17" spans="1:9" s="7" customFormat="1" ht="13" x14ac:dyDescent="0.3">
      <c r="A17" s="16" t="s">
        <v>33</v>
      </c>
      <c r="B17" s="17">
        <v>69.040000000000006</v>
      </c>
      <c r="C17" s="93" t="s">
        <v>173</v>
      </c>
    </row>
    <row r="18" spans="1:9" s="7" customFormat="1" ht="13" x14ac:dyDescent="0.3">
      <c r="A18" s="16" t="s">
        <v>32</v>
      </c>
      <c r="B18" s="17">
        <v>51.23</v>
      </c>
      <c r="C18" s="93" t="s">
        <v>174</v>
      </c>
    </row>
    <row r="19" spans="1:9" s="7" customFormat="1" ht="13" x14ac:dyDescent="0.3">
      <c r="A19" s="16" t="s">
        <v>31</v>
      </c>
      <c r="B19" s="17">
        <v>27.73</v>
      </c>
      <c r="C19" s="93" t="s">
        <v>175</v>
      </c>
    </row>
    <row r="20" spans="1:9" s="7" customFormat="1" ht="13" x14ac:dyDescent="0.3"/>
    <row r="21" spans="1:9" s="7" customFormat="1" ht="60.75" customHeight="1" x14ac:dyDescent="0.3">
      <c r="A21" s="135" t="s">
        <v>150</v>
      </c>
      <c r="B21" s="135"/>
      <c r="C21" s="135"/>
      <c r="D21" s="135"/>
      <c r="E21" s="135"/>
      <c r="F21" s="135"/>
      <c r="G21" s="135"/>
      <c r="H21" s="135"/>
      <c r="I21" s="135"/>
    </row>
  </sheetData>
  <mergeCells count="5">
    <mergeCell ref="A12:I12"/>
    <mergeCell ref="A3:D3"/>
    <mergeCell ref="A16:B16"/>
    <mergeCell ref="A14:D14"/>
    <mergeCell ref="A21:I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vt:lpstr>
      <vt:lpstr>Table 2</vt:lpstr>
      <vt:lpstr>Table 3</vt:lpstr>
      <vt:lpstr>Table 4</vt:lpstr>
      <vt:lpstr>Table 5</vt:lpstr>
      <vt:lpstr>Table 6</vt:lpstr>
      <vt:lpstr>3-Year Summary</vt:lpstr>
      <vt:lpstr>O&amp;M</vt:lpstr>
      <vt:lpstr>Wages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2014-09-23T20:17:06Z</dcterms:created>
  <dcterms:modified xsi:type="dcterms:W3CDTF">2021-07-13T12:37:06Z</dcterms:modified>
</cp:coreProperties>
</file>