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1C80469-99E4-4ED8-B8B3-2549E68E26D6}" xr6:coauthVersionLast="45" xr6:coauthVersionMax="45" xr10:uidLastSave="{00000000-0000-0000-0000-000000000000}"/>
  <bookViews>
    <workbookView xWindow="-110" yWindow="-110" windowWidth="19420" windowHeight="10420" tabRatio="714" xr2:uid="{00000000-000D-0000-FFFF-FFFF00000000}"/>
  </bookViews>
  <sheets>
    <sheet name="Table 1" sheetId="1" r:id="rId1"/>
    <sheet name="Table 2" sheetId="2" r:id="rId2"/>
    <sheet name="O&amp;M" sheetId="9" r:id="rId3"/>
  </sheets>
  <definedNames>
    <definedName name="_xlnm.Print_Area" localSheetId="0">'Table 1'!$A$1:$J$52</definedName>
    <definedName name="_xlnm.Print_Area" localSheetId="1">'Table 2'!$A$1:$J$4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J15" i="2" l="1"/>
  <c r="G15" i="2"/>
  <c r="F38" i="1"/>
  <c r="F37" i="1"/>
  <c r="F33" i="1"/>
  <c r="F8" i="1"/>
  <c r="J18" i="1" l="1"/>
  <c r="F41" i="1"/>
  <c r="F36" i="1"/>
  <c r="F31" i="1"/>
  <c r="F29" i="1"/>
  <c r="F28" i="1"/>
  <c r="F27" i="1"/>
  <c r="F12" i="1"/>
  <c r="C15" i="9" s="1"/>
  <c r="H39" i="9"/>
  <c r="C21" i="9"/>
  <c r="F39" i="9"/>
  <c r="C8" i="9"/>
  <c r="F8" i="9" s="1"/>
  <c r="C9" i="9"/>
  <c r="F9" i="9" s="1"/>
  <c r="C7" i="9"/>
  <c r="C10" i="9" s="1"/>
  <c r="L39" i="9"/>
  <c r="F7" i="9" l="1"/>
  <c r="F10" i="9" s="1"/>
  <c r="G7" i="9"/>
  <c r="F15" i="9"/>
  <c r="F21" i="9"/>
  <c r="E10" i="2" l="1"/>
  <c r="E9" i="2"/>
  <c r="F10" i="2" l="1"/>
  <c r="G10" i="2" s="1"/>
  <c r="H10" i="2" l="1"/>
  <c r="I10" i="2"/>
  <c r="E40" i="1"/>
  <c r="E39" i="1"/>
  <c r="E38" i="1"/>
  <c r="E36" i="1"/>
  <c r="G36" i="1" s="1"/>
  <c r="E32" i="1"/>
  <c r="E31" i="1"/>
  <c r="G31" i="1" s="1"/>
  <c r="E29" i="1"/>
  <c r="G29" i="1" s="1"/>
  <c r="E28" i="1"/>
  <c r="G28" i="1" s="1"/>
  <c r="E27" i="1"/>
  <c r="G27" i="1" s="1"/>
  <c r="J10" i="2" l="1"/>
  <c r="H36" i="1"/>
  <c r="I36" i="1"/>
  <c r="H31" i="1"/>
  <c r="I31" i="1"/>
  <c r="H29" i="1"/>
  <c r="I29" i="1"/>
  <c r="H28" i="1"/>
  <c r="I28" i="1"/>
  <c r="H27" i="1"/>
  <c r="I27" i="1"/>
  <c r="E18" i="1"/>
  <c r="G18" i="1" s="1"/>
  <c r="E12" i="1"/>
  <c r="G12" i="1" s="1"/>
  <c r="J36" i="1" l="1"/>
  <c r="J31" i="1"/>
  <c r="J28" i="1"/>
  <c r="J27" i="1"/>
  <c r="J29" i="1"/>
  <c r="H18" i="1"/>
  <c r="I18" i="1"/>
  <c r="H12" i="1"/>
  <c r="I12" i="1"/>
  <c r="J12" i="1" l="1"/>
  <c r="E17" i="1" l="1"/>
  <c r="E41" i="1"/>
  <c r="G41" i="1" s="1"/>
  <c r="H41" i="1" l="1"/>
  <c r="I41" i="1"/>
  <c r="J41" i="1" l="1"/>
  <c r="I30" i="2" l="1"/>
  <c r="E21" i="1" l="1"/>
  <c r="E34" i="1"/>
  <c r="E14" i="2"/>
  <c r="E15" i="1"/>
  <c r="E14" i="1"/>
  <c r="E5" i="1"/>
  <c r="E43" i="1"/>
  <c r="E42" i="1"/>
  <c r="E13" i="2" l="1"/>
  <c r="E12" i="2"/>
  <c r="E11" i="2"/>
  <c r="E8" i="2"/>
  <c r="E7" i="2"/>
  <c r="E35" i="1"/>
  <c r="E10" i="9"/>
  <c r="C31" i="9" s="1"/>
  <c r="F42" i="1" l="1"/>
  <c r="G42" i="1" s="1"/>
  <c r="E25" i="9"/>
  <c r="F25" i="9" s="1"/>
  <c r="I42" i="1"/>
  <c r="H42" i="1"/>
  <c r="J42" i="1" s="1"/>
  <c r="G8" i="9"/>
  <c r="G9" i="9" s="1"/>
  <c r="G10" i="9" s="1"/>
  <c r="D10" i="9" l="1"/>
  <c r="G39" i="9" s="1"/>
  <c r="E37" i="1"/>
  <c r="E33" i="1"/>
  <c r="E20" i="1"/>
  <c r="E19" i="1"/>
  <c r="E16" i="1"/>
  <c r="E13" i="1"/>
  <c r="E8" i="1"/>
  <c r="J47" i="1" l="1"/>
  <c r="C30" i="9"/>
  <c r="C32" i="9" s="1"/>
  <c r="F34" i="1" l="1"/>
  <c r="G34" i="1" s="1"/>
  <c r="F14" i="2"/>
  <c r="G14" i="2" s="1"/>
  <c r="F43" i="1"/>
  <c r="G43" i="1" s="1"/>
  <c r="F35" i="1"/>
  <c r="G35" i="1" s="1"/>
  <c r="F21" i="1"/>
  <c r="F19" i="1"/>
  <c r="F20" i="1"/>
  <c r="F14" i="1"/>
  <c r="F13" i="1"/>
  <c r="F5" i="1"/>
  <c r="I14" i="2" l="1"/>
  <c r="H14" i="2"/>
  <c r="J14" i="2"/>
  <c r="I34" i="1"/>
  <c r="H34" i="1"/>
  <c r="J34" i="1"/>
  <c r="I43" i="1"/>
  <c r="H43" i="1"/>
  <c r="J43" i="1" s="1"/>
  <c r="C17" i="9"/>
  <c r="F17" i="9" s="1"/>
  <c r="G14" i="1"/>
  <c r="F8" i="2"/>
  <c r="G8" i="2" s="1"/>
  <c r="I35" i="1"/>
  <c r="H35" i="1"/>
  <c r="J35" i="1"/>
  <c r="C16" i="9"/>
  <c r="F16" i="9" s="1"/>
  <c r="F7" i="2"/>
  <c r="G7" i="2" s="1"/>
  <c r="G13" i="1"/>
  <c r="F40" i="1"/>
  <c r="G40" i="1" s="1"/>
  <c r="C24" i="9"/>
  <c r="F24" i="9" s="1"/>
  <c r="G21" i="1"/>
  <c r="F13" i="2"/>
  <c r="G13" i="2" s="1"/>
  <c r="C14" i="9"/>
  <c r="F14" i="9" s="1"/>
  <c r="F15" i="1"/>
  <c r="F16" i="1"/>
  <c r="F17" i="1"/>
  <c r="C20" i="9" s="1"/>
  <c r="F20" i="9" s="1"/>
  <c r="G5" i="1"/>
  <c r="C23" i="9"/>
  <c r="F23" i="9" s="1"/>
  <c r="F12" i="2"/>
  <c r="G12" i="2" s="1"/>
  <c r="G20" i="1"/>
  <c r="C22" i="9"/>
  <c r="F22" i="9" s="1"/>
  <c r="F39" i="1"/>
  <c r="G39" i="1" s="1"/>
  <c r="F11" i="2"/>
  <c r="G11" i="2" s="1"/>
  <c r="G19" i="1"/>
  <c r="G38" i="1"/>
  <c r="G37" i="1"/>
  <c r="G33" i="1"/>
  <c r="G8" i="1"/>
  <c r="H8" i="1" l="1"/>
  <c r="I8" i="1"/>
  <c r="H20" i="1"/>
  <c r="I20" i="1"/>
  <c r="H13" i="2"/>
  <c r="I13" i="2"/>
  <c r="I33" i="1"/>
  <c r="H33" i="1"/>
  <c r="I12" i="2"/>
  <c r="H12" i="2"/>
  <c r="I21" i="1"/>
  <c r="H21" i="1"/>
  <c r="I37" i="1"/>
  <c r="H37" i="1"/>
  <c r="J37" i="1" s="1"/>
  <c r="I8" i="2"/>
  <c r="H8" i="2"/>
  <c r="J8" i="2" s="1"/>
  <c r="I40" i="1"/>
  <c r="H40" i="1"/>
  <c r="I38" i="1"/>
  <c r="H38" i="1"/>
  <c r="J38" i="1" s="1"/>
  <c r="I5" i="1"/>
  <c r="H5" i="1"/>
  <c r="J5" i="1"/>
  <c r="I14" i="1"/>
  <c r="H14" i="1"/>
  <c r="I19" i="1"/>
  <c r="H19" i="1"/>
  <c r="J19" i="1"/>
  <c r="F9" i="2"/>
  <c r="G9" i="2" s="1"/>
  <c r="G17" i="1"/>
  <c r="F32" i="1"/>
  <c r="G32" i="1" s="1"/>
  <c r="H13" i="1"/>
  <c r="I13" i="1"/>
  <c r="H11" i="2"/>
  <c r="I11" i="2"/>
  <c r="C19" i="9"/>
  <c r="F19" i="9" s="1"/>
  <c r="G16" i="1"/>
  <c r="I7" i="2"/>
  <c r="H7" i="2"/>
  <c r="C18" i="9"/>
  <c r="F18" i="9" s="1"/>
  <c r="G15" i="1"/>
  <c r="H39" i="1"/>
  <c r="I39" i="1"/>
  <c r="J11" i="2" l="1"/>
  <c r="J40" i="1"/>
  <c r="J33" i="1"/>
  <c r="J20" i="1"/>
  <c r="J39" i="1"/>
  <c r="J13" i="2"/>
  <c r="J14" i="1"/>
  <c r="J21" i="1"/>
  <c r="J13" i="1"/>
  <c r="J8" i="1"/>
  <c r="I16" i="1"/>
  <c r="H16" i="1"/>
  <c r="J16" i="1" s="1"/>
  <c r="I9" i="2"/>
  <c r="H9" i="2"/>
  <c r="J12" i="2"/>
  <c r="J7" i="2"/>
  <c r="H17" i="1"/>
  <c r="I17" i="1"/>
  <c r="J17" i="1" s="1"/>
  <c r="I15" i="1"/>
  <c r="H15" i="1"/>
  <c r="H32" i="1"/>
  <c r="I32" i="1"/>
  <c r="G45" i="1" l="1"/>
  <c r="G22" i="1"/>
  <c r="J15" i="1"/>
  <c r="J22" i="1" s="1"/>
  <c r="J9" i="2"/>
  <c r="J32" i="1"/>
  <c r="J45" i="1" s="1"/>
  <c r="J46" i="1" l="1"/>
  <c r="J48" i="1" s="1"/>
  <c r="G46" i="1"/>
  <c r="M47" i="1" s="1"/>
</calcChain>
</file>

<file path=xl/sharedStrings.xml><?xml version="1.0" encoding="utf-8"?>
<sst xmlns="http://schemas.openxmlformats.org/spreadsheetml/2006/main" count="199" uniqueCount="164">
  <si>
    <t>Burden Item</t>
  </si>
  <si>
    <t>A</t>
  </si>
  <si>
    <t>B</t>
  </si>
  <si>
    <t>C</t>
  </si>
  <si>
    <t>D</t>
  </si>
  <si>
    <t>E</t>
  </si>
  <si>
    <t>F</t>
  </si>
  <si>
    <t>G</t>
  </si>
  <si>
    <t>H</t>
  </si>
  <si>
    <t>Technical person-hours per occurrence</t>
  </si>
  <si>
    <t>No. of occurrences per respondent per year</t>
  </si>
  <si>
    <t>Technical person-hours per respondent per year (AxB)</t>
  </si>
  <si>
    <t>Technical hours per year (CxD)</t>
  </si>
  <si>
    <t>Total Annual Responses</t>
  </si>
  <si>
    <t>(A)
Information Collection Activity</t>
  </si>
  <si>
    <t>(C)
Number of Responses</t>
  </si>
  <si>
    <t>(D)
Number of Existing Respondents That Keep Records But Do Not Submit Reports</t>
  </si>
  <si>
    <t>(E)
Total Annual Responses
E=(BxC)+D</t>
  </si>
  <si>
    <r>
      <t xml:space="preserve">Total cost per year ($) </t>
    </r>
    <r>
      <rPr>
        <b/>
        <vertAlign val="superscript"/>
        <sz val="10"/>
        <rFont val="Times New Roman"/>
        <family val="1"/>
      </rPr>
      <t>b</t>
    </r>
  </si>
  <si>
    <t>(A)</t>
  </si>
  <si>
    <t>(B)</t>
  </si>
  <si>
    <t>(C)</t>
  </si>
  <si>
    <t>(D)</t>
  </si>
  <si>
    <t>(E)</t>
  </si>
  <si>
    <r>
      <t xml:space="preserve">Respondents per year </t>
    </r>
    <r>
      <rPr>
        <b/>
        <vertAlign val="superscript"/>
        <sz val="10"/>
        <rFont val="Times New Roman"/>
        <family val="1"/>
      </rPr>
      <t>a</t>
    </r>
  </si>
  <si>
    <t>Management hours per year  (Ex0.05)</t>
  </si>
  <si>
    <t>Clerical hours per year (Ex0.10)</t>
  </si>
  <si>
    <t xml:space="preserve">(B)
Number of Respondents  </t>
  </si>
  <si>
    <t>Total</t>
  </si>
  <si>
    <t>3.  Reporting requirements</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</si>
  <si>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</si>
  <si>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</si>
  <si>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</si>
  <si>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</si>
  <si>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</si>
  <si>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</si>
  <si>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</si>
  <si>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</si>
  <si>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</si>
  <si>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</si>
  <si>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</si>
  <si>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</si>
  <si>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</si>
  <si>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</si>
  <si>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</si>
  <si>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Notification of actual startup</t>
  </si>
  <si>
    <t>See 3A</t>
  </si>
  <si>
    <t>New</t>
  </si>
  <si>
    <t>Notification of construction/reconstruction</t>
  </si>
  <si>
    <t>Subtotal for Reporting Requirements</t>
  </si>
  <si>
    <t>Subtotal for Recordkeeping Requirements</t>
  </si>
  <si>
    <t>Source Type</t>
  </si>
  <si>
    <t>G.  Audits</t>
  </si>
  <si>
    <t>See 3D</t>
  </si>
  <si>
    <t>1.  Excess emissions enforcement activities</t>
  </si>
  <si>
    <t>Table 1: Annual Respondent Burden and Cost – NESHAP for Wood Furniture Manufacturing Operations (40 CFR Part 63, Subpart JJ) (Renewal)</t>
  </si>
  <si>
    <t>D.  Time to enter information</t>
  </si>
  <si>
    <t>C.  Gather existing information</t>
  </si>
  <si>
    <t>D.  Write reports</t>
  </si>
  <si>
    <t>2.  Report review</t>
  </si>
  <si>
    <r>
      <t xml:space="preserve">1.  Applications for construction, reconstruction, and modification </t>
    </r>
    <r>
      <rPr>
        <vertAlign val="superscript"/>
        <sz val="10"/>
        <rFont val="Times New Roman"/>
        <family val="1"/>
      </rPr>
      <t>c</t>
    </r>
  </si>
  <si>
    <r>
      <t xml:space="preserve">Notification of construction/reconstruction </t>
    </r>
    <r>
      <rPr>
        <vertAlign val="superscript"/>
        <sz val="10"/>
        <rFont val="Times New Roman"/>
        <family val="1"/>
      </rPr>
      <t>c</t>
    </r>
  </si>
  <si>
    <r>
      <t xml:space="preserve">Notification of modification (physical/operational changes) </t>
    </r>
    <r>
      <rPr>
        <vertAlign val="superscript"/>
        <sz val="10"/>
        <rFont val="Times New Roman"/>
        <family val="1"/>
      </rPr>
      <t>c</t>
    </r>
  </si>
  <si>
    <r>
      <t xml:space="preserve">Notification of anticipated startup (including reconstruction and modification) </t>
    </r>
    <r>
      <rPr>
        <vertAlign val="superscript"/>
        <sz val="10"/>
        <rFont val="Times New Roman"/>
        <family val="1"/>
      </rPr>
      <t>c</t>
    </r>
  </si>
  <si>
    <r>
      <t xml:space="preserve">Notification of actual startup </t>
    </r>
    <r>
      <rPr>
        <vertAlign val="superscript"/>
        <sz val="10"/>
        <rFont val="Times New Roman"/>
        <family val="1"/>
      </rPr>
      <t>c</t>
    </r>
  </si>
  <si>
    <r>
      <t xml:space="preserve">A.  Review notification of construction/reconstruction </t>
    </r>
    <r>
      <rPr>
        <vertAlign val="superscript"/>
        <sz val="10"/>
        <rFont val="Times New Roman"/>
        <family val="1"/>
      </rPr>
      <t>c</t>
    </r>
  </si>
  <si>
    <r>
      <t xml:space="preserve">B.  Review notification of modification (physical/operational changes) </t>
    </r>
    <r>
      <rPr>
        <vertAlign val="superscript"/>
        <sz val="10"/>
        <rFont val="Times New Roman"/>
        <family val="1"/>
      </rPr>
      <t>c</t>
    </r>
  </si>
  <si>
    <t>Quarterly excess emissions reports</t>
  </si>
  <si>
    <t>Application for construction, reconstruction, and modification</t>
  </si>
  <si>
    <t>Notification of modification</t>
  </si>
  <si>
    <t>Notification of anticipated startup</t>
  </si>
  <si>
    <r>
      <t xml:space="preserve">Quarterly excess emissions reports </t>
    </r>
    <r>
      <rPr>
        <vertAlign val="superscript"/>
        <sz val="10"/>
        <rFont val="Times New Roman"/>
        <family val="1"/>
      </rPr>
      <t>g</t>
    </r>
  </si>
  <si>
    <r>
      <t xml:space="preserve">B.  Create information </t>
    </r>
    <r>
      <rPr>
        <vertAlign val="superscript"/>
        <sz val="10"/>
        <rFont val="Times New Roman"/>
        <family val="1"/>
      </rPr>
      <t>d</t>
    </r>
  </si>
  <si>
    <t>Existing (area)</t>
  </si>
  <si>
    <t>Formaldehyde</t>
  </si>
  <si>
    <t>See 4D</t>
  </si>
  <si>
    <r>
      <t xml:space="preserve">Notification of performance test </t>
    </r>
    <r>
      <rPr>
        <vertAlign val="superscript"/>
        <sz val="10"/>
        <rFont val="Times New Roman"/>
        <family val="1"/>
      </rPr>
      <t>c</t>
    </r>
  </si>
  <si>
    <r>
      <t xml:space="preserve">Semiannual compliance status reports (compliant coatings) </t>
    </r>
    <r>
      <rPr>
        <vertAlign val="superscript"/>
        <sz val="10"/>
        <rFont val="Times New Roman"/>
        <family val="1"/>
      </rPr>
      <t>e</t>
    </r>
  </si>
  <si>
    <r>
      <t xml:space="preserve">Semiannual compliance status reports (control devices) </t>
    </r>
    <r>
      <rPr>
        <vertAlign val="superscript"/>
        <sz val="10"/>
        <rFont val="Times New Roman"/>
        <family val="1"/>
      </rPr>
      <t>f</t>
    </r>
  </si>
  <si>
    <r>
      <t xml:space="preserve">E.  Records for incidental and area sources </t>
    </r>
    <r>
      <rPr>
        <vertAlign val="superscript"/>
        <sz val="10"/>
        <rFont val="Times New Roman"/>
        <family val="1"/>
      </rPr>
      <t>q</t>
    </r>
  </si>
  <si>
    <t>A.  Familiarization with the regulatory requirements</t>
  </si>
  <si>
    <t>Notification of applicability (one-time)</t>
  </si>
  <si>
    <t>Records for incidental and area sources</t>
  </si>
  <si>
    <t>Notification of performance test</t>
  </si>
  <si>
    <t>Notification of increased annual VHAP usage</t>
  </si>
  <si>
    <t>Table 2: Average Annual EPA Burden and Cost – NESHAP for Wood Furniture Manufacturing Operations (40 CFR Part 63, Subpart JJ) (Renewal)</t>
  </si>
  <si>
    <r>
      <t xml:space="preserve">F.  Review semiannual compliance status reports (control devices) </t>
    </r>
    <r>
      <rPr>
        <vertAlign val="superscript"/>
        <sz val="10"/>
        <rFont val="Times New Roman"/>
        <family val="1"/>
      </rPr>
      <t>f</t>
    </r>
  </si>
  <si>
    <r>
      <t xml:space="preserve">G.  Review quarterly excess emission reports </t>
    </r>
    <r>
      <rPr>
        <vertAlign val="superscript"/>
        <sz val="10"/>
        <rFont val="Times New Roman"/>
        <family val="1"/>
      </rPr>
      <t>g</t>
    </r>
  </si>
  <si>
    <r>
      <t xml:space="preserve">H.  Review annual records of formaldehyde content </t>
    </r>
    <r>
      <rPr>
        <vertAlign val="superscript"/>
        <sz val="10"/>
        <rFont val="Times New Roman"/>
        <family val="1"/>
      </rPr>
      <t>h</t>
    </r>
  </si>
  <si>
    <t>ERG Notes</t>
  </si>
  <si>
    <t>Labor Rates</t>
  </si>
  <si>
    <t>Managerial</t>
  </si>
  <si>
    <t>Technical</t>
  </si>
  <si>
    <t>Clerical</t>
  </si>
  <si>
    <r>
      <rPr>
        <vertAlign val="superscript"/>
        <sz val="10"/>
        <rFont val="Times New Roman"/>
        <family val="1"/>
      </rPr>
      <t>b</t>
    </r>
    <r>
      <rPr>
        <sz val="10"/>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</si>
  <si>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10"/>
        <rFont val="Times New Roman"/>
        <family val="1"/>
      </rPr>
      <t>d</t>
    </r>
    <r>
      <rPr>
        <sz val="10"/>
        <rFont val="Times New Roman"/>
        <family val="1"/>
      </rPr>
      <t xml:space="preserve"> EPA does not estimate any sources will need to report a notification of increased annual VHAP usage. </t>
    </r>
  </si>
  <si>
    <r>
      <rPr>
        <vertAlign val="superscript"/>
        <sz val="10"/>
        <color theme="1"/>
        <rFont val="Times New Roman"/>
        <family val="1"/>
      </rPr>
      <t xml:space="preserve">i </t>
    </r>
    <r>
      <rPr>
        <sz val="10"/>
        <color theme="1"/>
        <rFont val="Times New Roman"/>
        <family val="1"/>
      </rPr>
      <t xml:space="preserve"> Totals have been rounded to 3 significant figures. Figures may not add exactly due to rounding.</t>
    </r>
  </si>
  <si>
    <t>Assumptions</t>
  </si>
  <si>
    <t>Labor Costs</t>
  </si>
  <si>
    <r>
      <rPr>
        <vertAlign val="superscript"/>
        <sz val="10"/>
        <rFont val="Times New Roman"/>
        <family val="1"/>
      </rPr>
      <t>d</t>
    </r>
    <r>
      <rPr>
        <sz val="10"/>
        <rFont val="Times New Roman"/>
        <family val="1"/>
      </rPr>
      <t xml:space="preserve">  EPA does not estimate any sources will need to report a notification of increased annual VHAP usage. </t>
    </r>
  </si>
  <si>
    <r>
      <rPr>
        <vertAlign val="superscript"/>
        <sz val="10"/>
        <rFont val="Times New Roman"/>
        <family val="1"/>
      </rPr>
      <t>i</t>
    </r>
    <r>
      <rPr>
        <sz val="10"/>
        <rFont val="Times New Roman"/>
        <family val="1"/>
      </rPr>
      <t xml:space="preserve">  Records of applicability is a one-time requirement. EPA assumes only the reconstructed or modified sources will require to create this record. Other existing sources have previously created this record.</t>
    </r>
  </si>
  <si>
    <r>
      <rPr>
        <vertAlign val="superscript"/>
        <sz val="10"/>
        <rFont val="Times New Roman"/>
        <family val="1"/>
      </rPr>
      <t>j</t>
    </r>
    <r>
      <rPr>
        <sz val="10"/>
        <rFont val="Times New Roman"/>
        <family val="1"/>
      </rPr>
      <t xml:space="preserve">  EPA assumes all major sources will record information once per month.</t>
    </r>
  </si>
  <si>
    <r>
      <rPr>
        <vertAlign val="superscript"/>
        <sz val="10"/>
        <rFont val="Times New Roman"/>
        <family val="1"/>
      </rPr>
      <t>n</t>
    </r>
    <r>
      <rPr>
        <sz val="10"/>
        <rFont val="Times New Roman"/>
        <family val="1"/>
      </rPr>
      <t xml:space="preserve">  EPA assumes all major sources will participate in the annual personnel refresher course once per year and record the training participation.</t>
    </r>
  </si>
  <si>
    <r>
      <rPr>
        <vertAlign val="superscript"/>
        <sz val="10"/>
        <rFont val="Times New Roman"/>
        <family val="1"/>
      </rPr>
      <t>o</t>
    </r>
    <r>
      <rPr>
        <sz val="10"/>
        <rFont val="Times New Roman"/>
        <family val="1"/>
      </rPr>
      <t xml:space="preserve">  EPA assumes all major sources will conduct monthly inspections and maintain records of these and other work practices.</t>
    </r>
  </si>
  <si>
    <r>
      <rPr>
        <vertAlign val="superscript"/>
        <sz val="10"/>
        <color theme="1"/>
        <rFont val="Times New Roman"/>
        <family val="1"/>
      </rPr>
      <t>r</t>
    </r>
    <r>
      <rPr>
        <sz val="10"/>
        <color theme="1"/>
        <rFont val="Times New Roman"/>
        <family val="1"/>
      </rPr>
      <t xml:space="preserve">  Totals have been rounded to 3 significant figures. Figures may not add exactly due to rounding.</t>
    </r>
  </si>
  <si>
    <r>
      <t xml:space="preserve">TOTAL (rounded) </t>
    </r>
    <r>
      <rPr>
        <b/>
        <vertAlign val="superscript"/>
        <sz val="10"/>
        <rFont val="Times New Roman"/>
        <family val="1"/>
      </rPr>
      <t>i</t>
    </r>
  </si>
  <si>
    <r>
      <t xml:space="preserve">Notification of compliance status / Semiannual compliance status reports (compliant coatings) </t>
    </r>
    <r>
      <rPr>
        <vertAlign val="superscript"/>
        <sz val="10"/>
        <rFont val="Times New Roman"/>
        <family val="1"/>
      </rPr>
      <t>e</t>
    </r>
  </si>
  <si>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</si>
  <si>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</si>
  <si>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</si>
  <si>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</si>
  <si>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</si>
  <si>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</si>
  <si>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</si>
  <si>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(G)</t>
  </si>
  <si>
    <t>Control device (several options available)</t>
  </si>
  <si>
    <t>Total O&amp;M, (ExF)</t>
  </si>
  <si>
    <r>
      <t xml:space="preserve">Number of Respondents  with O&amp;M </t>
    </r>
    <r>
      <rPr>
        <vertAlign val="superscript"/>
        <sz val="10"/>
        <color theme="1"/>
        <rFont val="Times New Roman"/>
        <family val="1"/>
      </rPr>
      <t>a</t>
    </r>
  </si>
  <si>
    <r>
      <t xml:space="preserve">Notification of applicability (one-time) </t>
    </r>
    <r>
      <rPr>
        <vertAlign val="superscript"/>
        <sz val="10"/>
        <rFont val="Times New Roman"/>
        <family val="1"/>
      </rPr>
      <t>a</t>
    </r>
  </si>
  <si>
    <r>
      <t xml:space="preserve">Notification of increased annual VHAP usage </t>
    </r>
    <r>
      <rPr>
        <vertAlign val="superscript"/>
        <sz val="10"/>
        <rFont val="Times New Roman"/>
        <family val="1"/>
      </rPr>
      <t>d</t>
    </r>
  </si>
  <si>
    <r>
      <t xml:space="preserve">Prepare work practice standards implementation plan </t>
    </r>
    <r>
      <rPr>
        <vertAlign val="superscript"/>
        <sz val="10"/>
        <rFont val="Times New Roman"/>
        <family val="1"/>
      </rPr>
      <t>h</t>
    </r>
  </si>
  <si>
    <r>
      <t xml:space="preserve">Formulation assessment plan </t>
    </r>
    <r>
      <rPr>
        <vertAlign val="superscript"/>
        <sz val="10"/>
        <rFont val="Times New Roman"/>
        <family val="1"/>
      </rPr>
      <t>h</t>
    </r>
  </si>
  <si>
    <r>
      <t xml:space="preserve">    Records of applicability </t>
    </r>
    <r>
      <rPr>
        <vertAlign val="superscript"/>
        <sz val="10"/>
        <rFont val="Times New Roman"/>
        <family val="1"/>
      </rPr>
      <t>i</t>
    </r>
  </si>
  <si>
    <r>
      <t xml:space="preserve">    Records of performance test </t>
    </r>
    <r>
      <rPr>
        <vertAlign val="superscript"/>
        <sz val="10"/>
        <rFont val="Times New Roman"/>
        <family val="1"/>
      </rPr>
      <t>c</t>
    </r>
  </si>
  <si>
    <r>
      <t xml:space="preserve">Records of types and quantities of materials used, including VHAP, VOC, viscosity and solids content data </t>
    </r>
    <r>
      <rPr>
        <vertAlign val="superscript"/>
        <sz val="10"/>
        <rFont val="Times New Roman"/>
        <family val="1"/>
      </rPr>
      <t>j</t>
    </r>
  </si>
  <si>
    <r>
      <t xml:space="preserve">Records of formaldehyde content </t>
    </r>
    <r>
      <rPr>
        <vertAlign val="superscript"/>
        <sz val="10"/>
        <rFont val="Times New Roman"/>
        <family val="1"/>
      </rPr>
      <t>k</t>
    </r>
  </si>
  <si>
    <r>
      <t xml:space="preserve">Records of CMS parameters </t>
    </r>
    <r>
      <rPr>
        <vertAlign val="superscript"/>
        <sz val="10"/>
        <rFont val="Times New Roman"/>
        <family val="1"/>
      </rPr>
      <t>l</t>
    </r>
  </si>
  <si>
    <r>
      <t xml:space="preserve">Records of monthly averaging calculations </t>
    </r>
    <r>
      <rPr>
        <vertAlign val="superscript"/>
        <sz val="10"/>
        <rFont val="Times New Roman"/>
        <family val="1"/>
      </rPr>
      <t>m</t>
    </r>
  </si>
  <si>
    <r>
      <t xml:space="preserve">Records of operators training work practice </t>
    </r>
    <r>
      <rPr>
        <vertAlign val="superscript"/>
        <sz val="10"/>
        <rFont val="Times New Roman"/>
        <family val="1"/>
      </rPr>
      <t>n</t>
    </r>
  </si>
  <si>
    <r>
      <t xml:space="preserve">Records of other work practices (inspection and maintenance, solvent accounting, formulation assessment) </t>
    </r>
    <r>
      <rPr>
        <vertAlign val="superscript"/>
        <sz val="10"/>
        <rFont val="Times New Roman"/>
        <family val="1"/>
      </rPr>
      <t>o</t>
    </r>
  </si>
  <si>
    <r>
      <t xml:space="preserve">Records of semi-annual reports and supporting calculations </t>
    </r>
    <r>
      <rPr>
        <vertAlign val="superscript"/>
        <sz val="10"/>
        <rFont val="Times New Roman"/>
        <family val="1"/>
      </rPr>
      <t>e,f</t>
    </r>
  </si>
  <si>
    <r>
      <t xml:space="preserve">Records of quarterly reports and supporting calculations </t>
    </r>
    <r>
      <rPr>
        <vertAlign val="superscript"/>
        <sz val="10"/>
        <rFont val="Times New Roman"/>
        <family val="1"/>
      </rPr>
      <t>g</t>
    </r>
  </si>
  <si>
    <r>
      <t xml:space="preserve">Records of start-up, shutdown and malfunction </t>
    </r>
    <r>
      <rPr>
        <vertAlign val="superscript"/>
        <sz val="10"/>
        <rFont val="Times New Roman"/>
        <family val="1"/>
      </rPr>
      <t>p</t>
    </r>
  </si>
  <si>
    <r>
      <t xml:space="preserve">F.  Annual personnel refresher course </t>
    </r>
    <r>
      <rPr>
        <vertAlign val="superscript"/>
        <sz val="10"/>
        <rFont val="Times New Roman"/>
        <family val="1"/>
      </rPr>
      <t>n</t>
    </r>
  </si>
  <si>
    <r>
      <t xml:space="preserve">TOTAL LABOR BURDEN AND COSTS (rounded) </t>
    </r>
    <r>
      <rPr>
        <b/>
        <vertAlign val="superscript"/>
        <sz val="10"/>
        <rFont val="Times New Roman"/>
        <family val="1"/>
      </rPr>
      <t>r</t>
    </r>
  </si>
  <si>
    <r>
      <t xml:space="preserve">TOTAL CAPITAL AND O&amp;M COST (rounded) </t>
    </r>
    <r>
      <rPr>
        <b/>
        <vertAlign val="superscript"/>
        <sz val="10"/>
        <color rgb="FF000000"/>
        <rFont val="Times New Roman"/>
        <family val="1"/>
      </rPr>
      <t>r</t>
    </r>
  </si>
  <si>
    <r>
      <t xml:space="preserve">GRAND TOTAL (rounded) </t>
    </r>
    <r>
      <rPr>
        <b/>
        <vertAlign val="superscript"/>
        <sz val="10"/>
        <color rgb="FF000000"/>
        <rFont val="Times New Roman"/>
        <family val="1"/>
      </rPr>
      <t>r</t>
    </r>
  </si>
  <si>
    <t>CEPCI Index</t>
  </si>
  <si>
    <t>Year 2001</t>
  </si>
  <si>
    <t>Year 2019</t>
  </si>
  <si>
    <r>
      <t xml:space="preserve">b </t>
    </r>
    <r>
      <rPr>
        <sz val="10"/>
        <color theme="1"/>
        <rFont val="Times New Roman"/>
        <family val="1"/>
      </rPr>
      <t xml:space="preserve"> The annual O&amp;M costs have been updated from year 2001 to year 2019 using the CEPCI Index.</t>
    </r>
  </si>
  <si>
    <t>Number</t>
  </si>
  <si>
    <r>
      <rPr>
        <vertAlign val="superscript"/>
        <sz val="10"/>
        <rFont val="Times New Roman"/>
        <family val="1"/>
      </rPr>
      <t>h</t>
    </r>
    <r>
      <rPr>
        <sz val="10"/>
        <rFont val="Times New Roman"/>
        <family val="1"/>
      </rPr>
      <t xml:space="preserve">  This is a one-time requirement. EPA assumes only the reconstructed or modified sources will require this plan to be created or updated to reflect new operations. Other sources are assumed to already have a plan on file. This plan is not required to be submitted, but only kept on-site as a record.</t>
    </r>
  </si>
  <si>
    <r>
      <t xml:space="preserve">D. Review notification of increased VHAP usage </t>
    </r>
    <r>
      <rPr>
        <vertAlign val="superscript"/>
        <sz val="10"/>
        <rFont val="Times New Roman"/>
        <family val="1"/>
      </rPr>
      <t>d</t>
    </r>
  </si>
  <si>
    <r>
      <t xml:space="preserve">C. Performance Tests </t>
    </r>
    <r>
      <rPr>
        <vertAlign val="superscript"/>
        <sz val="10"/>
        <rFont val="Times New Roman"/>
        <family val="1"/>
      </rPr>
      <t>c</t>
    </r>
  </si>
  <si>
    <r>
      <t xml:space="preserve">E.  Review semiannual compliance status reports (compliant coatings) </t>
    </r>
    <r>
      <rPr>
        <vertAlign val="superscript"/>
        <sz val="10"/>
        <rFont val="Times New Roman"/>
        <family val="1"/>
      </rPr>
      <t>e</t>
    </r>
  </si>
  <si>
    <r>
      <t xml:space="preserve">a </t>
    </r>
    <r>
      <rPr>
        <sz val="12"/>
        <color theme="1"/>
        <rFont val="Times New Roman"/>
        <family val="1"/>
      </rPr>
      <t xml:space="preserve"> </t>
    </r>
    <r>
      <rPr>
        <sz val="10"/>
        <color theme="1"/>
        <rFont val="Times New Roman"/>
        <family val="1"/>
      </rPr>
      <t>EPA assumes 10% of affected major sources will use control devices to comply with the standard (142 x 0.1 = 14, after rounding).</t>
    </r>
  </si>
  <si>
    <r>
      <rPr>
        <vertAlign val="superscript"/>
        <sz val="10"/>
        <rFont val="Times New Roman"/>
        <family val="1"/>
      </rPr>
      <t>e</t>
    </r>
    <r>
      <rPr>
        <sz val="10"/>
        <rFont val="Times New Roman"/>
        <family val="1"/>
      </rPr>
      <t xml:space="preserve">  EPA assumes 90% of sources will comply by using compliant coatings or by using the HAP averaging approach (142 x 0.9 = 128, after rounding ).</t>
    </r>
  </si>
  <si>
    <r>
      <rPr>
        <vertAlign val="superscript"/>
        <sz val="10"/>
        <rFont val="Times New Roman"/>
        <family val="1"/>
      </rPr>
      <t>f</t>
    </r>
    <r>
      <rPr>
        <sz val="10"/>
        <rFont val="Times New Roman"/>
        <family val="1"/>
      </rPr>
      <t xml:space="preserve">  EPA assumes 10% of sources will comply by using control devices.  However, only 95% are assumed to be in compliance at any given time, and would be required to submit reports semiannually rather than quarterly.  Therefore, the number of affected sources submitting semiannual reports is 13 (142 x 0.1 x 0.95 = 13, after rounding).</t>
    </r>
  </si>
  <si>
    <r>
      <rPr>
        <vertAlign val="superscript"/>
        <sz val="10"/>
        <rFont val="Times New Roman"/>
        <family val="1"/>
      </rPr>
      <t>k</t>
    </r>
    <r>
      <rPr>
        <sz val="10"/>
        <rFont val="Times New Roman"/>
        <family val="1"/>
      </rPr>
      <t xml:space="preserve">  EPA estimates 52 major sources will use coatings containing formaldehyde. These sources will be required to record the formaldehyde content of their coatings on a monthly basis. Reporting of formaldehyde content will occur on an annual basis and will coincide with existing reporting requirements mentioned above. Therefore, the only burden incurred by sources will be that of documenting the information.</t>
    </r>
  </si>
  <si>
    <r>
      <rPr>
        <vertAlign val="superscript"/>
        <sz val="10"/>
        <rFont val="Times New Roman"/>
        <family val="1"/>
      </rPr>
      <t>l</t>
    </r>
    <r>
      <rPr>
        <sz val="10"/>
        <rFont val="Times New Roman"/>
        <family val="1"/>
      </rPr>
      <t xml:space="preserve">  EPA assumes 10% of affected sources will use control devices to comply with the standard (142 x 0.1 = 14, after rounding).</t>
    </r>
  </si>
  <si>
    <r>
      <rPr>
        <vertAlign val="superscript"/>
        <sz val="10"/>
        <rFont val="Times New Roman"/>
        <family val="1"/>
      </rPr>
      <t>m</t>
    </r>
    <r>
      <rPr>
        <sz val="10"/>
        <rFont val="Times New Roman"/>
        <family val="1"/>
      </rPr>
      <t xml:space="preserve">  EPA assumes that of the 90% of affected sources that use the compliant coatings or emissions averaging approach, 25% will use the HAP averaging approach and must keep the records to support the calculations (142 x 0.9 x 0.25 = 32 , after rounding).</t>
    </r>
  </si>
  <si>
    <r>
      <rPr>
        <vertAlign val="superscript"/>
        <sz val="10"/>
        <rFont val="Times New Roman"/>
        <family val="1"/>
      </rPr>
      <t>p</t>
    </r>
    <r>
      <rPr>
        <sz val="10"/>
        <rFont val="Times New Roman"/>
        <family val="1"/>
      </rPr>
      <t xml:space="preserve">  EPA assumes that 10% of all sources using control devices (142 x 0.1 x 0.1 = 1, when rounded) will have startup, shutdown, or malfunction records to document once per month. </t>
    </r>
  </si>
  <si>
    <r>
      <rPr>
        <vertAlign val="superscript"/>
        <sz val="10"/>
        <rFont val="Times New Roman"/>
        <family val="1"/>
      </rPr>
      <t>g</t>
    </r>
    <r>
      <rPr>
        <sz val="10"/>
        <rFont val="Times New Roman"/>
        <family val="1"/>
      </rPr>
      <t xml:space="preserve">  EPA assumes 1 source will submit quarterly reports (142 x 0.1 x (1 - 0.095) = 1, after rounding).</t>
    </r>
  </si>
  <si>
    <r>
      <rPr>
        <vertAlign val="superscript"/>
        <sz val="10"/>
        <rFont val="Times New Roman"/>
        <family val="1"/>
      </rPr>
      <t>q</t>
    </r>
    <r>
      <rPr>
        <sz val="10"/>
        <rFont val="Times New Roman"/>
        <family val="1"/>
      </rPr>
      <t xml:space="preserve">  EPA assumes 88 affected incidental/area sources per year will record information once per month in order to demonstrate they are an area source, pursuant to 40 CFR Part 63 Subpart JJ, 63.800(b)(1)-(3).</t>
    </r>
  </si>
  <si>
    <r>
      <rPr>
        <vertAlign val="superscript"/>
        <sz val="10"/>
        <rFont val="Times New Roman"/>
        <family val="1"/>
      </rPr>
      <t>a</t>
    </r>
    <r>
      <rPr>
        <sz val="10"/>
        <rFont val="Times New Roman"/>
        <family val="1"/>
      </rPr>
      <t xml:space="preserve">  EPA estimates 142 existing major sources and 88 existing incidental/area sources will be subject to the standard.  No new major or area sources will become subject over the 3-year period of this ICR.</t>
    </r>
  </si>
  <si>
    <r>
      <rPr>
        <vertAlign val="superscript"/>
        <sz val="10"/>
        <rFont val="Times New Roman"/>
        <family val="1"/>
      </rPr>
      <t>c</t>
    </r>
    <r>
      <rPr>
        <sz val="10"/>
        <rFont val="Times New Roman"/>
        <family val="1"/>
      </rPr>
      <t xml:space="preserve">  EPA assumes 3% of sources will apply for reconstruction (142 x 0.03 = 4, after rounding) and 10% will apply for modification (142 x 0.1 = 14, after rounding). Of these 18 sources, 10% of the sources (rounded to 2 sources) will comply using control devices and be required to submit notification of the performance test.</t>
    </r>
  </si>
  <si>
    <r>
      <rPr>
        <vertAlign val="superscript"/>
        <sz val="10"/>
        <rFont val="Times New Roman"/>
        <family val="1"/>
      </rPr>
      <t xml:space="preserve">f </t>
    </r>
    <r>
      <rPr>
        <sz val="10"/>
        <rFont val="Times New Roman"/>
        <family val="1"/>
      </rPr>
      <t xml:space="preserve"> EPA assumes 10% of sources will comply by using control devices.  However, only 95% are assumed to be in compliance at any given time, and would be required to submit reports semiannually rather than quarterly.  Therefore, the number of affected sources submitting semiannual reports is 13 (142 x 0.1 x 0.95 = 13, after rounding).</t>
    </r>
  </si>
  <si>
    <r>
      <rPr>
        <vertAlign val="superscript"/>
        <sz val="10"/>
        <rFont val="Times New Roman"/>
        <family val="1"/>
      </rPr>
      <t>g</t>
    </r>
    <r>
      <rPr>
        <sz val="10"/>
        <rFont val="Times New Roman"/>
        <family val="1"/>
      </rPr>
      <t xml:space="preserve">  EPA assumes 1 source will submit quarterly reports (406 x 0.1 x (1 - 0.095) = 1, after rounding).</t>
    </r>
  </si>
  <si>
    <r>
      <rPr>
        <vertAlign val="superscript"/>
        <sz val="10"/>
        <rFont val="Times New Roman"/>
        <family val="1"/>
      </rPr>
      <t>h</t>
    </r>
    <r>
      <rPr>
        <sz val="10"/>
        <rFont val="Times New Roman"/>
        <family val="1"/>
      </rPr>
      <t xml:space="preserve">  EPA estimates 52 major sources will use coatings containing formaldehyde. These sources will be required to record the formaldehyde content of their coatings on a monthly basis. Reporting of formaldehyde content will occur on an annual basis and will coincide with existing reporting requirements. Therefore, the only burden incurred by sources will be that of recording the information.</t>
    </r>
  </si>
  <si>
    <r>
      <t xml:space="preserve">Prepare leak inspection and maintenance plan </t>
    </r>
    <r>
      <rPr>
        <vertAlign val="superscript"/>
        <sz val="10"/>
        <rFont val="Times New Roman"/>
        <family val="1"/>
      </rPr>
      <t>h</t>
    </r>
  </si>
  <si>
    <r>
      <rPr>
        <vertAlign val="superscript"/>
        <sz val="10"/>
        <rFont val="Times New Roman"/>
        <family val="1"/>
      </rPr>
      <t>a</t>
    </r>
    <r>
      <rPr>
        <sz val="10"/>
        <rFont val="Times New Roman"/>
        <family val="1"/>
      </rPr>
      <t xml:space="preserve">  EPA estimates 142 existing major sources and 88 existing incidental/area sources will be subject to the standard.  No new major or area sources will become subject over the next 3 years, therefore the one-time notification of applicability requirement does not apply.  Modified or reconstructed sources will submit their applicability notifications as part of their notifications of construction or modification. We assume that each source subject to the standard will have to familiarize with the regulatory requirements each year. </t>
    </r>
  </si>
  <si>
    <t xml:space="preserve">Existing (major)  </t>
  </si>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</sst>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quot;$&quot;#,##0.00"/>
    <numFmt numFmtId="165" formatCode="#,##0.0"/>
    <numFmt numFmtId="166" formatCode="0.0"/>
    <numFmt numFmtId="167" formatCode="&quot;$&quot;#,##0"/>
  </numFmts>
  <fonts count="23" x14ac:knownFonts="1">
    <font>
      <sz val="10"/>
      <color theme="1"/>
      <name val="Arial"/>
      <family val="2"/>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sz val="10"/>
      <color theme="1"/>
      <name val="Arial"/>
      <family val="2"/>
    </font>
    <font>
      <b/>
      <sz val="10"/>
      <color rgb="FF000000"/>
      <name val="Times New Roman"/>
      <family val="1"/>
    </font>
    <font>
      <b/>
      <vertAlign val="superscript"/>
      <sz val="10"/>
      <color rgb="FF000000"/>
      <name val="Times New Roman"/>
      <family val="1"/>
    </font>
    <font>
      <sz val="10"/>
      <color theme="1"/>
      <name val="Times New Roman"/>
      <family val="1"/>
    </font>
    <font>
      <b/>
      <sz val="10"/>
      <color theme="1"/>
      <name val="Times New Roman"/>
      <family val="1"/>
    </font>
    <font>
      <vertAlign val="superscript"/>
      <sz val="10"/>
      <color theme="1"/>
      <name val="Times New Roman"/>
      <family val="1"/>
    </font>
    <font>
      <sz val="12"/>
      <color theme="1"/>
      <name val="Times New Roman"/>
      <family val="1"/>
    </font>
    <font>
      <b/>
      <sz val="12"/>
      <color theme="1"/>
      <name val="Times New Roman"/>
      <family val="1"/>
    </font>
    <font>
      <vertAlign val="superscript"/>
      <sz val="12"/>
      <color theme="1"/>
      <name val="Times New Roman"/>
      <family val="1"/>
    </font>
    <font>
      <b/>
      <sz val="9"/>
      <color theme="1"/>
      <name val="Times New Roman"/>
      <family val="1"/>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43" fontId="13" fillId="0" borderId="0" applyFont="0" applyFill="0" applyBorder="0" applyAlignment="0" applyProtection="0"/>
  </cellStyleXfs>
  <cellXfs count="137">
    <xf numFmtId="0" fontId="0" fillId="0" borderId="0" xfId="0"/>
    <xf numFmtId="0" fontId="1" fillId="0" borderId="0" xfId="0" applyNumberFormat="1" applyFont="1" applyFill="1" applyAlignment="1"/>
    <xf numFmtId="0" fontId="2" fillId="0" borderId="1" xfId="0" applyNumberFormat="1" applyFont="1" applyFill="1" applyBorder="1" applyAlignment="1">
      <alignment horizontal="center"/>
    </xf>
    <xf numFmtId="0" fontId="1" fillId="0" borderId="0" xfId="0" applyNumberFormat="1" applyFont="1" applyAlignment="1"/>
    <xf numFmtId="0" fontId="1" fillId="0" borderId="0" xfId="0" applyNumberFormat="1" applyFont="1" applyFill="1" applyAlignment="1">
      <alignment wrapText="1"/>
    </xf>
    <xf numFmtId="0" fontId="1" fillId="0" borderId="0" xfId="0" applyNumberFormat="1" applyFont="1" applyAlignment="1">
      <alignment wrapText="1"/>
    </xf>
    <xf numFmtId="0" fontId="1" fillId="0" borderId="0" xfId="0" applyFont="1"/>
    <xf numFmtId="0" fontId="1" fillId="0" borderId="0" xfId="0" applyFont="1" applyFill="1"/>
    <xf numFmtId="4" fontId="2" fillId="0" borderId="1" xfId="0" applyNumberFormat="1" applyFont="1" applyFill="1" applyBorder="1" applyAlignment="1">
      <alignment horizontal="center"/>
    </xf>
    <xf numFmtId="4" fontId="1" fillId="0" borderId="0" xfId="0" applyNumberFormat="1" applyFont="1"/>
    <xf numFmtId="4" fontId="1" fillId="0" borderId="0" xfId="0" applyNumberFormat="1" applyFont="1" applyFill="1"/>
    <xf numFmtId="3" fontId="1" fillId="0" borderId="0" xfId="0" applyNumberFormat="1" applyFont="1" applyFill="1"/>
    <xf numFmtId="0" fontId="2" fillId="0" borderId="1" xfId="0" applyNumberFormat="1" applyFont="1" applyFill="1" applyBorder="1" applyAlignment="1">
      <alignment horizontal="center" vertical="center"/>
    </xf>
    <xf numFmtId="0" fontId="1" fillId="0" borderId="0" xfId="0" applyFont="1" applyFill="1" applyAlignment="1">
      <alignment horizontal="left" vertical="top"/>
    </xf>
    <xf numFmtId="0" fontId="1"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9" fillId="0" borderId="0" xfId="0" applyFont="1" applyFill="1"/>
    <xf numFmtId="0" fontId="9" fillId="0" borderId="0" xfId="0" applyFont="1" applyFill="1" applyAlignment="1"/>
    <xf numFmtId="0" fontId="1" fillId="0" borderId="0" xfId="0" applyFont="1" applyFill="1" applyBorder="1" applyAlignment="1">
      <alignment horizontal="center"/>
    </xf>
    <xf numFmtId="0" fontId="8" fillId="0" borderId="5" xfId="0" applyFont="1" applyBorder="1" applyAlignment="1">
      <alignment horizontal="center" vertical="top" wrapText="1"/>
    </xf>
    <xf numFmtId="0" fontId="2" fillId="0" borderId="1" xfId="0" applyNumberFormat="1" applyFont="1" applyFill="1" applyBorder="1" applyAlignment="1">
      <alignment horizontal="center" wrapText="1"/>
    </xf>
    <xf numFmtId="0" fontId="8" fillId="0" borderId="6" xfId="0" applyFont="1" applyBorder="1" applyAlignment="1">
      <alignment horizontal="center" vertical="top" wrapText="1"/>
    </xf>
    <xf numFmtId="0" fontId="4" fillId="0" borderId="7"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6" xfId="0" applyFont="1" applyFill="1" applyBorder="1" applyAlignment="1">
      <alignment horizontal="center" vertical="top" wrapText="1"/>
    </xf>
    <xf numFmtId="0" fontId="1" fillId="0" borderId="0" xfId="0" quotePrefix="1" applyFont="1" applyFill="1"/>
    <xf numFmtId="0" fontId="1" fillId="0" borderId="0" xfId="0" applyFont="1" applyFill="1" applyBorder="1" applyAlignment="1">
      <alignment horizontal="left"/>
    </xf>
    <xf numFmtId="0" fontId="1" fillId="0" borderId="0" xfId="0" applyFont="1" applyFill="1" applyAlignment="1"/>
    <xf numFmtId="0" fontId="2" fillId="0" borderId="1" xfId="0" applyNumberFormat="1" applyFont="1" applyFill="1" applyBorder="1" applyAlignment="1">
      <alignment horizontal="center" wrapText="1"/>
    </xf>
    <xf numFmtId="0" fontId="1" fillId="0" borderId="0" xfId="0" applyFont="1" applyFill="1" applyAlignment="1">
      <alignment horizontal="left"/>
    </xf>
    <xf numFmtId="0" fontId="1" fillId="0" borderId="1" xfId="0" applyFont="1" applyBorder="1"/>
    <xf numFmtId="0" fontId="2" fillId="2" borderId="1" xfId="0" applyFont="1" applyFill="1" applyBorder="1"/>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6" fillId="0" borderId="1" xfId="0" applyFont="1" applyFill="1" applyBorder="1" applyAlignment="1">
      <alignment vertical="top" wrapText="1"/>
    </xf>
    <xf numFmtId="0" fontId="12" fillId="0" borderId="0" xfId="0" applyFont="1"/>
    <xf numFmtId="6" fontId="1" fillId="0" borderId="0" xfId="0" applyNumberFormat="1" applyFont="1"/>
    <xf numFmtId="6" fontId="1" fillId="0" borderId="0" xfId="0" applyNumberFormat="1" applyFont="1" applyFill="1"/>
    <xf numFmtId="0" fontId="2" fillId="0" borderId="0" xfId="0" applyFont="1" applyFill="1" applyAlignment="1">
      <alignment vertical="top"/>
    </xf>
    <xf numFmtId="0" fontId="1" fillId="0" borderId="1" xfId="0" applyFont="1" applyFill="1" applyBorder="1" applyAlignment="1">
      <alignment horizontal="left" vertical="top" wrapText="1" inden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indent="2"/>
    </xf>
    <xf numFmtId="0" fontId="1" fillId="0" borderId="1" xfId="0" applyFont="1" applyFill="1" applyBorder="1" applyAlignment="1">
      <alignment horizontal="left"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vertical="top" wrapText="1"/>
    </xf>
    <xf numFmtId="165" fontId="1" fillId="0" borderId="1" xfId="0" applyNumberFormat="1" applyFont="1" applyFill="1" applyBorder="1" applyAlignment="1">
      <alignment horizontal="center" vertical="top" wrapText="1"/>
    </xf>
    <xf numFmtId="0" fontId="2" fillId="0" borderId="0" xfId="0" applyFont="1"/>
    <xf numFmtId="0" fontId="11" fillId="0" borderId="1" xfId="0" applyFont="1" applyFill="1" applyBorder="1" applyAlignment="1">
      <alignment vertical="top" wrapText="1"/>
    </xf>
    <xf numFmtId="3"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2" fillId="0" borderId="0" xfId="0" applyFont="1" applyFill="1"/>
    <xf numFmtId="2"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vertical="top" wrapText="1"/>
    </xf>
    <xf numFmtId="0" fontId="14" fillId="0" borderId="0" xfId="0" applyFont="1" applyFill="1" applyBorder="1" applyAlignment="1">
      <alignment horizontal="left" indent="1"/>
    </xf>
    <xf numFmtId="0" fontId="1" fillId="0" borderId="1" xfId="0" applyFont="1" applyFill="1" applyBorder="1"/>
    <xf numFmtId="0" fontId="1" fillId="0" borderId="0" xfId="0" applyFont="1" applyAlignment="1">
      <alignment wrapText="1"/>
    </xf>
    <xf numFmtId="0" fontId="2" fillId="0" borderId="0" xfId="0" applyFont="1" applyAlignment="1">
      <alignment wrapText="1"/>
    </xf>
    <xf numFmtId="0" fontId="1" fillId="0" borderId="0" xfId="0" applyFont="1" applyFill="1" applyAlignment="1">
      <alignment wrapText="1"/>
    </xf>
    <xf numFmtId="0" fontId="12" fillId="0" borderId="0" xfId="0" applyFont="1" applyAlignment="1">
      <alignment wrapText="1"/>
    </xf>
    <xf numFmtId="0" fontId="12" fillId="0" borderId="0" xfId="0" quotePrefix="1" applyFont="1" applyFill="1" applyAlignment="1">
      <alignment wrapText="1"/>
    </xf>
    <xf numFmtId="0" fontId="14" fillId="0" borderId="1" xfId="0" applyFont="1" applyFill="1" applyBorder="1" applyAlignment="1">
      <alignment horizontal="left"/>
    </xf>
    <xf numFmtId="0" fontId="6" fillId="0" borderId="1" xfId="0" applyFont="1" applyFill="1" applyBorder="1" applyAlignment="1">
      <alignment horizontal="left" vertical="top" wrapText="1"/>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right" vertical="center" wrapText="1"/>
    </xf>
    <xf numFmtId="0" fontId="1" fillId="0" borderId="1" xfId="0" applyFont="1" applyBorder="1" applyAlignment="1">
      <alignment vertical="center"/>
    </xf>
    <xf numFmtId="4" fontId="1" fillId="0" borderId="1" xfId="0" applyNumberFormat="1" applyFont="1" applyBorder="1" applyAlignment="1">
      <alignment vertical="center"/>
    </xf>
    <xf numFmtId="0" fontId="2"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16" fillId="0" borderId="1" xfId="0" applyFont="1" applyBorder="1"/>
    <xf numFmtId="0" fontId="16" fillId="0" borderId="1" xfId="0" applyFont="1" applyBorder="1" applyAlignment="1">
      <alignment wrapText="1"/>
    </xf>
    <xf numFmtId="164" fontId="1" fillId="0" borderId="1" xfId="0" applyNumberFormat="1" applyFont="1" applyFill="1" applyBorder="1" applyAlignment="1">
      <alignment horizontal="right" vertical="top"/>
    </xf>
    <xf numFmtId="0" fontId="16" fillId="0" borderId="1" xfId="0" applyFont="1" applyBorder="1" applyAlignment="1">
      <alignment horizontal="center" vertical="center" wrapText="1"/>
    </xf>
    <xf numFmtId="164" fontId="1" fillId="0" borderId="1" xfId="0" applyNumberFormat="1" applyFont="1" applyFill="1" applyBorder="1" applyAlignment="1"/>
    <xf numFmtId="0" fontId="1"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21" fillId="0" borderId="0" xfId="0" applyFont="1" applyBorder="1" applyAlignment="1">
      <alignment vertical="center"/>
    </xf>
    <xf numFmtId="0" fontId="0" fillId="0" borderId="0" xfId="0" applyBorder="1"/>
    <xf numFmtId="0" fontId="16" fillId="0" borderId="1" xfId="0" applyFont="1" applyBorder="1" applyAlignment="1">
      <alignment vertical="center" wrapText="1"/>
    </xf>
    <xf numFmtId="6" fontId="16" fillId="0" borderId="1" xfId="0" applyNumberFormat="1" applyFont="1" applyBorder="1" applyAlignment="1">
      <alignment horizontal="center" vertical="center" wrapText="1"/>
    </xf>
    <xf numFmtId="0" fontId="22" fillId="0" borderId="1" xfId="0" applyFont="1" applyFill="1" applyBorder="1" applyAlignment="1">
      <alignment horizontal="center" vertical="top" wrapText="1"/>
    </xf>
    <xf numFmtId="3" fontId="22" fillId="0" borderId="1" xfId="0" applyNumberFormat="1" applyFont="1" applyFill="1" applyBorder="1" applyAlignment="1">
      <alignment horizontal="center" vertical="top" wrapText="1"/>
    </xf>
    <xf numFmtId="167" fontId="11" fillId="0" borderId="1" xfId="0" applyNumberFormat="1" applyFont="1" applyFill="1" applyBorder="1" applyAlignment="1">
      <alignment horizontal="right" vertical="top" wrapText="1"/>
    </xf>
    <xf numFmtId="167" fontId="2" fillId="0" borderId="1" xfId="0" applyNumberFormat="1" applyFont="1" applyFill="1" applyBorder="1" applyAlignment="1">
      <alignment horizontal="right" vertical="top" wrapText="1"/>
    </xf>
    <xf numFmtId="167" fontId="2" fillId="0" borderId="1" xfId="0" applyNumberFormat="1" applyFont="1" applyFill="1" applyBorder="1"/>
    <xf numFmtId="164" fontId="1" fillId="0" borderId="1" xfId="1" applyNumberFormat="1" applyFont="1" applyFill="1" applyBorder="1" applyAlignment="1">
      <alignment horizontal="right" vertical="center" wrapText="1"/>
    </xf>
    <xf numFmtId="167" fontId="11" fillId="0" borderId="1" xfId="0" applyNumberFormat="1" applyFont="1" applyFill="1" applyBorder="1" applyAlignment="1">
      <alignment horizontal="right" vertical="center" wrapText="1"/>
    </xf>
    <xf numFmtId="167" fontId="1" fillId="0" borderId="1" xfId="0" applyNumberFormat="1" applyFont="1" applyFill="1" applyBorder="1" applyAlignment="1">
      <alignment horizontal="right" vertical="center" wrapText="1"/>
    </xf>
    <xf numFmtId="3" fontId="2" fillId="0" borderId="1" xfId="0" applyNumberFormat="1" applyFont="1" applyFill="1" applyBorder="1" applyAlignment="1">
      <alignment vertical="top" wrapText="1"/>
    </xf>
    <xf numFmtId="0" fontId="16" fillId="0" borderId="1" xfId="0" applyFont="1" applyFill="1" applyBorder="1" applyAlignment="1">
      <alignment vertical="center" wrapText="1"/>
    </xf>
    <xf numFmtId="0" fontId="16" fillId="0" borderId="1" xfId="0" applyFont="1" applyBorder="1" applyAlignment="1">
      <alignment horizontal="center" vertical="center"/>
    </xf>
    <xf numFmtId="164" fontId="16" fillId="0" borderId="1" xfId="0" applyNumberFormat="1" applyFont="1" applyBorder="1" applyAlignment="1">
      <alignment horizontal="center" vertical="center"/>
    </xf>
    <xf numFmtId="0" fontId="16" fillId="0" borderId="1" xfId="0" applyFont="1" applyBorder="1" applyAlignment="1">
      <alignment vertical="center"/>
    </xf>
    <xf numFmtId="0" fontId="18" fillId="0" borderId="0" xfId="0" applyFont="1" applyBorder="1" applyAlignment="1">
      <alignment vertical="center"/>
    </xf>
    <xf numFmtId="0" fontId="2" fillId="2" borderId="1" xfId="0" applyFont="1" applyFill="1" applyBorder="1" applyAlignment="1">
      <alignment horizontal="center"/>
    </xf>
    <xf numFmtId="3" fontId="1" fillId="0" borderId="1" xfId="0" applyNumberFormat="1" applyFont="1" applyFill="1" applyBorder="1" applyAlignment="1">
      <alignment horizontal="center"/>
    </xf>
    <xf numFmtId="164" fontId="1" fillId="0" borderId="1" xfId="0" applyNumberFormat="1" applyFont="1" applyFill="1" applyBorder="1" applyAlignment="1">
      <alignment horizontal="right" vertical="top" wrapText="1"/>
    </xf>
    <xf numFmtId="167" fontId="1" fillId="0" borderId="1" xfId="0" applyNumberFormat="1" applyFont="1" applyFill="1" applyBorder="1" applyAlignment="1">
      <alignment horizontal="right" vertical="top" wrapText="1"/>
    </xf>
    <xf numFmtId="0" fontId="14" fillId="0" borderId="0" xfId="0" applyFont="1" applyFill="1" applyBorder="1" applyAlignment="1">
      <alignment horizontal="left"/>
    </xf>
    <xf numFmtId="3" fontId="7" fillId="0" borderId="1" xfId="0" applyNumberFormat="1" applyFont="1" applyBorder="1" applyAlignment="1">
      <alignment horizontal="center" vertical="top" wrapText="1"/>
    </xf>
    <xf numFmtId="167" fontId="1" fillId="0" borderId="1" xfId="1" applyNumberFormat="1" applyFont="1" applyFill="1" applyBorder="1" applyAlignment="1">
      <alignment horizontal="right" vertical="center" wrapText="1"/>
    </xf>
    <xf numFmtId="0" fontId="8" fillId="0" borderId="1" xfId="0" applyFont="1" applyFill="1" applyBorder="1" applyAlignment="1">
      <alignment horizontal="center" vertical="top" wrapText="1"/>
    </xf>
    <xf numFmtId="3" fontId="8" fillId="0" borderId="1" xfId="0" applyNumberFormat="1" applyFont="1" applyFill="1" applyBorder="1" applyAlignment="1">
      <alignment horizontal="center" vertical="top" wrapText="1"/>
    </xf>
    <xf numFmtId="0" fontId="17" fillId="0" borderId="1" xfId="0" applyFont="1" applyBorder="1" applyAlignment="1">
      <alignment horizontal="center" vertical="center" wrapText="1"/>
    </xf>
    <xf numFmtId="0" fontId="16" fillId="0" borderId="0" xfId="0" applyFont="1" applyFill="1" applyAlignment="1">
      <alignment horizontal="left" vertical="top"/>
    </xf>
    <xf numFmtId="0" fontId="2"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2" fontId="1" fillId="0" borderId="0" xfId="0" applyNumberFormat="1" applyFont="1" applyFill="1" applyAlignment="1">
      <alignment horizontal="left" vertical="center" wrapText="1"/>
    </xf>
    <xf numFmtId="3" fontId="1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0" xfId="0" applyFont="1" applyFill="1" applyAlignment="1">
      <alignment horizontal="left" vertical="top"/>
    </xf>
    <xf numFmtId="0" fontId="1" fillId="0" borderId="0" xfId="0" applyFont="1" applyAlignment="1">
      <alignment horizontal="left" vertical="center" wrapText="1"/>
    </xf>
    <xf numFmtId="0" fontId="20"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0" borderId="1" xfId="0" applyFont="1" applyBorder="1" applyAlignment="1">
      <alignment horizontal="center"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8"/>
  <sheetViews>
    <sheetView tabSelected="1" zoomScaleNormal="100" zoomScaleSheetLayoutView="55" workbookViewId="0">
      <selection activeCell="B52" sqref="B52:J52"/>
    </sheetView>
  </sheetViews>
  <sheetFormatPr defaultColWidth="9.1796875" defaultRowHeight="13" x14ac:dyDescent="0.3"/>
  <cols>
    <col min="1" max="1" width="0.7265625" style="6" customWidth="1"/>
    <col min="2" max="2" width="43.26953125" style="6" customWidth="1"/>
    <col min="3" max="3" width="15.1796875" style="6" bestFit="1" customWidth="1"/>
    <col min="4" max="4" width="19.1796875" style="6" bestFit="1" customWidth="1"/>
    <col min="5" max="5" width="17.26953125" style="6" customWidth="1"/>
    <col min="6" max="6" width="13" style="6" bestFit="1" customWidth="1"/>
    <col min="7" max="7" width="11.453125" style="6" bestFit="1" customWidth="1"/>
    <col min="8" max="8" width="15" style="6" bestFit="1" customWidth="1"/>
    <col min="9" max="9" width="14.453125" style="6" customWidth="1"/>
    <col min="10" max="10" width="14.81640625" style="9" customWidth="1"/>
    <col min="11" max="11" width="2.81640625" style="6" customWidth="1"/>
    <col min="12" max="12" width="10.453125" style="63" customWidth="1"/>
    <col min="13" max="13" width="12.7265625" style="6" customWidth="1"/>
    <col min="14" max="14" width="13.7265625" style="6" customWidth="1"/>
    <col min="15" max="15" width="9.1796875" style="6"/>
    <col min="16" max="16" width="5" style="6" customWidth="1"/>
    <col min="17" max="16384" width="9.1796875" style="6"/>
  </cols>
  <sheetData>
    <row r="1" spans="1:14" ht="15" x14ac:dyDescent="0.3">
      <c r="A1" s="7"/>
      <c r="B1" s="18" t="s">
        <v>55</v>
      </c>
      <c r="C1" s="7"/>
      <c r="D1" s="7"/>
      <c r="E1" s="7"/>
      <c r="F1" s="7"/>
      <c r="G1" s="7"/>
      <c r="H1" s="7"/>
      <c r="I1" s="7"/>
      <c r="J1" s="10"/>
    </row>
    <row r="2" spans="1:14" x14ac:dyDescent="0.3">
      <c r="L2" s="64" t="s">
        <v>89</v>
      </c>
    </row>
    <row r="3" spans="1:14" s="3" customFormat="1" ht="14.25" customHeight="1" x14ac:dyDescent="0.3">
      <c r="A3" s="1"/>
      <c r="B3" s="119" t="s">
        <v>0</v>
      </c>
      <c r="C3" s="2" t="s">
        <v>1</v>
      </c>
      <c r="D3" s="2" t="s">
        <v>2</v>
      </c>
      <c r="E3" s="2" t="s">
        <v>3</v>
      </c>
      <c r="F3" s="2" t="s">
        <v>4</v>
      </c>
      <c r="G3" s="2" t="s">
        <v>5</v>
      </c>
      <c r="H3" s="2" t="s">
        <v>6</v>
      </c>
      <c r="I3" s="2" t="s">
        <v>7</v>
      </c>
      <c r="J3" s="8" t="s">
        <v>8</v>
      </c>
      <c r="L3" s="5"/>
      <c r="M3" s="31"/>
      <c r="N3" s="7"/>
    </row>
    <row r="4" spans="1:14" s="5" customFormat="1" ht="54" customHeight="1" x14ac:dyDescent="0.3">
      <c r="A4" s="4"/>
      <c r="B4" s="119"/>
      <c r="C4" s="70" t="s">
        <v>9</v>
      </c>
      <c r="D4" s="70" t="s">
        <v>10</v>
      </c>
      <c r="E4" s="70" t="s">
        <v>11</v>
      </c>
      <c r="F4" s="70" t="s">
        <v>24</v>
      </c>
      <c r="G4" s="70" t="s">
        <v>12</v>
      </c>
      <c r="H4" s="70" t="s">
        <v>25</v>
      </c>
      <c r="I4" s="70" t="s">
        <v>26</v>
      </c>
      <c r="J4" s="71" t="s">
        <v>18</v>
      </c>
      <c r="M4" s="6"/>
      <c r="N4" s="7"/>
    </row>
    <row r="5" spans="1:14" s="7" customFormat="1" ht="28.5" x14ac:dyDescent="0.3">
      <c r="B5" s="49" t="s">
        <v>60</v>
      </c>
      <c r="C5" s="72">
        <v>4</v>
      </c>
      <c r="D5" s="72">
        <v>1</v>
      </c>
      <c r="E5" s="73">
        <f>C5*D5</f>
        <v>4</v>
      </c>
      <c r="F5" s="74">
        <f>ROUND(0.03*'O&amp;M'!C30+0.1*'O&amp;M'!C30,0)</f>
        <v>18</v>
      </c>
      <c r="G5" s="74">
        <f>E5*F5</f>
        <v>72</v>
      </c>
      <c r="H5" s="75">
        <f>G5*0.05</f>
        <v>3.6</v>
      </c>
      <c r="I5" s="75">
        <f>G5*0.1</f>
        <v>7.2</v>
      </c>
      <c r="J5" s="99">
        <f>G5*$N$7+H5*$N$6+I5*$N$8</f>
        <v>9809.2799999999988</v>
      </c>
      <c r="L5" s="65"/>
      <c r="M5" s="117" t="s">
        <v>98</v>
      </c>
      <c r="N5" s="117"/>
    </row>
    <row r="6" spans="1:14" x14ac:dyDescent="0.3">
      <c r="B6" s="49" t="s">
        <v>43</v>
      </c>
      <c r="C6" s="72" t="s">
        <v>44</v>
      </c>
      <c r="D6" s="72"/>
      <c r="E6" s="72"/>
      <c r="F6" s="75"/>
      <c r="G6" s="75"/>
      <c r="H6" s="75"/>
      <c r="I6" s="75"/>
      <c r="J6" s="76"/>
      <c r="K6" s="7"/>
      <c r="L6" s="65"/>
      <c r="M6" s="84" t="s">
        <v>91</v>
      </c>
      <c r="N6" s="85">
        <v>149.84</v>
      </c>
    </row>
    <row r="7" spans="1:14" s="7" customFormat="1" x14ac:dyDescent="0.3">
      <c r="B7" s="49" t="s">
        <v>29</v>
      </c>
      <c r="C7" s="72"/>
      <c r="D7" s="72"/>
      <c r="E7" s="72"/>
      <c r="F7" s="75"/>
      <c r="G7" s="75"/>
      <c r="H7" s="75"/>
      <c r="I7" s="75"/>
      <c r="J7" s="76"/>
      <c r="L7" s="65"/>
      <c r="M7" s="84" t="s">
        <v>92</v>
      </c>
      <c r="N7" s="85">
        <v>122.66</v>
      </c>
    </row>
    <row r="8" spans="1:14" x14ac:dyDescent="0.3">
      <c r="A8" s="7"/>
      <c r="B8" s="43" t="s">
        <v>80</v>
      </c>
      <c r="C8" s="72">
        <v>1</v>
      </c>
      <c r="D8" s="72">
        <v>1</v>
      </c>
      <c r="E8" s="73">
        <f>C8*D8</f>
        <v>1</v>
      </c>
      <c r="F8" s="74">
        <f>'O&amp;M'!C30+'O&amp;M'!C31</f>
        <v>230</v>
      </c>
      <c r="G8" s="74">
        <f>E8*F8</f>
        <v>230</v>
      </c>
      <c r="H8" s="75">
        <f>G8*0.05</f>
        <v>11.5</v>
      </c>
      <c r="I8" s="75">
        <f>G8*0.1</f>
        <v>23</v>
      </c>
      <c r="J8" s="99">
        <f>G8*$N$7+H8*$N$6+I8*$N$8</f>
        <v>31335.200000000001</v>
      </c>
      <c r="K8" s="39"/>
      <c r="L8" s="66"/>
      <c r="M8" s="84" t="s">
        <v>93</v>
      </c>
      <c r="N8" s="85">
        <v>60.88</v>
      </c>
    </row>
    <row r="9" spans="1:14" ht="15.5" x14ac:dyDescent="0.3">
      <c r="A9" s="7"/>
      <c r="B9" s="43" t="s">
        <v>72</v>
      </c>
      <c r="C9" s="72" t="s">
        <v>75</v>
      </c>
      <c r="D9" s="77"/>
      <c r="E9" s="77"/>
      <c r="F9" s="77"/>
      <c r="G9" s="77"/>
      <c r="H9" s="77"/>
      <c r="I9" s="77"/>
      <c r="J9" s="78"/>
      <c r="K9" s="39"/>
      <c r="L9" s="66"/>
    </row>
    <row r="10" spans="1:14" x14ac:dyDescent="0.3">
      <c r="A10" s="7"/>
      <c r="B10" s="43" t="s">
        <v>57</v>
      </c>
      <c r="C10" s="72" t="s">
        <v>53</v>
      </c>
      <c r="D10" s="72"/>
      <c r="E10" s="72"/>
      <c r="F10" s="75"/>
      <c r="G10" s="75"/>
      <c r="H10" s="75"/>
      <c r="I10" s="75"/>
      <c r="J10" s="76"/>
      <c r="K10" s="39"/>
      <c r="L10" s="66"/>
    </row>
    <row r="11" spans="1:14" x14ac:dyDescent="0.3">
      <c r="A11" s="7"/>
      <c r="B11" s="43" t="s">
        <v>58</v>
      </c>
      <c r="C11" s="72"/>
      <c r="D11" s="72"/>
      <c r="E11" s="72"/>
      <c r="F11" s="75"/>
      <c r="G11" s="75"/>
      <c r="H11" s="75"/>
      <c r="I11" s="75"/>
      <c r="J11" s="76"/>
    </row>
    <row r="12" spans="1:14" ht="15.5" x14ac:dyDescent="0.3">
      <c r="A12" s="7"/>
      <c r="B12" s="46" t="s">
        <v>118</v>
      </c>
      <c r="C12" s="72">
        <v>2</v>
      </c>
      <c r="D12" s="72">
        <v>1</v>
      </c>
      <c r="E12" s="73">
        <f t="shared" ref="E12:E13" si="0">C12*D12</f>
        <v>2</v>
      </c>
      <c r="F12" s="73">
        <f>'O&amp;M'!C33</f>
        <v>0</v>
      </c>
      <c r="G12" s="74">
        <f t="shared" ref="G12:G18" si="1">E12*F12</f>
        <v>0</v>
      </c>
      <c r="H12" s="74">
        <f>G12*0.05</f>
        <v>0</v>
      </c>
      <c r="I12" s="74">
        <f>G12*0.1</f>
        <v>0</v>
      </c>
      <c r="J12" s="101">
        <f t="shared" ref="J12:J21" si="2">G12*$N$7+H12*$N$6+I12*$N$8</f>
        <v>0</v>
      </c>
      <c r="M12" s="51"/>
    </row>
    <row r="13" spans="1:14" ht="15.5" x14ac:dyDescent="0.3">
      <c r="B13" s="46" t="s">
        <v>61</v>
      </c>
      <c r="C13" s="72">
        <v>2</v>
      </c>
      <c r="D13" s="72">
        <v>1</v>
      </c>
      <c r="E13" s="73">
        <f t="shared" si="0"/>
        <v>2</v>
      </c>
      <c r="F13" s="74">
        <f>ROUND(0.03*'O&amp;M'!C30,0)</f>
        <v>4</v>
      </c>
      <c r="G13" s="74">
        <f t="shared" si="1"/>
        <v>8</v>
      </c>
      <c r="H13" s="75">
        <f>G13*0.05</f>
        <v>0.4</v>
      </c>
      <c r="I13" s="75">
        <f>G13*0.1</f>
        <v>0.8</v>
      </c>
      <c r="J13" s="99">
        <f t="shared" si="2"/>
        <v>1089.9199999999998</v>
      </c>
    </row>
    <row r="14" spans="1:14" ht="28.5" x14ac:dyDescent="0.3">
      <c r="B14" s="46" t="s">
        <v>62</v>
      </c>
      <c r="C14" s="72">
        <v>8</v>
      </c>
      <c r="D14" s="72">
        <v>1</v>
      </c>
      <c r="E14" s="73">
        <f t="shared" ref="E14" si="3">C14*D14</f>
        <v>8</v>
      </c>
      <c r="F14" s="74">
        <f>ROUND(0.1*'O&amp;M'!C30,0)</f>
        <v>14</v>
      </c>
      <c r="G14" s="74">
        <f t="shared" si="1"/>
        <v>112</v>
      </c>
      <c r="H14" s="75">
        <f>G14*0.05</f>
        <v>5.6000000000000005</v>
      </c>
      <c r="I14" s="75">
        <f>G14*0.1</f>
        <v>11.200000000000001</v>
      </c>
      <c r="J14" s="99">
        <f t="shared" si="2"/>
        <v>15258.88</v>
      </c>
    </row>
    <row r="15" spans="1:14" ht="28.5" x14ac:dyDescent="0.3">
      <c r="B15" s="46" t="s">
        <v>63</v>
      </c>
      <c r="C15" s="72">
        <v>2</v>
      </c>
      <c r="D15" s="72">
        <v>1</v>
      </c>
      <c r="E15" s="73">
        <f t="shared" ref="E15" si="4">C15*D15</f>
        <v>2</v>
      </c>
      <c r="F15" s="74">
        <f>F5</f>
        <v>18</v>
      </c>
      <c r="G15" s="74">
        <f t="shared" si="1"/>
        <v>36</v>
      </c>
      <c r="H15" s="75">
        <f t="shared" ref="H15" si="5">G15*0.05</f>
        <v>1.8</v>
      </c>
      <c r="I15" s="75">
        <f t="shared" ref="I15" si="6">G15*0.1</f>
        <v>3.6</v>
      </c>
      <c r="J15" s="99">
        <f t="shared" si="2"/>
        <v>4904.6399999999994</v>
      </c>
      <c r="M15" s="7"/>
      <c r="N15" s="7"/>
    </row>
    <row r="16" spans="1:14" ht="15.5" x14ac:dyDescent="0.3">
      <c r="B16" s="46" t="s">
        <v>64</v>
      </c>
      <c r="C16" s="72">
        <v>2</v>
      </c>
      <c r="D16" s="72">
        <v>1</v>
      </c>
      <c r="E16" s="73">
        <f t="shared" ref="E16" si="7">C16*D16</f>
        <v>2</v>
      </c>
      <c r="F16" s="74">
        <f>F5</f>
        <v>18</v>
      </c>
      <c r="G16" s="74">
        <f t="shared" si="1"/>
        <v>36</v>
      </c>
      <c r="H16" s="75">
        <f t="shared" ref="H16" si="8">G16*0.05</f>
        <v>1.8</v>
      </c>
      <c r="I16" s="75">
        <f t="shared" ref="I16:I19" si="9">G16*0.1</f>
        <v>3.6</v>
      </c>
      <c r="J16" s="99">
        <f t="shared" si="2"/>
        <v>4904.6399999999994</v>
      </c>
      <c r="M16" s="7"/>
      <c r="N16" s="7"/>
    </row>
    <row r="17" spans="2:14" s="7" customFormat="1" ht="15.5" x14ac:dyDescent="0.3">
      <c r="B17" s="46" t="s">
        <v>76</v>
      </c>
      <c r="C17" s="72">
        <v>2</v>
      </c>
      <c r="D17" s="72">
        <v>1</v>
      </c>
      <c r="E17" s="73">
        <f t="shared" ref="E17:E18" si="10">C17*D17</f>
        <v>2</v>
      </c>
      <c r="F17" s="74">
        <f>ROUND(F5*0.1,0)</f>
        <v>2</v>
      </c>
      <c r="G17" s="74">
        <f t="shared" si="1"/>
        <v>4</v>
      </c>
      <c r="H17" s="75">
        <f t="shared" ref="H17" si="11">G17*0.05</f>
        <v>0.2</v>
      </c>
      <c r="I17" s="74">
        <f t="shared" ref="I17" si="12">G17*0.1</f>
        <v>0.4</v>
      </c>
      <c r="J17" s="99">
        <f t="shared" si="2"/>
        <v>544.95999999999992</v>
      </c>
      <c r="L17" s="65"/>
    </row>
    <row r="18" spans="2:14" s="7" customFormat="1" ht="15.5" x14ac:dyDescent="0.3">
      <c r="B18" s="46" t="s">
        <v>119</v>
      </c>
      <c r="C18" s="72">
        <v>2</v>
      </c>
      <c r="D18" s="72">
        <v>1</v>
      </c>
      <c r="E18" s="73">
        <f t="shared" si="10"/>
        <v>2</v>
      </c>
      <c r="F18" s="74">
        <v>0</v>
      </c>
      <c r="G18" s="74">
        <f t="shared" si="1"/>
        <v>0</v>
      </c>
      <c r="H18" s="74">
        <f t="shared" ref="H18" si="13">G18*0.05</f>
        <v>0</v>
      </c>
      <c r="I18" s="74">
        <f t="shared" ref="I18" si="14">G18*0.1</f>
        <v>0</v>
      </c>
      <c r="J18" s="114">
        <f t="shared" si="2"/>
        <v>0</v>
      </c>
      <c r="L18" s="65"/>
      <c r="M18" s="6"/>
      <c r="N18" s="6"/>
    </row>
    <row r="19" spans="2:14" ht="28.5" x14ac:dyDescent="0.3">
      <c r="B19" s="46" t="s">
        <v>106</v>
      </c>
      <c r="C19" s="72">
        <v>4</v>
      </c>
      <c r="D19" s="72">
        <v>2</v>
      </c>
      <c r="E19" s="73">
        <f t="shared" ref="E19:E20" si="15">C19*D19</f>
        <v>8</v>
      </c>
      <c r="F19" s="74">
        <f>ROUND('O&amp;M'!C30*0.9,0)</f>
        <v>128</v>
      </c>
      <c r="G19" s="73">
        <f t="shared" ref="G19" si="16">E19*F19</f>
        <v>1024</v>
      </c>
      <c r="H19" s="74">
        <f>G19*0.05</f>
        <v>51.2</v>
      </c>
      <c r="I19" s="74">
        <f t="shared" si="9"/>
        <v>102.4</v>
      </c>
      <c r="J19" s="99">
        <f t="shared" si="2"/>
        <v>139509.75999999998</v>
      </c>
    </row>
    <row r="20" spans="2:14" ht="30.75" customHeight="1" x14ac:dyDescent="0.3">
      <c r="B20" s="46" t="s">
        <v>78</v>
      </c>
      <c r="C20" s="72">
        <v>4</v>
      </c>
      <c r="D20" s="72">
        <v>2</v>
      </c>
      <c r="E20" s="73">
        <f t="shared" si="15"/>
        <v>8</v>
      </c>
      <c r="F20" s="74">
        <f>ROUND('O&amp;M'!C30*0.1*0.95,0)</f>
        <v>13</v>
      </c>
      <c r="G20" s="74">
        <f>E20*F20</f>
        <v>104</v>
      </c>
      <c r="H20" s="75">
        <f>G20*0.05</f>
        <v>5.2</v>
      </c>
      <c r="I20" s="75">
        <f>G20*0.1</f>
        <v>10.4</v>
      </c>
      <c r="J20" s="99">
        <f t="shared" si="2"/>
        <v>14168.96</v>
      </c>
    </row>
    <row r="21" spans="2:14" ht="15.5" x14ac:dyDescent="0.3">
      <c r="B21" s="46" t="s">
        <v>71</v>
      </c>
      <c r="C21" s="72">
        <v>4</v>
      </c>
      <c r="D21" s="72">
        <v>4</v>
      </c>
      <c r="E21" s="73">
        <f t="shared" ref="E21" si="17">C21*D21</f>
        <v>16</v>
      </c>
      <c r="F21" s="74">
        <f>ROUND('O&amp;M'!C30*0.1*0.05,0)</f>
        <v>1</v>
      </c>
      <c r="G21" s="74">
        <f>E21*F21</f>
        <v>16</v>
      </c>
      <c r="H21" s="75">
        <f>G21*0.05</f>
        <v>0.8</v>
      </c>
      <c r="I21" s="75">
        <f>G21*0.1</f>
        <v>1.6</v>
      </c>
      <c r="J21" s="99">
        <f t="shared" si="2"/>
        <v>2179.8399999999997</v>
      </c>
    </row>
    <row r="22" spans="2:14" ht="13.5" x14ac:dyDescent="0.3">
      <c r="B22" s="52" t="s">
        <v>49</v>
      </c>
      <c r="C22" s="79"/>
      <c r="D22" s="79"/>
      <c r="E22" s="79"/>
      <c r="F22" s="80"/>
      <c r="G22" s="120">
        <f>SUM(G5:I21)</f>
        <v>1888.3</v>
      </c>
      <c r="H22" s="120"/>
      <c r="I22" s="120"/>
      <c r="J22" s="100">
        <f>SUM(J5:J21)</f>
        <v>223706.07999999996</v>
      </c>
    </row>
    <row r="23" spans="2:14" x14ac:dyDescent="0.3">
      <c r="B23" s="49" t="s">
        <v>30</v>
      </c>
      <c r="C23" s="72"/>
      <c r="D23" s="72"/>
      <c r="E23" s="72"/>
      <c r="F23" s="75"/>
      <c r="G23" s="75"/>
      <c r="H23" s="75"/>
      <c r="I23" s="75"/>
      <c r="J23" s="76"/>
    </row>
    <row r="24" spans="2:14" x14ac:dyDescent="0.3">
      <c r="B24" s="43" t="s">
        <v>80</v>
      </c>
      <c r="C24" s="72" t="s">
        <v>46</v>
      </c>
      <c r="D24" s="72"/>
      <c r="E24" s="72"/>
      <c r="F24" s="75"/>
      <c r="G24" s="75"/>
      <c r="H24" s="75"/>
      <c r="I24" s="75"/>
      <c r="J24" s="76"/>
    </row>
    <row r="25" spans="2:14" x14ac:dyDescent="0.3">
      <c r="B25" s="43" t="s">
        <v>31</v>
      </c>
      <c r="C25" s="72" t="s">
        <v>44</v>
      </c>
      <c r="D25" s="72"/>
      <c r="E25" s="72"/>
      <c r="F25" s="75"/>
      <c r="G25" s="75"/>
      <c r="H25" s="75"/>
      <c r="I25" s="75"/>
      <c r="J25" s="76"/>
    </row>
    <row r="26" spans="2:14" x14ac:dyDescent="0.3">
      <c r="B26" s="43" t="s">
        <v>32</v>
      </c>
      <c r="C26" s="72" t="s">
        <v>44</v>
      </c>
      <c r="D26" s="72"/>
      <c r="E26" s="72"/>
      <c r="F26" s="75"/>
      <c r="G26" s="75"/>
      <c r="H26" s="75"/>
      <c r="I26" s="75"/>
      <c r="J26" s="76"/>
    </row>
    <row r="27" spans="2:14" ht="30" customHeight="1" x14ac:dyDescent="0.3">
      <c r="B27" s="46" t="s">
        <v>120</v>
      </c>
      <c r="C27" s="72">
        <v>8</v>
      </c>
      <c r="D27" s="72">
        <v>1</v>
      </c>
      <c r="E27" s="73">
        <f t="shared" ref="E27:E32" si="18">C27*D27</f>
        <v>8</v>
      </c>
      <c r="F27" s="74">
        <f>F5</f>
        <v>18</v>
      </c>
      <c r="G27" s="74">
        <f t="shared" ref="G27:G28" si="19">E27*F27</f>
        <v>144</v>
      </c>
      <c r="H27" s="75">
        <f t="shared" ref="H27:H29" si="20">G27*0.05</f>
        <v>7.2</v>
      </c>
      <c r="I27" s="75">
        <f t="shared" ref="I27:I29" si="21">G27*0.1</f>
        <v>14.4</v>
      </c>
      <c r="J27" s="99">
        <f>G27*$N$7+H27*$N$6+I27*$N$8</f>
        <v>19618.559999999998</v>
      </c>
    </row>
    <row r="28" spans="2:14" ht="15.5" x14ac:dyDescent="0.3">
      <c r="B28" s="46" t="s">
        <v>160</v>
      </c>
      <c r="C28" s="72">
        <v>8</v>
      </c>
      <c r="D28" s="72">
        <v>1</v>
      </c>
      <c r="E28" s="73">
        <f t="shared" si="18"/>
        <v>8</v>
      </c>
      <c r="F28" s="74">
        <f>F5</f>
        <v>18</v>
      </c>
      <c r="G28" s="74">
        <f t="shared" si="19"/>
        <v>144</v>
      </c>
      <c r="H28" s="75">
        <f t="shared" si="20"/>
        <v>7.2</v>
      </c>
      <c r="I28" s="75">
        <f t="shared" si="21"/>
        <v>14.4</v>
      </c>
      <c r="J28" s="99">
        <f>G28*$N$7+H28*$N$6+I28*$N$8</f>
        <v>19618.559999999998</v>
      </c>
      <c r="M28" s="40"/>
    </row>
    <row r="29" spans="2:14" ht="15.5" x14ac:dyDescent="0.3">
      <c r="B29" s="46" t="s">
        <v>121</v>
      </c>
      <c r="C29" s="72">
        <v>8</v>
      </c>
      <c r="D29" s="72">
        <v>1</v>
      </c>
      <c r="E29" s="73">
        <f t="shared" si="18"/>
        <v>8</v>
      </c>
      <c r="F29" s="74">
        <f>F5</f>
        <v>18</v>
      </c>
      <c r="G29" s="74">
        <f>E29*F29</f>
        <v>144</v>
      </c>
      <c r="H29" s="75">
        <f t="shared" si="20"/>
        <v>7.2</v>
      </c>
      <c r="I29" s="75">
        <f t="shared" si="21"/>
        <v>14.4</v>
      </c>
      <c r="J29" s="99">
        <f>G29*$N$7+H29*$N$6+I29*$N$8</f>
        <v>19618.559999999998</v>
      </c>
      <c r="M29" s="40"/>
    </row>
    <row r="30" spans="2:14" x14ac:dyDescent="0.3">
      <c r="B30" s="43" t="s">
        <v>56</v>
      </c>
      <c r="C30" s="72"/>
      <c r="D30" s="72"/>
      <c r="E30" s="72"/>
      <c r="F30" s="74"/>
      <c r="G30" s="74"/>
      <c r="H30" s="75"/>
      <c r="I30" s="75"/>
      <c r="J30" s="99"/>
      <c r="M30" s="40"/>
    </row>
    <row r="31" spans="2:14" ht="15.5" x14ac:dyDescent="0.3">
      <c r="B31" s="43" t="s">
        <v>122</v>
      </c>
      <c r="C31" s="72">
        <v>1</v>
      </c>
      <c r="D31" s="72">
        <v>1</v>
      </c>
      <c r="E31" s="73">
        <f t="shared" si="18"/>
        <v>1</v>
      </c>
      <c r="F31" s="74">
        <f>F5</f>
        <v>18</v>
      </c>
      <c r="G31" s="74">
        <f t="shared" ref="G31:G36" si="22">E31*F31</f>
        <v>18</v>
      </c>
      <c r="H31" s="75">
        <f t="shared" ref="H31" si="23">G31*0.05</f>
        <v>0.9</v>
      </c>
      <c r="I31" s="75">
        <f t="shared" ref="I31" si="24">G31*0.1</f>
        <v>1.8</v>
      </c>
      <c r="J31" s="99">
        <f t="shared" ref="J31:J43" si="25">G31*$N$7+H31*$N$6+I31*$N$8</f>
        <v>2452.3199999999997</v>
      </c>
    </row>
    <row r="32" spans="2:14" ht="15.5" x14ac:dyDescent="0.3">
      <c r="B32" s="43" t="s">
        <v>123</v>
      </c>
      <c r="C32" s="72">
        <v>1</v>
      </c>
      <c r="D32" s="72">
        <v>1</v>
      </c>
      <c r="E32" s="73">
        <f t="shared" si="18"/>
        <v>1</v>
      </c>
      <c r="F32" s="74">
        <f>F17</f>
        <v>2</v>
      </c>
      <c r="G32" s="74">
        <f t="shared" si="22"/>
        <v>2</v>
      </c>
      <c r="H32" s="75">
        <f t="shared" ref="H32" si="26">G32*0.05</f>
        <v>0.1</v>
      </c>
      <c r="I32" s="75">
        <f t="shared" ref="I32" si="27">G32*0.1</f>
        <v>0.2</v>
      </c>
      <c r="J32" s="99">
        <f t="shared" si="25"/>
        <v>272.47999999999996</v>
      </c>
      <c r="M32" s="41"/>
      <c r="N32" s="41"/>
    </row>
    <row r="33" spans="1:15" ht="41.5" x14ac:dyDescent="0.3">
      <c r="B33" s="46" t="s">
        <v>124</v>
      </c>
      <c r="C33" s="72">
        <v>1.5</v>
      </c>
      <c r="D33" s="72">
        <v>12</v>
      </c>
      <c r="E33" s="73">
        <f t="shared" ref="E33" si="28">C33*D33</f>
        <v>18</v>
      </c>
      <c r="F33" s="74">
        <f>'O&amp;M'!C30</f>
        <v>142</v>
      </c>
      <c r="G33" s="73">
        <f t="shared" si="22"/>
        <v>2556</v>
      </c>
      <c r="H33" s="74">
        <f>G33*0.05</f>
        <v>127.80000000000001</v>
      </c>
      <c r="I33" s="74">
        <f>G33*0.1</f>
        <v>255.60000000000002</v>
      </c>
      <c r="J33" s="99">
        <f t="shared" si="25"/>
        <v>348229.44</v>
      </c>
      <c r="L33" s="6"/>
    </row>
    <row r="34" spans="1:15" s="7" customFormat="1" ht="15.5" x14ac:dyDescent="0.3">
      <c r="B34" s="46" t="s">
        <v>125</v>
      </c>
      <c r="C34" s="72">
        <v>2</v>
      </c>
      <c r="D34" s="72">
        <v>12</v>
      </c>
      <c r="E34" s="73">
        <f>C34*D34</f>
        <v>24</v>
      </c>
      <c r="F34" s="74">
        <f>'O&amp;M'!C32</f>
        <v>52</v>
      </c>
      <c r="G34" s="73">
        <f t="shared" si="22"/>
        <v>1248</v>
      </c>
      <c r="H34" s="74">
        <f>G34*0.05</f>
        <v>62.400000000000006</v>
      </c>
      <c r="I34" s="74">
        <f>G34*0.1</f>
        <v>124.80000000000001</v>
      </c>
      <c r="J34" s="99">
        <f t="shared" si="25"/>
        <v>170027.51999999999</v>
      </c>
      <c r="L34" s="65"/>
      <c r="M34" s="6"/>
      <c r="N34" s="6"/>
    </row>
    <row r="35" spans="1:15" ht="15.5" x14ac:dyDescent="0.3">
      <c r="B35" s="46" t="s">
        <v>126</v>
      </c>
      <c r="C35" s="72">
        <v>1.5</v>
      </c>
      <c r="D35" s="72">
        <v>52</v>
      </c>
      <c r="E35" s="73">
        <f t="shared" ref="E35" si="29">C35*D35</f>
        <v>78</v>
      </c>
      <c r="F35" s="74">
        <f>ROUND('O&amp;M'!C30*0.1,0)</f>
        <v>14</v>
      </c>
      <c r="G35" s="73">
        <f t="shared" si="22"/>
        <v>1092</v>
      </c>
      <c r="H35" s="74">
        <f>G35*0.05</f>
        <v>54.6</v>
      </c>
      <c r="I35" s="74">
        <f>G35*0.1</f>
        <v>109.2</v>
      </c>
      <c r="J35" s="99">
        <f t="shared" si="25"/>
        <v>148774.07999999999</v>
      </c>
      <c r="K35" s="7"/>
      <c r="L35" s="6"/>
    </row>
    <row r="36" spans="1:15" ht="15.5" x14ac:dyDescent="0.3">
      <c r="B36" s="46" t="s">
        <v>127</v>
      </c>
      <c r="C36" s="72">
        <v>2</v>
      </c>
      <c r="D36" s="72">
        <v>12</v>
      </c>
      <c r="E36" s="73">
        <f>C36*D36</f>
        <v>24</v>
      </c>
      <c r="F36" s="74">
        <f>ROUND('O&amp;M'!C30*0.9*0.25,0)</f>
        <v>32</v>
      </c>
      <c r="G36" s="73">
        <f t="shared" si="22"/>
        <v>768</v>
      </c>
      <c r="H36" s="74">
        <f>G36*0.05</f>
        <v>38.400000000000006</v>
      </c>
      <c r="I36" s="74">
        <f>G36*0.1</f>
        <v>76.800000000000011</v>
      </c>
      <c r="J36" s="99">
        <f t="shared" si="25"/>
        <v>104632.32000000001</v>
      </c>
      <c r="K36" s="7"/>
      <c r="L36" s="6"/>
    </row>
    <row r="37" spans="1:15" ht="15.5" x14ac:dyDescent="0.3">
      <c r="B37" s="46" t="s">
        <v>128</v>
      </c>
      <c r="C37" s="72">
        <v>1</v>
      </c>
      <c r="D37" s="72">
        <v>1</v>
      </c>
      <c r="E37" s="73">
        <f t="shared" ref="E37" si="30">C37*D37</f>
        <v>1</v>
      </c>
      <c r="F37" s="74">
        <f>'O&amp;M'!C30</f>
        <v>142</v>
      </c>
      <c r="G37" s="73">
        <f t="shared" ref="G37:G43" si="31">E37*F37</f>
        <v>142</v>
      </c>
      <c r="H37" s="75">
        <f t="shared" ref="H37:H43" si="32">G37*0.05</f>
        <v>7.1000000000000005</v>
      </c>
      <c r="I37" s="75">
        <f t="shared" ref="I37:I43" si="33">G37*0.1</f>
        <v>14.200000000000001</v>
      </c>
      <c r="J37" s="99">
        <f t="shared" si="25"/>
        <v>19346.080000000002</v>
      </c>
      <c r="L37" s="40"/>
    </row>
    <row r="38" spans="1:15" ht="41.5" x14ac:dyDescent="0.3">
      <c r="B38" s="46" t="s">
        <v>129</v>
      </c>
      <c r="C38" s="72">
        <v>2</v>
      </c>
      <c r="D38" s="72">
        <v>12</v>
      </c>
      <c r="E38" s="73">
        <f t="shared" ref="E38:E40" si="34">C38*D38</f>
        <v>24</v>
      </c>
      <c r="F38" s="74">
        <f>'O&amp;M'!C30</f>
        <v>142</v>
      </c>
      <c r="G38" s="73">
        <f t="shared" ref="G38" si="35">E38*F38</f>
        <v>3408</v>
      </c>
      <c r="H38" s="73">
        <f t="shared" si="32"/>
        <v>170.4</v>
      </c>
      <c r="I38" s="73">
        <f t="shared" ref="I38" si="36">G38*0.1</f>
        <v>340.8</v>
      </c>
      <c r="J38" s="99">
        <f t="shared" si="25"/>
        <v>464305.91999999993</v>
      </c>
      <c r="L38" s="40"/>
    </row>
    <row r="39" spans="1:15" ht="28.5" x14ac:dyDescent="0.3">
      <c r="B39" s="46" t="s">
        <v>130</v>
      </c>
      <c r="C39" s="72">
        <v>1</v>
      </c>
      <c r="D39" s="72">
        <v>2</v>
      </c>
      <c r="E39" s="73">
        <f t="shared" si="34"/>
        <v>2</v>
      </c>
      <c r="F39" s="74">
        <f>F19+F20</f>
        <v>141</v>
      </c>
      <c r="G39" s="74">
        <f>E39*F39</f>
        <v>282</v>
      </c>
      <c r="H39" s="75">
        <f t="shared" si="32"/>
        <v>14.100000000000001</v>
      </c>
      <c r="I39" s="75">
        <f t="shared" ref="I39" si="37">G39*0.1</f>
        <v>28.200000000000003</v>
      </c>
      <c r="J39" s="99">
        <f t="shared" si="25"/>
        <v>38419.68</v>
      </c>
      <c r="L39" s="40"/>
      <c r="M39" s="41"/>
      <c r="N39" s="40"/>
    </row>
    <row r="40" spans="1:15" ht="28.5" x14ac:dyDescent="0.3">
      <c r="B40" s="46" t="s">
        <v>131</v>
      </c>
      <c r="C40" s="72">
        <v>1</v>
      </c>
      <c r="D40" s="72">
        <v>4</v>
      </c>
      <c r="E40" s="73">
        <f t="shared" si="34"/>
        <v>4</v>
      </c>
      <c r="F40" s="74">
        <f>F21</f>
        <v>1</v>
      </c>
      <c r="G40" s="75">
        <f>E40*F40</f>
        <v>4</v>
      </c>
      <c r="H40" s="75">
        <f t="shared" si="32"/>
        <v>0.2</v>
      </c>
      <c r="I40" s="75">
        <f t="shared" ref="I40" si="38">G40*0.1</f>
        <v>0.4</v>
      </c>
      <c r="J40" s="99">
        <f t="shared" si="25"/>
        <v>544.95999999999992</v>
      </c>
      <c r="L40" s="40"/>
      <c r="M40" s="7"/>
    </row>
    <row r="41" spans="1:15" ht="15.5" x14ac:dyDescent="0.3">
      <c r="B41" s="46" t="s">
        <v>132</v>
      </c>
      <c r="C41" s="72">
        <v>2</v>
      </c>
      <c r="D41" s="72">
        <v>12</v>
      </c>
      <c r="E41" s="73">
        <f>C41*D41</f>
        <v>24</v>
      </c>
      <c r="F41" s="74">
        <f>ROUND('O&amp;M'!C30*0.1*0.1,0)</f>
        <v>1</v>
      </c>
      <c r="G41" s="74">
        <f t="shared" si="31"/>
        <v>24</v>
      </c>
      <c r="H41" s="75">
        <f t="shared" si="32"/>
        <v>1.2000000000000002</v>
      </c>
      <c r="I41" s="75">
        <f t="shared" si="33"/>
        <v>2.4000000000000004</v>
      </c>
      <c r="J41" s="99">
        <f t="shared" si="25"/>
        <v>3269.76</v>
      </c>
      <c r="K41" s="7"/>
      <c r="L41" s="65"/>
      <c r="M41" s="7"/>
      <c r="N41" s="7"/>
    </row>
    <row r="42" spans="1:15" ht="15.5" x14ac:dyDescent="0.3">
      <c r="A42" s="7"/>
      <c r="B42" s="43" t="s">
        <v>79</v>
      </c>
      <c r="C42" s="72">
        <v>1</v>
      </c>
      <c r="D42" s="72">
        <v>12</v>
      </c>
      <c r="E42" s="73">
        <f t="shared" ref="E42:E43" si="39">C42*D42</f>
        <v>12</v>
      </c>
      <c r="F42" s="74">
        <f>'O&amp;M'!C31</f>
        <v>88</v>
      </c>
      <c r="G42" s="73">
        <f t="shared" si="31"/>
        <v>1056</v>
      </c>
      <c r="H42" s="73">
        <f t="shared" si="32"/>
        <v>52.800000000000004</v>
      </c>
      <c r="I42" s="73">
        <f t="shared" si="33"/>
        <v>105.60000000000001</v>
      </c>
      <c r="J42" s="99">
        <f t="shared" si="25"/>
        <v>143869.44</v>
      </c>
      <c r="K42" s="7"/>
      <c r="L42" s="65"/>
      <c r="M42" s="7"/>
      <c r="N42" s="7"/>
    </row>
    <row r="43" spans="1:15" s="7" customFormat="1" ht="15.5" x14ac:dyDescent="0.3">
      <c r="B43" s="43" t="s">
        <v>133</v>
      </c>
      <c r="C43" s="72">
        <v>8</v>
      </c>
      <c r="D43" s="72">
        <v>1</v>
      </c>
      <c r="E43" s="73">
        <f t="shared" si="39"/>
        <v>8</v>
      </c>
      <c r="F43" s="74">
        <f>'O&amp;M'!C30</f>
        <v>142</v>
      </c>
      <c r="G43" s="73">
        <f t="shared" si="31"/>
        <v>1136</v>
      </c>
      <c r="H43" s="74">
        <f t="shared" si="32"/>
        <v>56.800000000000004</v>
      </c>
      <c r="I43" s="74">
        <f t="shared" si="33"/>
        <v>113.60000000000001</v>
      </c>
      <c r="J43" s="99">
        <f t="shared" si="25"/>
        <v>154768.64000000001</v>
      </c>
      <c r="L43" s="31"/>
    </row>
    <row r="44" spans="1:15" s="7" customFormat="1" x14ac:dyDescent="0.3">
      <c r="B44" s="43" t="s">
        <v>52</v>
      </c>
      <c r="C44" s="44" t="s">
        <v>44</v>
      </c>
      <c r="D44" s="44"/>
      <c r="E44" s="44"/>
      <c r="F44" s="59"/>
      <c r="G44" s="59"/>
      <c r="H44" s="59"/>
      <c r="I44" s="59"/>
      <c r="J44" s="58"/>
      <c r="L44" s="65"/>
      <c r="M44" s="29"/>
      <c r="N44" s="29"/>
    </row>
    <row r="45" spans="1:15" s="7" customFormat="1" ht="13.5" x14ac:dyDescent="0.3">
      <c r="A45" s="6"/>
      <c r="B45" s="52" t="s">
        <v>50</v>
      </c>
      <c r="C45" s="36"/>
      <c r="D45" s="36"/>
      <c r="E45" s="36"/>
      <c r="F45" s="60"/>
      <c r="G45" s="123">
        <f>SUM(G23:I44)</f>
        <v>13993.2</v>
      </c>
      <c r="H45" s="123"/>
      <c r="I45" s="123"/>
      <c r="J45" s="96">
        <f>SUM(J23:J44)</f>
        <v>1657768.3199999998</v>
      </c>
      <c r="L45" s="65"/>
      <c r="M45" s="29"/>
      <c r="N45" s="29"/>
    </row>
    <row r="46" spans="1:15" ht="15" x14ac:dyDescent="0.3">
      <c r="A46" s="7"/>
      <c r="B46" s="37" t="s">
        <v>134</v>
      </c>
      <c r="C46" s="36"/>
      <c r="D46" s="36"/>
      <c r="E46" s="37"/>
      <c r="F46" s="60"/>
      <c r="G46" s="124">
        <f>ROUND(G22+G45,-2)</f>
        <v>15900</v>
      </c>
      <c r="H46" s="124"/>
      <c r="I46" s="124"/>
      <c r="J46" s="97">
        <f>ROUND(J22+J45,-4)</f>
        <v>1880000</v>
      </c>
      <c r="M46" s="29"/>
      <c r="N46" s="29"/>
      <c r="O46" s="7"/>
    </row>
    <row r="47" spans="1:15" s="7" customFormat="1" ht="15" x14ac:dyDescent="0.3">
      <c r="A47" s="6"/>
      <c r="B47" s="68" t="s">
        <v>135</v>
      </c>
      <c r="C47" s="62"/>
      <c r="D47" s="62"/>
      <c r="E47" s="62"/>
      <c r="F47" s="62"/>
      <c r="G47" s="102"/>
      <c r="H47" s="102"/>
      <c r="I47" s="102"/>
      <c r="J47" s="98">
        <f>'O&amp;M'!H39</f>
        <v>12900</v>
      </c>
      <c r="L47" s="65"/>
      <c r="M47" s="10" t="str">
        <f>ROUND(G46/'O&amp;M'!F26, 1) &amp;" hrs/response"</f>
        <v>35.5 hrs/response</v>
      </c>
      <c r="N47" s="6"/>
    </row>
    <row r="48" spans="1:15" ht="15" x14ac:dyDescent="0.3">
      <c r="B48" s="68" t="s">
        <v>136</v>
      </c>
      <c r="C48" s="62"/>
      <c r="D48" s="62"/>
      <c r="E48" s="62"/>
      <c r="F48" s="62"/>
      <c r="G48" s="62"/>
      <c r="H48" s="62"/>
      <c r="I48" s="62"/>
      <c r="J48" s="98">
        <f>ROUND(J47+J46,-4)</f>
        <v>1890000</v>
      </c>
      <c r="O48" s="7"/>
    </row>
    <row r="49" spans="1:12" x14ac:dyDescent="0.3">
      <c r="B49" s="61"/>
      <c r="C49" s="7"/>
      <c r="D49" s="7"/>
      <c r="E49" s="7"/>
      <c r="F49" s="7"/>
      <c r="G49" s="7"/>
      <c r="H49" s="7"/>
      <c r="I49" s="7"/>
      <c r="J49" s="6"/>
      <c r="K49" s="29"/>
      <c r="L49" s="67"/>
    </row>
    <row r="50" spans="1:12" x14ac:dyDescent="0.3">
      <c r="B50" s="112" t="s">
        <v>97</v>
      </c>
      <c r="C50" s="7"/>
      <c r="D50" s="7"/>
      <c r="E50" s="7"/>
      <c r="F50" s="7"/>
      <c r="G50" s="7"/>
      <c r="H50" s="7"/>
      <c r="I50" s="7"/>
      <c r="J50" s="6"/>
      <c r="K50" s="29"/>
      <c r="L50" s="67"/>
    </row>
    <row r="51" spans="1:12" s="86" customFormat="1" ht="42.75" customHeight="1" x14ac:dyDescent="0.25">
      <c r="B51" s="121" t="s">
        <v>161</v>
      </c>
      <c r="C51" s="121"/>
      <c r="D51" s="121"/>
      <c r="E51" s="121"/>
      <c r="F51" s="121"/>
      <c r="G51" s="121"/>
      <c r="H51" s="121"/>
      <c r="I51" s="121"/>
      <c r="J51" s="121"/>
      <c r="K51" s="87"/>
      <c r="L51" s="87"/>
    </row>
    <row r="52" spans="1:12" s="86" customFormat="1" ht="41.25" customHeight="1" x14ac:dyDescent="0.25">
      <c r="B52" s="122" t="s">
        <v>163</v>
      </c>
      <c r="C52" s="122"/>
      <c r="D52" s="122"/>
      <c r="E52" s="122"/>
      <c r="F52" s="122"/>
      <c r="G52" s="122"/>
      <c r="H52" s="122"/>
      <c r="I52" s="122"/>
      <c r="J52" s="122"/>
    </row>
    <row r="53" spans="1:12" s="86" customFormat="1" ht="36" customHeight="1" x14ac:dyDescent="0.25">
      <c r="B53" s="122" t="s">
        <v>156</v>
      </c>
      <c r="C53" s="122"/>
      <c r="D53" s="122"/>
      <c r="E53" s="122"/>
      <c r="F53" s="122"/>
      <c r="G53" s="122"/>
      <c r="H53" s="122"/>
      <c r="I53" s="122"/>
      <c r="J53" s="122"/>
    </row>
    <row r="54" spans="1:12" s="86" customFormat="1" ht="29.25" customHeight="1" x14ac:dyDescent="0.25">
      <c r="B54" s="122" t="s">
        <v>99</v>
      </c>
      <c r="C54" s="122"/>
      <c r="D54" s="122"/>
      <c r="E54" s="122"/>
      <c r="F54" s="122"/>
      <c r="G54" s="122"/>
      <c r="H54" s="122"/>
      <c r="I54" s="122"/>
      <c r="J54" s="122"/>
    </row>
    <row r="55" spans="1:12" s="86" customFormat="1" ht="18.75" customHeight="1" x14ac:dyDescent="0.25">
      <c r="B55" s="121" t="s">
        <v>147</v>
      </c>
      <c r="C55" s="121"/>
      <c r="D55" s="121"/>
      <c r="E55" s="121"/>
      <c r="F55" s="121"/>
      <c r="G55" s="121"/>
      <c r="H55" s="121"/>
      <c r="I55" s="121"/>
      <c r="J55" s="121"/>
      <c r="L55" s="88"/>
    </row>
    <row r="56" spans="1:12" s="86" customFormat="1" ht="30.75" customHeight="1" x14ac:dyDescent="0.25">
      <c r="A56" s="87"/>
      <c r="B56" s="121" t="s">
        <v>148</v>
      </c>
      <c r="C56" s="121"/>
      <c r="D56" s="121"/>
      <c r="E56" s="121"/>
      <c r="F56" s="121"/>
      <c r="G56" s="121"/>
      <c r="H56" s="121"/>
      <c r="I56" s="121"/>
      <c r="J56" s="121"/>
      <c r="K56" s="87"/>
      <c r="L56" s="89"/>
    </row>
    <row r="57" spans="1:12" s="86" customFormat="1" ht="19.5" customHeight="1" x14ac:dyDescent="0.25">
      <c r="A57" s="87"/>
      <c r="B57" s="121" t="s">
        <v>153</v>
      </c>
      <c r="C57" s="121"/>
      <c r="D57" s="121"/>
      <c r="E57" s="121"/>
      <c r="F57" s="121"/>
      <c r="G57" s="121"/>
      <c r="H57" s="121"/>
      <c r="I57" s="121"/>
      <c r="J57" s="121"/>
      <c r="K57" s="87"/>
      <c r="L57" s="89"/>
    </row>
    <row r="58" spans="1:12" s="86" customFormat="1" ht="33.75" customHeight="1" x14ac:dyDescent="0.25">
      <c r="A58" s="87"/>
      <c r="B58" s="121" t="s">
        <v>142</v>
      </c>
      <c r="C58" s="121"/>
      <c r="D58" s="121"/>
      <c r="E58" s="121"/>
      <c r="F58" s="121"/>
      <c r="G58" s="121"/>
      <c r="H58" s="121"/>
      <c r="I58" s="121"/>
      <c r="J58" s="121"/>
      <c r="K58" s="87"/>
      <c r="L58" s="89"/>
    </row>
    <row r="59" spans="1:12" s="86" customFormat="1" ht="19.5" customHeight="1" x14ac:dyDescent="0.25">
      <c r="A59" s="87"/>
      <c r="B59" s="121" t="s">
        <v>100</v>
      </c>
      <c r="C59" s="121"/>
      <c r="D59" s="121"/>
      <c r="E59" s="121"/>
      <c r="F59" s="121"/>
      <c r="G59" s="121"/>
      <c r="H59" s="121"/>
      <c r="I59" s="121"/>
      <c r="J59" s="121"/>
      <c r="K59" s="87"/>
      <c r="L59" s="89"/>
    </row>
    <row r="60" spans="1:12" s="86" customFormat="1" ht="17.25" customHeight="1" x14ac:dyDescent="0.25">
      <c r="B60" s="121" t="s">
        <v>101</v>
      </c>
      <c r="C60" s="121"/>
      <c r="D60" s="121"/>
      <c r="E60" s="121"/>
      <c r="F60" s="121"/>
      <c r="G60" s="121"/>
      <c r="H60" s="121"/>
      <c r="I60" s="121"/>
      <c r="J60" s="121"/>
      <c r="K60" s="87"/>
      <c r="L60" s="88"/>
    </row>
    <row r="61" spans="1:12" s="86" customFormat="1" ht="32.25" customHeight="1" x14ac:dyDescent="0.25">
      <c r="B61" s="121" t="s">
        <v>149</v>
      </c>
      <c r="C61" s="121"/>
      <c r="D61" s="121"/>
      <c r="E61" s="121"/>
      <c r="F61" s="121"/>
      <c r="G61" s="121"/>
      <c r="H61" s="121"/>
      <c r="I61" s="121"/>
      <c r="J61" s="121"/>
      <c r="L61" s="88"/>
    </row>
    <row r="62" spans="1:12" s="86" customFormat="1" ht="19.5" customHeight="1" x14ac:dyDescent="0.25">
      <c r="B62" s="121" t="s">
        <v>150</v>
      </c>
      <c r="C62" s="121"/>
      <c r="D62" s="121"/>
      <c r="E62" s="121"/>
      <c r="F62" s="121"/>
      <c r="G62" s="121"/>
      <c r="H62" s="121"/>
      <c r="I62" s="121"/>
      <c r="J62" s="121"/>
      <c r="L62" s="88"/>
    </row>
    <row r="63" spans="1:12" s="86" customFormat="1" ht="36.75" customHeight="1" x14ac:dyDescent="0.25">
      <c r="B63" s="121" t="s">
        <v>151</v>
      </c>
      <c r="C63" s="121"/>
      <c r="D63" s="121"/>
      <c r="E63" s="121"/>
      <c r="F63" s="121"/>
      <c r="G63" s="121"/>
      <c r="H63" s="121"/>
      <c r="I63" s="121"/>
      <c r="J63" s="121"/>
      <c r="L63" s="88"/>
    </row>
    <row r="64" spans="1:12" s="86" customFormat="1" ht="18.75" customHeight="1" x14ac:dyDescent="0.25">
      <c r="B64" s="121" t="s">
        <v>102</v>
      </c>
      <c r="C64" s="121"/>
      <c r="D64" s="121"/>
      <c r="E64" s="121"/>
      <c r="F64" s="121"/>
      <c r="G64" s="121"/>
      <c r="H64" s="121"/>
      <c r="I64" s="121"/>
      <c r="J64" s="121"/>
    </row>
    <row r="65" spans="2:12" s="86" customFormat="1" ht="18.75" customHeight="1" x14ac:dyDescent="0.25">
      <c r="B65" s="121" t="s">
        <v>103</v>
      </c>
      <c r="C65" s="121"/>
      <c r="D65" s="121"/>
      <c r="E65" s="121"/>
      <c r="F65" s="121"/>
      <c r="G65" s="121"/>
      <c r="H65" s="121"/>
      <c r="I65" s="121"/>
      <c r="J65" s="121"/>
    </row>
    <row r="66" spans="2:12" s="86" customFormat="1" ht="18.75" customHeight="1" x14ac:dyDescent="0.25">
      <c r="B66" s="121" t="s">
        <v>152</v>
      </c>
      <c r="C66" s="121"/>
      <c r="D66" s="121"/>
      <c r="E66" s="121"/>
      <c r="F66" s="121"/>
      <c r="G66" s="121"/>
      <c r="H66" s="121"/>
      <c r="I66" s="121"/>
      <c r="J66" s="121"/>
      <c r="L66" s="88"/>
    </row>
    <row r="67" spans="2:12" s="86" customFormat="1" ht="18.75" customHeight="1" x14ac:dyDescent="0.25">
      <c r="B67" s="121" t="s">
        <v>154</v>
      </c>
      <c r="C67" s="121"/>
      <c r="D67" s="121"/>
      <c r="E67" s="121"/>
      <c r="F67" s="121"/>
      <c r="G67" s="121"/>
      <c r="H67" s="121"/>
      <c r="I67" s="121"/>
      <c r="J67" s="121"/>
    </row>
    <row r="68" spans="2:12" s="86" customFormat="1" ht="18.75" customHeight="1" x14ac:dyDescent="0.25">
      <c r="B68" s="118" t="s">
        <v>104</v>
      </c>
      <c r="C68" s="118"/>
      <c r="D68" s="118"/>
      <c r="E68" s="118"/>
      <c r="F68" s="118"/>
      <c r="G68" s="118"/>
      <c r="H68" s="118"/>
      <c r="I68" s="118"/>
      <c r="J68" s="118"/>
      <c r="L68" s="88"/>
    </row>
  </sheetData>
  <mergeCells count="23">
    <mergeCell ref="B60:J60"/>
    <mergeCell ref="B61:J61"/>
    <mergeCell ref="B63:J63"/>
    <mergeCell ref="B65:J65"/>
    <mergeCell ref="B66:J66"/>
    <mergeCell ref="B64:J64"/>
    <mergeCell ref="B62:J62"/>
    <mergeCell ref="M5:N5"/>
    <mergeCell ref="B68:J68"/>
    <mergeCell ref="B3:B4"/>
    <mergeCell ref="G22:I22"/>
    <mergeCell ref="B56:J56"/>
    <mergeCell ref="B52:J52"/>
    <mergeCell ref="G45:I45"/>
    <mergeCell ref="B54:J54"/>
    <mergeCell ref="B55:J55"/>
    <mergeCell ref="G46:I46"/>
    <mergeCell ref="B51:J51"/>
    <mergeCell ref="B53:J53"/>
    <mergeCell ref="B57:J57"/>
    <mergeCell ref="B67:J67"/>
    <mergeCell ref="B58:J58"/>
    <mergeCell ref="B59:J59"/>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
  <sheetViews>
    <sheetView zoomScaleNormal="100" workbookViewId="0">
      <selection activeCell="F14" sqref="F14"/>
    </sheetView>
  </sheetViews>
  <sheetFormatPr defaultColWidth="9.1796875" defaultRowHeight="13" x14ac:dyDescent="0.3"/>
  <cols>
    <col min="1" max="1" width="0.81640625" style="7" customWidth="1"/>
    <col min="2" max="2" width="49.26953125" style="7" bestFit="1" customWidth="1"/>
    <col min="3" max="3" width="15.1796875" style="7" bestFit="1" customWidth="1"/>
    <col min="4" max="4" width="19.1796875" style="7" bestFit="1" customWidth="1"/>
    <col min="5" max="5" width="21.453125" style="7" bestFit="1" customWidth="1"/>
    <col min="6" max="6" width="13" style="7" bestFit="1" customWidth="1"/>
    <col min="7" max="7" width="11.7265625" style="7" bestFit="1" customWidth="1"/>
    <col min="8" max="8" width="15.1796875" style="7" bestFit="1" customWidth="1"/>
    <col min="9" max="9" width="14.453125" style="7" customWidth="1"/>
    <col min="10" max="10" width="13.81640625" style="7" customWidth="1"/>
    <col min="11" max="11" width="2" style="7" customWidth="1"/>
    <col min="12" max="12" width="12.7265625" style="7" customWidth="1"/>
    <col min="13" max="13" width="15.1796875" style="7" customWidth="1"/>
    <col min="14" max="14" width="11.81640625" style="7" customWidth="1"/>
    <col min="15" max="15" width="12" style="7" bestFit="1" customWidth="1"/>
    <col min="16" max="16384" width="9.1796875" style="7"/>
  </cols>
  <sheetData>
    <row r="1" spans="2:15" ht="15" x14ac:dyDescent="0.3">
      <c r="B1" s="19" t="s">
        <v>85</v>
      </c>
      <c r="C1" s="19"/>
    </row>
    <row r="3" spans="2:15" s="1" customFormat="1" ht="12.75" customHeight="1" x14ac:dyDescent="0.3">
      <c r="B3" s="119" t="s">
        <v>0</v>
      </c>
      <c r="C3" s="12" t="s">
        <v>1</v>
      </c>
      <c r="D3" s="12" t="s">
        <v>2</v>
      </c>
      <c r="E3" s="12" t="s">
        <v>3</v>
      </c>
      <c r="F3" s="12" t="s">
        <v>4</v>
      </c>
      <c r="G3" s="12" t="s">
        <v>5</v>
      </c>
      <c r="H3" s="12" t="s">
        <v>6</v>
      </c>
      <c r="I3" s="12" t="s">
        <v>7</v>
      </c>
      <c r="J3" s="12" t="s">
        <v>8</v>
      </c>
      <c r="K3" s="20"/>
      <c r="L3" s="13"/>
      <c r="M3" s="7"/>
    </row>
    <row r="4" spans="2:15" s="4" customFormat="1" ht="39" x14ac:dyDescent="0.3">
      <c r="B4" s="119"/>
      <c r="C4" s="22" t="s">
        <v>9</v>
      </c>
      <c r="D4" s="22" t="s">
        <v>10</v>
      </c>
      <c r="E4" s="22" t="s">
        <v>11</v>
      </c>
      <c r="F4" s="32" t="s">
        <v>24</v>
      </c>
      <c r="G4" s="22" t="s">
        <v>12</v>
      </c>
      <c r="H4" s="22" t="s">
        <v>25</v>
      </c>
      <c r="I4" s="22" t="s">
        <v>26</v>
      </c>
      <c r="J4" s="32" t="s">
        <v>18</v>
      </c>
      <c r="K4" s="14"/>
      <c r="L4" s="125" t="s">
        <v>90</v>
      </c>
      <c r="M4" s="126"/>
    </row>
    <row r="5" spans="2:15" x14ac:dyDescent="0.3">
      <c r="B5" s="47" t="s">
        <v>54</v>
      </c>
      <c r="C5" s="44" t="s">
        <v>44</v>
      </c>
      <c r="D5" s="44"/>
      <c r="E5" s="44"/>
      <c r="F5" s="48"/>
      <c r="G5" s="48"/>
      <c r="H5" s="48"/>
      <c r="I5" s="48"/>
      <c r="J5" s="48"/>
      <c r="L5" s="82" t="s">
        <v>91</v>
      </c>
      <c r="M5" s="83">
        <v>69.040000000000006</v>
      </c>
    </row>
    <row r="6" spans="2:15" ht="13.5" customHeight="1" x14ac:dyDescent="0.3">
      <c r="B6" s="47" t="s">
        <v>59</v>
      </c>
      <c r="C6" s="44"/>
      <c r="D6" s="44"/>
      <c r="E6" s="44"/>
      <c r="F6" s="48"/>
      <c r="G6" s="48"/>
      <c r="H6" s="48"/>
      <c r="I6" s="48"/>
      <c r="J6" s="48"/>
      <c r="L6" s="81" t="s">
        <v>92</v>
      </c>
      <c r="M6" s="83">
        <v>51.23</v>
      </c>
    </row>
    <row r="7" spans="2:15" ht="15.5" x14ac:dyDescent="0.3">
      <c r="B7" s="43" t="s">
        <v>65</v>
      </c>
      <c r="C7" s="44">
        <v>2</v>
      </c>
      <c r="D7" s="44">
        <v>1</v>
      </c>
      <c r="E7" s="44">
        <f>C7*D7</f>
        <v>2</v>
      </c>
      <c r="F7" s="45">
        <f>'Table 1'!F13</f>
        <v>4</v>
      </c>
      <c r="G7" s="45">
        <f>E7*F7</f>
        <v>8</v>
      </c>
      <c r="H7" s="50">
        <f>G7*0.05</f>
        <v>0.4</v>
      </c>
      <c r="I7" s="50">
        <f>G7*0.1</f>
        <v>0.8</v>
      </c>
      <c r="J7" s="110">
        <f t="shared" ref="J7:J14" si="0">G7*$M$6+H7*$M$5+I7*$M$7</f>
        <v>459.64</v>
      </c>
      <c r="L7" s="81" t="s">
        <v>93</v>
      </c>
      <c r="M7" s="83">
        <v>27.73</v>
      </c>
    </row>
    <row r="8" spans="2:15" ht="28.5" x14ac:dyDescent="0.3">
      <c r="B8" s="43" t="s">
        <v>66</v>
      </c>
      <c r="C8" s="44">
        <v>2</v>
      </c>
      <c r="D8" s="44">
        <v>1</v>
      </c>
      <c r="E8" s="44">
        <f t="shared" ref="E8:E12" si="1">C8*D8</f>
        <v>2</v>
      </c>
      <c r="F8" s="45">
        <f>'Table 1'!F14</f>
        <v>14</v>
      </c>
      <c r="G8" s="45">
        <f>E8*F8</f>
        <v>28</v>
      </c>
      <c r="H8" s="50">
        <f>G8*0.05</f>
        <v>1.4000000000000001</v>
      </c>
      <c r="I8" s="50">
        <f>G8*0.1</f>
        <v>2.8000000000000003</v>
      </c>
      <c r="J8" s="110">
        <f t="shared" si="0"/>
        <v>1608.7399999999998</v>
      </c>
      <c r="L8" s="30"/>
      <c r="M8" s="33"/>
    </row>
    <row r="9" spans="2:15" ht="15.5" x14ac:dyDescent="0.3">
      <c r="B9" s="43" t="s">
        <v>144</v>
      </c>
      <c r="C9" s="44">
        <v>8</v>
      </c>
      <c r="D9" s="44">
        <v>1</v>
      </c>
      <c r="E9" s="44">
        <f t="shared" si="1"/>
        <v>8</v>
      </c>
      <c r="F9" s="45">
        <f>'Table 1'!F17</f>
        <v>2</v>
      </c>
      <c r="G9" s="45">
        <f>E9*F9</f>
        <v>16</v>
      </c>
      <c r="H9" s="45">
        <f>G9*0.05</f>
        <v>0.8</v>
      </c>
      <c r="I9" s="45">
        <f>G9*0.1</f>
        <v>1.6</v>
      </c>
      <c r="J9" s="110">
        <f t="shared" si="0"/>
        <v>919.28</v>
      </c>
      <c r="M9" s="33"/>
    </row>
    <row r="10" spans="2:15" ht="15.5" x14ac:dyDescent="0.3">
      <c r="B10" s="43" t="s">
        <v>143</v>
      </c>
      <c r="C10" s="44">
        <v>2</v>
      </c>
      <c r="D10" s="44">
        <v>1</v>
      </c>
      <c r="E10" s="44">
        <f t="shared" si="1"/>
        <v>2</v>
      </c>
      <c r="F10" s="45">
        <f>'Table 1'!F18</f>
        <v>0</v>
      </c>
      <c r="G10" s="45">
        <f>E10*F10</f>
        <v>0</v>
      </c>
      <c r="H10" s="45">
        <f>G10*0.05</f>
        <v>0</v>
      </c>
      <c r="I10" s="45">
        <f>G10*0.1</f>
        <v>0</v>
      </c>
      <c r="J10" s="111">
        <f t="shared" si="0"/>
        <v>0</v>
      </c>
      <c r="M10" s="33"/>
    </row>
    <row r="11" spans="2:15" ht="28.5" x14ac:dyDescent="0.3">
      <c r="B11" s="43" t="s">
        <v>145</v>
      </c>
      <c r="C11" s="44">
        <v>8</v>
      </c>
      <c r="D11" s="44">
        <v>2</v>
      </c>
      <c r="E11" s="45">
        <f t="shared" si="1"/>
        <v>16</v>
      </c>
      <c r="F11" s="45">
        <f>'Table 1'!F19</f>
        <v>128</v>
      </c>
      <c r="G11" s="45">
        <f t="shared" ref="G11:G14" si="2">E11*F11</f>
        <v>2048</v>
      </c>
      <c r="H11" s="45">
        <f t="shared" ref="H11:H14" si="3">G11*0.05</f>
        <v>102.4</v>
      </c>
      <c r="I11" s="45">
        <f t="shared" ref="I11:I14" si="4">G11*0.1</f>
        <v>204.8</v>
      </c>
      <c r="J11" s="110">
        <f t="shared" si="0"/>
        <v>117667.84</v>
      </c>
      <c r="O11" s="11"/>
    </row>
    <row r="12" spans="2:15" ht="28.5" x14ac:dyDescent="0.3">
      <c r="B12" s="43" t="s">
        <v>86</v>
      </c>
      <c r="C12" s="44">
        <v>8</v>
      </c>
      <c r="D12" s="44">
        <v>2</v>
      </c>
      <c r="E12" s="44">
        <f t="shared" si="1"/>
        <v>16</v>
      </c>
      <c r="F12" s="45">
        <f>'Table 1'!F20</f>
        <v>13</v>
      </c>
      <c r="G12" s="45">
        <f t="shared" si="2"/>
        <v>208</v>
      </c>
      <c r="H12" s="50">
        <f t="shared" si="3"/>
        <v>10.4</v>
      </c>
      <c r="I12" s="50">
        <f t="shared" si="4"/>
        <v>20.8</v>
      </c>
      <c r="J12" s="110">
        <f t="shared" si="0"/>
        <v>11950.64</v>
      </c>
    </row>
    <row r="13" spans="2:15" ht="15.5" x14ac:dyDescent="0.3">
      <c r="B13" s="43" t="s">
        <v>87</v>
      </c>
      <c r="C13" s="44">
        <v>16</v>
      </c>
      <c r="D13" s="44">
        <v>4</v>
      </c>
      <c r="E13" s="44">
        <f>C13*D13</f>
        <v>64</v>
      </c>
      <c r="F13" s="45">
        <f>'Table 1'!F21</f>
        <v>1</v>
      </c>
      <c r="G13" s="45">
        <f t="shared" si="2"/>
        <v>64</v>
      </c>
      <c r="H13" s="50">
        <f t="shared" si="3"/>
        <v>3.2</v>
      </c>
      <c r="I13" s="50">
        <f t="shared" si="4"/>
        <v>6.4</v>
      </c>
      <c r="J13" s="110">
        <f t="shared" si="0"/>
        <v>3677.12</v>
      </c>
    </row>
    <row r="14" spans="2:15" ht="15.5" x14ac:dyDescent="0.3">
      <c r="B14" s="43" t="s">
        <v>88</v>
      </c>
      <c r="C14" s="44">
        <v>2</v>
      </c>
      <c r="D14" s="44">
        <v>1</v>
      </c>
      <c r="E14" s="44">
        <f>C14*D14</f>
        <v>2</v>
      </c>
      <c r="F14" s="45">
        <f>'O&amp;M'!C32</f>
        <v>52</v>
      </c>
      <c r="G14" s="45">
        <f t="shared" si="2"/>
        <v>104</v>
      </c>
      <c r="H14" s="45">
        <f t="shared" si="3"/>
        <v>5.2</v>
      </c>
      <c r="I14" s="45">
        <f t="shared" si="4"/>
        <v>10.4</v>
      </c>
      <c r="J14" s="110">
        <f t="shared" si="0"/>
        <v>5975.32</v>
      </c>
      <c r="K14" s="57"/>
    </row>
    <row r="15" spans="2:15" ht="15" x14ac:dyDescent="0.3">
      <c r="B15" s="37" t="s">
        <v>105</v>
      </c>
      <c r="C15" s="36"/>
      <c r="D15" s="36"/>
      <c r="E15" s="36"/>
      <c r="F15" s="36"/>
      <c r="G15" s="124">
        <f>ROUND(SUM(G7:I14),-1)</f>
        <v>2850</v>
      </c>
      <c r="H15" s="124"/>
      <c r="I15" s="124"/>
      <c r="J15" s="97">
        <f>ROUND(SUM(J7:J14),-3)</f>
        <v>142000</v>
      </c>
      <c r="K15" s="29"/>
      <c r="L15" s="6"/>
      <c r="O15" s="42"/>
    </row>
    <row r="16" spans="2:15" x14ac:dyDescent="0.3">
      <c r="K16" s="29"/>
      <c r="O16" s="29"/>
    </row>
    <row r="17" spans="1:15" s="6" customFormat="1" x14ac:dyDescent="0.3">
      <c r="A17" s="7"/>
      <c r="B17" s="127" t="s">
        <v>97</v>
      </c>
      <c r="C17" s="127"/>
      <c r="D17" s="127"/>
      <c r="E17" s="127"/>
      <c r="F17" s="127"/>
      <c r="G17" s="127"/>
      <c r="H17" s="127"/>
      <c r="I17" s="127"/>
      <c r="J17" s="127"/>
      <c r="K17" s="29"/>
      <c r="L17" s="7"/>
      <c r="M17" s="7"/>
      <c r="O17" s="29"/>
    </row>
    <row r="18" spans="1:15" ht="21" customHeight="1" x14ac:dyDescent="0.3">
      <c r="B18" s="121" t="s">
        <v>155</v>
      </c>
      <c r="C18" s="121"/>
      <c r="D18" s="121"/>
      <c r="E18" s="121"/>
      <c r="F18" s="121"/>
      <c r="G18" s="121"/>
      <c r="H18" s="121"/>
      <c r="I18" s="121"/>
      <c r="J18" s="121"/>
      <c r="L18" s="6"/>
      <c r="M18" s="6"/>
      <c r="O18" s="29"/>
    </row>
    <row r="19" spans="1:15" ht="30.75" customHeight="1" x14ac:dyDescent="0.3">
      <c r="B19" s="121" t="s">
        <v>94</v>
      </c>
      <c r="C19" s="121"/>
      <c r="D19" s="121"/>
      <c r="E19" s="121"/>
      <c r="F19" s="121"/>
      <c r="G19" s="121"/>
      <c r="H19" s="121"/>
      <c r="I19" s="121"/>
      <c r="J19" s="121"/>
      <c r="L19" s="6"/>
      <c r="M19" s="6"/>
    </row>
    <row r="20" spans="1:15" s="6" customFormat="1" ht="29.25" customHeight="1" x14ac:dyDescent="0.3">
      <c r="B20" s="128" t="s">
        <v>156</v>
      </c>
      <c r="C20" s="128"/>
      <c r="D20" s="128"/>
      <c r="E20" s="128"/>
      <c r="F20" s="128"/>
      <c r="G20" s="128"/>
      <c r="H20" s="128"/>
      <c r="I20" s="128"/>
      <c r="J20" s="128"/>
    </row>
    <row r="21" spans="1:15" s="6" customFormat="1" ht="18" customHeight="1" x14ac:dyDescent="0.3">
      <c r="B21" s="128" t="s">
        <v>95</v>
      </c>
      <c r="C21" s="128"/>
      <c r="D21" s="128"/>
      <c r="E21" s="128"/>
      <c r="F21" s="128"/>
      <c r="G21" s="128"/>
      <c r="H21" s="128"/>
      <c r="I21" s="128"/>
      <c r="J21" s="128"/>
    </row>
    <row r="22" spans="1:15" s="6" customFormat="1" ht="18" customHeight="1" x14ac:dyDescent="0.3">
      <c r="B22" s="121" t="s">
        <v>147</v>
      </c>
      <c r="C22" s="121"/>
      <c r="D22" s="121"/>
      <c r="E22" s="121"/>
      <c r="F22" s="121"/>
      <c r="G22" s="121"/>
      <c r="H22" s="121"/>
      <c r="I22" s="121"/>
      <c r="J22" s="121"/>
    </row>
    <row r="23" spans="1:15" s="6" customFormat="1" ht="30.75" customHeight="1" x14ac:dyDescent="0.3">
      <c r="A23" s="7"/>
      <c r="B23" s="121" t="s">
        <v>157</v>
      </c>
      <c r="C23" s="121"/>
      <c r="D23" s="121"/>
      <c r="E23" s="121"/>
      <c r="F23" s="121"/>
      <c r="G23" s="121"/>
      <c r="H23" s="121"/>
      <c r="I23" s="121"/>
      <c r="J23" s="121"/>
      <c r="K23" s="7"/>
      <c r="L23" s="7"/>
      <c r="M23" s="7"/>
    </row>
    <row r="24" spans="1:15" s="6" customFormat="1" ht="17.25" customHeight="1" x14ac:dyDescent="0.3">
      <c r="A24" s="7"/>
      <c r="B24" s="121" t="s">
        <v>158</v>
      </c>
      <c r="C24" s="121"/>
      <c r="D24" s="121"/>
      <c r="E24" s="121"/>
      <c r="F24" s="121"/>
      <c r="G24" s="121"/>
      <c r="H24" s="121"/>
      <c r="I24" s="121"/>
      <c r="J24" s="121"/>
      <c r="K24" s="7"/>
      <c r="L24" s="7"/>
      <c r="M24" s="7"/>
    </row>
    <row r="25" spans="1:15" ht="33" customHeight="1" x14ac:dyDescent="0.3">
      <c r="B25" s="121" t="s">
        <v>159</v>
      </c>
      <c r="C25" s="121"/>
      <c r="D25" s="121"/>
      <c r="E25" s="121"/>
      <c r="F25" s="121"/>
      <c r="G25" s="121"/>
      <c r="H25" s="121"/>
      <c r="I25" s="121"/>
      <c r="J25" s="121"/>
    </row>
    <row r="26" spans="1:15" ht="20.25" customHeight="1" x14ac:dyDescent="0.3">
      <c r="B26" s="118" t="s">
        <v>96</v>
      </c>
      <c r="C26" s="118"/>
      <c r="D26" s="118"/>
      <c r="E26" s="118"/>
      <c r="F26" s="118"/>
      <c r="G26" s="118"/>
      <c r="H26" s="118"/>
      <c r="I26" s="118"/>
      <c r="J26" s="118"/>
    </row>
    <row r="30" spans="1:15" x14ac:dyDescent="0.3">
      <c r="I30" s="7">
        <f>406*0.095</f>
        <v>38.57</v>
      </c>
    </row>
  </sheetData>
  <mergeCells count="13">
    <mergeCell ref="L4:M4"/>
    <mergeCell ref="B17:J17"/>
    <mergeCell ref="B26:J26"/>
    <mergeCell ref="G15:I15"/>
    <mergeCell ref="B3:B4"/>
    <mergeCell ref="B19:J19"/>
    <mergeCell ref="B25:J25"/>
    <mergeCell ref="B18:J18"/>
    <mergeCell ref="B20:J20"/>
    <mergeCell ref="B22:J22"/>
    <mergeCell ref="B23:J23"/>
    <mergeCell ref="B24:J24"/>
    <mergeCell ref="B21:J21"/>
  </mergeCells>
  <pageMargins left="0.7" right="0.7" top="0.75" bottom="0.75" header="0.3" footer="0.3"/>
  <pageSetup scale="72"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1"/>
  <sheetViews>
    <sheetView topLeftCell="A19" workbookViewId="0">
      <selection activeCell="B30" sqref="B30"/>
    </sheetView>
  </sheetViews>
  <sheetFormatPr defaultRowHeight="12.5" x14ac:dyDescent="0.25"/>
  <cols>
    <col min="1" max="1" width="1" customWidth="1"/>
    <col min="2" max="2" width="21.26953125" customWidth="1"/>
    <col min="3" max="3" width="12.81640625" bestFit="1" customWidth="1"/>
    <col min="4" max="4" width="15.54296875" bestFit="1" customWidth="1"/>
    <col min="5" max="5" width="18.54296875" customWidth="1"/>
    <col min="6" max="6" width="15.54296875" bestFit="1" customWidth="1"/>
    <col min="7" max="7" width="12.81640625" customWidth="1"/>
  </cols>
  <sheetData>
    <row r="2" spans="2:8" ht="15" x14ac:dyDescent="0.25">
      <c r="B2" s="131" t="s">
        <v>33</v>
      </c>
      <c r="C2" s="132"/>
      <c r="D2" s="132"/>
      <c r="E2" s="132"/>
      <c r="F2" s="132"/>
      <c r="G2" s="133"/>
    </row>
    <row r="3" spans="2:8" ht="24" customHeight="1" x14ac:dyDescent="0.25">
      <c r="B3" s="24"/>
      <c r="C3" s="134" t="s">
        <v>34</v>
      </c>
      <c r="D3" s="135"/>
      <c r="E3" s="25" t="s">
        <v>35</v>
      </c>
      <c r="F3" s="134"/>
      <c r="G3" s="135"/>
    </row>
    <row r="4" spans="2:8" ht="13" x14ac:dyDescent="0.25">
      <c r="B4" s="21"/>
      <c r="C4" s="23" t="s">
        <v>19</v>
      </c>
      <c r="D4" s="23" t="s">
        <v>20</v>
      </c>
      <c r="E4" s="23" t="s">
        <v>21</v>
      </c>
      <c r="F4" s="23" t="s">
        <v>22</v>
      </c>
      <c r="G4" s="23" t="s">
        <v>23</v>
      </c>
    </row>
    <row r="5" spans="2:8" ht="52" x14ac:dyDescent="0.25">
      <c r="B5" s="23" t="s">
        <v>36</v>
      </c>
      <c r="C5" s="23" t="s">
        <v>42</v>
      </c>
      <c r="D5" s="23" t="s">
        <v>37</v>
      </c>
      <c r="E5" s="28" t="s">
        <v>38</v>
      </c>
      <c r="F5" s="23" t="s">
        <v>39</v>
      </c>
      <c r="G5" s="23" t="s">
        <v>33</v>
      </c>
    </row>
    <row r="6" spans="2:8" ht="13" x14ac:dyDescent="0.25">
      <c r="B6" s="23"/>
      <c r="C6" s="23"/>
      <c r="D6" s="23"/>
      <c r="E6" s="23"/>
      <c r="F6" s="23"/>
      <c r="G6" s="23" t="s">
        <v>40</v>
      </c>
    </row>
    <row r="7" spans="2:8" ht="13" x14ac:dyDescent="0.25">
      <c r="B7" s="26">
        <v>1</v>
      </c>
      <c r="C7" s="115">
        <f>ROUND(D7*0.13,0)</f>
        <v>18</v>
      </c>
      <c r="D7" s="26">
        <v>142</v>
      </c>
      <c r="E7" s="26">
        <v>88</v>
      </c>
      <c r="F7" s="27">
        <f>C7</f>
        <v>18</v>
      </c>
      <c r="G7" s="27">
        <f>C7+D7+E7-F7</f>
        <v>230</v>
      </c>
    </row>
    <row r="8" spans="2:8" ht="13" x14ac:dyDescent="0.25">
      <c r="B8" s="26">
        <v>2</v>
      </c>
      <c r="C8" s="115">
        <f t="shared" ref="C8:C9" si="0">ROUND(D8*0.13,0)</f>
        <v>18</v>
      </c>
      <c r="D8" s="26">
        <v>142</v>
      </c>
      <c r="E8" s="26">
        <v>88</v>
      </c>
      <c r="F8" s="27">
        <f t="shared" ref="F8:F9" si="1">C8</f>
        <v>18</v>
      </c>
      <c r="G8" s="26">
        <f t="shared" ref="G8:G9" si="2">C8+D8+E8-F8</f>
        <v>230</v>
      </c>
    </row>
    <row r="9" spans="2:8" ht="13" x14ac:dyDescent="0.25">
      <c r="B9" s="26">
        <v>3</v>
      </c>
      <c r="C9" s="115">
        <f t="shared" si="0"/>
        <v>18</v>
      </c>
      <c r="D9" s="26">
        <v>142</v>
      </c>
      <c r="E9" s="26">
        <v>88</v>
      </c>
      <c r="F9" s="27">
        <f t="shared" si="1"/>
        <v>18</v>
      </c>
      <c r="G9" s="26">
        <f t="shared" si="2"/>
        <v>230</v>
      </c>
    </row>
    <row r="10" spans="2:8" s="15" customFormat="1" ht="13" x14ac:dyDescent="0.3">
      <c r="B10" s="26" t="s">
        <v>41</v>
      </c>
      <c r="C10" s="116">
        <f t="shared" ref="C10:G10" si="3">AVERAGE(C7:C9)</f>
        <v>18</v>
      </c>
      <c r="D10" s="27">
        <f t="shared" si="3"/>
        <v>142</v>
      </c>
      <c r="E10" s="27">
        <f t="shared" si="3"/>
        <v>88</v>
      </c>
      <c r="F10" s="27">
        <f t="shared" si="3"/>
        <v>18</v>
      </c>
      <c r="G10" s="27">
        <f t="shared" si="3"/>
        <v>230</v>
      </c>
      <c r="H10" s="29"/>
    </row>
    <row r="11" spans="2:8" ht="13" x14ac:dyDescent="0.3">
      <c r="H11" s="29"/>
    </row>
    <row r="12" spans="2:8" ht="15" x14ac:dyDescent="0.25">
      <c r="B12" s="136" t="s">
        <v>13</v>
      </c>
      <c r="C12" s="136"/>
      <c r="D12" s="136"/>
      <c r="E12" s="136"/>
      <c r="F12" s="136"/>
    </row>
    <row r="13" spans="2:8" ht="57.5" x14ac:dyDescent="0.25">
      <c r="B13" s="17" t="s">
        <v>14</v>
      </c>
      <c r="C13" s="16" t="s">
        <v>27</v>
      </c>
      <c r="D13" s="55" t="s">
        <v>15</v>
      </c>
      <c r="E13" s="17" t="s">
        <v>16</v>
      </c>
      <c r="F13" s="17" t="s">
        <v>17</v>
      </c>
    </row>
    <row r="14" spans="2:8" ht="34.5" x14ac:dyDescent="0.25">
      <c r="B14" s="54" t="s">
        <v>68</v>
      </c>
      <c r="C14" s="53">
        <f>'Table 1'!F5</f>
        <v>18</v>
      </c>
      <c r="D14" s="56">
        <v>1</v>
      </c>
      <c r="E14" s="56">
        <v>0</v>
      </c>
      <c r="F14" s="56">
        <f t="shared" ref="F14:F25" si="4">C14*D14+E14</f>
        <v>18</v>
      </c>
    </row>
    <row r="15" spans="2:8" ht="23" x14ac:dyDescent="0.25">
      <c r="B15" s="69" t="s">
        <v>81</v>
      </c>
      <c r="C15" s="113">
        <f>'Table 1'!F12</f>
        <v>0</v>
      </c>
      <c r="D15" s="55">
        <v>0</v>
      </c>
      <c r="E15" s="17">
        <v>0</v>
      </c>
      <c r="F15" s="56">
        <f t="shared" si="4"/>
        <v>0</v>
      </c>
    </row>
    <row r="16" spans="2:8" ht="23" x14ac:dyDescent="0.25">
      <c r="B16" s="54" t="s">
        <v>48</v>
      </c>
      <c r="C16" s="53">
        <f>'Table 1'!F13</f>
        <v>4</v>
      </c>
      <c r="D16" s="56">
        <v>1</v>
      </c>
      <c r="E16" s="56">
        <v>0</v>
      </c>
      <c r="F16" s="56">
        <f t="shared" si="4"/>
        <v>4</v>
      </c>
    </row>
    <row r="17" spans="2:6" x14ac:dyDescent="0.25">
      <c r="B17" s="54" t="s">
        <v>69</v>
      </c>
      <c r="C17" s="53">
        <f>'Table 1'!F14</f>
        <v>14</v>
      </c>
      <c r="D17" s="53">
        <v>1</v>
      </c>
      <c r="E17" s="56">
        <v>0</v>
      </c>
      <c r="F17" s="56">
        <f t="shared" si="4"/>
        <v>14</v>
      </c>
    </row>
    <row r="18" spans="2:6" ht="23" x14ac:dyDescent="0.25">
      <c r="B18" s="54" t="s">
        <v>70</v>
      </c>
      <c r="C18" s="53">
        <f>'Table 1'!F15</f>
        <v>18</v>
      </c>
      <c r="D18" s="53">
        <v>1</v>
      </c>
      <c r="E18" s="56">
        <v>0</v>
      </c>
      <c r="F18" s="56">
        <f t="shared" si="4"/>
        <v>18</v>
      </c>
    </row>
    <row r="19" spans="2:6" x14ac:dyDescent="0.25">
      <c r="B19" s="54" t="s">
        <v>45</v>
      </c>
      <c r="C19" s="53">
        <f>'Table 1'!F16</f>
        <v>18</v>
      </c>
      <c r="D19" s="53">
        <v>1</v>
      </c>
      <c r="E19" s="56">
        <v>0</v>
      </c>
      <c r="F19" s="56">
        <f t="shared" si="4"/>
        <v>18</v>
      </c>
    </row>
    <row r="20" spans="2:6" ht="26" x14ac:dyDescent="0.25">
      <c r="B20" s="47" t="s">
        <v>83</v>
      </c>
      <c r="C20" s="53">
        <f>'Table 1'!F17</f>
        <v>2</v>
      </c>
      <c r="D20" s="53">
        <v>1</v>
      </c>
      <c r="E20" s="56">
        <v>0</v>
      </c>
      <c r="F20" s="56">
        <f t="shared" si="4"/>
        <v>2</v>
      </c>
    </row>
    <row r="21" spans="2:6" ht="26" x14ac:dyDescent="0.25">
      <c r="B21" s="47" t="s">
        <v>84</v>
      </c>
      <c r="C21" s="53">
        <f>'Table 1'!F18</f>
        <v>0</v>
      </c>
      <c r="D21" s="53">
        <v>0</v>
      </c>
      <c r="E21" s="56">
        <v>0</v>
      </c>
      <c r="F21" s="56">
        <f t="shared" si="4"/>
        <v>0</v>
      </c>
    </row>
    <row r="22" spans="2:6" ht="41.5" x14ac:dyDescent="0.25">
      <c r="B22" s="47" t="s">
        <v>77</v>
      </c>
      <c r="C22" s="53">
        <f>'Table 1'!F19</f>
        <v>128</v>
      </c>
      <c r="D22" s="53">
        <v>2</v>
      </c>
      <c r="E22" s="56">
        <v>0</v>
      </c>
      <c r="F22" s="56">
        <f t="shared" si="4"/>
        <v>256</v>
      </c>
    </row>
    <row r="23" spans="2:6" ht="41.5" x14ac:dyDescent="0.25">
      <c r="B23" s="47" t="s">
        <v>78</v>
      </c>
      <c r="C23" s="53">
        <f>'Table 1'!F20</f>
        <v>13</v>
      </c>
      <c r="D23" s="53">
        <v>2</v>
      </c>
      <c r="E23" s="56">
        <v>0</v>
      </c>
      <c r="F23" s="56">
        <f t="shared" si="4"/>
        <v>26</v>
      </c>
    </row>
    <row r="24" spans="2:6" ht="23" x14ac:dyDescent="0.25">
      <c r="B24" s="54" t="s">
        <v>67</v>
      </c>
      <c r="C24" s="53">
        <f>'Table 1'!F21</f>
        <v>1</v>
      </c>
      <c r="D24" s="53">
        <v>4</v>
      </c>
      <c r="E24" s="56">
        <v>0</v>
      </c>
      <c r="F24" s="56">
        <f t="shared" si="4"/>
        <v>4</v>
      </c>
    </row>
    <row r="25" spans="2:6" ht="23" x14ac:dyDescent="0.25">
      <c r="B25" s="54" t="s">
        <v>82</v>
      </c>
      <c r="C25" s="53"/>
      <c r="D25" s="53"/>
      <c r="E25" s="53">
        <f>C31</f>
        <v>88</v>
      </c>
      <c r="F25" s="56">
        <f t="shared" si="4"/>
        <v>88</v>
      </c>
    </row>
    <row r="26" spans="2:6" x14ac:dyDescent="0.25">
      <c r="B26" s="38"/>
      <c r="C26" s="38"/>
      <c r="D26" s="38"/>
      <c r="E26" s="94" t="s">
        <v>28</v>
      </c>
      <c r="F26" s="95">
        <f>SUM(F14:F25)</f>
        <v>448</v>
      </c>
    </row>
    <row r="29" spans="2:6" ht="13" x14ac:dyDescent="0.3">
      <c r="B29" s="35" t="s">
        <v>51</v>
      </c>
      <c r="C29" s="108" t="s">
        <v>141</v>
      </c>
    </row>
    <row r="30" spans="2:6" ht="13" x14ac:dyDescent="0.3">
      <c r="B30" s="34" t="s">
        <v>162</v>
      </c>
      <c r="C30" s="109">
        <f>D10</f>
        <v>142</v>
      </c>
    </row>
    <row r="31" spans="2:6" ht="13" x14ac:dyDescent="0.3">
      <c r="B31" s="34" t="s">
        <v>73</v>
      </c>
      <c r="C31" s="109">
        <f>E10</f>
        <v>88</v>
      </c>
    </row>
    <row r="32" spans="2:6" ht="13" x14ac:dyDescent="0.3">
      <c r="B32" s="34" t="s">
        <v>74</v>
      </c>
      <c r="C32" s="109">
        <f>ROUND((150/406)*C30,0)</f>
        <v>52</v>
      </c>
    </row>
    <row r="33" spans="2:12" ht="13" x14ac:dyDescent="0.3">
      <c r="B33" s="34" t="s">
        <v>47</v>
      </c>
      <c r="C33" s="109">
        <v>0</v>
      </c>
    </row>
    <row r="36" spans="2:12" ht="15" x14ac:dyDescent="0.25">
      <c r="B36" s="129" t="s">
        <v>107</v>
      </c>
      <c r="C36" s="129"/>
      <c r="D36" s="129"/>
      <c r="E36" s="129"/>
      <c r="F36" s="129"/>
      <c r="G36" s="129"/>
      <c r="H36" s="129"/>
    </row>
    <row r="37" spans="2:12" ht="25.5" customHeight="1" x14ac:dyDescent="0.25">
      <c r="B37" s="84" t="s">
        <v>19</v>
      </c>
      <c r="C37" s="84" t="s">
        <v>20</v>
      </c>
      <c r="D37" s="84" t="s">
        <v>21</v>
      </c>
      <c r="E37" s="84" t="s">
        <v>22</v>
      </c>
      <c r="F37" s="84" t="s">
        <v>23</v>
      </c>
      <c r="G37" s="84" t="s">
        <v>113</v>
      </c>
      <c r="H37" s="84" t="s">
        <v>114</v>
      </c>
      <c r="J37" s="130" t="s">
        <v>137</v>
      </c>
      <c r="K37" s="130"/>
      <c r="L37" s="130"/>
    </row>
    <row r="38" spans="2:12" ht="41.5" x14ac:dyDescent="0.25">
      <c r="B38" s="84" t="s">
        <v>108</v>
      </c>
      <c r="C38" s="84" t="s">
        <v>109</v>
      </c>
      <c r="D38" s="84" t="s">
        <v>110</v>
      </c>
      <c r="E38" s="84" t="s">
        <v>111</v>
      </c>
      <c r="F38" s="84" t="s">
        <v>112</v>
      </c>
      <c r="G38" s="84" t="s">
        <v>117</v>
      </c>
      <c r="H38" s="84" t="s">
        <v>116</v>
      </c>
      <c r="J38" s="103" t="s">
        <v>138</v>
      </c>
      <c r="K38" s="104">
        <v>394.3</v>
      </c>
      <c r="L38" s="105">
        <v>600</v>
      </c>
    </row>
    <row r="39" spans="2:12" ht="26" x14ac:dyDescent="0.25">
      <c r="B39" s="92" t="s">
        <v>115</v>
      </c>
      <c r="C39" s="93">
        <v>0</v>
      </c>
      <c r="D39" s="84">
        <v>0</v>
      </c>
      <c r="E39" s="93">
        <v>0</v>
      </c>
      <c r="F39" s="93">
        <f>ROUND(600*K39/K38,0)</f>
        <v>924</v>
      </c>
      <c r="G39" s="84">
        <f>ROUND(D10*0.1,0)</f>
        <v>14</v>
      </c>
      <c r="H39" s="93">
        <f>ROUND(F39*G39,-2)</f>
        <v>12900</v>
      </c>
      <c r="J39" s="106" t="s">
        <v>139</v>
      </c>
      <c r="K39" s="104">
        <v>607.5</v>
      </c>
      <c r="L39" s="105">
        <f>L38*K39/K38</f>
        <v>924.42302815115397</v>
      </c>
    </row>
    <row r="40" spans="2:12" ht="18.5" x14ac:dyDescent="0.25">
      <c r="B40" s="90" t="s">
        <v>146</v>
      </c>
      <c r="C40" s="91"/>
      <c r="D40" s="91"/>
      <c r="E40" s="91"/>
      <c r="F40" s="91"/>
      <c r="G40" s="91"/>
      <c r="H40" s="91"/>
    </row>
    <row r="41" spans="2:12" ht="15.5" x14ac:dyDescent="0.25">
      <c r="B41" s="107" t="s">
        <v>140</v>
      </c>
    </row>
  </sheetData>
  <mergeCells count="6">
    <mergeCell ref="B36:H36"/>
    <mergeCell ref="J37:L37"/>
    <mergeCell ref="B2:G2"/>
    <mergeCell ref="C3:D3"/>
    <mergeCell ref="F3:G3"/>
    <mergeCell ref="B12:F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Table 1</vt:lpstr>
      <vt:lpstr>Table 2</vt:lpstr>
      <vt:lpstr>O&amp;M</vt:lpstr>
      <vt:lpstr>'Table 1'!Print_Area</vt:lpstr>
      <vt:lpstr>'Table 2'!Print_Area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Wrigley, William</cp:lastModifiedBy>
  <cp:lastPrinted>2013-09-03T15:51:35Z</cp:lastPrinted>
  <dcterms:created xsi:type="dcterms:W3CDTF">2013-07-15T20:11:44Z</dcterms:created>
  <dcterms:modified xsi:type="dcterms:W3CDTF">2021-05-26T14:50:30Z</dcterms:modified>
</cp:coreProperties>
</file>