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CAE88F45-205A-4368-89F2-1993DACE79AF}"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4" l="1"/>
  <c r="E7" i="2"/>
  <c r="E37" i="1"/>
  <c r="E38" i="1"/>
  <c r="E39" i="1"/>
  <c r="E40" i="1"/>
  <c r="E41" i="1"/>
  <c r="E42" i="1"/>
  <c r="E43" i="1"/>
  <c r="E44" i="1"/>
  <c r="E36" i="1"/>
  <c r="E33" i="1"/>
  <c r="E34" i="1"/>
  <c r="E32" i="1"/>
  <c r="E23" i="1"/>
  <c r="C46" i="4" s="1"/>
  <c r="F46" i="4" s="1"/>
  <c r="E7" i="1"/>
  <c r="E25" i="1" s="1"/>
  <c r="C48" i="4" s="1"/>
  <c r="D46" i="4"/>
  <c r="D48" i="4"/>
  <c r="C49" i="4"/>
  <c r="D49" i="4"/>
  <c r="G35" i="4"/>
  <c r="C36" i="4"/>
  <c r="G36" i="4" s="1"/>
  <c r="C37" i="4"/>
  <c r="G37" i="4" s="1"/>
  <c r="D37" i="4"/>
  <c r="D38" i="4" s="1"/>
  <c r="E38" i="4"/>
  <c r="F38" i="4"/>
  <c r="F49" i="4" l="1"/>
  <c r="F48" i="4"/>
  <c r="C38" i="4"/>
  <c r="D45" i="1" l="1"/>
  <c r="D44" i="1"/>
  <c r="D43" i="1"/>
  <c r="D42" i="1"/>
  <c r="D41" i="1"/>
  <c r="D40" i="1"/>
  <c r="D39" i="1"/>
  <c r="D38" i="1"/>
  <c r="D37" i="1"/>
  <c r="D36" i="1"/>
  <c r="D35" i="1"/>
  <c r="D34" i="1"/>
  <c r="D33" i="1"/>
  <c r="D32" i="1"/>
  <c r="D25" i="1"/>
  <c r="D23" i="1"/>
  <c r="D11" i="2"/>
  <c r="E14" i="2"/>
  <c r="E12" i="2"/>
  <c r="C14" i="2"/>
  <c r="D14" i="2" s="1"/>
  <c r="C12" i="2"/>
  <c r="D12" i="2" s="1"/>
  <c r="D6" i="2"/>
  <c r="D7" i="2"/>
  <c r="D15" i="2"/>
  <c r="D18" i="1"/>
  <c r="D17" i="1"/>
  <c r="D16" i="1"/>
  <c r="D15" i="1"/>
  <c r="D14" i="1"/>
  <c r="D13" i="1"/>
  <c r="D12" i="1"/>
  <c r="D11" i="1"/>
  <c r="D10" i="1"/>
  <c r="D9" i="1"/>
  <c r="D7" i="1"/>
  <c r="E22" i="1"/>
  <c r="F7" i="1"/>
  <c r="E11" i="2" l="1"/>
  <c r="F11" i="2" s="1"/>
  <c r="H11" i="2" s="1"/>
  <c r="C45" i="4"/>
  <c r="H7" i="1"/>
  <c r="G7" i="1"/>
  <c r="I7" i="1" l="1"/>
  <c r="G11" i="2"/>
  <c r="I11" i="2" s="1"/>
  <c r="E17" i="1"/>
  <c r="E16" i="1"/>
  <c r="E15" i="1"/>
  <c r="E14" i="1"/>
  <c r="E35" i="1" s="1"/>
  <c r="F35" i="1" s="1"/>
  <c r="E13" i="1"/>
  <c r="F34" i="1" s="1"/>
  <c r="G19" i="4"/>
  <c r="E12" i="1" s="1"/>
  <c r="E9" i="1"/>
  <c r="E24" i="1" s="1"/>
  <c r="F4" i="4"/>
  <c r="G18" i="4" s="1"/>
  <c r="E11" i="1" s="1"/>
  <c r="F3" i="4"/>
  <c r="G17" i="4" s="1"/>
  <c r="E10" i="1" s="1"/>
  <c r="G22" i="4"/>
  <c r="F22" i="4"/>
  <c r="H22" i="4" s="1"/>
  <c r="D22" i="4"/>
  <c r="C22" i="4"/>
  <c r="F21" i="4"/>
  <c r="H21" i="4" s="1"/>
  <c r="D21" i="4"/>
  <c r="C21" i="4"/>
  <c r="C20" i="4"/>
  <c r="C23" i="4" s="1"/>
  <c r="F19" i="4"/>
  <c r="H19" i="4" s="1"/>
  <c r="E19" i="4"/>
  <c r="F18" i="4"/>
  <c r="E18" i="4"/>
  <c r="F17" i="4"/>
  <c r="E17" i="4"/>
  <c r="C47" i="4" l="1"/>
  <c r="E13" i="2"/>
  <c r="H17" i="4"/>
  <c r="F23" i="4"/>
  <c r="E22" i="4"/>
  <c r="E6" i="2"/>
  <c r="F6" i="2" s="1"/>
  <c r="C24" i="1"/>
  <c r="D47" i="4" s="1"/>
  <c r="F47" i="4" s="1"/>
  <c r="H34" i="1"/>
  <c r="G34" i="1"/>
  <c r="I34" i="1" s="1"/>
  <c r="C22" i="1"/>
  <c r="D45" i="4" s="1"/>
  <c r="F45" i="4" s="1"/>
  <c r="E21" i="4"/>
  <c r="H18" i="4"/>
  <c r="E20" i="4"/>
  <c r="E23" i="4" s="1"/>
  <c r="F50" i="4" l="1"/>
  <c r="H6" i="2"/>
  <c r="H23" i="4"/>
  <c r="I49" i="1" s="1"/>
  <c r="G6" i="2"/>
  <c r="I6" i="2" s="1"/>
  <c r="C13" i="2"/>
  <c r="D13" i="2" s="1"/>
  <c r="D24" i="1"/>
  <c r="F24" i="1" s="1"/>
  <c r="D22" i="1"/>
  <c r="F22" i="1" s="1"/>
  <c r="H22" i="1" l="1"/>
  <c r="G22" i="1"/>
  <c r="F15" i="2"/>
  <c r="F14" i="2"/>
  <c r="F13" i="2"/>
  <c r="F12" i="2"/>
  <c r="F7" i="2"/>
  <c r="I22" i="1" l="1"/>
  <c r="H7" i="2"/>
  <c r="G7" i="2"/>
  <c r="F16" i="2" s="1"/>
  <c r="H12" i="2"/>
  <c r="G13" i="2"/>
  <c r="I13" i="2" s="1"/>
  <c r="H14" i="2"/>
  <c r="G14" i="2"/>
  <c r="H15" i="2"/>
  <c r="G15" i="2"/>
  <c r="I15" i="2" s="1"/>
  <c r="H13" i="2"/>
  <c r="G12" i="2"/>
  <c r="F33" i="1"/>
  <c r="F36" i="1"/>
  <c r="F37" i="1"/>
  <c r="F38" i="1"/>
  <c r="F39" i="1"/>
  <c r="F40" i="1"/>
  <c r="F41" i="1"/>
  <c r="F42" i="1"/>
  <c r="F43" i="1"/>
  <c r="F44" i="1"/>
  <c r="F32" i="1"/>
  <c r="F25" i="1"/>
  <c r="F23" i="1"/>
  <c r="F10" i="1"/>
  <c r="F11" i="1"/>
  <c r="F12" i="1"/>
  <c r="F13" i="1"/>
  <c r="F14" i="1"/>
  <c r="F15" i="1"/>
  <c r="F16" i="1"/>
  <c r="F17" i="1"/>
  <c r="F18" i="1"/>
  <c r="F9" i="1"/>
  <c r="I12" i="2" l="1"/>
  <c r="I14" i="2"/>
  <c r="I7" i="2"/>
  <c r="H18" i="1"/>
  <c r="G18" i="1"/>
  <c r="I18" i="1" s="1"/>
  <c r="G32" i="1"/>
  <c r="F47" i="1" s="1"/>
  <c r="H32" i="1"/>
  <c r="H23" i="1"/>
  <c r="G23" i="1"/>
  <c r="G44" i="1"/>
  <c r="H44" i="1"/>
  <c r="G40" i="1"/>
  <c r="H40" i="1"/>
  <c r="H36" i="1"/>
  <c r="G36" i="1"/>
  <c r="G37" i="1"/>
  <c r="H37" i="1"/>
  <c r="H24" i="1"/>
  <c r="G24" i="1"/>
  <c r="H43" i="1"/>
  <c r="G43" i="1"/>
  <c r="G39" i="1"/>
  <c r="H39" i="1"/>
  <c r="G35" i="1"/>
  <c r="H35" i="1"/>
  <c r="H41" i="1"/>
  <c r="G41" i="1"/>
  <c r="H25" i="1"/>
  <c r="G25" i="1"/>
  <c r="G42" i="1"/>
  <c r="H42" i="1"/>
  <c r="H38" i="1"/>
  <c r="G38" i="1"/>
  <c r="H33" i="1"/>
  <c r="G33" i="1"/>
  <c r="H17" i="1"/>
  <c r="G17" i="1"/>
  <c r="G16" i="1"/>
  <c r="H16" i="1"/>
  <c r="G15" i="1"/>
  <c r="H15" i="1"/>
  <c r="H14" i="1"/>
  <c r="G14" i="1"/>
  <c r="I14" i="1" s="1"/>
  <c r="G13" i="1"/>
  <c r="H13" i="1"/>
  <c r="G12" i="1"/>
  <c r="H12" i="1"/>
  <c r="H11" i="1"/>
  <c r="G11" i="1"/>
  <c r="H10" i="1"/>
  <c r="G10" i="1"/>
  <c r="G9" i="1"/>
  <c r="F26" i="1" s="1"/>
  <c r="H9" i="1"/>
  <c r="F48" i="1" l="1"/>
  <c r="I16" i="1"/>
  <c r="I16" i="2"/>
  <c r="I15" i="1"/>
  <c r="I9" i="1"/>
  <c r="I13" i="1"/>
  <c r="I11" i="1"/>
  <c r="I12" i="1"/>
  <c r="I10" i="1"/>
  <c r="I44" i="1"/>
  <c r="I43" i="1"/>
  <c r="I42" i="1"/>
  <c r="I41" i="1"/>
  <c r="I40" i="1"/>
  <c r="I39" i="1"/>
  <c r="I38" i="1"/>
  <c r="I37" i="1"/>
  <c r="I36" i="1"/>
  <c r="I35" i="1"/>
  <c r="I33" i="1"/>
  <c r="I32" i="1"/>
  <c r="I25" i="1"/>
  <c r="I24" i="1"/>
  <c r="I23" i="1"/>
  <c r="I17" i="1"/>
  <c r="I47" i="1" l="1"/>
  <c r="I26" i="1"/>
  <c r="K48" i="1"/>
  <c r="I48" i="1" l="1"/>
  <c r="I50" i="1" s="1"/>
</calcChain>
</file>

<file path=xl/sharedStrings.xml><?xml version="1.0" encoding="utf-8"?>
<sst xmlns="http://schemas.openxmlformats.org/spreadsheetml/2006/main" count="196" uniqueCount="161">
  <si>
    <t>Burden item</t>
  </si>
  <si>
    <t>1.  Applications</t>
  </si>
  <si>
    <t>N/A</t>
  </si>
  <si>
    <t>2.  Surveys and studies</t>
  </si>
  <si>
    <t xml:space="preserve"> N/A</t>
  </si>
  <si>
    <t>3.  Reporting requirements</t>
  </si>
  <si>
    <t>Annual performance test</t>
  </si>
  <si>
    <t>THC testing</t>
  </si>
  <si>
    <t>Dioxin/furan testing</t>
  </si>
  <si>
    <t>Lead testing</t>
  </si>
  <si>
    <t>Continuous particulate monitor</t>
  </si>
  <si>
    <t>Differential pressure monitor</t>
  </si>
  <si>
    <t>Inspect capture hoods</t>
  </si>
  <si>
    <t>Inspect and repair enclosures</t>
  </si>
  <si>
    <t>Inspect battery storage areas</t>
  </si>
  <si>
    <t>C.  Create information</t>
  </si>
  <si>
    <t>See 3B</t>
  </si>
  <si>
    <t>D.  Gather information</t>
  </si>
  <si>
    <t>See 3E</t>
  </si>
  <si>
    <t>E.  Report preparation</t>
  </si>
  <si>
    <t>Semiannual report</t>
  </si>
  <si>
    <t>Annual report</t>
  </si>
  <si>
    <t>Differential pressure monitoring report</t>
  </si>
  <si>
    <t>Reporting Subtotal</t>
  </si>
  <si>
    <t>1.  Recordkeeping requirements</t>
  </si>
  <si>
    <t>See 3A</t>
  </si>
  <si>
    <t>B.  Implement activities</t>
  </si>
  <si>
    <t>C.  Develop record system</t>
  </si>
  <si>
    <t>D.  Record information</t>
  </si>
  <si>
    <t>Fugitives</t>
  </si>
  <si>
    <t>Flow weighted averages for lead</t>
  </si>
  <si>
    <t>Power outages</t>
  </si>
  <si>
    <t>Facility enclosure inspections</t>
  </si>
  <si>
    <t>Startup and shutdown periods</t>
  </si>
  <si>
    <t>Malfunctions</t>
  </si>
  <si>
    <t>Actions taken during malfunctions</t>
  </si>
  <si>
    <t>Bag Leak Detection System</t>
  </si>
  <si>
    <t>Furnace inspections</t>
  </si>
  <si>
    <t>Plastic battery casing material recovery</t>
  </si>
  <si>
    <t>Monitoring parameters, performance tests, and periodic inspections</t>
  </si>
  <si>
    <t>E.  Personnel training</t>
  </si>
  <si>
    <t>F.  Time for audits</t>
  </si>
  <si>
    <t>Recordkeeping Subtotal</t>
  </si>
  <si>
    <t>Assumptions:</t>
  </si>
  <si>
    <t>(A)
Person-hours per occurrence</t>
  </si>
  <si>
    <t>(B)
Annual occurrences per respondent</t>
  </si>
  <si>
    <r>
      <t xml:space="preserve">(D)
Respondents per year </t>
    </r>
    <r>
      <rPr>
        <b/>
        <vertAlign val="superscript"/>
        <sz val="10"/>
        <color theme="1"/>
        <rFont val="Times New Roman"/>
        <family val="1"/>
      </rPr>
      <t>a</t>
    </r>
  </si>
  <si>
    <r>
      <t xml:space="preserve">(H)
Annual cost ($) </t>
    </r>
    <r>
      <rPr>
        <b/>
        <vertAlign val="superscript"/>
        <sz val="10"/>
        <color theme="1"/>
        <rFont val="Times New Roman"/>
        <family val="1"/>
      </rPr>
      <t>b</t>
    </r>
  </si>
  <si>
    <r>
      <t xml:space="preserve">A.  Observe stack tests </t>
    </r>
    <r>
      <rPr>
        <vertAlign val="superscript"/>
        <sz val="10"/>
        <color theme="1"/>
        <rFont val="Times New Roman"/>
        <family val="1"/>
      </rPr>
      <t>c</t>
    </r>
  </si>
  <si>
    <r>
      <t xml:space="preserve">B.  Excess emissions - enforcement activities </t>
    </r>
    <r>
      <rPr>
        <vertAlign val="superscript"/>
        <sz val="10"/>
        <color theme="1"/>
        <rFont val="Times New Roman"/>
        <family val="1"/>
      </rPr>
      <t>d</t>
    </r>
  </si>
  <si>
    <t>E.  Report reviews</t>
  </si>
  <si>
    <r>
      <t xml:space="preserve">F.  Prepare annual summary report </t>
    </r>
    <r>
      <rPr>
        <vertAlign val="superscript"/>
        <sz val="10"/>
        <color theme="1"/>
        <rFont val="Times New Roman"/>
        <family val="1"/>
      </rPr>
      <t>e</t>
    </r>
  </si>
  <si>
    <t>(A)
EPA person-hours per occurrence</t>
  </si>
  <si>
    <t>(F)
Management hours per year
(E x 0.05)</t>
  </si>
  <si>
    <t>(G)
Clerical hours per year
(E x 0.10)</t>
  </si>
  <si>
    <t>(E)
Technical hours per year 
(C x D)</t>
  </si>
  <si>
    <t>(C)
Person-hours per respondent per year
(A x B)</t>
  </si>
  <si>
    <t>(C)
EPA person-hours per respondent per year
(A x B)</t>
  </si>
  <si>
    <t>(E)
Technical hours per year
(C x D)</t>
  </si>
  <si>
    <t>Capital/Startup and O&amp;M Costs (taken directly from prev ICR burden tables, columns B, C, and K)</t>
  </si>
  <si>
    <t>Stack Testing Cost Per Occurrence*</t>
  </si>
  <si>
    <t>Other Non-Labor Costs Per Occurrence*</t>
  </si>
  <si>
    <t>Annual occurrences
per respondent</t>
  </si>
  <si>
    <r>
      <t xml:space="preserve">Respondents
per year </t>
    </r>
    <r>
      <rPr>
        <b/>
        <vertAlign val="superscript"/>
        <sz val="10"/>
        <rFont val="Times New Roman"/>
        <family val="1"/>
      </rPr>
      <t>a</t>
    </r>
  </si>
  <si>
    <t>Differential pressure monitor (initial capital)</t>
  </si>
  <si>
    <t>Differential pressure monitor (annual O&amp;M)</t>
  </si>
  <si>
    <t>HEPA filter monitor (initial capital)</t>
  </si>
  <si>
    <t>HEPA filter monitor (annual O&amp;M)</t>
  </si>
  <si>
    <t>Rows highlighted in blue denote new items added to burden calculations.</t>
  </si>
  <si>
    <t>Capital/Startup vs. Operation and Maintenance (O&amp;M) Costs</t>
  </si>
  <si>
    <t>(A)</t>
  </si>
  <si>
    <t>(B)</t>
  </si>
  <si>
    <t>(C)</t>
  </si>
  <si>
    <t>(D)</t>
  </si>
  <si>
    <t>(E)</t>
  </si>
  <si>
    <t>(F)</t>
  </si>
  <si>
    <t>(G)</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</si>
  <si>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</si>
  <si>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</si>
  <si>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</si>
  <si>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</si>
  <si>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</si>
  <si>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</si>
  <si>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 (E X F)</t>
  </si>
  <si>
    <t>HEPA filter monitor</t>
  </si>
  <si>
    <t>Total</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</si>
  <si>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</si>
  <si>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</si>
  <si>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</si>
  <si>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</si>
  <si>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</si>
  <si>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</si>
  <si>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</si>
  <si>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</si>
  <si>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</si>
  <si>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</si>
  <si>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</si>
  <si>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</si>
  <si>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</si>
  <si>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</si>
  <si>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Average</t>
  </si>
  <si>
    <t>Labor Rates</t>
  </si>
  <si>
    <t>test occurs every 6 years so assume 2 respondents per year</t>
  </si>
  <si>
    <t xml:space="preserve">change this to 24, assuming two differential pressure monitors per facility. </t>
  </si>
  <si>
    <t>changed to match latest facility inventory</t>
  </si>
  <si>
    <t>changed to match latest facility inventory, divided by 2 per note about extension</t>
  </si>
  <si>
    <t>required every 6 years, so 12 sources/6 years = 2. This should not have been zero previously.</t>
  </si>
  <si>
    <t>A.  Familiarization with the regulatory requirements</t>
  </si>
  <si>
    <r>
      <t>B.  Required activities</t>
    </r>
    <r>
      <rPr>
        <vertAlign val="superscript"/>
        <sz val="10"/>
        <color theme="1"/>
        <rFont val="Times New Roman"/>
        <family val="1"/>
      </rPr>
      <t>c</t>
    </r>
  </si>
  <si>
    <r>
      <t xml:space="preserve">Revise SOP manual </t>
    </r>
    <r>
      <rPr>
        <vertAlign val="superscript"/>
        <sz val="10"/>
        <color theme="1"/>
        <rFont val="Times New Roman"/>
        <family val="1"/>
      </rPr>
      <t>d</t>
    </r>
  </si>
  <si>
    <t>Annual (performance test) report</t>
  </si>
  <si>
    <t>Notification of Performance Test</t>
  </si>
  <si>
    <t>Semiannual compliance report</t>
  </si>
  <si>
    <t>Differential pressure monitors</t>
  </si>
  <si>
    <t>hours per response</t>
  </si>
  <si>
    <t>2.  Required activities</t>
  </si>
  <si>
    <t xml:space="preserve">      Notification of performance test</t>
  </si>
  <si>
    <t>Table 2: Average Annual EPA Burden and Cost – NESHAP for the Secondary Lead Smelter Industry (40 CFR Part 63, Subpart X) (Renewal)</t>
  </si>
  <si>
    <t>Table 1: Annual Respondent Burden and Cost – NESHAP for the Secondary Lead Smelter Industry (40 CFR Part 63, Subpart X) (Renewal)</t>
  </si>
  <si>
    <t>Monthly requirement per 63.544(d)</t>
  </si>
  <si>
    <t>Weekly requirement per 63.545(c)(4)</t>
  </si>
  <si>
    <r>
      <t>a</t>
    </r>
    <r>
      <rPr>
        <sz val="10"/>
        <color theme="1"/>
        <rFont val="Times New Roman"/>
        <family val="1"/>
      </rPr>
      <t xml:space="preserve">  EPA estimates an average of 12 existing facilities and no new facilities per year will be subject to the NESHAP over the next 3 years. </t>
    </r>
  </si>
  <si>
    <r>
      <t>c</t>
    </r>
    <r>
      <rPr>
        <sz val="10"/>
        <rFont val="Times New Roman"/>
        <family val="1"/>
      </rPr>
      <t xml:space="preserve">  EPA assumes Agency personnel will attend 20% of facility stack tests (0.2 x 20 tests on average across the 12 facilities = 4, after rounding).</t>
    </r>
  </si>
  <si>
    <r>
      <t>d</t>
    </r>
    <r>
      <rPr>
        <sz val="10"/>
        <rFont val="Times New Roman"/>
        <family val="1"/>
      </rPr>
      <t xml:space="preserve">  EPA assumes 10% of facilities will have excess emissions (0.1 x 12 = 1, after rounding).</t>
    </r>
  </si>
  <si>
    <r>
      <t>e</t>
    </r>
    <r>
      <rPr>
        <sz val="10"/>
        <rFont val="Times New Roman"/>
        <family val="1"/>
      </rPr>
      <t xml:space="preserve">  EPA assumes state and EPA personnel will require 4 technical hours per respondent when preparing the annual summary report (12 x 4 = 48).</t>
    </r>
  </si>
  <si>
    <t>lead testing is every year with the option for requesting an extension to every 24 months, or 6 sources per year</t>
  </si>
  <si>
    <t>Managerial</t>
  </si>
  <si>
    <t>Technical</t>
  </si>
  <si>
    <t>Clerical</t>
  </si>
  <si>
    <r>
      <t>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</si>
  <si>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</si>
  <si>
    <r>
      <t>d</t>
    </r>
    <r>
      <rPr>
        <sz val="10"/>
        <color theme="1"/>
        <rFont val="Times New Roman"/>
        <family val="1"/>
      </rPr>
      <t xml:space="preserve">  EPA assumes each facility will make one major adjustment per year.  In each instance, the SOP must be revised.</t>
    </r>
  </si>
  <si>
    <r>
      <rPr>
        <vertAlign val="superscript"/>
        <sz val="10"/>
        <rFont val="Times New Roman"/>
        <family val="1"/>
      </rPr>
      <t>a</t>
    </r>
    <r>
      <rPr>
        <sz val="10"/>
        <rFont val="Times New Roman"/>
        <family val="1"/>
      </rPr>
      <t xml:space="preserve">  EPA estimates an average of 12 existing facilities and no new or modified facilities per year will be subject to the NESHAP over the next 3 years. In addition to the 12 active facilities there is one inactive facility that has been idled since 2013. We assume that each source subject to the standard will have to familiarize with the regulatory requirements each year.  Since there are no new or modified/reconstructed facilities expected the notifications for startup, intention to construct/reconstruct, notification of applicability and notification of initial compliance will not occur during this three-year ICR period.</t>
    </r>
  </si>
  <si>
    <r>
      <t xml:space="preserve">f   </t>
    </r>
    <r>
      <rPr>
        <sz val="10"/>
        <rFont val="Times New Roman"/>
        <family val="1"/>
      </rPr>
      <t>Totals have been rounded to 3 significant figures. Figures may not add exactly due to rounding.</t>
    </r>
  </si>
  <si>
    <r>
      <t xml:space="preserve">c   </t>
    </r>
    <r>
      <rPr>
        <sz val="10"/>
        <rFont val="Times New Roman"/>
        <family val="1"/>
      </rPr>
      <t>Testing frequency was assumed as follows, based on rule requirements and experience with the affected source actual testing schedule. THC testing is conducted annually. Dioxin/Furan tests are required every 6 years, and this ICR assumes 2 of the 12 sources conduct dioxin/furan tests each year. Lead testing is required annually but many sources requests extensions for this test and the tests occur every two years.  This ICR assumes 6 of the 12 sources conduct lead tests each year. The ICR estimates that all sources have continuous particulate monitors and that two differential pressure monitors exist per source. Since all sources have continuous particulate monitors, the visible emission observation requirement in the rule is not accounted for in the burden estimate. In addition, each facility must conduct monthly inspections of capture hoods and enclosures, and weekly inspections of battery storage areas that are not in enclosures.</t>
    </r>
  </si>
  <si>
    <r>
      <rPr>
        <vertAlign val="superscript"/>
        <sz val="10"/>
        <rFont val="Times New Roman"/>
        <family val="1"/>
      </rPr>
      <t>f</t>
    </r>
    <r>
      <rPr>
        <sz val="10"/>
        <rFont val="Times New Roman"/>
        <family val="1"/>
      </rPr>
      <t xml:space="preserve">   EPA assumes that one report will be submitted for all differential pressure monitors at the facility. </t>
    </r>
  </si>
  <si>
    <r>
      <rPr>
        <vertAlign val="superscript"/>
        <sz val="10"/>
        <rFont val="Times New Roman"/>
        <family val="1"/>
      </rPr>
      <t>g</t>
    </r>
    <r>
      <rPr>
        <sz val="10"/>
        <rFont val="Times New Roman"/>
        <family val="1"/>
      </rPr>
      <t xml:space="preserve">  Totals have been rounded to 3 significant figures. Figures may not add exactly due to rounding.</t>
    </r>
  </si>
  <si>
    <r>
      <t xml:space="preserve">A.  Familiarization with the regulatory requirements </t>
    </r>
    <r>
      <rPr>
        <vertAlign val="superscript"/>
        <sz val="10"/>
        <color theme="1"/>
        <rFont val="Times New Roman"/>
        <family val="1"/>
      </rPr>
      <t>a</t>
    </r>
  </si>
  <si>
    <r>
      <t xml:space="preserve">Dioxin/furan testing </t>
    </r>
    <r>
      <rPr>
        <vertAlign val="superscript"/>
        <sz val="10"/>
        <rFont val="Times New Roman"/>
        <family val="1"/>
      </rPr>
      <t>a</t>
    </r>
  </si>
  <si>
    <r>
      <t xml:space="preserve">Lead testing </t>
    </r>
    <r>
      <rPr>
        <vertAlign val="superscript"/>
        <sz val="10"/>
        <rFont val="Times New Roman"/>
        <family val="1"/>
      </rPr>
      <t>b</t>
    </r>
  </si>
  <si>
    <r>
      <t xml:space="preserve">Continuous particulate monitor </t>
    </r>
    <r>
      <rPr>
        <vertAlign val="superscript"/>
        <sz val="10"/>
        <rFont val="Times New Roman"/>
        <family val="1"/>
      </rPr>
      <t>c</t>
    </r>
  </si>
  <si>
    <r>
      <t xml:space="preserve">Differential pressure monitor </t>
    </r>
    <r>
      <rPr>
        <vertAlign val="superscript"/>
        <sz val="10"/>
        <rFont val="Times New Roman"/>
        <family val="1"/>
      </rPr>
      <t>d</t>
    </r>
  </si>
  <si>
    <r>
      <t xml:space="preserve">Total </t>
    </r>
    <r>
      <rPr>
        <b/>
        <vertAlign val="superscript"/>
        <sz val="10"/>
        <rFont val="Times New Roman"/>
        <family val="1"/>
      </rPr>
      <t>e</t>
    </r>
  </si>
  <si>
    <r>
      <rPr>
        <vertAlign val="superscript"/>
        <sz val="10"/>
        <rFont val="Times New Roman"/>
        <family val="1"/>
      </rPr>
      <t xml:space="preserve">a </t>
    </r>
    <r>
      <rPr>
        <sz val="10"/>
        <rFont val="Times New Roman"/>
        <family val="1"/>
      </rPr>
      <t xml:space="preserve"> Dioxin/Furan testing occurs every 6 years, or 12 facilities/6 years = 2 facilities per year. </t>
    </r>
  </si>
  <si>
    <r>
      <rPr>
        <vertAlign val="superscript"/>
        <sz val="10"/>
        <rFont val="Times New Roman"/>
        <family val="1"/>
      </rPr>
      <t>b</t>
    </r>
    <r>
      <rPr>
        <sz val="10"/>
        <rFont val="Times New Roman"/>
        <family val="1"/>
      </rPr>
      <t xml:space="preserve">  Lead testing is required annually, but there are provisions by which facilities can apply for an extension. This ICR assumes all facilities will apply for an extension to test once every 24 months. 12 facilities/2 years = 6 facilities per year conducting lead testing.</t>
    </r>
  </si>
  <si>
    <r>
      <rPr>
        <vertAlign val="superscript"/>
        <sz val="10"/>
        <rFont val="Times New Roman"/>
        <family val="1"/>
      </rPr>
      <t>d</t>
    </r>
    <r>
      <rPr>
        <sz val="10"/>
        <rFont val="Times New Roman"/>
        <family val="1"/>
      </rPr>
      <t xml:space="preserve">  EPA has assumed that each facility will have two differential pressure monitors.</t>
    </r>
  </si>
  <si>
    <r>
      <rPr>
        <vertAlign val="superscript"/>
        <sz val="10"/>
        <rFont val="Times New Roman"/>
        <family val="1"/>
      </rPr>
      <t xml:space="preserve">e </t>
    </r>
    <r>
      <rPr>
        <sz val="10"/>
        <rFont val="Times New Roman"/>
        <family val="1"/>
      </rPr>
      <t xml:space="preserve"> Totals have been rounded to 3 significant figures. Figures may not add exactly due to rounding.</t>
    </r>
  </si>
  <si>
    <r>
      <rPr>
        <vertAlign val="superscript"/>
        <sz val="10"/>
        <rFont val="Times New Roman"/>
        <family val="1"/>
      </rPr>
      <t>c</t>
    </r>
    <r>
      <rPr>
        <sz val="10"/>
        <rFont val="Times New Roman"/>
        <family val="1"/>
      </rPr>
      <t xml:space="preserve">  EPA has assumed that all facilities will have CPMs.</t>
    </r>
  </si>
  <si>
    <r>
      <t xml:space="preserve">TOTAL (rounded) </t>
    </r>
    <r>
      <rPr>
        <b/>
        <vertAlign val="superscript"/>
        <sz val="10"/>
        <color theme="1"/>
        <rFont val="Times New Roman"/>
        <family val="1"/>
      </rPr>
      <t>f</t>
    </r>
  </si>
  <si>
    <t>Number of Respondents
(E=A+B+C-D)</t>
  </si>
  <si>
    <r>
      <rPr>
        <vertAlign val="superscript"/>
        <sz val="10"/>
        <color theme="1"/>
        <rFont val="Times New Roman"/>
        <family val="1"/>
      </rPr>
      <t>1</t>
    </r>
    <r>
      <rPr>
        <sz val="10"/>
        <color theme="1"/>
        <rFont val="Times New Roman"/>
        <family val="1"/>
      </rPr>
      <t xml:space="preserve"> New respondents include sources with constructed, reconstructed, and modified affected facilities.</t>
    </r>
  </si>
  <si>
    <t>Revised Standard Operating Procedures Manual</t>
  </si>
  <si>
    <r>
      <t xml:space="preserve">Total Labor Burden and Costs (rounded) </t>
    </r>
    <r>
      <rPr>
        <b/>
        <vertAlign val="superscript"/>
        <sz val="10"/>
        <color theme="1"/>
        <rFont val="Times New Roman"/>
        <family val="1"/>
      </rPr>
      <t>g</t>
    </r>
  </si>
  <si>
    <r>
      <t xml:space="preserve">GRAND TOTAL (rounded) </t>
    </r>
    <r>
      <rPr>
        <b/>
        <vertAlign val="superscript"/>
        <sz val="10"/>
        <color theme="1"/>
        <rFont val="Times New Roman"/>
        <family val="1"/>
      </rPr>
      <t>g</t>
    </r>
  </si>
  <si>
    <r>
      <t xml:space="preserve">Total Capital and O&amp;M Cost (rounded) </t>
    </r>
    <r>
      <rPr>
        <b/>
        <vertAlign val="superscript"/>
        <sz val="10"/>
        <color theme="1"/>
        <rFont val="Times New Roman"/>
        <family val="1"/>
      </rPr>
      <t>g</t>
    </r>
  </si>
  <si>
    <r>
      <t xml:space="preserve">Notification of performance test </t>
    </r>
    <r>
      <rPr>
        <vertAlign val="superscript"/>
        <sz val="10"/>
        <color theme="1"/>
        <rFont val="Times New Roman"/>
        <family val="1"/>
      </rPr>
      <t>e</t>
    </r>
  </si>
  <si>
    <r>
      <t xml:space="preserve">Annual (performance test) report </t>
    </r>
    <r>
      <rPr>
        <vertAlign val="superscript"/>
        <sz val="10"/>
        <color theme="1"/>
        <rFont val="Times New Roman"/>
        <family val="1"/>
      </rPr>
      <t>e</t>
    </r>
  </si>
  <si>
    <r>
      <t xml:space="preserve">Differential pressure monitoring report </t>
    </r>
    <r>
      <rPr>
        <vertAlign val="superscript"/>
        <sz val="10"/>
        <color theme="1"/>
        <rFont val="Times New Roman"/>
        <family val="1"/>
      </rPr>
      <t>f</t>
    </r>
  </si>
  <si>
    <t>Requirement to report any time SOP Manual is changed in §63.545(b)</t>
  </si>
  <si>
    <r>
      <rPr>
        <vertAlign val="superscript"/>
        <sz val="10"/>
        <rFont val="Times New Roman"/>
        <family val="1"/>
      </rPr>
      <t>e</t>
    </r>
    <r>
      <rPr>
        <sz val="10"/>
        <rFont val="Times New Roman"/>
        <family val="1"/>
      </rPr>
      <t xml:space="preserve">  Performance test data and performance evaluation data must be developed using EPA’s Electronic Reporting Tool (ERT) and submitted through the EPA’s Compliance and Emissions Data Reporting Interface (CEDRI). EPA assumes one notification and one test report for each test conducted will be submitted. There are 20 tests for the 12 sources, 20/12 = 1.67, or 2 responses per respondent for each of these activities.</t>
    </r>
  </si>
  <si>
    <t>*Costs in red were tallied as O&amp;M in prev ICR (1686.11).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</si>
</sst>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23" x14ac:knownFonts="1">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b/>
      <sz val="10"/>
      <name val="Times New Roman"/>
      <family val="1"/>
    </font>
    <font>
      <sz val="10"/>
      <name val="Times New Roman"/>
      <family val="1"/>
    </font>
    <font>
      <b/>
      <vertAlign val="superscript"/>
      <sz val="10"/>
      <name val="Times New Roman"/>
      <family val="1"/>
    </font>
    <font>
      <b/>
      <sz val="12"/>
      <name val="Times New Roman"/>
      <family val="1"/>
    </font>
    <font>
      <vertAlign val="superscript"/>
      <sz val="10"/>
      <name val="Times New Roman"/>
      <family val="1"/>
    </font>
    <font>
      <sz val="10"/>
      <color theme="1"/>
      <name val="Arial"/>
      <family val="2"/>
    </font>
    <font>
      <sz val="10"/>
      <color rgb="FF000000"/>
      <name val="Times New Roman"/>
      <family val="1"/>
    </font>
    <font>
      <sz val="11"/>
      <color theme="1"/>
      <name val="Calibri"/>
      <family val="2"/>
      <scheme val="minor"/>
    </font>
    <font>
      <sz val="11"/>
      <color theme="1"/>
      <name val="Times New Roman"/>
      <family val="1"/>
    </font>
    <font>
      <sz val="11"/>
      <color rgb="FFFF0000"/>
      <name val="Times New Roman"/>
      <family val="1"/>
    </font>
    <font>
      <strike/>
      <sz val="11"/>
      <color rgb="FFFF0000"/>
      <name val="Times New Roman"/>
      <family val="1"/>
    </font>
    <font>
      <sz val="11"/>
      <name val="Times New Roman"/>
      <family val="1"/>
    </font>
    <font>
      <sz val="11"/>
      <color rgb="FFFF0000"/>
      <name val="Calibri"/>
      <family val="2"/>
      <scheme val="minor"/>
    </font>
    <font>
      <sz val="10"/>
      <color rgb="FFFF0000"/>
      <name val="Times New Roman"/>
      <family val="1"/>
    </font>
    <font>
      <b/>
      <sz val="10"/>
      <color rgb="FF000000"/>
      <name val="Times New Roman"/>
      <family val="1"/>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3" fillId="0" borderId="0"/>
    <xf numFmtId="44" fontId="15" fillId="0" borderId="0" applyFont="0" applyFill="0" applyBorder="0" applyAlignment="0" applyProtection="0"/>
  </cellStyleXfs>
  <cellXfs count="128">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indent="4"/>
    </xf>
    <xf numFmtId="3" fontId="1"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0" xfId="0" applyFont="1"/>
    <xf numFmtId="0" fontId="9" fillId="0" borderId="0" xfId="0" applyFont="1"/>
    <xf numFmtId="0" fontId="9" fillId="0" borderId="0" xfId="0" applyFont="1" applyAlignment="1">
      <alignment horizontal="center"/>
    </xf>
    <xf numFmtId="0" fontId="8" fillId="0" borderId="3" xfId="0" applyNumberFormat="1" applyFont="1" applyFill="1" applyBorder="1" applyAlignment="1">
      <alignment horizont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0" borderId="1" xfId="0" applyNumberFormat="1" applyFont="1" applyFill="1" applyBorder="1" applyAlignment="1">
      <alignment horizontal="center" wrapText="1"/>
    </xf>
    <xf numFmtId="0" fontId="9" fillId="0" borderId="0" xfId="0" applyFont="1" applyFill="1"/>
    <xf numFmtId="0" fontId="9" fillId="0" borderId="1" xfId="0" applyFont="1" applyFill="1" applyBorder="1" applyAlignment="1">
      <alignment horizontal="left" vertical="top" wrapText="1"/>
    </xf>
    <xf numFmtId="6" fontId="9" fillId="0" borderId="1"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0" fontId="9" fillId="3" borderId="0" xfId="0" applyFont="1" applyFill="1"/>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3" borderId="1" xfId="0" applyFont="1" applyFill="1" applyBorder="1" applyAlignment="1">
      <alignment vertical="top" wrapText="1"/>
    </xf>
    <xf numFmtId="6" fontId="9" fillId="3" borderId="1" xfId="0" applyNumberFormat="1" applyFont="1" applyFill="1" applyBorder="1" applyAlignment="1">
      <alignment horizontal="center" vertical="top" wrapText="1"/>
    </xf>
    <xf numFmtId="3" fontId="9" fillId="3" borderId="1" xfId="0" applyNumberFormat="1" applyFont="1" applyFill="1" applyBorder="1" applyAlignment="1">
      <alignment horizontal="center" vertical="top" wrapText="1"/>
    </xf>
    <xf numFmtId="6" fontId="9" fillId="0" borderId="1" xfId="0" applyNumberFormat="1" applyFont="1" applyFill="1" applyBorder="1" applyAlignment="1">
      <alignment horizontal="center" vertical="top"/>
    </xf>
    <xf numFmtId="3" fontId="9" fillId="0" borderId="1" xfId="0" applyNumberFormat="1" applyFont="1" applyFill="1" applyBorder="1" applyAlignment="1">
      <alignment horizontal="center" vertical="top"/>
    </xf>
    <xf numFmtId="6" fontId="9" fillId="0" borderId="0" xfId="0" applyNumberFormat="1" applyFont="1" applyAlignment="1">
      <alignment horizontal="center"/>
    </xf>
    <xf numFmtId="0" fontId="1" fillId="0" borderId="0" xfId="0" applyFont="1" applyFill="1"/>
    <xf numFmtId="0" fontId="14" fillId="0" borderId="3" xfId="1" applyFont="1" applyBorder="1" applyAlignment="1">
      <alignment horizontal="center" vertical="top" wrapText="1"/>
    </xf>
    <xf numFmtId="0" fontId="14" fillId="0" borderId="10" xfId="1" applyFont="1" applyBorder="1" applyAlignment="1">
      <alignment horizontal="center" vertical="top" wrapText="1"/>
    </xf>
    <xf numFmtId="0" fontId="14" fillId="0" borderId="10" xfId="1" applyFont="1" applyFill="1" applyBorder="1" applyAlignment="1">
      <alignment horizontal="center" vertical="top" wrapText="1"/>
    </xf>
    <xf numFmtId="0" fontId="9" fillId="0" borderId="1" xfId="1" applyFont="1" applyBorder="1" applyAlignment="1">
      <alignment horizontal="center" vertical="top" wrapText="1"/>
    </xf>
    <xf numFmtId="3" fontId="9" fillId="0" borderId="1" xfId="1" applyNumberFormat="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0" xfId="0" applyFont="1" applyBorder="1"/>
    <xf numFmtId="3"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4"/>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indent="3"/>
    </xf>
    <xf numFmtId="0" fontId="4" fillId="0" borderId="1"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0" xfId="0" applyFont="1"/>
    <xf numFmtId="0" fontId="17" fillId="0" borderId="0" xfId="0" applyFont="1"/>
    <xf numFmtId="0" fontId="16" fillId="0" borderId="0" xfId="0" applyFont="1" applyFill="1"/>
    <xf numFmtId="0" fontId="17" fillId="0" borderId="0" xfId="0" applyFont="1" applyFill="1"/>
    <xf numFmtId="0" fontId="1" fillId="0" borderId="0" xfId="0" applyFont="1"/>
    <xf numFmtId="0" fontId="1" fillId="0" borderId="1" xfId="0" applyFont="1" applyBorder="1" applyAlignment="1">
      <alignment wrapText="1"/>
    </xf>
    <xf numFmtId="0" fontId="1" fillId="0" borderId="1" xfId="0" applyFont="1" applyBorder="1"/>
    <xf numFmtId="164" fontId="1" fillId="0" borderId="1" xfId="0" applyNumberFormat="1" applyFont="1" applyBorder="1"/>
    <xf numFmtId="0" fontId="1" fillId="0" borderId="1" xfId="0" applyFont="1" applyFill="1" applyBorder="1" applyAlignment="1">
      <alignment horizontal="center"/>
    </xf>
    <xf numFmtId="0" fontId="9" fillId="0" borderId="0" xfId="0" applyFont="1" applyFill="1" applyBorder="1"/>
    <xf numFmtId="0" fontId="14" fillId="0" borderId="1" xfId="0" applyFont="1" applyBorder="1" applyAlignment="1">
      <alignment horizontal="center" vertical="center" wrapText="1"/>
    </xf>
    <xf numFmtId="0" fontId="16" fillId="0" borderId="0" xfId="0" applyFont="1" applyFill="1" applyAlignment="1">
      <alignment wrapText="1"/>
    </xf>
    <xf numFmtId="0" fontId="16" fillId="0" borderId="0" xfId="0" applyFont="1" applyBorder="1"/>
    <xf numFmtId="0" fontId="18" fillId="0" borderId="0" xfId="0" applyFont="1"/>
    <xf numFmtId="0" fontId="18" fillId="0" borderId="0" xfId="0" applyFont="1" applyFill="1"/>
    <xf numFmtId="0" fontId="19" fillId="0" borderId="0" xfId="0" applyFont="1" applyFill="1"/>
    <xf numFmtId="0" fontId="19" fillId="0" borderId="0" xfId="0" applyFont="1"/>
    <xf numFmtId="1" fontId="1" fillId="0" borderId="0" xfId="0" applyNumberFormat="1" applyFont="1" applyFill="1"/>
    <xf numFmtId="0" fontId="4" fillId="0" borderId="0" xfId="0" applyFont="1" applyFill="1"/>
    <xf numFmtId="0" fontId="1" fillId="0" borderId="0" xfId="0" applyFont="1" applyAlignment="1">
      <alignment horizontal="center" vertical="center"/>
    </xf>
    <xf numFmtId="0" fontId="8" fillId="0" borderId="1" xfId="0" applyFont="1" applyFill="1" applyBorder="1" applyAlignment="1">
      <alignment vertical="top" wrapText="1"/>
    </xf>
    <xf numFmtId="6" fontId="8" fillId="0" borderId="1" xfId="0" applyNumberFormat="1" applyFont="1" applyFill="1" applyBorder="1" applyAlignment="1">
      <alignment horizontal="center" vertical="top"/>
    </xf>
    <xf numFmtId="0" fontId="8" fillId="0" borderId="1" xfId="0" applyFont="1" applyFill="1" applyBorder="1" applyAlignment="1">
      <alignment vertical="top"/>
    </xf>
    <xf numFmtId="164" fontId="1" fillId="0" borderId="1" xfId="0" applyNumberFormat="1" applyFont="1" applyFill="1" applyBorder="1" applyAlignment="1">
      <alignment horizontal="right" vertical="center" wrapText="1"/>
    </xf>
    <xf numFmtId="164" fontId="1" fillId="0" borderId="1" xfId="0" applyNumberFormat="1" applyFont="1" applyBorder="1" applyAlignment="1">
      <alignment horizontal="right" vertical="center" wrapText="1"/>
    </xf>
    <xf numFmtId="165" fontId="7" fillId="0" borderId="1"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center" wrapText="1"/>
    </xf>
    <xf numFmtId="165" fontId="7"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5" fontId="4" fillId="0" borderId="1" xfId="2" applyNumberFormat="1" applyFont="1" applyBorder="1" applyAlignment="1">
      <alignment horizontal="right" vertical="center" wrapText="1"/>
    </xf>
    <xf numFmtId="0" fontId="4" fillId="0" borderId="0" xfId="0" applyFont="1" applyAlignment="1">
      <alignment vertical="center"/>
    </xf>
    <xf numFmtId="0" fontId="1" fillId="0" borderId="0" xfId="1" applyFont="1"/>
    <xf numFmtId="0" fontId="9" fillId="0" borderId="0" xfId="1" applyFont="1"/>
    <xf numFmtId="0" fontId="1" fillId="0" borderId="0" xfId="1" applyFont="1" applyFill="1"/>
    <xf numFmtId="0" fontId="22" fillId="0" borderId="2" xfId="1" applyFont="1" applyBorder="1" applyAlignment="1">
      <alignment vertical="top" wrapText="1"/>
    </xf>
    <xf numFmtId="0" fontId="14" fillId="0" borderId="1" xfId="1" applyFont="1" applyBorder="1" applyAlignment="1">
      <alignment vertical="top" wrapText="1"/>
    </xf>
    <xf numFmtId="0" fontId="1" fillId="0" borderId="1" xfId="1" applyFont="1" applyFill="1" applyBorder="1" applyAlignment="1">
      <alignment horizontal="center" vertical="top" wrapText="1"/>
    </xf>
    <xf numFmtId="0" fontId="1" fillId="0" borderId="1" xfId="1" applyFont="1" applyFill="1" applyBorder="1" applyAlignment="1">
      <alignment horizontal="left" vertical="top" wrapText="1" indent="4"/>
    </xf>
    <xf numFmtId="0" fontId="9" fillId="0" borderId="1" xfId="1" applyFont="1" applyFill="1" applyBorder="1" applyAlignment="1">
      <alignment horizontal="left" vertical="top" wrapText="1" indent="4"/>
    </xf>
    <xf numFmtId="0" fontId="9" fillId="0" borderId="1" xfId="1" applyFont="1" applyFill="1" applyBorder="1" applyAlignment="1">
      <alignment vertical="top" wrapText="1"/>
    </xf>
    <xf numFmtId="0" fontId="8" fillId="0" borderId="1" xfId="1" applyFont="1" applyFill="1" applyBorder="1" applyAlignment="1">
      <alignment horizontal="center" vertical="top" wrapText="1"/>
    </xf>
    <xf numFmtId="0" fontId="21" fillId="0" borderId="0" xfId="0" applyFont="1"/>
    <xf numFmtId="6" fontId="21" fillId="0" borderId="1" xfId="0" applyNumberFormat="1" applyFont="1" applyFill="1" applyBorder="1" applyAlignment="1">
      <alignment horizontal="center" vertical="top" wrapText="1"/>
    </xf>
    <xf numFmtId="0" fontId="21" fillId="0" borderId="0" xfId="0" applyFont="1" applyFill="1"/>
    <xf numFmtId="0" fontId="20" fillId="0" borderId="2" xfId="0" applyFont="1" applyFill="1" applyBorder="1" applyAlignment="1">
      <alignment vertical="top"/>
    </xf>
    <xf numFmtId="0" fontId="20" fillId="0" borderId="0" xfId="0" applyFont="1" applyFill="1" applyAlignment="1">
      <alignment vertical="top"/>
    </xf>
    <xf numFmtId="0" fontId="11" fillId="0" borderId="0" xfId="0" applyFont="1" applyAlignment="1">
      <alignment horizontal="left" vertical="top"/>
    </xf>
    <xf numFmtId="0" fontId="9" fillId="0" borderId="0" xfId="0" applyFont="1" applyFill="1" applyAlignment="1">
      <alignment horizontal="left" vertical="top" wrapText="1"/>
    </xf>
    <xf numFmtId="0" fontId="12" fillId="0" borderId="0" xfId="0" applyFont="1" applyFill="1" applyAlignment="1">
      <alignment horizontal="left" vertical="center" wrapText="1"/>
    </xf>
    <xf numFmtId="3" fontId="7" fillId="0" borderId="1" xfId="0" applyNumberFormat="1"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 fillId="0" borderId="1" xfId="0" applyFont="1" applyBorder="1" applyAlignment="1">
      <alignment horizontal="center"/>
    </xf>
    <xf numFmtId="0" fontId="6" fillId="0" borderId="0" xfId="0" applyFont="1" applyAlignment="1">
      <alignment horizontal="left" vertical="top"/>
    </xf>
    <xf numFmtId="0" fontId="9" fillId="0" borderId="0" xfId="0" applyFont="1" applyAlignment="1">
      <alignment horizontal="left" vertical="top"/>
    </xf>
    <xf numFmtId="0" fontId="12" fillId="0" borderId="0" xfId="0" applyFont="1" applyFill="1" applyAlignment="1">
      <alignment vertical="top"/>
    </xf>
    <xf numFmtId="0" fontId="6" fillId="0" borderId="0" xfId="0" applyFont="1" applyAlignment="1">
      <alignment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2" fillId="0" borderId="1" xfId="1" applyFont="1" applyFill="1" applyBorder="1" applyAlignment="1">
      <alignment horizontal="center" vertical="top" wrapText="1"/>
    </xf>
    <xf numFmtId="0" fontId="9" fillId="0" borderId="9" xfId="0" applyFont="1" applyFill="1" applyBorder="1" applyAlignment="1">
      <alignment horizontal="left" vertical="top"/>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6"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Fill="1" applyBorder="1" applyAlignment="1">
      <alignment horizontal="left" vertical="top" wrapText="1"/>
    </xf>
    <xf numFmtId="0" fontId="22" fillId="0" borderId="7" xfId="1" applyFont="1" applyBorder="1" applyAlignment="1">
      <alignment horizontal="center" vertical="top" wrapText="1"/>
    </xf>
    <xf numFmtId="0" fontId="22" fillId="0" borderId="8" xfId="1" applyFont="1" applyBorder="1" applyAlignment="1">
      <alignment horizontal="center" vertical="top" wrapText="1"/>
    </xf>
    <xf numFmtId="0" fontId="22" fillId="0" borderId="6" xfId="1" applyFont="1" applyBorder="1" applyAlignment="1">
      <alignment horizontal="center" vertical="top" wrapText="1"/>
    </xf>
    <xf numFmtId="0" fontId="14" fillId="0" borderId="7" xfId="1" applyFont="1" applyBorder="1" applyAlignment="1">
      <alignment horizontal="center" vertical="top" wrapText="1"/>
    </xf>
    <xf numFmtId="0" fontId="14" fillId="0" borderId="6" xfId="1" applyFont="1" applyBorder="1" applyAlignment="1">
      <alignment horizontal="center" vertical="top" wrapText="1"/>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abSelected="1" workbookViewId="0">
      <selection activeCell="L32" sqref="L32"/>
    </sheetView>
  </sheetViews>
  <sheetFormatPr defaultColWidth="9.1796875" defaultRowHeight="14" x14ac:dyDescent="0.3"/>
  <cols>
    <col min="1" max="1" width="44.26953125" style="50" customWidth="1"/>
    <col min="2" max="2" width="12.81640625" style="50" customWidth="1"/>
    <col min="3" max="3" width="17.1796875" style="50" customWidth="1"/>
    <col min="4" max="4" width="17.26953125" style="50" customWidth="1"/>
    <col min="5" max="5" width="14.81640625" style="50" customWidth="1"/>
    <col min="6" max="6" width="15.81640625" style="50" customWidth="1"/>
    <col min="7" max="7" width="14.7265625" style="50" customWidth="1"/>
    <col min="8" max="8" width="13.81640625" style="50" customWidth="1"/>
    <col min="9" max="9" width="15" style="50" customWidth="1"/>
    <col min="10" max="10" width="9.1796875" style="50" customWidth="1"/>
    <col min="11" max="11" width="15.1796875" style="50" customWidth="1"/>
    <col min="12" max="16384" width="9.1796875" style="50"/>
  </cols>
  <sheetData>
    <row r="1" spans="1:13" ht="15" x14ac:dyDescent="0.3">
      <c r="A1" s="96" t="s">
        <v>118</v>
      </c>
      <c r="B1" s="96"/>
      <c r="C1" s="96"/>
      <c r="D1" s="96"/>
      <c r="E1" s="96"/>
      <c r="F1" s="96"/>
      <c r="G1" s="96"/>
      <c r="H1" s="96"/>
      <c r="I1" s="96"/>
    </row>
    <row r="3" spans="1:13" ht="52" x14ac:dyDescent="0.3">
      <c r="A3" s="47" t="s">
        <v>0</v>
      </c>
      <c r="B3" s="49" t="s">
        <v>44</v>
      </c>
      <c r="C3" s="49" t="s">
        <v>45</v>
      </c>
      <c r="D3" s="49" t="s">
        <v>56</v>
      </c>
      <c r="E3" s="49" t="s">
        <v>46</v>
      </c>
      <c r="F3" s="49" t="s">
        <v>55</v>
      </c>
      <c r="G3" s="49" t="s">
        <v>53</v>
      </c>
      <c r="H3" s="49" t="s">
        <v>54</v>
      </c>
      <c r="I3" s="49" t="s">
        <v>47</v>
      </c>
    </row>
    <row r="4" spans="1:13" x14ac:dyDescent="0.3">
      <c r="A4" s="3" t="s">
        <v>1</v>
      </c>
      <c r="B4" s="48" t="s">
        <v>2</v>
      </c>
      <c r="C4" s="48"/>
      <c r="D4" s="48"/>
      <c r="E4" s="48"/>
      <c r="F4" s="48"/>
      <c r="G4" s="48"/>
      <c r="H4" s="48"/>
      <c r="I4" s="4"/>
      <c r="K4" s="109" t="s">
        <v>101</v>
      </c>
      <c r="L4" s="109"/>
    </row>
    <row r="5" spans="1:13" x14ac:dyDescent="0.3">
      <c r="A5" s="3" t="s">
        <v>3</v>
      </c>
      <c r="B5" s="48" t="s">
        <v>4</v>
      </c>
      <c r="C5" s="48"/>
      <c r="D5" s="48"/>
      <c r="E5" s="48"/>
      <c r="F5" s="48"/>
      <c r="G5" s="48"/>
      <c r="H5" s="48"/>
      <c r="I5" s="4"/>
      <c r="K5" s="60" t="s">
        <v>126</v>
      </c>
      <c r="L5" s="57">
        <v>149.84</v>
      </c>
    </row>
    <row r="6" spans="1:13" x14ac:dyDescent="0.3">
      <c r="A6" s="3" t="s">
        <v>5</v>
      </c>
      <c r="B6" s="48"/>
      <c r="C6" s="48"/>
      <c r="D6" s="48"/>
      <c r="E6" s="48"/>
      <c r="F6" s="48"/>
      <c r="G6" s="48"/>
      <c r="H6" s="48"/>
      <c r="I6" s="4"/>
      <c r="K6" s="60" t="s">
        <v>127</v>
      </c>
      <c r="L6" s="57">
        <v>122.66</v>
      </c>
    </row>
    <row r="7" spans="1:13" s="52" customFormat="1" ht="17.25" customHeight="1" x14ac:dyDescent="0.3">
      <c r="A7" s="43" t="s">
        <v>137</v>
      </c>
      <c r="B7" s="10">
        <v>1</v>
      </c>
      <c r="C7" s="10">
        <v>1</v>
      </c>
      <c r="D7" s="10">
        <f>B7*C7</f>
        <v>1</v>
      </c>
      <c r="E7" s="10">
        <f>'O&amp;M'!G38</f>
        <v>12</v>
      </c>
      <c r="F7" s="10">
        <f>D7*E7</f>
        <v>12</v>
      </c>
      <c r="G7" s="10">
        <f>+F7*0.05</f>
        <v>0.60000000000000009</v>
      </c>
      <c r="H7" s="10">
        <f>+F7*0.1</f>
        <v>1.2000000000000002</v>
      </c>
      <c r="I7" s="73">
        <f>F7*$L$6+$L$5*G7+H7*$L$7</f>
        <v>1634.88</v>
      </c>
      <c r="J7" s="61"/>
      <c r="K7" s="60" t="s">
        <v>128</v>
      </c>
      <c r="L7" s="57">
        <v>60.88</v>
      </c>
    </row>
    <row r="8" spans="1:13" ht="15.5" x14ac:dyDescent="0.3">
      <c r="A8" s="5" t="s">
        <v>108</v>
      </c>
      <c r="B8" s="48"/>
      <c r="C8" s="48"/>
      <c r="D8" s="48"/>
      <c r="E8" s="48"/>
      <c r="F8" s="48"/>
      <c r="G8" s="48"/>
      <c r="H8" s="48"/>
      <c r="I8" s="73"/>
      <c r="K8" s="59"/>
      <c r="L8" s="62"/>
    </row>
    <row r="9" spans="1:13" x14ac:dyDescent="0.3">
      <c r="A9" s="6" t="s">
        <v>6</v>
      </c>
      <c r="B9" s="48">
        <v>330</v>
      </c>
      <c r="C9" s="48">
        <v>1</v>
      </c>
      <c r="D9" s="48">
        <f t="shared" ref="D9:D18" si="0">B9*C9</f>
        <v>330</v>
      </c>
      <c r="E9" s="10">
        <f>'O&amp;M'!G38</f>
        <v>12</v>
      </c>
      <c r="F9" s="7">
        <f>+D9*E9</f>
        <v>3960</v>
      </c>
      <c r="G9" s="48">
        <f>+F9*0.05</f>
        <v>198</v>
      </c>
      <c r="H9" s="48">
        <f>+F9*0.1</f>
        <v>396</v>
      </c>
      <c r="I9" s="73">
        <f t="shared" ref="I9:I18" si="1">F9*$L$6+$L$5*G9+H9*$L$7</f>
        <v>539510.4</v>
      </c>
      <c r="K9" s="63"/>
      <c r="L9" s="63"/>
      <c r="M9" s="63"/>
    </row>
    <row r="10" spans="1:13" x14ac:dyDescent="0.3">
      <c r="A10" s="6" t="s">
        <v>7</v>
      </c>
      <c r="B10" s="48">
        <v>10</v>
      </c>
      <c r="C10" s="48">
        <v>1</v>
      </c>
      <c r="D10" s="48">
        <f t="shared" si="0"/>
        <v>10</v>
      </c>
      <c r="E10" s="40">
        <f>'O&amp;M'!G17</f>
        <v>12</v>
      </c>
      <c r="F10" s="7">
        <f t="shared" ref="F10:F18" si="2">+D10*E10</f>
        <v>120</v>
      </c>
      <c r="G10" s="48">
        <f t="shared" ref="G10:G18" si="3">+F10*0.05</f>
        <v>6</v>
      </c>
      <c r="H10" s="48">
        <f t="shared" ref="H10:H18" si="4">+F10*0.1</f>
        <v>12</v>
      </c>
      <c r="I10" s="73">
        <f t="shared" si="1"/>
        <v>16348.799999999997</v>
      </c>
      <c r="K10" s="63"/>
      <c r="L10" s="63"/>
      <c r="M10" s="63"/>
    </row>
    <row r="11" spans="1:13" x14ac:dyDescent="0.3">
      <c r="A11" s="6" t="s">
        <v>8</v>
      </c>
      <c r="B11" s="48">
        <v>10</v>
      </c>
      <c r="C11" s="48">
        <v>1</v>
      </c>
      <c r="D11" s="48">
        <f t="shared" si="0"/>
        <v>10</v>
      </c>
      <c r="E11" s="40">
        <f>'O&amp;M'!G18</f>
        <v>2</v>
      </c>
      <c r="F11" s="7">
        <f t="shared" si="2"/>
        <v>20</v>
      </c>
      <c r="G11" s="48">
        <f t="shared" si="3"/>
        <v>1</v>
      </c>
      <c r="H11" s="48">
        <f t="shared" si="4"/>
        <v>2</v>
      </c>
      <c r="I11" s="73">
        <f t="shared" si="1"/>
        <v>2724.8</v>
      </c>
      <c r="K11" s="63"/>
      <c r="L11" s="63"/>
      <c r="M11" s="63"/>
    </row>
    <row r="12" spans="1:13" x14ac:dyDescent="0.3">
      <c r="A12" s="6" t="s">
        <v>9</v>
      </c>
      <c r="B12" s="48">
        <v>10</v>
      </c>
      <c r="C12" s="48">
        <v>0.5</v>
      </c>
      <c r="D12" s="48">
        <f t="shared" si="0"/>
        <v>5</v>
      </c>
      <c r="E12" s="40">
        <f>'O&amp;M'!G19</f>
        <v>6</v>
      </c>
      <c r="F12" s="7">
        <f t="shared" si="2"/>
        <v>30</v>
      </c>
      <c r="G12" s="48">
        <f t="shared" si="3"/>
        <v>1.5</v>
      </c>
      <c r="H12" s="48">
        <f t="shared" si="4"/>
        <v>3</v>
      </c>
      <c r="I12" s="73">
        <f t="shared" si="1"/>
        <v>4087.1999999999994</v>
      </c>
      <c r="K12" s="63"/>
      <c r="L12" s="63"/>
      <c r="M12" s="63"/>
    </row>
    <row r="13" spans="1:13" x14ac:dyDescent="0.3">
      <c r="A13" s="6" t="s">
        <v>10</v>
      </c>
      <c r="B13" s="48">
        <v>1</v>
      </c>
      <c r="C13" s="48">
        <v>52</v>
      </c>
      <c r="D13" s="48">
        <f t="shared" si="0"/>
        <v>52</v>
      </c>
      <c r="E13" s="40">
        <f>'O&amp;M'!G20</f>
        <v>12</v>
      </c>
      <c r="F13" s="7">
        <f t="shared" si="2"/>
        <v>624</v>
      </c>
      <c r="G13" s="48">
        <f t="shared" si="3"/>
        <v>31.200000000000003</v>
      </c>
      <c r="H13" s="48">
        <f t="shared" si="4"/>
        <v>62.400000000000006</v>
      </c>
      <c r="I13" s="73">
        <f t="shared" si="1"/>
        <v>85013.759999999995</v>
      </c>
      <c r="K13" s="63"/>
      <c r="L13" s="63"/>
      <c r="M13" s="63"/>
    </row>
    <row r="14" spans="1:13" x14ac:dyDescent="0.3">
      <c r="A14" s="6" t="s">
        <v>11</v>
      </c>
      <c r="B14" s="48">
        <v>2</v>
      </c>
      <c r="C14" s="48">
        <v>1</v>
      </c>
      <c r="D14" s="48">
        <f t="shared" si="0"/>
        <v>2</v>
      </c>
      <c r="E14" s="40">
        <f>'O&amp;M'!G21</f>
        <v>24</v>
      </c>
      <c r="F14" s="7">
        <f t="shared" si="2"/>
        <v>48</v>
      </c>
      <c r="G14" s="48">
        <f t="shared" si="3"/>
        <v>2.4000000000000004</v>
      </c>
      <c r="H14" s="48">
        <f t="shared" si="4"/>
        <v>4.8000000000000007</v>
      </c>
      <c r="I14" s="73">
        <f t="shared" si="1"/>
        <v>6539.52</v>
      </c>
      <c r="K14" s="63"/>
      <c r="L14" s="63"/>
      <c r="M14" s="63"/>
    </row>
    <row r="15" spans="1:13" s="52" customFormat="1" x14ac:dyDescent="0.3">
      <c r="A15" s="44" t="s">
        <v>12</v>
      </c>
      <c r="B15" s="10">
        <v>8</v>
      </c>
      <c r="C15" s="10">
        <v>12</v>
      </c>
      <c r="D15" s="10">
        <f t="shared" si="0"/>
        <v>96</v>
      </c>
      <c r="E15" s="10">
        <f>'O&amp;M'!G38</f>
        <v>12</v>
      </c>
      <c r="F15" s="45">
        <f t="shared" si="2"/>
        <v>1152</v>
      </c>
      <c r="G15" s="10">
        <f t="shared" si="3"/>
        <v>57.6</v>
      </c>
      <c r="H15" s="10">
        <f t="shared" si="4"/>
        <v>115.2</v>
      </c>
      <c r="I15" s="73">
        <f t="shared" si="1"/>
        <v>156948.47999999998</v>
      </c>
      <c r="J15" s="32" t="s">
        <v>119</v>
      </c>
      <c r="K15" s="64"/>
      <c r="L15" s="64"/>
      <c r="M15" s="64"/>
    </row>
    <row r="16" spans="1:13" s="52" customFormat="1" x14ac:dyDescent="0.3">
      <c r="A16" s="44" t="s">
        <v>13</v>
      </c>
      <c r="B16" s="10">
        <v>20</v>
      </c>
      <c r="C16" s="10">
        <v>12</v>
      </c>
      <c r="D16" s="10">
        <f t="shared" si="0"/>
        <v>240</v>
      </c>
      <c r="E16" s="10">
        <f>'O&amp;M'!G38</f>
        <v>12</v>
      </c>
      <c r="F16" s="45">
        <f t="shared" si="2"/>
        <v>2880</v>
      </c>
      <c r="G16" s="10">
        <f t="shared" si="3"/>
        <v>144</v>
      </c>
      <c r="H16" s="10">
        <f t="shared" si="4"/>
        <v>288</v>
      </c>
      <c r="I16" s="73">
        <f t="shared" si="1"/>
        <v>392371.20000000001</v>
      </c>
      <c r="J16" s="32" t="s">
        <v>119</v>
      </c>
      <c r="K16" s="64"/>
      <c r="L16" s="64"/>
      <c r="M16" s="64"/>
    </row>
    <row r="17" spans="1:18" s="52" customFormat="1" x14ac:dyDescent="0.3">
      <c r="A17" s="44" t="s">
        <v>14</v>
      </c>
      <c r="B17" s="10">
        <v>8</v>
      </c>
      <c r="C17" s="10">
        <v>52</v>
      </c>
      <c r="D17" s="45">
        <f t="shared" si="0"/>
        <v>416</v>
      </c>
      <c r="E17" s="10">
        <f>'O&amp;M'!G38</f>
        <v>12</v>
      </c>
      <c r="F17" s="45">
        <f t="shared" si="2"/>
        <v>4992</v>
      </c>
      <c r="G17" s="10">
        <f t="shared" si="3"/>
        <v>249.60000000000002</v>
      </c>
      <c r="H17" s="10">
        <f t="shared" si="4"/>
        <v>499.20000000000005</v>
      </c>
      <c r="I17" s="73">
        <f t="shared" si="1"/>
        <v>680110.07999999996</v>
      </c>
      <c r="J17" s="32" t="s">
        <v>120</v>
      </c>
      <c r="K17" s="64"/>
      <c r="L17" s="64"/>
      <c r="M17" s="64"/>
    </row>
    <row r="18" spans="1:18" ht="15.5" x14ac:dyDescent="0.3">
      <c r="A18" s="6" t="s">
        <v>109</v>
      </c>
      <c r="B18" s="48">
        <v>20</v>
      </c>
      <c r="C18" s="48">
        <v>1</v>
      </c>
      <c r="D18" s="48">
        <f t="shared" si="0"/>
        <v>20</v>
      </c>
      <c r="E18" s="10">
        <v>1</v>
      </c>
      <c r="F18" s="7">
        <f t="shared" si="2"/>
        <v>20</v>
      </c>
      <c r="G18" s="48">
        <f t="shared" si="3"/>
        <v>1</v>
      </c>
      <c r="H18" s="48">
        <f t="shared" si="4"/>
        <v>2</v>
      </c>
      <c r="I18" s="73">
        <f t="shared" si="1"/>
        <v>2724.8</v>
      </c>
      <c r="J18" s="54" t="s">
        <v>158</v>
      </c>
      <c r="K18" s="63"/>
      <c r="L18" s="63"/>
      <c r="M18" s="63"/>
    </row>
    <row r="19" spans="1:18" x14ac:dyDescent="0.3">
      <c r="A19" s="5" t="s">
        <v>15</v>
      </c>
      <c r="B19" s="48" t="s">
        <v>16</v>
      </c>
      <c r="C19" s="48"/>
      <c r="D19" s="48"/>
      <c r="E19" s="10"/>
      <c r="F19" s="48"/>
      <c r="G19" s="48"/>
      <c r="H19" s="48"/>
      <c r="I19" s="73"/>
      <c r="J19" s="54"/>
      <c r="K19" s="63"/>
      <c r="L19" s="63"/>
      <c r="M19" s="63"/>
    </row>
    <row r="20" spans="1:18" x14ac:dyDescent="0.3">
      <c r="A20" s="5" t="s">
        <v>17</v>
      </c>
      <c r="B20" s="48" t="s">
        <v>18</v>
      </c>
      <c r="C20" s="48"/>
      <c r="D20" s="48"/>
      <c r="E20" s="10"/>
      <c r="F20" s="48"/>
      <c r="G20" s="48"/>
      <c r="H20" s="48"/>
      <c r="I20" s="73"/>
      <c r="J20" s="54"/>
      <c r="K20" s="63"/>
      <c r="L20" s="63"/>
      <c r="M20" s="63"/>
    </row>
    <row r="21" spans="1:18" x14ac:dyDescent="0.3">
      <c r="A21" s="5" t="s">
        <v>19</v>
      </c>
      <c r="B21" s="48"/>
      <c r="C21" s="48"/>
      <c r="D21" s="48"/>
      <c r="E21" s="48"/>
      <c r="F21" s="48"/>
      <c r="G21" s="48"/>
      <c r="H21" s="48"/>
      <c r="I21" s="73"/>
      <c r="J21" s="54"/>
      <c r="K21" s="63"/>
      <c r="L21" s="63"/>
      <c r="M21" s="63"/>
    </row>
    <row r="22" spans="1:18" s="52" customFormat="1" ht="15.5" x14ac:dyDescent="0.3">
      <c r="A22" s="44" t="s">
        <v>155</v>
      </c>
      <c r="B22" s="10">
        <v>2</v>
      </c>
      <c r="C22" s="10">
        <f>ROUND((E10+E11+E12)/12,0)</f>
        <v>2</v>
      </c>
      <c r="D22" s="10">
        <f>B22*C22</f>
        <v>4</v>
      </c>
      <c r="E22" s="10">
        <f>'O&amp;M'!G38</f>
        <v>12</v>
      </c>
      <c r="F22" s="45">
        <f>+D22*E22</f>
        <v>48</v>
      </c>
      <c r="G22" s="10">
        <f>+F22*0.05</f>
        <v>2.4000000000000004</v>
      </c>
      <c r="H22" s="10">
        <f>+F22*0.1</f>
        <v>4.8000000000000007</v>
      </c>
      <c r="I22" s="73">
        <f>F22*$L$6+$L$5*G22+H22*$L$7</f>
        <v>6539.52</v>
      </c>
      <c r="J22" s="94"/>
      <c r="K22" s="95"/>
      <c r="L22" s="95"/>
      <c r="M22" s="95"/>
      <c r="N22" s="95"/>
      <c r="O22" s="95"/>
      <c r="P22" s="95"/>
      <c r="Q22" s="95"/>
      <c r="R22" s="95"/>
    </row>
    <row r="23" spans="1:18" s="52" customFormat="1" ht="14.5" x14ac:dyDescent="0.3">
      <c r="A23" s="44" t="s">
        <v>112</v>
      </c>
      <c r="B23" s="10">
        <v>16</v>
      </c>
      <c r="C23" s="10">
        <v>2</v>
      </c>
      <c r="D23" s="10">
        <f>B23*C23</f>
        <v>32</v>
      </c>
      <c r="E23" s="10">
        <f>'O&amp;M'!G38</f>
        <v>12</v>
      </c>
      <c r="F23" s="45">
        <f t="shared" ref="F23:F25" si="5">+D23*E23</f>
        <v>384</v>
      </c>
      <c r="G23" s="10">
        <f t="shared" ref="G23:G25" si="6">+F23*0.05</f>
        <v>19.200000000000003</v>
      </c>
      <c r="H23" s="10">
        <f t="shared" ref="H23:H25" si="7">+F23*0.1</f>
        <v>38.400000000000006</v>
      </c>
      <c r="I23" s="73">
        <f>F23*$L$6+$L$5*G23+H23*$L$7</f>
        <v>52316.160000000003</v>
      </c>
      <c r="J23" s="94"/>
      <c r="K23" s="95"/>
      <c r="L23" s="95"/>
      <c r="M23" s="95"/>
      <c r="N23" s="95"/>
      <c r="O23" s="95"/>
      <c r="P23" s="95"/>
      <c r="Q23" s="95"/>
      <c r="R23" s="95"/>
    </row>
    <row r="24" spans="1:18" s="52" customFormat="1" ht="15.5" x14ac:dyDescent="0.3">
      <c r="A24" s="44" t="s">
        <v>156</v>
      </c>
      <c r="B24" s="10">
        <v>10</v>
      </c>
      <c r="C24" s="10">
        <f>ROUND((E10+E11+E12)/12,0)</f>
        <v>2</v>
      </c>
      <c r="D24" s="10">
        <f>B24*C24</f>
        <v>20</v>
      </c>
      <c r="E24" s="45">
        <f>E9</f>
        <v>12</v>
      </c>
      <c r="F24" s="45">
        <f>+D24*E24</f>
        <v>240</v>
      </c>
      <c r="G24" s="10">
        <f t="shared" si="6"/>
        <v>12</v>
      </c>
      <c r="H24" s="10">
        <f t="shared" si="7"/>
        <v>24</v>
      </c>
      <c r="I24" s="73">
        <f>F24*$L$6+$L$5*G24+H24*$L$7</f>
        <v>32697.599999999995</v>
      </c>
      <c r="J24" s="94"/>
      <c r="K24" s="95"/>
      <c r="L24" s="95"/>
      <c r="M24" s="95"/>
      <c r="N24" s="95"/>
      <c r="O24" s="95"/>
      <c r="P24" s="95"/>
      <c r="Q24" s="95"/>
      <c r="R24" s="95"/>
    </row>
    <row r="25" spans="1:18" s="52" customFormat="1" ht="15.5" x14ac:dyDescent="0.3">
      <c r="A25" s="44" t="s">
        <v>157</v>
      </c>
      <c r="B25" s="10">
        <v>10</v>
      </c>
      <c r="C25" s="10">
        <v>1</v>
      </c>
      <c r="D25" s="10">
        <f>B25*C25</f>
        <v>10</v>
      </c>
      <c r="E25" s="10">
        <f>E7</f>
        <v>12</v>
      </c>
      <c r="F25" s="45">
        <f t="shared" si="5"/>
        <v>120</v>
      </c>
      <c r="G25" s="10">
        <f t="shared" si="6"/>
        <v>6</v>
      </c>
      <c r="H25" s="10">
        <f t="shared" si="7"/>
        <v>12</v>
      </c>
      <c r="I25" s="73">
        <f>F25*$L$6+$L$5*G25+H25*$L$7</f>
        <v>16348.799999999997</v>
      </c>
      <c r="J25" s="94"/>
      <c r="K25" s="95"/>
      <c r="L25" s="95"/>
      <c r="M25" s="95"/>
      <c r="N25" s="95"/>
      <c r="O25" s="95"/>
      <c r="P25" s="95"/>
      <c r="Q25" s="95"/>
      <c r="R25" s="95"/>
    </row>
    <row r="26" spans="1:18" ht="14.5" x14ac:dyDescent="0.3">
      <c r="A26" s="8" t="s">
        <v>23</v>
      </c>
      <c r="B26" s="9"/>
      <c r="C26" s="9"/>
      <c r="D26" s="9"/>
      <c r="E26" s="9"/>
      <c r="F26" s="99">
        <f>SUM(F7:H25)</f>
        <v>16847.5</v>
      </c>
      <c r="G26" s="99"/>
      <c r="H26" s="99"/>
      <c r="I26" s="75">
        <f>SUM(I7:I25)</f>
        <v>1995916.0000000002</v>
      </c>
      <c r="J26" s="94"/>
      <c r="K26" s="95"/>
      <c r="L26" s="95"/>
      <c r="M26" s="95"/>
      <c r="N26" s="95"/>
      <c r="O26" s="95"/>
      <c r="P26" s="95"/>
      <c r="Q26" s="95"/>
      <c r="R26" s="95"/>
    </row>
    <row r="27" spans="1:18" ht="14.5" x14ac:dyDescent="0.3">
      <c r="A27" s="3" t="s">
        <v>24</v>
      </c>
      <c r="B27" s="48"/>
      <c r="C27" s="48"/>
      <c r="D27" s="48"/>
      <c r="E27" s="48"/>
      <c r="F27" s="48"/>
      <c r="G27" s="48"/>
      <c r="H27" s="48"/>
      <c r="I27" s="73"/>
      <c r="J27" s="94"/>
      <c r="K27" s="95"/>
      <c r="L27" s="95"/>
      <c r="M27" s="95"/>
      <c r="N27" s="95"/>
      <c r="O27" s="95"/>
      <c r="P27" s="95"/>
      <c r="Q27" s="95"/>
      <c r="R27" s="95"/>
    </row>
    <row r="28" spans="1:18" s="52" customFormat="1" x14ac:dyDescent="0.3">
      <c r="A28" s="43" t="s">
        <v>107</v>
      </c>
      <c r="B28" s="10" t="s">
        <v>25</v>
      </c>
      <c r="C28" s="10"/>
      <c r="D28" s="10"/>
      <c r="E28" s="10"/>
      <c r="F28" s="10"/>
      <c r="G28" s="10"/>
      <c r="H28" s="10"/>
      <c r="I28" s="73"/>
      <c r="K28" s="64"/>
      <c r="L28" s="64"/>
      <c r="M28" s="64"/>
    </row>
    <row r="29" spans="1:18" s="52" customFormat="1" x14ac:dyDescent="0.3">
      <c r="A29" s="43" t="s">
        <v>26</v>
      </c>
      <c r="B29" s="10" t="s">
        <v>2</v>
      </c>
      <c r="C29" s="10"/>
      <c r="D29" s="10"/>
      <c r="E29" s="10"/>
      <c r="F29" s="10"/>
      <c r="G29" s="10"/>
      <c r="H29" s="10"/>
      <c r="I29" s="73"/>
      <c r="K29" s="64"/>
      <c r="L29" s="64"/>
      <c r="M29" s="64"/>
    </row>
    <row r="30" spans="1:18" s="52" customFormat="1" x14ac:dyDescent="0.3">
      <c r="A30" s="43" t="s">
        <v>27</v>
      </c>
      <c r="B30" s="10" t="s">
        <v>2</v>
      </c>
      <c r="C30" s="10"/>
      <c r="D30" s="10"/>
      <c r="E30" s="10"/>
      <c r="F30" s="10"/>
      <c r="G30" s="10"/>
      <c r="H30" s="10"/>
      <c r="I30" s="73"/>
      <c r="K30" s="64"/>
      <c r="L30" s="64"/>
      <c r="M30" s="64"/>
    </row>
    <row r="31" spans="1:18" s="52" customFormat="1" x14ac:dyDescent="0.3">
      <c r="A31" s="43" t="s">
        <v>28</v>
      </c>
      <c r="B31" s="10"/>
      <c r="C31" s="10"/>
      <c r="D31" s="10"/>
      <c r="E31" s="10"/>
      <c r="F31" s="10"/>
      <c r="G31" s="10"/>
      <c r="H31" s="10"/>
      <c r="I31" s="73"/>
      <c r="K31" s="64"/>
      <c r="L31" s="64"/>
      <c r="M31" s="64"/>
    </row>
    <row r="32" spans="1:18" s="52" customFormat="1" x14ac:dyDescent="0.3">
      <c r="A32" s="44" t="s">
        <v>29</v>
      </c>
      <c r="B32" s="10">
        <v>1</v>
      </c>
      <c r="C32" s="10">
        <v>12</v>
      </c>
      <c r="D32" s="10">
        <f t="shared" ref="D32:D45" si="8">B32*C32</f>
        <v>12</v>
      </c>
      <c r="E32" s="10">
        <f>'O&amp;M'!G$38</f>
        <v>12</v>
      </c>
      <c r="F32" s="45">
        <f t="shared" ref="F32:F44" si="9">+D32*E32</f>
        <v>144</v>
      </c>
      <c r="G32" s="10">
        <f t="shared" ref="G32:G44" si="10">+F32*0.05</f>
        <v>7.2</v>
      </c>
      <c r="H32" s="10">
        <f t="shared" ref="H32" si="11">+F32*0.1</f>
        <v>14.4</v>
      </c>
      <c r="I32" s="73">
        <f t="shared" ref="I32:I44" si="12">F32*$L$6+$L$5*G32+H32*$L$7</f>
        <v>19618.559999999998</v>
      </c>
      <c r="K32" s="64"/>
      <c r="L32" s="64"/>
      <c r="M32" s="64"/>
    </row>
    <row r="33" spans="1:13" s="52" customFormat="1" x14ac:dyDescent="0.3">
      <c r="A33" s="44" t="s">
        <v>30</v>
      </c>
      <c r="B33" s="10">
        <v>1</v>
      </c>
      <c r="C33" s="10">
        <v>1</v>
      </c>
      <c r="D33" s="10">
        <f t="shared" si="8"/>
        <v>1</v>
      </c>
      <c r="E33" s="10">
        <f>'O&amp;M'!G$38</f>
        <v>12</v>
      </c>
      <c r="F33" s="45">
        <f t="shared" si="9"/>
        <v>12</v>
      </c>
      <c r="G33" s="10">
        <f t="shared" si="10"/>
        <v>0.60000000000000009</v>
      </c>
      <c r="H33" s="10">
        <f t="shared" ref="H33:H40" si="13">+F33*0.1</f>
        <v>1.2000000000000002</v>
      </c>
      <c r="I33" s="73">
        <f t="shared" si="12"/>
        <v>1634.88</v>
      </c>
      <c r="K33" s="64"/>
      <c r="L33" s="64"/>
      <c r="M33" s="64"/>
    </row>
    <row r="34" spans="1:13" s="52" customFormat="1" x14ac:dyDescent="0.3">
      <c r="A34" s="44" t="s">
        <v>10</v>
      </c>
      <c r="B34" s="10">
        <v>1</v>
      </c>
      <c r="C34" s="10">
        <v>52</v>
      </c>
      <c r="D34" s="10">
        <f t="shared" si="8"/>
        <v>52</v>
      </c>
      <c r="E34" s="10">
        <f>'O&amp;M'!G$38</f>
        <v>12</v>
      </c>
      <c r="F34" s="45">
        <f>+D34*E34</f>
        <v>624</v>
      </c>
      <c r="G34" s="10">
        <f>+F34*0.05</f>
        <v>31.200000000000003</v>
      </c>
      <c r="H34" s="10">
        <f>+F34*0.1</f>
        <v>62.400000000000006</v>
      </c>
      <c r="I34" s="73">
        <f t="shared" si="12"/>
        <v>85013.759999999995</v>
      </c>
      <c r="K34" s="64"/>
      <c r="L34" s="64"/>
      <c r="M34" s="64"/>
    </row>
    <row r="35" spans="1:13" s="52" customFormat="1" x14ac:dyDescent="0.3">
      <c r="A35" s="44" t="s">
        <v>113</v>
      </c>
      <c r="B35" s="10">
        <v>1</v>
      </c>
      <c r="C35" s="10">
        <v>12</v>
      </c>
      <c r="D35" s="10">
        <f t="shared" si="8"/>
        <v>12</v>
      </c>
      <c r="E35" s="45">
        <f>E14</f>
        <v>24</v>
      </c>
      <c r="F35" s="45">
        <f>+D35*E35</f>
        <v>288</v>
      </c>
      <c r="G35" s="10">
        <f t="shared" si="10"/>
        <v>14.4</v>
      </c>
      <c r="H35" s="10">
        <f t="shared" si="13"/>
        <v>28.8</v>
      </c>
      <c r="I35" s="73">
        <f t="shared" si="12"/>
        <v>39237.119999999995</v>
      </c>
      <c r="K35" s="64"/>
      <c r="L35" s="64"/>
      <c r="M35" s="64"/>
    </row>
    <row r="36" spans="1:13" s="52" customFormat="1" x14ac:dyDescent="0.3">
      <c r="A36" s="44" t="s">
        <v>31</v>
      </c>
      <c r="B36" s="10">
        <v>1</v>
      </c>
      <c r="C36" s="10">
        <v>12</v>
      </c>
      <c r="D36" s="10">
        <f t="shared" si="8"/>
        <v>12</v>
      </c>
      <c r="E36" s="10">
        <f>'O&amp;M'!G$38</f>
        <v>12</v>
      </c>
      <c r="F36" s="45">
        <f t="shared" si="9"/>
        <v>144</v>
      </c>
      <c r="G36" s="10">
        <f t="shared" si="10"/>
        <v>7.2</v>
      </c>
      <c r="H36" s="10">
        <f t="shared" si="13"/>
        <v>14.4</v>
      </c>
      <c r="I36" s="73">
        <f t="shared" si="12"/>
        <v>19618.559999999998</v>
      </c>
      <c r="K36" s="64"/>
      <c r="L36" s="64"/>
      <c r="M36" s="64"/>
    </row>
    <row r="37" spans="1:13" s="52" customFormat="1" x14ac:dyDescent="0.3">
      <c r="A37" s="44" t="s">
        <v>32</v>
      </c>
      <c r="B37" s="10">
        <v>1</v>
      </c>
      <c r="C37" s="10">
        <v>12</v>
      </c>
      <c r="D37" s="10">
        <f t="shared" si="8"/>
        <v>12</v>
      </c>
      <c r="E37" s="10">
        <f>'O&amp;M'!G$38</f>
        <v>12</v>
      </c>
      <c r="F37" s="45">
        <f t="shared" si="9"/>
        <v>144</v>
      </c>
      <c r="G37" s="10">
        <f t="shared" si="10"/>
        <v>7.2</v>
      </c>
      <c r="H37" s="10">
        <f t="shared" si="13"/>
        <v>14.4</v>
      </c>
      <c r="I37" s="73">
        <f t="shared" si="12"/>
        <v>19618.559999999998</v>
      </c>
      <c r="K37" s="64"/>
      <c r="L37" s="64"/>
      <c r="M37" s="64"/>
    </row>
    <row r="38" spans="1:13" s="52" customFormat="1" x14ac:dyDescent="0.3">
      <c r="A38" s="44" t="s">
        <v>33</v>
      </c>
      <c r="B38" s="10">
        <v>1</v>
      </c>
      <c r="C38" s="10">
        <v>12</v>
      </c>
      <c r="D38" s="10">
        <f t="shared" si="8"/>
        <v>12</v>
      </c>
      <c r="E38" s="10">
        <f>'O&amp;M'!G$38</f>
        <v>12</v>
      </c>
      <c r="F38" s="45">
        <f t="shared" si="9"/>
        <v>144</v>
      </c>
      <c r="G38" s="10">
        <f t="shared" si="10"/>
        <v>7.2</v>
      </c>
      <c r="H38" s="10">
        <f t="shared" si="13"/>
        <v>14.4</v>
      </c>
      <c r="I38" s="73">
        <f t="shared" si="12"/>
        <v>19618.559999999998</v>
      </c>
      <c r="K38" s="64"/>
      <c r="L38" s="64"/>
      <c r="M38" s="64"/>
    </row>
    <row r="39" spans="1:13" s="52" customFormat="1" x14ac:dyDescent="0.3">
      <c r="A39" s="44" t="s">
        <v>34</v>
      </c>
      <c r="B39" s="10">
        <v>2</v>
      </c>
      <c r="C39" s="10">
        <v>6</v>
      </c>
      <c r="D39" s="10">
        <f t="shared" si="8"/>
        <v>12</v>
      </c>
      <c r="E39" s="10">
        <f>'O&amp;M'!G$38</f>
        <v>12</v>
      </c>
      <c r="F39" s="45">
        <f t="shared" si="9"/>
        <v>144</v>
      </c>
      <c r="G39" s="10">
        <f t="shared" si="10"/>
        <v>7.2</v>
      </c>
      <c r="H39" s="10">
        <f t="shared" si="13"/>
        <v>14.4</v>
      </c>
      <c r="I39" s="73">
        <f t="shared" si="12"/>
        <v>19618.559999999998</v>
      </c>
      <c r="K39" s="64"/>
      <c r="L39" s="64"/>
      <c r="M39" s="64"/>
    </row>
    <row r="40" spans="1:13" s="52" customFormat="1" x14ac:dyDescent="0.3">
      <c r="A40" s="44" t="s">
        <v>35</v>
      </c>
      <c r="B40" s="10">
        <v>1</v>
      </c>
      <c r="C40" s="10">
        <v>6</v>
      </c>
      <c r="D40" s="10">
        <f t="shared" si="8"/>
        <v>6</v>
      </c>
      <c r="E40" s="10">
        <f>'O&amp;M'!G$38</f>
        <v>12</v>
      </c>
      <c r="F40" s="45">
        <f t="shared" si="9"/>
        <v>72</v>
      </c>
      <c r="G40" s="10">
        <f t="shared" si="10"/>
        <v>3.6</v>
      </c>
      <c r="H40" s="10">
        <f t="shared" si="13"/>
        <v>7.2</v>
      </c>
      <c r="I40" s="73">
        <f t="shared" si="12"/>
        <v>9809.2799999999988</v>
      </c>
      <c r="K40" s="64"/>
      <c r="L40" s="64"/>
      <c r="M40" s="64"/>
    </row>
    <row r="41" spans="1:13" s="52" customFormat="1" x14ac:dyDescent="0.3">
      <c r="A41" s="44" t="s">
        <v>36</v>
      </c>
      <c r="B41" s="10">
        <v>1</v>
      </c>
      <c r="C41" s="10">
        <v>12</v>
      </c>
      <c r="D41" s="10">
        <f t="shared" si="8"/>
        <v>12</v>
      </c>
      <c r="E41" s="10">
        <f>'O&amp;M'!G$38</f>
        <v>12</v>
      </c>
      <c r="F41" s="45">
        <f t="shared" si="9"/>
        <v>144</v>
      </c>
      <c r="G41" s="10">
        <f t="shared" si="10"/>
        <v>7.2</v>
      </c>
      <c r="H41" s="10">
        <f t="shared" ref="H41:H44" si="14">+F41*0.1</f>
        <v>14.4</v>
      </c>
      <c r="I41" s="73">
        <f t="shared" si="12"/>
        <v>19618.559999999998</v>
      </c>
      <c r="K41" s="64"/>
      <c r="L41" s="64"/>
      <c r="M41" s="64"/>
    </row>
    <row r="42" spans="1:13" s="52" customFormat="1" x14ac:dyDescent="0.3">
      <c r="A42" s="44" t="s">
        <v>37</v>
      </c>
      <c r="B42" s="10">
        <v>1</v>
      </c>
      <c r="C42" s="10">
        <v>12</v>
      </c>
      <c r="D42" s="10">
        <f t="shared" si="8"/>
        <v>12</v>
      </c>
      <c r="E42" s="10">
        <f>'O&amp;M'!G$38</f>
        <v>12</v>
      </c>
      <c r="F42" s="45">
        <f t="shared" si="9"/>
        <v>144</v>
      </c>
      <c r="G42" s="10">
        <f t="shared" si="10"/>
        <v>7.2</v>
      </c>
      <c r="H42" s="10">
        <f t="shared" si="14"/>
        <v>14.4</v>
      </c>
      <c r="I42" s="73">
        <f t="shared" si="12"/>
        <v>19618.559999999998</v>
      </c>
      <c r="K42" s="64"/>
      <c r="L42" s="64"/>
      <c r="M42" s="64"/>
    </row>
    <row r="43" spans="1:13" s="52" customFormat="1" x14ac:dyDescent="0.3">
      <c r="A43" s="44" t="s">
        <v>38</v>
      </c>
      <c r="B43" s="10">
        <v>1</v>
      </c>
      <c r="C43" s="10">
        <v>6</v>
      </c>
      <c r="D43" s="10">
        <f t="shared" si="8"/>
        <v>6</v>
      </c>
      <c r="E43" s="10">
        <f>'O&amp;M'!G$38</f>
        <v>12</v>
      </c>
      <c r="F43" s="45">
        <f t="shared" si="9"/>
        <v>72</v>
      </c>
      <c r="G43" s="10">
        <f t="shared" si="10"/>
        <v>3.6</v>
      </c>
      <c r="H43" s="10">
        <f t="shared" si="14"/>
        <v>7.2</v>
      </c>
      <c r="I43" s="73">
        <f t="shared" si="12"/>
        <v>9809.2799999999988</v>
      </c>
      <c r="K43" s="64"/>
      <c r="L43" s="64"/>
      <c r="M43" s="64"/>
    </row>
    <row r="44" spans="1:13" s="52" customFormat="1" ht="26" x14ac:dyDescent="0.3">
      <c r="A44" s="44" t="s">
        <v>39</v>
      </c>
      <c r="B44" s="10">
        <v>3.5</v>
      </c>
      <c r="C44" s="10">
        <v>52</v>
      </c>
      <c r="D44" s="10">
        <f t="shared" si="8"/>
        <v>182</v>
      </c>
      <c r="E44" s="10">
        <f>'O&amp;M'!G$38</f>
        <v>12</v>
      </c>
      <c r="F44" s="45">
        <f t="shared" si="9"/>
        <v>2184</v>
      </c>
      <c r="G44" s="10">
        <f t="shared" si="10"/>
        <v>109.2</v>
      </c>
      <c r="H44" s="10">
        <f t="shared" si="14"/>
        <v>218.4</v>
      </c>
      <c r="I44" s="73">
        <f t="shared" si="12"/>
        <v>297548.15999999997</v>
      </c>
      <c r="K44" s="64"/>
      <c r="L44" s="64"/>
      <c r="M44" s="64"/>
    </row>
    <row r="45" spans="1:13" s="52" customFormat="1" x14ac:dyDescent="0.3">
      <c r="A45" s="43" t="s">
        <v>40</v>
      </c>
      <c r="B45" s="10">
        <v>8</v>
      </c>
      <c r="C45" s="10">
        <v>1</v>
      </c>
      <c r="D45" s="10">
        <f t="shared" si="8"/>
        <v>8</v>
      </c>
      <c r="E45" s="10">
        <v>0</v>
      </c>
      <c r="F45" s="10">
        <v>0</v>
      </c>
      <c r="G45" s="10">
        <v>0</v>
      </c>
      <c r="H45" s="10">
        <v>0</v>
      </c>
      <c r="I45" s="76">
        <v>0</v>
      </c>
    </row>
    <row r="46" spans="1:13" x14ac:dyDescent="0.3">
      <c r="A46" s="5" t="s">
        <v>41</v>
      </c>
      <c r="B46" s="48" t="s">
        <v>2</v>
      </c>
      <c r="C46" s="48"/>
      <c r="D46" s="48"/>
      <c r="E46" s="48"/>
      <c r="F46" s="48"/>
      <c r="G46" s="48"/>
      <c r="H46" s="48"/>
      <c r="I46" s="74"/>
    </row>
    <row r="47" spans="1:13" x14ac:dyDescent="0.3">
      <c r="A47" s="8" t="s">
        <v>42</v>
      </c>
      <c r="B47" s="9"/>
      <c r="C47" s="9"/>
      <c r="D47" s="9"/>
      <c r="E47" s="9"/>
      <c r="F47" s="99">
        <f>SUM(F28:H45)</f>
        <v>4898.9999999999991</v>
      </c>
      <c r="G47" s="99"/>
      <c r="H47" s="99"/>
      <c r="I47" s="77">
        <f>SUM(I32:I46)</f>
        <v>580382.39999999991</v>
      </c>
    </row>
    <row r="48" spans="1:13" x14ac:dyDescent="0.3">
      <c r="A48" s="100" t="s">
        <v>152</v>
      </c>
      <c r="B48" s="100"/>
      <c r="C48" s="100"/>
      <c r="D48" s="100"/>
      <c r="E48" s="100"/>
      <c r="F48" s="101">
        <f>ROUND(+F26+F47,-2)</f>
        <v>21700</v>
      </c>
      <c r="G48" s="101"/>
      <c r="H48" s="101"/>
      <c r="I48" s="78">
        <f>ROUND(+I26+I47,-4)</f>
        <v>2580000</v>
      </c>
      <c r="K48" s="67">
        <f>+F48/'O&amp;M'!F50</f>
        <v>255.29411764705881</v>
      </c>
      <c r="L48" s="68" t="s">
        <v>114</v>
      </c>
    </row>
    <row r="49" spans="1:10" x14ac:dyDescent="0.3">
      <c r="A49" s="102" t="s">
        <v>154</v>
      </c>
      <c r="B49" s="103"/>
      <c r="C49" s="103"/>
      <c r="D49" s="103"/>
      <c r="E49" s="104"/>
      <c r="F49" s="105"/>
      <c r="G49" s="105"/>
      <c r="H49" s="105"/>
      <c r="I49" s="78">
        <f>ROUND('O&amp;M'!H23,-3)</f>
        <v>251000</v>
      </c>
    </row>
    <row r="50" spans="1:10" x14ac:dyDescent="0.3">
      <c r="A50" s="102" t="s">
        <v>153</v>
      </c>
      <c r="B50" s="103"/>
      <c r="C50" s="103"/>
      <c r="D50" s="103"/>
      <c r="E50" s="104"/>
      <c r="F50" s="106"/>
      <c r="G50" s="106"/>
      <c r="H50" s="106"/>
      <c r="I50" s="78">
        <f>ROUND(+I48+I49,-4)</f>
        <v>2830000</v>
      </c>
    </row>
    <row r="51" spans="1:10" ht="15.5" x14ac:dyDescent="0.3">
      <c r="A51" s="1"/>
    </row>
    <row r="52" spans="1:10" x14ac:dyDescent="0.3">
      <c r="A52" s="80" t="s">
        <v>43</v>
      </c>
    </row>
    <row r="53" spans="1:10" s="65" customFormat="1" ht="61.5" customHeight="1" x14ac:dyDescent="0.3">
      <c r="A53" s="107" t="s">
        <v>132</v>
      </c>
      <c r="B53" s="108"/>
      <c r="C53" s="108"/>
      <c r="D53" s="108"/>
      <c r="E53" s="108"/>
      <c r="F53" s="108"/>
      <c r="G53" s="108"/>
      <c r="H53" s="108"/>
      <c r="I53" s="108"/>
    </row>
    <row r="54" spans="1:10" s="65" customFormat="1" ht="48.75" customHeight="1" x14ac:dyDescent="0.3">
      <c r="A54" s="98" t="s">
        <v>130</v>
      </c>
      <c r="B54" s="98"/>
      <c r="C54" s="98"/>
      <c r="D54" s="98"/>
      <c r="E54" s="98"/>
      <c r="F54" s="98"/>
      <c r="G54" s="98"/>
      <c r="H54" s="98"/>
      <c r="I54" s="98"/>
    </row>
    <row r="55" spans="1:10" s="65" customFormat="1" ht="74.25" customHeight="1" x14ac:dyDescent="0.3">
      <c r="A55" s="98" t="s">
        <v>134</v>
      </c>
      <c r="B55" s="98"/>
      <c r="C55" s="98"/>
      <c r="D55" s="98"/>
      <c r="E55" s="98"/>
      <c r="F55" s="98"/>
      <c r="G55" s="98"/>
      <c r="H55" s="98"/>
      <c r="I55" s="98"/>
    </row>
    <row r="56" spans="1:10" ht="15.5" x14ac:dyDescent="0.3">
      <c r="A56" s="110" t="s">
        <v>131</v>
      </c>
      <c r="B56" s="110"/>
      <c r="C56" s="110"/>
      <c r="D56" s="110"/>
      <c r="E56" s="110"/>
      <c r="F56" s="110"/>
      <c r="G56" s="110"/>
      <c r="H56" s="110"/>
      <c r="I56" s="110"/>
    </row>
    <row r="57" spans="1:10" s="66" customFormat="1" ht="35.25" customHeight="1" x14ac:dyDescent="0.3">
      <c r="A57" s="97" t="s">
        <v>159</v>
      </c>
      <c r="B57" s="97"/>
      <c r="C57" s="97"/>
      <c r="D57" s="97"/>
      <c r="E57" s="97"/>
      <c r="F57" s="97"/>
      <c r="G57" s="97"/>
      <c r="H57" s="97"/>
      <c r="I57" s="97"/>
      <c r="J57" s="51"/>
    </row>
    <row r="58" spans="1:10" s="66" customFormat="1" ht="15.5" x14ac:dyDescent="0.3">
      <c r="A58" s="111" t="s">
        <v>135</v>
      </c>
      <c r="B58" s="111"/>
      <c r="C58" s="111"/>
      <c r="D58" s="111"/>
      <c r="E58" s="111"/>
      <c r="F58" s="111"/>
      <c r="G58" s="111"/>
      <c r="H58" s="111"/>
      <c r="I58" s="111"/>
    </row>
    <row r="59" spans="1:10" s="66" customFormat="1" ht="15.5" x14ac:dyDescent="0.3">
      <c r="A59" s="111" t="s">
        <v>136</v>
      </c>
      <c r="B59" s="111"/>
      <c r="C59" s="111"/>
      <c r="D59" s="111"/>
      <c r="E59" s="111"/>
      <c r="F59" s="111"/>
      <c r="G59" s="111"/>
      <c r="H59" s="111"/>
      <c r="I59" s="111"/>
    </row>
  </sheetData>
  <mergeCells count="17">
    <mergeCell ref="K4:L4"/>
    <mergeCell ref="A56:I56"/>
    <mergeCell ref="A58:I58"/>
    <mergeCell ref="A59:I59"/>
    <mergeCell ref="A1:I1"/>
    <mergeCell ref="A57:I57"/>
    <mergeCell ref="A54:I54"/>
    <mergeCell ref="F26:H26"/>
    <mergeCell ref="F47:H47"/>
    <mergeCell ref="A48:E48"/>
    <mergeCell ref="F48:H48"/>
    <mergeCell ref="A49:E49"/>
    <mergeCell ref="F49:H49"/>
    <mergeCell ref="A50:E50"/>
    <mergeCell ref="F50:H50"/>
    <mergeCell ref="A53:I53"/>
    <mergeCell ref="A55:I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F17" sqref="F17"/>
    </sheetView>
  </sheetViews>
  <sheetFormatPr defaultColWidth="9.1796875" defaultRowHeight="14" x14ac:dyDescent="0.3"/>
  <cols>
    <col min="1" max="1" width="33" style="50" customWidth="1"/>
    <col min="2" max="2" width="17.453125" style="50" customWidth="1"/>
    <col min="3" max="3" width="16" style="50" customWidth="1"/>
    <col min="4" max="4" width="14.1796875" style="50" customWidth="1"/>
    <col min="5" max="5" width="13.81640625" style="50" customWidth="1"/>
    <col min="6" max="6" width="15" style="50" customWidth="1"/>
    <col min="7" max="7" width="13.7265625" style="50" customWidth="1"/>
    <col min="8" max="8" width="14.7265625" style="50" customWidth="1"/>
    <col min="9" max="9" width="11.26953125" style="50" customWidth="1"/>
    <col min="10" max="10" width="9.1796875" style="50"/>
    <col min="11" max="11" width="11.81640625" style="50" customWidth="1"/>
    <col min="12" max="16384" width="9.1796875" style="50"/>
  </cols>
  <sheetData>
    <row r="1" spans="1:12" ht="15" x14ac:dyDescent="0.3">
      <c r="A1" s="96" t="s">
        <v>117</v>
      </c>
      <c r="B1" s="96"/>
      <c r="C1" s="96"/>
      <c r="D1" s="96"/>
      <c r="E1" s="96"/>
      <c r="F1" s="96"/>
      <c r="G1" s="96"/>
      <c r="H1" s="96"/>
      <c r="I1" s="96"/>
    </row>
    <row r="3" spans="1:12" ht="78" x14ac:dyDescent="0.3">
      <c r="A3" s="47" t="s">
        <v>0</v>
      </c>
      <c r="B3" s="49" t="s">
        <v>52</v>
      </c>
      <c r="C3" s="49" t="s">
        <v>45</v>
      </c>
      <c r="D3" s="49" t="s">
        <v>57</v>
      </c>
      <c r="E3" s="49" t="s">
        <v>46</v>
      </c>
      <c r="F3" s="49" t="s">
        <v>58</v>
      </c>
      <c r="G3" s="49" t="s">
        <v>53</v>
      </c>
      <c r="H3" s="49" t="s">
        <v>54</v>
      </c>
      <c r="I3" s="49" t="s">
        <v>47</v>
      </c>
    </row>
    <row r="4" spans="1:12" x14ac:dyDescent="0.3">
      <c r="A4" s="3" t="s">
        <v>1</v>
      </c>
      <c r="B4" s="48" t="s">
        <v>2</v>
      </c>
      <c r="C4" s="48"/>
      <c r="D4" s="48"/>
      <c r="E4" s="48"/>
      <c r="F4" s="48"/>
      <c r="G4" s="48"/>
      <c r="H4" s="48"/>
      <c r="I4" s="4"/>
      <c r="K4" s="114" t="s">
        <v>101</v>
      </c>
      <c r="L4" s="115"/>
    </row>
    <row r="5" spans="1:12" x14ac:dyDescent="0.3">
      <c r="A5" s="3" t="s">
        <v>115</v>
      </c>
      <c r="B5" s="48"/>
      <c r="C5" s="48"/>
      <c r="D5" s="48"/>
      <c r="E5" s="10"/>
      <c r="F5" s="48"/>
      <c r="G5" s="48"/>
      <c r="H5" s="48"/>
      <c r="I5" s="4"/>
      <c r="K5" s="55" t="s">
        <v>126</v>
      </c>
      <c r="L5" s="57">
        <v>69.040000000000006</v>
      </c>
    </row>
    <row r="6" spans="1:12" ht="15.5" x14ac:dyDescent="0.3">
      <c r="A6" s="5" t="s">
        <v>48</v>
      </c>
      <c r="B6" s="48">
        <v>48</v>
      </c>
      <c r="C6" s="48">
        <v>1</v>
      </c>
      <c r="D6" s="48">
        <f>B6*C6</f>
        <v>48</v>
      </c>
      <c r="E6" s="10">
        <f>ROUND(SUM('Table 1'!E10,'Table 1'!E11,'Table 1'!E12)*0.2,0)</f>
        <v>4</v>
      </c>
      <c r="F6" s="42">
        <f>+D6*E6</f>
        <v>192</v>
      </c>
      <c r="G6" s="48">
        <f>+F6*0.05</f>
        <v>9.6000000000000014</v>
      </c>
      <c r="H6" s="48">
        <f>+F6*0.1</f>
        <v>19.200000000000003</v>
      </c>
      <c r="I6" s="73">
        <f>F6*$L$6+G6*$L$5+H6*$L$7</f>
        <v>11031.359999999999</v>
      </c>
      <c r="K6" s="56" t="s">
        <v>127</v>
      </c>
      <c r="L6" s="57">
        <v>51.23</v>
      </c>
    </row>
    <row r="7" spans="1:12" ht="28.5" x14ac:dyDescent="0.3">
      <c r="A7" s="5" t="s">
        <v>49</v>
      </c>
      <c r="B7" s="48">
        <v>24</v>
      </c>
      <c r="C7" s="48">
        <v>1</v>
      </c>
      <c r="D7" s="48">
        <f>B7*C7</f>
        <v>24</v>
      </c>
      <c r="E7" s="69">
        <f>ROUND('O&amp;M'!G38*0.1,0)</f>
        <v>1</v>
      </c>
      <c r="F7" s="48">
        <f>+D7*E6</f>
        <v>96</v>
      </c>
      <c r="G7" s="48">
        <f>+F7*0.05</f>
        <v>4.8000000000000007</v>
      </c>
      <c r="H7" s="48">
        <f>+F7*0.1</f>
        <v>9.6000000000000014</v>
      </c>
      <c r="I7" s="73">
        <f>F7*$L$6+G7*$L$5+H7*$L$7</f>
        <v>5515.6799999999994</v>
      </c>
      <c r="K7" s="56" t="s">
        <v>128</v>
      </c>
      <c r="L7" s="57">
        <v>27.73</v>
      </c>
    </row>
    <row r="8" spans="1:12" x14ac:dyDescent="0.3">
      <c r="A8" s="5" t="s">
        <v>15</v>
      </c>
      <c r="B8" s="48" t="s">
        <v>2</v>
      </c>
      <c r="C8" s="48"/>
      <c r="D8" s="48"/>
      <c r="E8" s="10"/>
      <c r="F8" s="48"/>
      <c r="G8" s="48"/>
      <c r="H8" s="48"/>
      <c r="I8" s="73"/>
      <c r="K8" s="51"/>
      <c r="L8" s="51"/>
    </row>
    <row r="9" spans="1:12" x14ac:dyDescent="0.3">
      <c r="A9" s="5" t="s">
        <v>17</v>
      </c>
      <c r="B9" s="48" t="s">
        <v>2</v>
      </c>
      <c r="C9" s="48"/>
      <c r="D9" s="48"/>
      <c r="E9" s="10"/>
      <c r="F9" s="48"/>
      <c r="G9" s="48"/>
      <c r="H9" s="48"/>
      <c r="I9" s="73"/>
      <c r="K9" s="51"/>
      <c r="L9" s="51"/>
    </row>
    <row r="10" spans="1:12" x14ac:dyDescent="0.3">
      <c r="A10" s="5" t="s">
        <v>50</v>
      </c>
      <c r="B10" s="48"/>
      <c r="C10" s="48"/>
      <c r="D10" s="48"/>
      <c r="E10" s="10"/>
      <c r="F10" s="48"/>
      <c r="G10" s="48"/>
      <c r="H10" s="48"/>
      <c r="I10" s="73"/>
      <c r="K10" s="51"/>
      <c r="L10" s="51"/>
    </row>
    <row r="11" spans="1:12" s="52" customFormat="1" x14ac:dyDescent="0.3">
      <c r="A11" s="43" t="s">
        <v>116</v>
      </c>
      <c r="B11" s="10">
        <v>3</v>
      </c>
      <c r="C11" s="10">
        <v>2</v>
      </c>
      <c r="D11" s="10">
        <f t="shared" ref="D11:D15" si="0">B11*C11</f>
        <v>6</v>
      </c>
      <c r="E11" s="10">
        <f>'Table 1'!E22</f>
        <v>12</v>
      </c>
      <c r="F11" s="41">
        <f t="shared" ref="F11:F15" si="1">+D11*E11</f>
        <v>72</v>
      </c>
      <c r="G11" s="10">
        <f>+F11*0.05</f>
        <v>3.6</v>
      </c>
      <c r="H11" s="10">
        <f>+F11*0.1</f>
        <v>7.2</v>
      </c>
      <c r="I11" s="73">
        <f>F11*$L$6+G11*$L$5+H11*$L$7</f>
        <v>4136.76</v>
      </c>
      <c r="K11" s="53"/>
      <c r="L11" s="53"/>
    </row>
    <row r="12" spans="1:12" s="52" customFormat="1" x14ac:dyDescent="0.3">
      <c r="A12" s="46" t="s">
        <v>20</v>
      </c>
      <c r="B12" s="10">
        <v>10</v>
      </c>
      <c r="C12" s="10">
        <f>'Table 1'!C23</f>
        <v>2</v>
      </c>
      <c r="D12" s="10">
        <f t="shared" si="0"/>
        <v>20</v>
      </c>
      <c r="E12" s="10">
        <f>'Table 1'!E23</f>
        <v>12</v>
      </c>
      <c r="F12" s="10">
        <f t="shared" si="1"/>
        <v>240</v>
      </c>
      <c r="G12" s="41">
        <f>+F12*0.05</f>
        <v>12</v>
      </c>
      <c r="H12" s="10">
        <f>+F12*0.1</f>
        <v>24</v>
      </c>
      <c r="I12" s="73">
        <f>F12*$L$6+G12*$L$5+H12*$L$7</f>
        <v>13789.199999999999</v>
      </c>
      <c r="K12" s="53"/>
      <c r="L12" s="53"/>
    </row>
    <row r="13" spans="1:12" s="52" customFormat="1" x14ac:dyDescent="0.3">
      <c r="A13" s="46" t="s">
        <v>21</v>
      </c>
      <c r="B13" s="10">
        <v>10</v>
      </c>
      <c r="C13" s="10">
        <f>'Table 1'!C24</f>
        <v>2</v>
      </c>
      <c r="D13" s="10">
        <f t="shared" si="0"/>
        <v>20</v>
      </c>
      <c r="E13" s="10">
        <f>'Table 1'!E24</f>
        <v>12</v>
      </c>
      <c r="F13" s="10">
        <f t="shared" si="1"/>
        <v>240</v>
      </c>
      <c r="G13" s="10">
        <f>+F13*0.05</f>
        <v>12</v>
      </c>
      <c r="H13" s="10">
        <f>+F13*0.1</f>
        <v>24</v>
      </c>
      <c r="I13" s="73">
        <f>F13*$L$6+G13*$L$5+H13*$L$7</f>
        <v>13789.199999999999</v>
      </c>
      <c r="K13" s="53"/>
      <c r="L13" s="53"/>
    </row>
    <row r="14" spans="1:12" s="52" customFormat="1" ht="26" x14ac:dyDescent="0.3">
      <c r="A14" s="46" t="s">
        <v>22</v>
      </c>
      <c r="B14" s="10">
        <v>3</v>
      </c>
      <c r="C14" s="10">
        <f>'Table 1'!C25</f>
        <v>1</v>
      </c>
      <c r="D14" s="10">
        <f t="shared" si="0"/>
        <v>3</v>
      </c>
      <c r="E14" s="10">
        <f>'Table 1'!E25</f>
        <v>12</v>
      </c>
      <c r="F14" s="10">
        <f t="shared" si="1"/>
        <v>36</v>
      </c>
      <c r="G14" s="10">
        <f>+F14*0.05</f>
        <v>1.8</v>
      </c>
      <c r="H14" s="10">
        <f>+F14*0.1</f>
        <v>3.6</v>
      </c>
      <c r="I14" s="73">
        <f>F14*$L$6+G14*$L$5+H14*$L$7</f>
        <v>2068.38</v>
      </c>
      <c r="K14" s="53"/>
      <c r="L14" s="53"/>
    </row>
    <row r="15" spans="1:12" s="52" customFormat="1" ht="15.5" x14ac:dyDescent="0.3">
      <c r="A15" s="43" t="s">
        <v>51</v>
      </c>
      <c r="B15" s="10">
        <v>4</v>
      </c>
      <c r="C15" s="10">
        <v>12</v>
      </c>
      <c r="D15" s="10">
        <f t="shared" si="0"/>
        <v>48</v>
      </c>
      <c r="E15" s="10">
        <v>1</v>
      </c>
      <c r="F15" s="10">
        <f t="shared" si="1"/>
        <v>48</v>
      </c>
      <c r="G15" s="10">
        <f>+F15*0.05</f>
        <v>2.4000000000000004</v>
      </c>
      <c r="H15" s="10">
        <f>+F15*0.1</f>
        <v>4.8000000000000007</v>
      </c>
      <c r="I15" s="73">
        <f>F15*$L$6+G15*$L$5+H15*$L$7</f>
        <v>2757.8399999999997</v>
      </c>
      <c r="K15" s="53"/>
      <c r="L15" s="53"/>
    </row>
    <row r="16" spans="1:12" x14ac:dyDescent="0.3">
      <c r="A16" s="100" t="s">
        <v>148</v>
      </c>
      <c r="B16" s="100"/>
      <c r="C16" s="100"/>
      <c r="D16" s="100"/>
      <c r="E16" s="100"/>
      <c r="F16" s="101">
        <f>SUM(F6:H15)</f>
        <v>1062.6000000000001</v>
      </c>
      <c r="G16" s="101"/>
      <c r="H16" s="101"/>
      <c r="I16" s="79">
        <f>ROUND(SUM(I5:I15),-2)</f>
        <v>53100</v>
      </c>
    </row>
    <row r="17" spans="1:9" ht="15.5" x14ac:dyDescent="0.3">
      <c r="A17" s="1"/>
    </row>
    <row r="18" spans="1:9" ht="15" x14ac:dyDescent="0.3">
      <c r="A18" s="2" t="s">
        <v>43</v>
      </c>
    </row>
    <row r="19" spans="1:9" s="54" customFormat="1" ht="15.5" x14ac:dyDescent="0.3">
      <c r="A19" s="113" t="s">
        <v>121</v>
      </c>
      <c r="B19" s="113"/>
      <c r="C19" s="113"/>
      <c r="D19" s="113"/>
      <c r="E19" s="113"/>
      <c r="F19" s="113"/>
      <c r="G19" s="113"/>
      <c r="H19" s="113"/>
      <c r="I19" s="113"/>
    </row>
    <row r="20" spans="1:9" s="54" customFormat="1" ht="38.25" customHeight="1" x14ac:dyDescent="0.3">
      <c r="A20" s="113" t="s">
        <v>129</v>
      </c>
      <c r="B20" s="113"/>
      <c r="C20" s="113"/>
      <c r="D20" s="113"/>
      <c r="E20" s="113"/>
      <c r="F20" s="113"/>
      <c r="G20" s="113"/>
      <c r="H20" s="113"/>
      <c r="I20" s="113"/>
    </row>
    <row r="21" spans="1:9" s="18" customFormat="1" ht="15.5" x14ac:dyDescent="0.3">
      <c r="A21" s="112" t="s">
        <v>122</v>
      </c>
      <c r="B21" s="112"/>
      <c r="C21" s="112"/>
      <c r="D21" s="112"/>
      <c r="E21" s="112"/>
      <c r="F21" s="112"/>
      <c r="G21" s="112"/>
      <c r="H21" s="112"/>
      <c r="I21" s="112"/>
    </row>
    <row r="22" spans="1:9" s="18" customFormat="1" ht="15.5" x14ac:dyDescent="0.3">
      <c r="A22" s="112" t="s">
        <v>123</v>
      </c>
      <c r="B22" s="112"/>
      <c r="C22" s="112"/>
      <c r="D22" s="112"/>
      <c r="E22" s="112"/>
      <c r="F22" s="112"/>
      <c r="G22" s="112"/>
      <c r="H22" s="112"/>
      <c r="I22" s="112"/>
    </row>
    <row r="23" spans="1:9" s="18" customFormat="1" ht="15.5" x14ac:dyDescent="0.3">
      <c r="A23" s="112" t="s">
        <v>124</v>
      </c>
      <c r="B23" s="112"/>
      <c r="C23" s="112"/>
      <c r="D23" s="112"/>
      <c r="E23" s="112"/>
      <c r="F23" s="112"/>
      <c r="G23" s="112"/>
      <c r="H23" s="112"/>
      <c r="I23" s="112"/>
    </row>
    <row r="24" spans="1:9" s="18" customFormat="1" ht="15.5" x14ac:dyDescent="0.3">
      <c r="A24" s="112" t="s">
        <v>133</v>
      </c>
      <c r="B24" s="112"/>
      <c r="C24" s="112"/>
      <c r="D24" s="112"/>
      <c r="E24" s="112"/>
      <c r="F24" s="112"/>
      <c r="G24" s="112"/>
      <c r="H24" s="112"/>
      <c r="I24" s="112"/>
    </row>
  </sheetData>
  <mergeCells count="10">
    <mergeCell ref="K4:L4"/>
    <mergeCell ref="A1:I1"/>
    <mergeCell ref="A21:I21"/>
    <mergeCell ref="A22:I22"/>
    <mergeCell ref="A23:I23"/>
    <mergeCell ref="A24:I24"/>
    <mergeCell ref="A16:E16"/>
    <mergeCell ref="F16:H16"/>
    <mergeCell ref="A20:I20"/>
    <mergeCell ref="A19:I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topLeftCell="A46" workbookViewId="0">
      <selection activeCell="G11" sqref="G11"/>
    </sheetView>
  </sheetViews>
  <sheetFormatPr defaultColWidth="9.1796875" defaultRowHeight="13" x14ac:dyDescent="0.3"/>
  <cols>
    <col min="1" max="1" width="1" style="12" customWidth="1"/>
    <col min="2" max="2" width="34.54296875" style="12" customWidth="1"/>
    <col min="3" max="3" width="12.54296875" style="12" customWidth="1"/>
    <col min="4" max="4" width="12.7265625" style="12" customWidth="1"/>
    <col min="5" max="5" width="14.453125" style="12" customWidth="1"/>
    <col min="6" max="6" width="12.54296875" style="13" customWidth="1"/>
    <col min="7" max="7" width="11.1796875" style="12" customWidth="1"/>
    <col min="8" max="8" width="10" style="12" customWidth="1"/>
    <col min="9" max="9" width="8" style="12" bestFit="1" customWidth="1"/>
    <col min="10" max="12" width="9.1796875" style="12"/>
    <col min="13" max="13" width="10.26953125" style="12" bestFit="1" customWidth="1"/>
    <col min="14" max="16384" width="9.1796875" style="12"/>
  </cols>
  <sheetData>
    <row r="1" spans="2:8" x14ac:dyDescent="0.3">
      <c r="B1" s="11" t="s">
        <v>59</v>
      </c>
    </row>
    <row r="2" spans="2:8" s="18" customFormat="1" ht="52" x14ac:dyDescent="0.3">
      <c r="B2" s="14" t="s">
        <v>0</v>
      </c>
      <c r="C2" s="15" t="s">
        <v>60</v>
      </c>
      <c r="D2" s="16" t="s">
        <v>61</v>
      </c>
      <c r="E2" s="17" t="s">
        <v>62</v>
      </c>
      <c r="F2" s="17" t="s">
        <v>63</v>
      </c>
    </row>
    <row r="3" spans="2:8" x14ac:dyDescent="0.3">
      <c r="B3" s="19" t="s">
        <v>7</v>
      </c>
      <c r="C3" s="92">
        <v>4700</v>
      </c>
      <c r="D3" s="20"/>
      <c r="E3" s="21">
        <v>1</v>
      </c>
      <c r="F3" s="22">
        <f>'O&amp;M'!G38</f>
        <v>12</v>
      </c>
    </row>
    <row r="4" spans="2:8" x14ac:dyDescent="0.3">
      <c r="B4" s="19" t="s">
        <v>8</v>
      </c>
      <c r="C4" s="92">
        <v>19300</v>
      </c>
      <c r="D4" s="20"/>
      <c r="E4" s="21">
        <v>1</v>
      </c>
      <c r="F4" s="22">
        <f>12/6</f>
        <v>2</v>
      </c>
      <c r="G4" s="12" t="s">
        <v>102</v>
      </c>
    </row>
    <row r="5" spans="2:8" x14ac:dyDescent="0.3">
      <c r="B5" s="19" t="s">
        <v>9</v>
      </c>
      <c r="C5" s="92">
        <v>10000</v>
      </c>
      <c r="D5" s="20"/>
      <c r="E5" s="21">
        <v>1</v>
      </c>
      <c r="F5" s="22">
        <v>6</v>
      </c>
      <c r="G5" s="12" t="s">
        <v>125</v>
      </c>
    </row>
    <row r="6" spans="2:8" ht="15" customHeight="1" x14ac:dyDescent="0.3">
      <c r="B6" s="19" t="s">
        <v>64</v>
      </c>
      <c r="C6" s="20"/>
      <c r="D6" s="20">
        <v>2300</v>
      </c>
      <c r="E6" s="21">
        <v>1</v>
      </c>
      <c r="F6" s="22">
        <v>0</v>
      </c>
    </row>
    <row r="7" spans="2:8" ht="15.75" customHeight="1" x14ac:dyDescent="0.3">
      <c r="B7" s="19" t="s">
        <v>65</v>
      </c>
      <c r="C7" s="20"/>
      <c r="D7" s="92">
        <v>230</v>
      </c>
      <c r="E7" s="21">
        <v>1</v>
      </c>
      <c r="F7" s="22">
        <v>12</v>
      </c>
    </row>
    <row r="8" spans="2:8" x14ac:dyDescent="0.3">
      <c r="B8" s="19" t="s">
        <v>66</v>
      </c>
      <c r="C8" s="20"/>
      <c r="D8" s="20">
        <v>32759</v>
      </c>
      <c r="E8" s="21">
        <v>1</v>
      </c>
      <c r="F8" s="22">
        <v>0</v>
      </c>
    </row>
    <row r="9" spans="2:8" x14ac:dyDescent="0.3">
      <c r="B9" s="19" t="s">
        <v>67</v>
      </c>
      <c r="C9" s="20"/>
      <c r="D9" s="92">
        <v>4665</v>
      </c>
      <c r="E9" s="21">
        <v>1</v>
      </c>
      <c r="F9" s="22">
        <v>0</v>
      </c>
    </row>
    <row r="10" spans="2:8" x14ac:dyDescent="0.3">
      <c r="B10" s="91" t="s">
        <v>160</v>
      </c>
      <c r="D10" s="93"/>
      <c r="E10" s="18"/>
    </row>
    <row r="13" spans="2:8" x14ac:dyDescent="0.3">
      <c r="B13" s="23" t="s">
        <v>68</v>
      </c>
      <c r="C13" s="23"/>
      <c r="D13" s="23"/>
      <c r="E13" s="23"/>
    </row>
    <row r="14" spans="2:8" x14ac:dyDescent="0.3">
      <c r="B14" s="118" t="s">
        <v>69</v>
      </c>
      <c r="C14" s="119"/>
      <c r="D14" s="119"/>
      <c r="E14" s="119"/>
      <c r="F14" s="119"/>
      <c r="G14" s="119"/>
      <c r="H14" s="120"/>
    </row>
    <row r="15" spans="2:8" x14ac:dyDescent="0.3">
      <c r="B15" s="24" t="s">
        <v>70</v>
      </c>
      <c r="C15" s="24" t="s">
        <v>71</v>
      </c>
      <c r="D15" s="24" t="s">
        <v>72</v>
      </c>
      <c r="E15" s="24" t="s">
        <v>73</v>
      </c>
      <c r="F15" s="24" t="s">
        <v>74</v>
      </c>
      <c r="G15" s="24" t="s">
        <v>75</v>
      </c>
      <c r="H15" s="24" t="s">
        <v>76</v>
      </c>
    </row>
    <row r="16" spans="2:8" ht="39" x14ac:dyDescent="0.3">
      <c r="B16" s="25" t="s">
        <v>77</v>
      </c>
      <c r="C16" s="25" t="s">
        <v>78</v>
      </c>
      <c r="D16" s="25" t="s">
        <v>79</v>
      </c>
      <c r="E16" s="25" t="s">
        <v>80</v>
      </c>
      <c r="F16" s="24" t="s">
        <v>81</v>
      </c>
      <c r="G16" s="25" t="s">
        <v>82</v>
      </c>
      <c r="H16" s="25" t="s">
        <v>83</v>
      </c>
    </row>
    <row r="17" spans="2:10" x14ac:dyDescent="0.3">
      <c r="B17" s="25" t="s">
        <v>7</v>
      </c>
      <c r="C17" s="20">
        <v>0</v>
      </c>
      <c r="D17" s="24">
        <v>0</v>
      </c>
      <c r="E17" s="20">
        <f>C17*D17</f>
        <v>0</v>
      </c>
      <c r="F17" s="20">
        <f>C3</f>
        <v>4700</v>
      </c>
      <c r="G17" s="22">
        <f>F3</f>
        <v>12</v>
      </c>
      <c r="H17" s="20">
        <f>F17*G17</f>
        <v>56400</v>
      </c>
      <c r="J17" s="12" t="s">
        <v>104</v>
      </c>
    </row>
    <row r="18" spans="2:10" ht="15.5" x14ac:dyDescent="0.3">
      <c r="B18" s="25" t="s">
        <v>138</v>
      </c>
      <c r="C18" s="20">
        <v>0</v>
      </c>
      <c r="D18" s="24">
        <v>0</v>
      </c>
      <c r="E18" s="20">
        <f t="shared" ref="E18:E22" si="0">C18*D18</f>
        <v>0</v>
      </c>
      <c r="F18" s="20">
        <f>C4</f>
        <v>19300</v>
      </c>
      <c r="G18" s="22">
        <f>F4</f>
        <v>2</v>
      </c>
      <c r="H18" s="20">
        <f t="shared" ref="H18" si="1">F18*G18</f>
        <v>38600</v>
      </c>
      <c r="J18" s="12" t="s">
        <v>106</v>
      </c>
    </row>
    <row r="19" spans="2:10" ht="15.5" x14ac:dyDescent="0.3">
      <c r="B19" s="25" t="s">
        <v>139</v>
      </c>
      <c r="C19" s="20">
        <v>0</v>
      </c>
      <c r="D19" s="24">
        <v>0</v>
      </c>
      <c r="E19" s="20">
        <f t="shared" si="0"/>
        <v>0</v>
      </c>
      <c r="F19" s="20">
        <f>C5</f>
        <v>10000</v>
      </c>
      <c r="G19" s="22">
        <f>12/2</f>
        <v>6</v>
      </c>
      <c r="H19" s="20">
        <f>F19*G19</f>
        <v>60000</v>
      </c>
      <c r="J19" s="12" t="s">
        <v>105</v>
      </c>
    </row>
    <row r="20" spans="2:10" ht="15.5" x14ac:dyDescent="0.3">
      <c r="B20" s="26" t="s">
        <v>140</v>
      </c>
      <c r="C20" s="27">
        <f>D5</f>
        <v>0</v>
      </c>
      <c r="D20" s="28">
        <v>0</v>
      </c>
      <c r="E20" s="27">
        <f t="shared" si="0"/>
        <v>0</v>
      </c>
      <c r="F20" s="27">
        <v>7500</v>
      </c>
      <c r="G20" s="28">
        <v>12</v>
      </c>
      <c r="H20" s="27">
        <f>F20*G20</f>
        <v>90000</v>
      </c>
      <c r="J20" s="12" t="s">
        <v>104</v>
      </c>
    </row>
    <row r="21" spans="2:10" ht="15.5" x14ac:dyDescent="0.3">
      <c r="B21" s="25" t="s">
        <v>141</v>
      </c>
      <c r="C21" s="20">
        <f>D6</f>
        <v>2300</v>
      </c>
      <c r="D21" s="22">
        <f>F6</f>
        <v>0</v>
      </c>
      <c r="E21" s="20">
        <f t="shared" si="0"/>
        <v>0</v>
      </c>
      <c r="F21" s="20">
        <f>D7</f>
        <v>230</v>
      </c>
      <c r="G21" s="22">
        <v>24</v>
      </c>
      <c r="H21" s="20">
        <f>F21*G21</f>
        <v>5520</v>
      </c>
      <c r="J21" s="12" t="s">
        <v>103</v>
      </c>
    </row>
    <row r="22" spans="2:10" x14ac:dyDescent="0.3">
      <c r="B22" s="25" t="s">
        <v>84</v>
      </c>
      <c r="C22" s="29">
        <f>D8</f>
        <v>32759</v>
      </c>
      <c r="D22" s="30">
        <f>F8</f>
        <v>0</v>
      </c>
      <c r="E22" s="20">
        <f t="shared" si="0"/>
        <v>0</v>
      </c>
      <c r="F22" s="20">
        <f>D9</f>
        <v>4665</v>
      </c>
      <c r="G22" s="22">
        <f>F9</f>
        <v>0</v>
      </c>
      <c r="H22" s="20">
        <f>F22*G22</f>
        <v>0</v>
      </c>
    </row>
    <row r="23" spans="2:10" ht="15" x14ac:dyDescent="0.3">
      <c r="B23" s="70" t="s">
        <v>142</v>
      </c>
      <c r="C23" s="71">
        <f>SUM(C17:C22)</f>
        <v>35059</v>
      </c>
      <c r="D23" s="72"/>
      <c r="E23" s="71">
        <f>SUM(E17:E22)</f>
        <v>0</v>
      </c>
      <c r="F23" s="71">
        <f>SUM(F17:F22)</f>
        <v>46395</v>
      </c>
      <c r="G23" s="72"/>
      <c r="H23" s="71">
        <f>ROUND(SUM(H17:H22),-3)</f>
        <v>251000</v>
      </c>
    </row>
    <row r="24" spans="2:10" ht="15.5" x14ac:dyDescent="0.3">
      <c r="B24" s="117" t="s">
        <v>143</v>
      </c>
      <c r="C24" s="117"/>
      <c r="D24" s="117"/>
      <c r="E24" s="117"/>
      <c r="F24" s="117"/>
      <c r="G24" s="117"/>
      <c r="H24" s="117"/>
      <c r="I24" s="39"/>
    </row>
    <row r="25" spans="2:10" s="39" customFormat="1" ht="31.5" customHeight="1" x14ac:dyDescent="0.3">
      <c r="B25" s="122" t="s">
        <v>144</v>
      </c>
      <c r="C25" s="122"/>
      <c r="D25" s="122"/>
      <c r="E25" s="122"/>
      <c r="F25" s="122"/>
      <c r="G25" s="122"/>
      <c r="H25" s="122"/>
    </row>
    <row r="26" spans="2:10" ht="18.75" customHeight="1" x14ac:dyDescent="0.3">
      <c r="B26" s="121" t="s">
        <v>147</v>
      </c>
      <c r="C26" s="121"/>
      <c r="D26" s="121"/>
      <c r="E26" s="121"/>
      <c r="F26" s="121"/>
      <c r="G26" s="121"/>
      <c r="H26" s="121"/>
    </row>
    <row r="27" spans="2:10" ht="15.5" x14ac:dyDescent="0.3">
      <c r="B27" s="111" t="s">
        <v>145</v>
      </c>
      <c r="C27" s="111"/>
      <c r="D27" s="111"/>
      <c r="E27" s="111"/>
      <c r="F27" s="111"/>
      <c r="G27" s="111"/>
      <c r="H27" s="111"/>
    </row>
    <row r="28" spans="2:10" ht="15.5" x14ac:dyDescent="0.3">
      <c r="B28" s="111" t="s">
        <v>146</v>
      </c>
      <c r="C28" s="111"/>
      <c r="D28" s="111"/>
      <c r="E28" s="111"/>
      <c r="F28" s="111"/>
      <c r="G28" s="111"/>
      <c r="H28" s="111"/>
    </row>
    <row r="29" spans="2:10" x14ac:dyDescent="0.3">
      <c r="F29" s="31"/>
    </row>
    <row r="31" spans="2:10" x14ac:dyDescent="0.3">
      <c r="B31" s="123" t="s">
        <v>92</v>
      </c>
      <c r="C31" s="124"/>
      <c r="D31" s="124"/>
      <c r="E31" s="124"/>
      <c r="F31" s="124"/>
      <c r="G31" s="125"/>
    </row>
    <row r="32" spans="2:10" ht="39" x14ac:dyDescent="0.3">
      <c r="B32" s="84"/>
      <c r="C32" s="126" t="s">
        <v>93</v>
      </c>
      <c r="D32" s="127"/>
      <c r="E32" s="85" t="s">
        <v>94</v>
      </c>
      <c r="F32" s="126"/>
      <c r="G32" s="127"/>
    </row>
    <row r="33" spans="2:7" x14ac:dyDescent="0.3">
      <c r="B33" s="33"/>
      <c r="C33" s="34" t="s">
        <v>70</v>
      </c>
      <c r="D33" s="34" t="s">
        <v>71</v>
      </c>
      <c r="E33" s="34" t="s">
        <v>72</v>
      </c>
      <c r="F33" s="34" t="s">
        <v>73</v>
      </c>
      <c r="G33" s="34" t="s">
        <v>74</v>
      </c>
    </row>
    <row r="34" spans="2:7" ht="78" x14ac:dyDescent="0.3">
      <c r="B34" s="34" t="s">
        <v>95</v>
      </c>
      <c r="C34" s="34" t="s">
        <v>96</v>
      </c>
      <c r="D34" s="34" t="s">
        <v>97</v>
      </c>
      <c r="E34" s="35" t="s">
        <v>98</v>
      </c>
      <c r="F34" s="34" t="s">
        <v>99</v>
      </c>
      <c r="G34" s="34" t="s">
        <v>149</v>
      </c>
    </row>
    <row r="35" spans="2:7" x14ac:dyDescent="0.3">
      <c r="B35" s="36">
        <v>1</v>
      </c>
      <c r="C35" s="37">
        <v>0</v>
      </c>
      <c r="D35" s="37">
        <v>12</v>
      </c>
      <c r="E35" s="38">
        <v>0</v>
      </c>
      <c r="F35" s="37">
        <v>0</v>
      </c>
      <c r="G35" s="37">
        <f>C35+D35+E35-F35</f>
        <v>12</v>
      </c>
    </row>
    <row r="36" spans="2:7" x14ac:dyDescent="0.3">
      <c r="B36" s="36">
        <v>2</v>
      </c>
      <c r="C36" s="37">
        <f>C35</f>
        <v>0</v>
      </c>
      <c r="D36" s="37">
        <v>12</v>
      </c>
      <c r="E36" s="38">
        <v>0</v>
      </c>
      <c r="F36" s="38">
        <v>0</v>
      </c>
      <c r="G36" s="38">
        <f>C36+D36+E36-F36</f>
        <v>12</v>
      </c>
    </row>
    <row r="37" spans="2:7" x14ac:dyDescent="0.3">
      <c r="B37" s="36">
        <v>3</v>
      </c>
      <c r="C37" s="37">
        <f>C35</f>
        <v>0</v>
      </c>
      <c r="D37" s="37">
        <f>D35</f>
        <v>12</v>
      </c>
      <c r="E37" s="38">
        <v>0</v>
      </c>
      <c r="F37" s="38">
        <v>0</v>
      </c>
      <c r="G37" s="38">
        <f>C37+D37+E37-F37</f>
        <v>12</v>
      </c>
    </row>
    <row r="38" spans="2:7" x14ac:dyDescent="0.3">
      <c r="B38" s="36" t="s">
        <v>100</v>
      </c>
      <c r="C38" s="37">
        <f>AVERAGE(C35:C37)</f>
        <v>0</v>
      </c>
      <c r="D38" s="37">
        <f>AVERAGE(D35:D37)</f>
        <v>12</v>
      </c>
      <c r="E38" s="37">
        <f>AVERAGE(E35:E37)</f>
        <v>0</v>
      </c>
      <c r="F38" s="37">
        <f>AVERAGE(F35:F37)</f>
        <v>0</v>
      </c>
      <c r="G38" s="58">
        <v>12</v>
      </c>
    </row>
    <row r="39" spans="2:7" ht="15.5" x14ac:dyDescent="0.3">
      <c r="B39" s="81" t="s">
        <v>150</v>
      </c>
      <c r="C39" s="81"/>
      <c r="D39" s="81"/>
      <c r="E39" s="81"/>
      <c r="F39" s="81"/>
      <c r="G39" s="81"/>
    </row>
    <row r="40" spans="2:7" x14ac:dyDescent="0.3">
      <c r="B40" s="82"/>
      <c r="C40" s="82"/>
      <c r="D40" s="82"/>
      <c r="E40" s="82"/>
      <c r="F40" s="82"/>
      <c r="G40" s="82"/>
    </row>
    <row r="43" spans="2:7" x14ac:dyDescent="0.3">
      <c r="B43" s="116" t="s">
        <v>86</v>
      </c>
      <c r="C43" s="116"/>
      <c r="D43" s="116"/>
      <c r="E43" s="116"/>
      <c r="F43" s="116"/>
    </row>
    <row r="44" spans="2:7" ht="91" x14ac:dyDescent="0.3">
      <c r="B44" s="86" t="s">
        <v>87</v>
      </c>
      <c r="C44" s="38" t="s">
        <v>88</v>
      </c>
      <c r="D44" s="38" t="s">
        <v>89</v>
      </c>
      <c r="E44" s="86" t="s">
        <v>90</v>
      </c>
      <c r="F44" s="86" t="s">
        <v>91</v>
      </c>
    </row>
    <row r="45" spans="2:7" x14ac:dyDescent="0.3">
      <c r="B45" s="87" t="s">
        <v>111</v>
      </c>
      <c r="C45" s="37">
        <f>'Table 1'!E22</f>
        <v>12</v>
      </c>
      <c r="D45" s="37">
        <f>'Table 1'!C22</f>
        <v>2</v>
      </c>
      <c r="E45" s="86">
        <v>0</v>
      </c>
      <c r="F45" s="38">
        <f>C45*D45+E45</f>
        <v>24</v>
      </c>
    </row>
    <row r="46" spans="2:7" x14ac:dyDescent="0.3">
      <c r="B46" s="6" t="s">
        <v>112</v>
      </c>
      <c r="C46" s="37">
        <f>'Table 1'!E23</f>
        <v>12</v>
      </c>
      <c r="D46" s="37">
        <f>'Table 1'!C23</f>
        <v>2</v>
      </c>
      <c r="E46" s="38">
        <v>0</v>
      </c>
      <c r="F46" s="38">
        <f>C46*D46+E46</f>
        <v>24</v>
      </c>
    </row>
    <row r="47" spans="2:7" x14ac:dyDescent="0.3">
      <c r="B47" s="6" t="s">
        <v>110</v>
      </c>
      <c r="C47" s="37">
        <f>'Table 1'!E24</f>
        <v>12</v>
      </c>
      <c r="D47" s="37">
        <f>'Table 1'!C24</f>
        <v>2</v>
      </c>
      <c r="E47" s="38">
        <v>0</v>
      </c>
      <c r="F47" s="38">
        <f>C47*D47+E47</f>
        <v>24</v>
      </c>
    </row>
    <row r="48" spans="2:7" x14ac:dyDescent="0.3">
      <c r="B48" s="6" t="s">
        <v>22</v>
      </c>
      <c r="C48" s="37">
        <f>'Table 1'!E25</f>
        <v>12</v>
      </c>
      <c r="D48" s="37">
        <f>'Table 1'!C25</f>
        <v>1</v>
      </c>
      <c r="E48" s="38">
        <v>0</v>
      </c>
      <c r="F48" s="38">
        <f>C48*D48+E48</f>
        <v>12</v>
      </c>
    </row>
    <row r="49" spans="2:6" ht="26" x14ac:dyDescent="0.3">
      <c r="B49" s="88" t="s">
        <v>151</v>
      </c>
      <c r="C49" s="37">
        <f>'Table 1'!E18</f>
        <v>1</v>
      </c>
      <c r="D49" s="37">
        <f>'Table 1'!C18</f>
        <v>1</v>
      </c>
      <c r="E49" s="38">
        <v>0</v>
      </c>
      <c r="F49" s="38">
        <f>C49*D49+E49</f>
        <v>1</v>
      </c>
    </row>
    <row r="50" spans="2:6" x14ac:dyDescent="0.3">
      <c r="B50" s="89"/>
      <c r="C50" s="89"/>
      <c r="D50" s="89"/>
      <c r="E50" s="90" t="s">
        <v>85</v>
      </c>
      <c r="F50" s="90">
        <f>SUM(F45:F49)</f>
        <v>85</v>
      </c>
    </row>
    <row r="51" spans="2:6" x14ac:dyDescent="0.3">
      <c r="B51" s="83"/>
      <c r="C51" s="83"/>
      <c r="D51" s="83"/>
      <c r="E51" s="83"/>
      <c r="F51" s="83"/>
    </row>
  </sheetData>
  <mergeCells count="10">
    <mergeCell ref="B43:F43"/>
    <mergeCell ref="B27:H27"/>
    <mergeCell ref="B28:H28"/>
    <mergeCell ref="B24:H24"/>
    <mergeCell ref="B14:H14"/>
    <mergeCell ref="B26:H26"/>
    <mergeCell ref="B25:H25"/>
    <mergeCell ref="B31:G31"/>
    <mergeCell ref="C32:D32"/>
    <mergeCell ref="F32:G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ONeil</dc:creator>
  <cp:lastModifiedBy>Wrigley, William</cp:lastModifiedBy>
  <dcterms:created xsi:type="dcterms:W3CDTF">2018-01-11T18:44:31Z</dcterms:created>
  <dcterms:modified xsi:type="dcterms:W3CDTF">2021-06-17T13:54:59Z</dcterms:modified>
</cp:coreProperties>
</file>