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CAE88F45-205A-4368-89F2-1993DACE79AF}"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4" l="1"/>
  <c r="E7" i="2"/>
  <c r="E37" i="1"/>
  <c r="E38" i="1"/>
  <c r="E39" i="1"/>
  <c r="E40" i="1"/>
  <c r="E41" i="1"/>
  <c r="E42" i="1"/>
  <c r="E43" i="1"/>
  <c r="E44" i="1"/>
  <c r="E36" i="1"/>
  <c r="E33" i="1"/>
  <c r="E34" i="1"/>
  <c r="E32" i="1"/>
  <c r="E23" i="1"/>
  <c r="C46" i="4" s="1"/>
  <c r="F46" i="4" s="1"/>
  <c r="E7" i="1"/>
  <c r="E25" i="1" s="1"/>
  <c r="C48" i="4" s="1"/>
  <c r="D46" i="4"/>
  <c r="D48" i="4"/>
  <c r="C49" i="4"/>
  <c r="D49" i="4"/>
  <c r="G35" i="4"/>
  <c r="C36" i="4"/>
  <c r="G36" i="4" s="1"/>
  <c r="C37" i="4"/>
  <c r="G37" i="4" s="1"/>
  <c r="D37" i="4"/>
  <c r="D38" i="4" s="1"/>
  <c r="E38" i="4"/>
  <c r="F38" i="4"/>
  <c r="F49" i="4" l="1"/>
  <c r="F48" i="4"/>
  <c r="C38" i="4"/>
  <c r="D45" i="1" l="1"/>
  <c r="D44" i="1"/>
  <c r="D43" i="1"/>
  <c r="D42" i="1"/>
  <c r="D41" i="1"/>
  <c r="D40" i="1"/>
  <c r="D39" i="1"/>
  <c r="D38" i="1"/>
  <c r="D37" i="1"/>
  <c r="D36" i="1"/>
  <c r="D35" i="1"/>
  <c r="D34" i="1"/>
  <c r="D33" i="1"/>
  <c r="D32" i="1"/>
  <c r="D25" i="1"/>
  <c r="D23" i="1"/>
  <c r="D11" i="2"/>
  <c r="E14" i="2"/>
  <c r="E12" i="2"/>
  <c r="C14" i="2"/>
  <c r="D14" i="2" s="1"/>
  <c r="C12" i="2"/>
  <c r="D12" i="2" s="1"/>
  <c r="D6" i="2"/>
  <c r="D7" i="2"/>
  <c r="D15" i="2"/>
  <c r="D18" i="1"/>
  <c r="D17" i="1"/>
  <c r="D16" i="1"/>
  <c r="D15" i="1"/>
  <c r="D14" i="1"/>
  <c r="D13" i="1"/>
  <c r="D12" i="1"/>
  <c r="D11" i="1"/>
  <c r="D10" i="1"/>
  <c r="D9" i="1"/>
  <c r="D7" i="1"/>
  <c r="E22" i="1"/>
  <c r="F7" i="1"/>
  <c r="E11" i="2" l="1"/>
  <c r="F11" i="2" s="1"/>
  <c r="H11" i="2" s="1"/>
  <c r="C45" i="4"/>
  <c r="H7" i="1"/>
  <c r="G7" i="1"/>
  <c r="I7" i="1" l="1"/>
  <c r="G11" i="2"/>
  <c r="I11" i="2" s="1"/>
  <c r="E17" i="1"/>
  <c r="E16" i="1"/>
  <c r="E15" i="1"/>
  <c r="E14" i="1"/>
  <c r="E35" i="1" s="1"/>
  <c r="F35" i="1" s="1"/>
  <c r="E13" i="1"/>
  <c r="F34" i="1" s="1"/>
  <c r="G19" i="4"/>
  <c r="E12" i="1" s="1"/>
  <c r="E9" i="1"/>
  <c r="E24" i="1" s="1"/>
  <c r="F4" i="4"/>
  <c r="G18" i="4" s="1"/>
  <c r="E11" i="1" s="1"/>
  <c r="F3" i="4"/>
  <c r="G17" i="4" s="1"/>
  <c r="E10" i="1" s="1"/>
  <c r="G22" i="4"/>
  <c r="F22" i="4"/>
  <c r="H22" i="4" s="1"/>
  <c r="D22" i="4"/>
  <c r="C22" i="4"/>
  <c r="F21" i="4"/>
  <c r="H21" i="4" s="1"/>
  <c r="D21" i="4"/>
  <c r="C21" i="4"/>
  <c r="C20" i="4"/>
  <c r="C23" i="4" s="1"/>
  <c r="F19" i="4"/>
  <c r="H19" i="4" s="1"/>
  <c r="E19" i="4"/>
  <c r="F18" i="4"/>
  <c r="E18" i="4"/>
  <c r="F17" i="4"/>
  <c r="E17" i="4"/>
  <c r="C47" i="4" l="1"/>
  <c r="E13" i="2"/>
  <c r="H17" i="4"/>
  <c r="F23" i="4"/>
  <c r="E22" i="4"/>
  <c r="E6" i="2"/>
  <c r="F6" i="2" s="1"/>
  <c r="C24" i="1"/>
  <c r="D47" i="4" s="1"/>
  <c r="F47" i="4" s="1"/>
  <c r="H34" i="1"/>
  <c r="G34" i="1"/>
  <c r="I34" i="1" s="1"/>
  <c r="C22" i="1"/>
  <c r="D45" i="4" s="1"/>
  <c r="F45" i="4" s="1"/>
  <c r="E21" i="4"/>
  <c r="H18" i="4"/>
  <c r="E20" i="4"/>
  <c r="E23" i="4" s="1"/>
  <c r="F50" i="4" l="1"/>
  <c r="H6" i="2"/>
  <c r="H23" i="4"/>
  <c r="I49" i="1" s="1"/>
  <c r="G6" i="2"/>
  <c r="I6" i="2" s="1"/>
  <c r="C13" i="2"/>
  <c r="D13" i="2" s="1"/>
  <c r="D24" i="1"/>
  <c r="F24" i="1" s="1"/>
  <c r="D22" i="1"/>
  <c r="F22" i="1" s="1"/>
  <c r="H22" i="1" l="1"/>
  <c r="G22" i="1"/>
  <c r="F15" i="2"/>
  <c r="F14" i="2"/>
  <c r="F13" i="2"/>
  <c r="F12" i="2"/>
  <c r="F7" i="2"/>
  <c r="I22" i="1" l="1"/>
  <c r="H7" i="2"/>
  <c r="G7" i="2"/>
  <c r="F16" i="2" s="1"/>
  <c r="H12" i="2"/>
  <c r="G13" i="2"/>
  <c r="I13" i="2" s="1"/>
  <c r="H14" i="2"/>
  <c r="G14" i="2"/>
  <c r="H15" i="2"/>
  <c r="G15" i="2"/>
  <c r="I15" i="2" s="1"/>
  <c r="H13" i="2"/>
  <c r="G12" i="2"/>
  <c r="F33" i="1"/>
  <c r="F36" i="1"/>
  <c r="F37" i="1"/>
  <c r="F38" i="1"/>
  <c r="F39" i="1"/>
  <c r="F40" i="1"/>
  <c r="F41" i="1"/>
  <c r="F42" i="1"/>
  <c r="F43" i="1"/>
  <c r="F44" i="1"/>
  <c r="F32" i="1"/>
  <c r="F25" i="1"/>
  <c r="F23" i="1"/>
  <c r="F10" i="1"/>
  <c r="F11" i="1"/>
  <c r="F12" i="1"/>
  <c r="F13" i="1"/>
  <c r="F14" i="1"/>
  <c r="F15" i="1"/>
  <c r="F16" i="1"/>
  <c r="F17" i="1"/>
  <c r="F18" i="1"/>
  <c r="F9" i="1"/>
  <c r="I12" i="2" l="1"/>
  <c r="I14" i="2"/>
  <c r="I7" i="2"/>
  <c r="H18" i="1"/>
  <c r="G18" i="1"/>
  <c r="I18" i="1" s="1"/>
  <c r="G32" i="1"/>
  <c r="F47" i="1" s="1"/>
  <c r="H32" i="1"/>
  <c r="H23" i="1"/>
  <c r="G23" i="1"/>
  <c r="G44" i="1"/>
  <c r="H44" i="1"/>
  <c r="G40" i="1"/>
  <c r="H40" i="1"/>
  <c r="H36" i="1"/>
  <c r="G36" i="1"/>
  <c r="G37" i="1"/>
  <c r="H37" i="1"/>
  <c r="H24" i="1"/>
  <c r="G24" i="1"/>
  <c r="H43" i="1"/>
  <c r="G43" i="1"/>
  <c r="G39" i="1"/>
  <c r="H39" i="1"/>
  <c r="G35" i="1"/>
  <c r="H35" i="1"/>
  <c r="H41" i="1"/>
  <c r="G41" i="1"/>
  <c r="H25" i="1"/>
  <c r="G25" i="1"/>
  <c r="G42" i="1"/>
  <c r="H42" i="1"/>
  <c r="H38" i="1"/>
  <c r="G38" i="1"/>
  <c r="H33" i="1"/>
  <c r="G33" i="1"/>
  <c r="H17" i="1"/>
  <c r="G17" i="1"/>
  <c r="G16" i="1"/>
  <c r="H16" i="1"/>
  <c r="G15" i="1"/>
  <c r="H15" i="1"/>
  <c r="H14" i="1"/>
  <c r="G14" i="1"/>
  <c r="I14" i="1" s="1"/>
  <c r="G13" i="1"/>
  <c r="H13" i="1"/>
  <c r="G12" i="1"/>
  <c r="H12" i="1"/>
  <c r="H11" i="1"/>
  <c r="G11" i="1"/>
  <c r="H10" i="1"/>
  <c r="G10" i="1"/>
  <c r="G9" i="1"/>
  <c r="F26" i="1" s="1"/>
  <c r="H9" i="1"/>
  <c r="F48" i="1" l="1"/>
  <c r="I16" i="1"/>
  <c r="I16" i="2"/>
  <c r="I15" i="1"/>
  <c r="I9" i="1"/>
  <c r="I13" i="1"/>
  <c r="I11" i="1"/>
  <c r="I12" i="1"/>
  <c r="I10" i="1"/>
  <c r="I44" i="1"/>
  <c r="I43" i="1"/>
  <c r="I42" i="1"/>
  <c r="I41" i="1"/>
  <c r="I40" i="1"/>
  <c r="I39" i="1"/>
  <c r="I38" i="1"/>
  <c r="I37" i="1"/>
  <c r="I36" i="1"/>
  <c r="I35" i="1"/>
  <c r="I33" i="1"/>
  <c r="I32" i="1"/>
  <c r="I25" i="1"/>
  <c r="I24" i="1"/>
  <c r="I23" i="1"/>
  <c r="I17" i="1"/>
  <c r="I47" i="1" l="1"/>
  <c r="I26" i="1"/>
  <c r="K48" i="1"/>
  <c r="I48" i="1" l="1"/>
  <c r="I50" i="1" s="1"/>
</calcChain>
</file>

<file path=xl/sharedStrings.xml><?xml version="1.0" encoding="utf-8"?>
<sst xmlns="http://schemas.openxmlformats.org/spreadsheetml/2006/main" count="196" uniqueCount="161">
  <si>
    <t>Burden item</t>
  </si>
  <si>
    <t>1.  Applications</t>
  </si>
  <si>
    <t>N/A</t>
  </si>
  <si>
    <t>2.  Surveys and studies</t>
  </si>
  <si>
    <t xml:space="preserve"> N/A</t>
  </si>
  <si>
    <t>3.  Reporting requirements</t>
  </si>
  <si>
    <t>Annual performance test</t>
  </si>
  <si>
    <t>THC testing</t>
  </si>
  <si>
    <t>Dioxin/furan testing</t>
  </si>
  <si>
    <t>Lead testing</t>
  </si>
  <si>
    <t>Continuous particulate monitor</t>
  </si>
  <si>
    <t>Differential pressure monitor</t>
  </si>
  <si>
    <t>Inspect capture hoods</t>
  </si>
  <si>
    <t>Inspect and repair enclosures</t>
  </si>
  <si>
    <t>Inspect battery storage areas</t>
  </si>
  <si>
    <t>C.  Create information</t>
  </si>
  <si>
    <t>See 3B</t>
  </si>
  <si>
    <t>D.  Gather information</t>
  </si>
  <si>
    <t>See 3E</t>
  </si>
  <si>
    <t>E.  Report preparation</t>
  </si>
  <si>
    <t>Semiannual report</t>
  </si>
  <si>
    <t>Annual report</t>
  </si>
  <si>
    <t>Differential pressure monitoring report</t>
  </si>
  <si>
    <t>Reporting Subtotal</t>
  </si>
  <si>
    <t>1.  Recordkeeping requirements</t>
  </si>
  <si>
    <t>See 3A</t>
  </si>
  <si>
    <t>B.  Implement activities</t>
  </si>
  <si>
    <t>C.  Develop record system</t>
  </si>
  <si>
    <t>D.  Record information</t>
  </si>
  <si>
    <t>Fugitives</t>
  </si>
  <si>
    <t>Flow weighted averages for lead</t>
  </si>
  <si>
    <t>Power outages</t>
  </si>
  <si>
    <t>Facility enclosure inspections</t>
  </si>
  <si>
    <t>Startup and shutdown periods</t>
  </si>
  <si>
    <t>Malfunctions</t>
  </si>
  <si>
    <t>Actions taken during malfunctions</t>
  </si>
  <si>
    <t>Bag Leak Detection System</t>
  </si>
  <si>
    <t>Furnace inspections</t>
  </si>
  <si>
    <t>Plastic battery casing material recovery</t>
  </si>
  <si>
    <t>Monitoring parameters, performance tests, and periodic inspections</t>
  </si>
  <si>
    <t>E.  Personnel training</t>
  </si>
  <si>
    <t>F.  Time for audits</t>
  </si>
  <si>
    <t>Recordkeeping Subtotal</t>
  </si>
  <si>
    <t>Assumptions:</t>
  </si>
  <si>
    <t>(A)
Person-hours per occurrence</t>
  </si>
  <si>
    <t>(B)
Annual occurrences per respondent</t>
  </si>
  <si>
    <r>
      <t xml:space="preserve">(D)
Respondents per year </t>
    </r>
    <r>
      <rPr>
        <b/>
        <vertAlign val="superscript"/>
        <sz val="10"/>
        <color theme="1"/>
        <rFont val="Times New Roman"/>
        <family val="1"/>
      </rPr>
      <t>a</t>
    </r>
  </si>
  <si>
    <r>
      <t xml:space="preserve">(H)
Annual cost ($) </t>
    </r>
    <r>
      <rPr>
        <b/>
        <vertAlign val="superscript"/>
        <sz val="10"/>
        <color theme="1"/>
        <rFont val="Times New Roman"/>
        <family val="1"/>
      </rPr>
      <t>b</t>
    </r>
  </si>
  <si>
    <r>
      <t xml:space="preserve">A.  Observe stack tests </t>
    </r>
    <r>
      <rPr>
        <vertAlign val="superscript"/>
        <sz val="10"/>
        <color theme="1"/>
        <rFont val="Times New Roman"/>
        <family val="1"/>
      </rPr>
      <t>c</t>
    </r>
  </si>
  <si>
    <r>
      <t xml:space="preserve">B.  Excess emissions - enforcement activities </t>
    </r>
    <r>
      <rPr>
        <vertAlign val="superscript"/>
        <sz val="10"/>
        <color theme="1"/>
        <rFont val="Times New Roman"/>
        <family val="1"/>
      </rPr>
      <t>d</t>
    </r>
  </si>
  <si>
    <t>E.  Report reviews</t>
  </si>
  <si>
    <r>
      <t xml:space="preserve">F.  Prepare annual summary report </t>
    </r>
    <r>
      <rPr>
        <vertAlign val="superscript"/>
        <sz val="10"/>
        <color theme="1"/>
        <rFont val="Times New Roman"/>
        <family val="1"/>
      </rPr>
      <t>e</t>
    </r>
  </si>
  <si>
    <t>(A)
EPA person-hours per occurrence</t>
  </si>
  <si>
    <t>(F)
Management hours per year
(E x 0.05)</t>
  </si>
  <si>
    <t>(G)
Clerical hours per year
(E x 0.10)</t>
  </si>
  <si>
    <t>(E)
Technical hours per year 
(C x D)</t>
  </si>
  <si>
    <t>(C)
Person-hours per respondent per year
(A x B)</t>
  </si>
  <si>
    <t>(C)
EPA person-hours per respondent per year
(A x B)</t>
  </si>
  <si>
    <t>(E)
Technical hours per year
(C x D)</t>
  </si>
  <si>
    <t>Capital/Startup and O&amp;M Costs (taken directly from prev ICR burden tables, columns B, C, and K)</t>
  </si>
  <si>
    <t>Stack Testing Cost Per Occurrence*</t>
  </si>
  <si>
    <t>Other Non-Labor Costs Per Occurrence*</t>
  </si>
  <si>
    <t>Annual occurrences
per respondent</t>
  </si>
  <si>
    <r>
      <t xml:space="preserve">Respondents
per year </t>
    </r>
    <r>
      <rPr>
        <b/>
        <vertAlign val="superscript"/>
        <sz val="10"/>
        <rFont val="Times New Roman"/>
        <family val="1"/>
      </rPr>
      <t>a</t>
    </r>
  </si>
  <si>
    <t>Differential pressure monitor (initial capital)</t>
  </si>
  <si>
    <t>Differential pressure monitor (annual O&amp;M)</t>
  </si>
  <si>
    <t>HEPA filter monitor (initial capital)</t>
  </si>
  <si>
    <t>HEPA filter monitor (annual O&amp;M)</t>
  </si>
  <si>
    <t>Rows highlighted in blue denote new items added to burden calculations.</t>
  </si>
  <si>
    <t>Capital/Startup vs. Operation and Maintenance (O&amp;M) Costs</t>
  </si>
  <si>
    <t>(A)</t>
  </si>
  <si>
    <t>(B)</t>
  </si>
  <si>
    <t>(C)</t>
  </si>
  <si>
    <t>(D)</t>
  </si>
  <si>
    <t>(E)</t>
  </si>
  <si>
    <t>(F)</t>
  </si>
  <si>
    <t>(G)</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</si>
  <si>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</si>
  <si>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</si>
  <si>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</si>
  <si>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</si>
  <si>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</si>
  <si>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</si>
  <si>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</si>
  <si>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HEPA filter monitor</t>
  </si>
  <si>
    <t>Total</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</si>
  <si>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</si>
  <si>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</si>
  <si>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</si>
  <si>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</si>
  <si>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</si>
  <si>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</si>
  <si>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</si>
  <si>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</si>
  <si>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</si>
  <si>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</si>
  <si>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</si>
  <si>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</si>
  <si>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</si>
  <si>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</si>
  <si>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Average</t>
  </si>
  <si>
    <t>Labor Rates</t>
  </si>
  <si>
    <t>test occurs every 6 years so assume 2 respondents per year</t>
  </si>
  <si>
    <t xml:space="preserve">change this to 24, assuming two differential pressure monitors per facility. </t>
  </si>
  <si>
    <t>changed to match latest facility inventory</t>
  </si>
  <si>
    <t>changed to match latest facility inventory, divided by 2 per note about extension</t>
  </si>
  <si>
    <t>required every 6 years, so 12 sources/6 years = 2. This should not have been zero previously.</t>
  </si>
  <si>
    <t>A.  Familiarization with the regulatory requirements</t>
  </si>
  <si>
    <r>
      <t>B.  Required activities</t>
    </r>
    <r>
      <rPr>
        <vertAlign val="superscript"/>
        <sz val="10"/>
        <color theme="1"/>
        <rFont val="Times New Roman"/>
        <family val="1"/>
      </rPr>
      <t>c</t>
    </r>
  </si>
  <si>
    <r>
      <t xml:space="preserve">Revise SOP manual </t>
    </r>
    <r>
      <rPr>
        <vertAlign val="superscript"/>
        <sz val="10"/>
        <color theme="1"/>
        <rFont val="Times New Roman"/>
        <family val="1"/>
      </rPr>
      <t>d</t>
    </r>
  </si>
  <si>
    <t>Annual (performance test) report</t>
  </si>
  <si>
    <t>Notification of Performance Test</t>
  </si>
  <si>
    <t>Semiannual compliance report</t>
  </si>
  <si>
    <t>Differential pressure monitors</t>
  </si>
  <si>
    <t>hours per response</t>
  </si>
  <si>
    <t>2.  Required activities</t>
  </si>
  <si>
    <t xml:space="preserve">      Notification of performance test</t>
  </si>
  <si>
    <t>Table 2: Average Annual EPA Burden and Cost – NESHAP for the Secondary Lead Smelter Industry (40 CFR Part 63, Subpart X) (Renewal)</t>
  </si>
  <si>
    <t>Table 1: Annual Respondent Burden and Cost – NESHAP for the Secondary Lead Smelter Industry (40 CFR Part 63, Subpart X) (Renewal)</t>
  </si>
  <si>
    <t>Monthly requirement per 63.544(d)</t>
  </si>
  <si>
    <t>Weekly requirement per 63.545(c)(4)</t>
  </si>
  <si>
    <r>
      <t>a</t>
    </r>
    <r>
      <rPr>
        <sz val="10"/>
        <color theme="1"/>
        <rFont val="Times New Roman"/>
        <family val="1"/>
      </rPr>
      <t xml:space="preserve">  EPA estimates an average of 12 existing facilities and no new facilities per year will be subject to the NESHAP over the next 3 years. </t>
    </r>
  </si>
  <si>
    <r>
      <t>c</t>
    </r>
    <r>
      <rPr>
        <sz val="10"/>
        <rFont val="Times New Roman"/>
        <family val="1"/>
      </rPr>
      <t xml:space="preserve">  EPA assumes Agency personnel will attend 20% of facility stack tests (0.2 x 20 tests on average across the 12 facilities = 4, after rounding).</t>
    </r>
  </si>
  <si>
    <r>
      <t>d</t>
    </r>
    <r>
      <rPr>
        <sz val="10"/>
        <rFont val="Times New Roman"/>
        <family val="1"/>
      </rPr>
      <t xml:space="preserve">  EPA assumes 10% of facilities will have excess emissions (0.1 x 12 = 1, after rounding).</t>
    </r>
  </si>
  <si>
    <r>
      <t>e</t>
    </r>
    <r>
      <rPr>
        <sz val="10"/>
        <rFont val="Times New Roman"/>
        <family val="1"/>
      </rPr>
      <t xml:space="preserve">  EPA assumes state and EPA personnel will require 4 technical hours per respondent when preparing the annual summary report (12 x 4 = 48).</t>
    </r>
  </si>
  <si>
    <t>lead testing is every year with the option for requesting an extension to every 24 months, or 6 sources per year</t>
  </si>
  <si>
    <t>Managerial</t>
  </si>
  <si>
    <t>Technical</t>
  </si>
  <si>
    <t>Clerical</t>
  </si>
  <si>
    <r>
      <t>b</t>
    </r>
    <r>
      <rPr>
        <sz val="10"/>
        <color theme="1"/>
        <rFont val="Times New Roman"/>
        <family val="1"/>
      </rPr>
      <t xml:space="preserve">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</si>
  <si>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r>
      <t>b</t>
    </r>
    <r>
      <rPr>
        <sz val="10"/>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t>
    </r>
  </si>
  <si>
    <r>
      <t>d</t>
    </r>
    <r>
      <rPr>
        <sz val="10"/>
        <color theme="1"/>
        <rFont val="Times New Roman"/>
        <family val="1"/>
      </rPr>
      <t xml:space="preserve">  EPA assumes each facility will make one major adjustment per year.  In each instance, the SOP must be revised.</t>
    </r>
  </si>
  <si>
    <r>
      <rPr>
        <vertAlign val="superscript"/>
        <sz val="10"/>
        <rFont val="Times New Roman"/>
        <family val="1"/>
      </rPr>
      <t>a</t>
    </r>
    <r>
      <rPr>
        <sz val="10"/>
        <rFont val="Times New Roman"/>
        <family val="1"/>
      </rPr>
      <t xml:space="preserve">  EPA estimates an average of 12 existing facilities and no new or modified facilities per year will be subject to the NESHAP over the next 3 years. In addition to the 12 active facilities there is one inactive facility that has been idled since 2013. We assume that each source subject to the standard will have to familiarize with the regulatory requirements each year.  Since there are no new or modified/reconstructed facilities expected the notifications for startup, intention to construct/reconstruct, notification of applicability and notification of initial compliance will not occur during this three-year ICR period.</t>
    </r>
  </si>
  <si>
    <r>
      <t xml:space="preserve">f   </t>
    </r>
    <r>
      <rPr>
        <sz val="10"/>
        <rFont val="Times New Roman"/>
        <family val="1"/>
      </rPr>
      <t>Totals have been rounded to 3 significant figures. Figures may not add exactly due to rounding.</t>
    </r>
  </si>
  <si>
    <r>
      <t xml:space="preserve">c   </t>
    </r>
    <r>
      <rPr>
        <sz val="10"/>
        <rFont val="Times New Roman"/>
        <family val="1"/>
      </rPr>
      <t>Testing frequency was assumed as follows, based on rule requirements and experience with the affected source actual testing schedule. THC testing is conducted annually. Dioxin/Furan tests are required every 6 years, and this ICR assumes 2 of the 12 sources conduct dioxin/furan tests each year. Lead testing is required annually but many sources requests extensions for this test and the tests occur every two years.  This ICR assumes 6 of the 12 sources conduct lead tests each year. The ICR estimates that all sources have continuous particulate monitors and that two differential pressure monitors exist per source. Since all sources have continuous particulate monitors, the visible emission observation requirement in the rule is not accounted for in the burden estimate. In addition, each facility must conduct monthly inspections of capture hoods and enclosures, and weekly inspections of battery storage areas that are not in enclosures.</t>
    </r>
  </si>
  <si>
    <r>
      <rPr>
        <vertAlign val="superscript"/>
        <sz val="10"/>
        <rFont val="Times New Roman"/>
        <family val="1"/>
      </rPr>
      <t>f</t>
    </r>
    <r>
      <rPr>
        <sz val="10"/>
        <rFont val="Times New Roman"/>
        <family val="1"/>
      </rPr>
      <t xml:space="preserve">   EPA assumes that one report will be submitted for all differential pressure monitors at the facility. </t>
    </r>
  </si>
  <si>
    <r>
      <rPr>
        <vertAlign val="superscript"/>
        <sz val="10"/>
        <rFont val="Times New Roman"/>
        <family val="1"/>
      </rPr>
      <t>g</t>
    </r>
    <r>
      <rPr>
        <sz val="10"/>
        <rFont val="Times New Roman"/>
        <family val="1"/>
      </rPr>
      <t xml:space="preserve">  Totals have been rounded to 3 significant figures. Figures may not add exactly due to rounding.</t>
    </r>
  </si>
  <si>
    <r>
      <t xml:space="preserve">A.  Familiarization with the regulatory requirements </t>
    </r>
    <r>
      <rPr>
        <vertAlign val="superscript"/>
        <sz val="10"/>
        <color theme="1"/>
        <rFont val="Times New Roman"/>
        <family val="1"/>
      </rPr>
      <t>a</t>
    </r>
  </si>
  <si>
    <r>
      <t xml:space="preserve">Dioxin/furan testing </t>
    </r>
    <r>
      <rPr>
        <vertAlign val="superscript"/>
        <sz val="10"/>
        <rFont val="Times New Roman"/>
        <family val="1"/>
      </rPr>
      <t>a</t>
    </r>
  </si>
  <si>
    <r>
      <t xml:space="preserve">Lead testing </t>
    </r>
    <r>
      <rPr>
        <vertAlign val="superscript"/>
        <sz val="10"/>
        <rFont val="Times New Roman"/>
        <family val="1"/>
      </rPr>
      <t>b</t>
    </r>
  </si>
  <si>
    <r>
      <t xml:space="preserve">Continuous particulate monitor </t>
    </r>
    <r>
      <rPr>
        <vertAlign val="superscript"/>
        <sz val="10"/>
        <rFont val="Times New Roman"/>
        <family val="1"/>
      </rPr>
      <t>c</t>
    </r>
  </si>
  <si>
    <r>
      <t xml:space="preserve">Differential pressure monitor </t>
    </r>
    <r>
      <rPr>
        <vertAlign val="superscript"/>
        <sz val="10"/>
        <rFont val="Times New Roman"/>
        <family val="1"/>
      </rPr>
      <t>d</t>
    </r>
  </si>
  <si>
    <r>
      <t xml:space="preserve">Total </t>
    </r>
    <r>
      <rPr>
        <b/>
        <vertAlign val="superscript"/>
        <sz val="10"/>
        <rFont val="Times New Roman"/>
        <family val="1"/>
      </rPr>
      <t>e</t>
    </r>
  </si>
  <si>
    <r>
      <rPr>
        <vertAlign val="superscript"/>
        <sz val="10"/>
        <rFont val="Times New Roman"/>
        <family val="1"/>
      </rPr>
      <t xml:space="preserve">a </t>
    </r>
    <r>
      <rPr>
        <sz val="10"/>
        <rFont val="Times New Roman"/>
        <family val="1"/>
      </rPr>
      <t xml:space="preserve"> Dioxin/Furan testing occurs every 6 years, or 12 facilities/6 years = 2 facilities per year. </t>
    </r>
  </si>
  <si>
    <r>
      <rPr>
        <vertAlign val="superscript"/>
        <sz val="10"/>
        <rFont val="Times New Roman"/>
        <family val="1"/>
      </rPr>
      <t>b</t>
    </r>
    <r>
      <rPr>
        <sz val="10"/>
        <rFont val="Times New Roman"/>
        <family val="1"/>
      </rPr>
      <t xml:space="preserve">  Lead testing is required annually, but there are provisions by which facilities can apply for an extension. This ICR assumes all facilities will apply for an extension to test once every 24 months. 12 facilities/2 years = 6 facilities per year conducting lead testing.</t>
    </r>
  </si>
  <si>
    <r>
      <rPr>
        <vertAlign val="superscript"/>
        <sz val="10"/>
        <rFont val="Times New Roman"/>
        <family val="1"/>
      </rPr>
      <t>d</t>
    </r>
    <r>
      <rPr>
        <sz val="10"/>
        <rFont val="Times New Roman"/>
        <family val="1"/>
      </rPr>
      <t xml:space="preserve">  EPA has assumed that each facility will have two differential pressure monitors.</t>
    </r>
  </si>
  <si>
    <r>
      <rPr>
        <vertAlign val="superscript"/>
        <sz val="10"/>
        <rFont val="Times New Roman"/>
        <family val="1"/>
      </rPr>
      <t xml:space="preserve">e </t>
    </r>
    <r>
      <rPr>
        <sz val="10"/>
        <rFont val="Times New Roman"/>
        <family val="1"/>
      </rPr>
      <t xml:space="preserve"> Totals have been rounded to 3 significant figures. Figures may not add exactly due to rounding.</t>
    </r>
  </si>
  <si>
    <r>
      <rPr>
        <vertAlign val="superscript"/>
        <sz val="10"/>
        <rFont val="Times New Roman"/>
        <family val="1"/>
      </rPr>
      <t>c</t>
    </r>
    <r>
      <rPr>
        <sz val="10"/>
        <rFont val="Times New Roman"/>
        <family val="1"/>
      </rPr>
      <t xml:space="preserve">  EPA has assumed that all facilities will have CPMs.</t>
    </r>
  </si>
  <si>
    <r>
      <t xml:space="preserve">TOTAL (rounded) </t>
    </r>
    <r>
      <rPr>
        <b/>
        <vertAlign val="superscript"/>
        <sz val="10"/>
        <color theme="1"/>
        <rFont val="Times New Roman"/>
        <family val="1"/>
      </rPr>
      <t>f</t>
    </r>
  </si>
  <si>
    <t>Number of Respondents
(E=A+B+C-D)</t>
  </si>
  <si>
    <r>
      <rPr>
        <vertAlign val="superscript"/>
        <sz val="10"/>
        <color theme="1"/>
        <rFont val="Times New Roman"/>
        <family val="1"/>
      </rPr>
      <t>1</t>
    </r>
    <r>
      <rPr>
        <sz val="10"/>
        <color theme="1"/>
        <rFont val="Times New Roman"/>
        <family val="1"/>
      </rPr>
      <t xml:space="preserve"> New respondents include sources with constructed, reconstructed, and modified affected facilities.</t>
    </r>
  </si>
  <si>
    <t>Revised Standard Operating Procedures Manual</t>
  </si>
  <si>
    <r>
      <t xml:space="preserve">Total Labor Burden and Costs (rounded) </t>
    </r>
    <r>
      <rPr>
        <b/>
        <vertAlign val="superscript"/>
        <sz val="10"/>
        <color theme="1"/>
        <rFont val="Times New Roman"/>
        <family val="1"/>
      </rPr>
      <t>g</t>
    </r>
  </si>
  <si>
    <r>
      <t xml:space="preserve">GRAND TOTAL (rounded) </t>
    </r>
    <r>
      <rPr>
        <b/>
        <vertAlign val="superscript"/>
        <sz val="10"/>
        <color theme="1"/>
        <rFont val="Times New Roman"/>
        <family val="1"/>
      </rPr>
      <t>g</t>
    </r>
  </si>
  <si>
    <r>
      <t xml:space="preserve">Total Capital and O&amp;M Cost (rounded) </t>
    </r>
    <r>
      <rPr>
        <b/>
        <vertAlign val="superscript"/>
        <sz val="10"/>
        <color theme="1"/>
        <rFont val="Times New Roman"/>
        <family val="1"/>
      </rPr>
      <t>g</t>
    </r>
  </si>
  <si>
    <r>
      <t xml:space="preserve">Notification of performance test </t>
    </r>
    <r>
      <rPr>
        <vertAlign val="superscript"/>
        <sz val="10"/>
        <color theme="1"/>
        <rFont val="Times New Roman"/>
        <family val="1"/>
      </rPr>
      <t>e</t>
    </r>
  </si>
  <si>
    <r>
      <t xml:space="preserve">Annual (performance test) report </t>
    </r>
    <r>
      <rPr>
        <vertAlign val="superscript"/>
        <sz val="10"/>
        <color theme="1"/>
        <rFont val="Times New Roman"/>
        <family val="1"/>
      </rPr>
      <t>e</t>
    </r>
  </si>
  <si>
    <r>
      <t xml:space="preserve">Differential pressure monitoring report </t>
    </r>
    <r>
      <rPr>
        <vertAlign val="superscript"/>
        <sz val="10"/>
        <color theme="1"/>
        <rFont val="Times New Roman"/>
        <family val="1"/>
      </rPr>
      <t>f</t>
    </r>
  </si>
  <si>
    <t>Requirement to report any time SOP Manual is changed in §63.545(b)</t>
  </si>
  <si>
    <r>
      <rPr>
        <vertAlign val="superscript"/>
        <sz val="10"/>
        <rFont val="Times New Roman"/>
        <family val="1"/>
      </rPr>
      <t>e</t>
    </r>
    <r>
      <rPr>
        <sz val="10"/>
        <rFont val="Times New Roman"/>
        <family val="1"/>
      </rPr>
      <t xml:space="preserve">  Performance test data and performance evaluation data must be developed using EPA’s Electronic Reporting Tool (ERT) and submitted through the EPA’s Compliance and Emissions Data Reporting Interface (CEDRI). EPA assumes one notification and one test report for each test conducted will be submitted. There are 20 tests for the 12 sources, 20/12 = 1.67, or 2 responses per respondent for each of these activities.</t>
    </r>
  </si>
  <si>
    <t>*Costs in red were tallied as O&amp;M in prev ICR (1686.11).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</si>
</sst>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
  </numFmts>
  <fonts count="23" x14ac:knownFonts="1">
    <font>
      <sz val="11"/>
      <color theme="1"/>
      <name val="Calibri"/>
      <family val="2"/>
      <scheme val="minor"/>
    </font>
    <font>
      <sz val="10"/>
      <color theme="1"/>
      <name val="Times New Roman"/>
      <family val="1"/>
    </font>
    <font>
      <sz val="12"/>
      <color theme="1"/>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b/>
      <sz val="10"/>
      <name val="Times New Roman"/>
      <family val="1"/>
    </font>
    <font>
      <sz val="10"/>
      <name val="Times New Roman"/>
      <family val="1"/>
    </font>
    <font>
      <b/>
      <vertAlign val="superscript"/>
      <sz val="10"/>
      <name val="Times New Roman"/>
      <family val="1"/>
    </font>
    <font>
      <b/>
      <sz val="12"/>
      <name val="Times New Roman"/>
      <family val="1"/>
    </font>
    <font>
      <vertAlign val="superscript"/>
      <sz val="10"/>
      <name val="Times New Roman"/>
      <family val="1"/>
    </font>
    <font>
      <sz val="10"/>
      <color theme="1"/>
      <name val="Arial"/>
      <family val="2"/>
    </font>
    <font>
      <sz val="10"/>
      <color rgb="FF000000"/>
      <name val="Times New Roman"/>
      <family val="1"/>
    </font>
    <font>
      <sz val="11"/>
      <color theme="1"/>
      <name val="Calibri"/>
      <family val="2"/>
      <scheme val="minor"/>
    </font>
    <font>
      <sz val="11"/>
      <color theme="1"/>
      <name val="Times New Roman"/>
      <family val="1"/>
    </font>
    <font>
      <sz val="11"/>
      <color rgb="FFFF0000"/>
      <name val="Times New Roman"/>
      <family val="1"/>
    </font>
    <font>
      <strike/>
      <sz val="11"/>
      <color rgb="FFFF0000"/>
      <name val="Times New Roman"/>
      <family val="1"/>
    </font>
    <font>
      <sz val="11"/>
      <name val="Times New Roman"/>
      <family val="1"/>
    </font>
    <font>
      <sz val="11"/>
      <color rgb="FFFF0000"/>
      <name val="Calibri"/>
      <family val="2"/>
      <scheme val="minor"/>
    </font>
    <font>
      <sz val="10"/>
      <color rgb="FFFF0000"/>
      <name val="Times New Roman"/>
      <family val="1"/>
    </font>
    <font>
      <b/>
      <sz val="10"/>
      <color rgb="FF000000"/>
      <name val="Times New Roman"/>
      <family val="1"/>
    </font>
  </fonts>
  <fills count="4">
    <fill>
      <patternFill patternType="none"/>
    </fill>
    <fill>
      <patternFill patternType="gray125"/>
    </fill>
    <fill>
      <patternFill patternType="solid">
        <fgColor rgb="FFD9D9D9"/>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3">
    <xf numFmtId="0" fontId="0" fillId="0" borderId="0"/>
    <xf numFmtId="0" fontId="13" fillId="0" borderId="0"/>
    <xf numFmtId="44" fontId="15" fillId="0" borderId="0" applyFont="0" applyFill="0" applyBorder="0" applyAlignment="0" applyProtection="0"/>
  </cellStyleXfs>
  <cellXfs count="128">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4"/>
    </xf>
    <xf numFmtId="3" fontId="1" fillId="0" borderId="1" xfId="0" applyNumberFormat="1"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8" fillId="0" borderId="0" xfId="0" applyFont="1"/>
    <xf numFmtId="0" fontId="9" fillId="0" borderId="0" xfId="0" applyFont="1"/>
    <xf numFmtId="0" fontId="9" fillId="0" borderId="0" xfId="0" applyFont="1" applyAlignment="1">
      <alignment horizontal="center"/>
    </xf>
    <xf numFmtId="0" fontId="8" fillId="0" borderId="3" xfId="0" applyNumberFormat="1" applyFont="1" applyFill="1" applyBorder="1" applyAlignment="1">
      <alignment horizontal="center" wrapText="1"/>
    </xf>
    <xf numFmtId="0" fontId="8" fillId="2" borderId="4" xfId="0" applyFont="1" applyFill="1" applyBorder="1" applyAlignment="1">
      <alignment horizontal="center" wrapText="1"/>
    </xf>
    <xf numFmtId="0" fontId="8" fillId="2" borderId="5" xfId="0" applyFont="1" applyFill="1" applyBorder="1" applyAlignment="1">
      <alignment horizontal="center" wrapText="1"/>
    </xf>
    <xf numFmtId="0" fontId="8" fillId="0" borderId="1" xfId="0" applyNumberFormat="1" applyFont="1" applyFill="1" applyBorder="1" applyAlignment="1">
      <alignment horizontal="center" wrapText="1"/>
    </xf>
    <xf numFmtId="0" fontId="9" fillId="0" borderId="0" xfId="0" applyFont="1" applyFill="1"/>
    <xf numFmtId="0" fontId="9" fillId="0" borderId="1" xfId="0" applyFont="1" applyFill="1" applyBorder="1" applyAlignment="1">
      <alignment horizontal="left" vertical="top" wrapText="1"/>
    </xf>
    <xf numFmtId="6" fontId="9" fillId="0" borderId="1" xfId="0" applyNumberFormat="1" applyFont="1" applyFill="1" applyBorder="1" applyAlignment="1">
      <alignment horizontal="center" vertical="top" wrapText="1"/>
    </xf>
    <xf numFmtId="0" fontId="9" fillId="0" borderId="6" xfId="0"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0" fontId="9" fillId="3" borderId="0" xfId="0" applyFont="1" applyFill="1"/>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9" fillId="3" borderId="1" xfId="0" applyFont="1" applyFill="1" applyBorder="1" applyAlignment="1">
      <alignment vertical="top" wrapText="1"/>
    </xf>
    <xf numFmtId="6" fontId="9" fillId="3" borderId="1" xfId="0" applyNumberFormat="1" applyFont="1" applyFill="1" applyBorder="1" applyAlignment="1">
      <alignment horizontal="center" vertical="top" wrapText="1"/>
    </xf>
    <xf numFmtId="3" fontId="9" fillId="3" borderId="1" xfId="0" applyNumberFormat="1" applyFont="1" applyFill="1" applyBorder="1" applyAlignment="1">
      <alignment horizontal="center" vertical="top" wrapText="1"/>
    </xf>
    <xf numFmtId="6" fontId="9" fillId="0" borderId="1" xfId="0" applyNumberFormat="1" applyFont="1" applyFill="1" applyBorder="1" applyAlignment="1">
      <alignment horizontal="center" vertical="top"/>
    </xf>
    <xf numFmtId="3" fontId="9" fillId="0" borderId="1" xfId="0" applyNumberFormat="1" applyFont="1" applyFill="1" applyBorder="1" applyAlignment="1">
      <alignment horizontal="center" vertical="top"/>
    </xf>
    <xf numFmtId="6" fontId="9" fillId="0" borderId="0" xfId="0" applyNumberFormat="1" applyFont="1" applyAlignment="1">
      <alignment horizontal="center"/>
    </xf>
    <xf numFmtId="0" fontId="1" fillId="0" borderId="0" xfId="0" applyFont="1" applyFill="1"/>
    <xf numFmtId="0" fontId="14" fillId="0" borderId="3" xfId="1" applyFont="1" applyBorder="1" applyAlignment="1">
      <alignment horizontal="center" vertical="top" wrapText="1"/>
    </xf>
    <xf numFmtId="0" fontId="14" fillId="0" borderId="10" xfId="1" applyFont="1" applyBorder="1" applyAlignment="1">
      <alignment horizontal="center" vertical="top" wrapText="1"/>
    </xf>
    <xf numFmtId="0" fontId="14" fillId="0" borderId="10" xfId="1" applyFont="1" applyFill="1" applyBorder="1" applyAlignment="1">
      <alignment horizontal="center" vertical="top" wrapText="1"/>
    </xf>
    <xf numFmtId="0" fontId="9" fillId="0" borderId="1" xfId="1" applyFont="1" applyBorder="1" applyAlignment="1">
      <alignment horizontal="center" vertical="top" wrapText="1"/>
    </xf>
    <xf numFmtId="3" fontId="9" fillId="0" borderId="1" xfId="1" applyNumberFormat="1" applyFont="1" applyFill="1" applyBorder="1" applyAlignment="1">
      <alignment horizontal="center" vertical="top" wrapText="1"/>
    </xf>
    <xf numFmtId="0" fontId="9" fillId="0" borderId="1" xfId="1" applyFont="1" applyFill="1" applyBorder="1" applyAlignment="1">
      <alignment horizontal="center" vertical="top" wrapText="1"/>
    </xf>
    <xf numFmtId="0" fontId="9" fillId="0" borderId="0" xfId="0" applyFont="1" applyBorder="1"/>
    <xf numFmtId="3" fontId="1" fillId="0" borderId="1" xfId="0" applyNumberFormat="1" applyFont="1" applyFill="1" applyBorder="1" applyAlignment="1">
      <alignment horizontal="center" vertical="center"/>
    </xf>
    <xf numFmtId="1" fontId="1" fillId="0"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4"/>
    </xf>
    <xf numFmtId="3"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indent="3"/>
    </xf>
    <xf numFmtId="0" fontId="4" fillId="0" borderId="1" xfId="0" applyFont="1" applyBorder="1" applyAlignment="1">
      <alignment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0" xfId="0" applyFont="1"/>
    <xf numFmtId="0" fontId="17" fillId="0" borderId="0" xfId="0" applyFont="1"/>
    <xf numFmtId="0" fontId="16" fillId="0" borderId="0" xfId="0" applyFont="1" applyFill="1"/>
    <xf numFmtId="0" fontId="17" fillId="0" borderId="0" xfId="0" applyFont="1" applyFill="1"/>
    <xf numFmtId="0" fontId="1" fillId="0" borderId="0" xfId="0" applyFont="1"/>
    <xf numFmtId="0" fontId="1" fillId="0" borderId="1" xfId="0" applyFont="1" applyBorder="1" applyAlignment="1">
      <alignment wrapText="1"/>
    </xf>
    <xf numFmtId="0" fontId="1" fillId="0" borderId="1" xfId="0" applyFont="1" applyBorder="1"/>
    <xf numFmtId="164" fontId="1" fillId="0" borderId="1" xfId="0" applyNumberFormat="1" applyFont="1" applyBorder="1"/>
    <xf numFmtId="0" fontId="1" fillId="0" borderId="1" xfId="0" applyFont="1" applyFill="1" applyBorder="1" applyAlignment="1">
      <alignment horizontal="center"/>
    </xf>
    <xf numFmtId="0" fontId="9" fillId="0" borderId="0" xfId="0" applyFont="1" applyFill="1" applyBorder="1"/>
    <xf numFmtId="0" fontId="14" fillId="0" borderId="1" xfId="0" applyFont="1" applyBorder="1" applyAlignment="1">
      <alignment horizontal="center" vertical="center" wrapText="1"/>
    </xf>
    <xf numFmtId="0" fontId="16" fillId="0" borderId="0" xfId="0" applyFont="1" applyFill="1" applyAlignment="1">
      <alignment wrapText="1"/>
    </xf>
    <xf numFmtId="0" fontId="16" fillId="0" borderId="0" xfId="0" applyFont="1" applyBorder="1"/>
    <xf numFmtId="0" fontId="18" fillId="0" borderId="0" xfId="0" applyFont="1"/>
    <xf numFmtId="0" fontId="18" fillId="0" borderId="0" xfId="0" applyFont="1" applyFill="1"/>
    <xf numFmtId="0" fontId="19" fillId="0" borderId="0" xfId="0" applyFont="1" applyFill="1"/>
    <xf numFmtId="0" fontId="19" fillId="0" borderId="0" xfId="0" applyFont="1"/>
    <xf numFmtId="1" fontId="1" fillId="0" borderId="0" xfId="0" applyNumberFormat="1" applyFont="1" applyFill="1"/>
    <xf numFmtId="0" fontId="4" fillId="0" borderId="0" xfId="0" applyFont="1" applyFill="1"/>
    <xf numFmtId="0" fontId="1" fillId="0" borderId="0" xfId="0" applyFont="1" applyAlignment="1">
      <alignment horizontal="center" vertical="center"/>
    </xf>
    <xf numFmtId="0" fontId="8" fillId="0" borderId="1" xfId="0" applyFont="1" applyFill="1" applyBorder="1" applyAlignment="1">
      <alignment vertical="top" wrapText="1"/>
    </xf>
    <xf numFmtId="6" fontId="8" fillId="0" borderId="1" xfId="0" applyNumberFormat="1" applyFont="1" applyFill="1" applyBorder="1" applyAlignment="1">
      <alignment horizontal="center" vertical="top"/>
    </xf>
    <xf numFmtId="0" fontId="8" fillId="0" borderId="1" xfId="0" applyFont="1" applyFill="1" applyBorder="1" applyAlignment="1">
      <alignment vertical="top"/>
    </xf>
    <xf numFmtId="164" fontId="1" fillId="0" borderId="1" xfId="0" applyNumberFormat="1" applyFont="1" applyFill="1" applyBorder="1" applyAlignment="1">
      <alignment horizontal="right" vertical="center" wrapText="1"/>
    </xf>
    <xf numFmtId="164" fontId="1" fillId="0" borderId="1" xfId="0" applyNumberFormat="1" applyFont="1" applyBorder="1" applyAlignment="1">
      <alignment horizontal="right" vertical="center" wrapText="1"/>
    </xf>
    <xf numFmtId="165" fontId="7" fillId="0" borderId="1" xfId="0" applyNumberFormat="1" applyFont="1" applyFill="1" applyBorder="1" applyAlignment="1">
      <alignment horizontal="right" vertical="center" wrapText="1"/>
    </xf>
    <xf numFmtId="165" fontId="1" fillId="0" borderId="1" xfId="0" applyNumberFormat="1" applyFont="1" applyFill="1" applyBorder="1" applyAlignment="1">
      <alignment horizontal="right" vertical="center" wrapText="1"/>
    </xf>
    <xf numFmtId="165" fontId="7"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5" fontId="4" fillId="0" borderId="1" xfId="2" applyNumberFormat="1" applyFont="1" applyBorder="1" applyAlignment="1">
      <alignment horizontal="right" vertical="center" wrapText="1"/>
    </xf>
    <xf numFmtId="0" fontId="4" fillId="0" borderId="0" xfId="0" applyFont="1" applyAlignment="1">
      <alignment vertical="center"/>
    </xf>
    <xf numFmtId="0" fontId="1" fillId="0" borderId="0" xfId="1" applyFont="1"/>
    <xf numFmtId="0" fontId="9" fillId="0" borderId="0" xfId="1" applyFont="1"/>
    <xf numFmtId="0" fontId="1" fillId="0" borderId="0" xfId="1" applyFont="1" applyFill="1"/>
    <xf numFmtId="0" fontId="22" fillId="0" borderId="2" xfId="1" applyFont="1" applyBorder="1" applyAlignment="1">
      <alignment vertical="top" wrapText="1"/>
    </xf>
    <xf numFmtId="0" fontId="14" fillId="0" borderId="1" xfId="1" applyFont="1" applyBorder="1" applyAlignment="1">
      <alignment vertical="top" wrapText="1"/>
    </xf>
    <xf numFmtId="0" fontId="1" fillId="0" borderId="1" xfId="1" applyFont="1" applyFill="1" applyBorder="1" applyAlignment="1">
      <alignment horizontal="center" vertical="top" wrapText="1"/>
    </xf>
    <xf numFmtId="0" fontId="1" fillId="0" borderId="1" xfId="1" applyFont="1" applyFill="1" applyBorder="1" applyAlignment="1">
      <alignment horizontal="left" vertical="top" wrapText="1" indent="4"/>
    </xf>
    <xf numFmtId="0" fontId="9" fillId="0" borderId="1" xfId="1" applyFont="1" applyFill="1" applyBorder="1" applyAlignment="1">
      <alignment horizontal="left" vertical="top" wrapText="1" indent="4"/>
    </xf>
    <xf numFmtId="0" fontId="9" fillId="0" borderId="1" xfId="1" applyFont="1" applyFill="1" applyBorder="1" applyAlignment="1">
      <alignment vertical="top" wrapText="1"/>
    </xf>
    <xf numFmtId="0" fontId="8" fillId="0" borderId="1" xfId="1" applyFont="1" applyFill="1" applyBorder="1" applyAlignment="1">
      <alignment horizontal="center" vertical="top" wrapText="1"/>
    </xf>
    <xf numFmtId="0" fontId="21" fillId="0" borderId="0" xfId="0" applyFont="1"/>
    <xf numFmtId="6" fontId="21" fillId="0" borderId="1" xfId="0" applyNumberFormat="1" applyFont="1" applyFill="1" applyBorder="1" applyAlignment="1">
      <alignment horizontal="center" vertical="top" wrapText="1"/>
    </xf>
    <xf numFmtId="0" fontId="21" fillId="0" borderId="0" xfId="0" applyFont="1" applyFill="1"/>
    <xf numFmtId="0" fontId="20" fillId="0" borderId="2" xfId="0" applyFont="1" applyFill="1" applyBorder="1" applyAlignment="1">
      <alignment vertical="top"/>
    </xf>
    <xf numFmtId="0" fontId="20" fillId="0" borderId="0" xfId="0" applyFont="1" applyFill="1" applyAlignment="1">
      <alignment vertical="top"/>
    </xf>
    <xf numFmtId="0" fontId="11" fillId="0" borderId="0" xfId="0" applyFont="1" applyAlignment="1">
      <alignment horizontal="left" vertical="top"/>
    </xf>
    <xf numFmtId="0" fontId="9" fillId="0" borderId="0" xfId="0" applyFont="1" applyFill="1" applyAlignment="1">
      <alignment horizontal="left" vertical="top" wrapText="1"/>
    </xf>
    <xf numFmtId="0" fontId="12" fillId="0" borderId="0" xfId="0" applyFont="1" applyFill="1" applyAlignment="1">
      <alignment horizontal="left" vertical="center" wrapText="1"/>
    </xf>
    <xf numFmtId="3" fontId="7" fillId="0" borderId="1" xfId="0" applyNumberFormat="1" applyFont="1" applyBorder="1" applyAlignment="1">
      <alignment horizontal="center" vertical="center" wrapText="1"/>
    </xf>
    <xf numFmtId="0" fontId="4"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 fillId="0" borderId="1" xfId="0" applyFont="1" applyBorder="1" applyAlignment="1">
      <alignment horizontal="center"/>
    </xf>
    <xf numFmtId="0" fontId="6" fillId="0" borderId="0" xfId="0" applyFont="1" applyAlignment="1">
      <alignment horizontal="left" vertical="top"/>
    </xf>
    <xf numFmtId="0" fontId="9" fillId="0" borderId="0" xfId="0" applyFont="1" applyAlignment="1">
      <alignment horizontal="left" vertical="top"/>
    </xf>
    <xf numFmtId="0" fontId="12" fillId="0" borderId="0" xfId="0" applyFont="1" applyFill="1" applyAlignment="1">
      <alignment vertical="top"/>
    </xf>
    <xf numFmtId="0" fontId="6" fillId="0" borderId="0" xfId="0" applyFont="1" applyAlignment="1">
      <alignment vertical="top"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22" fillId="0" borderId="1" xfId="1" applyFont="1" applyFill="1" applyBorder="1" applyAlignment="1">
      <alignment horizontal="center" vertical="top" wrapText="1"/>
    </xf>
    <xf numFmtId="0" fontId="9" fillId="0" borderId="9" xfId="0" applyFont="1" applyFill="1" applyBorder="1" applyAlignment="1">
      <alignment horizontal="left" vertical="top"/>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6" xfId="0" applyFont="1" applyBorder="1" applyAlignment="1">
      <alignment horizontal="center" vertical="top" wrapText="1"/>
    </xf>
    <xf numFmtId="0" fontId="9" fillId="0" borderId="0" xfId="0" applyFont="1" applyBorder="1" applyAlignment="1">
      <alignment horizontal="left" wrapText="1"/>
    </xf>
    <xf numFmtId="0" fontId="9" fillId="0" borderId="0" xfId="0" applyFont="1" applyFill="1" applyBorder="1" applyAlignment="1">
      <alignment horizontal="left" vertical="top" wrapText="1"/>
    </xf>
    <xf numFmtId="0" fontId="22" fillId="0" borderId="7" xfId="1" applyFont="1" applyBorder="1" applyAlignment="1">
      <alignment horizontal="center" vertical="top" wrapText="1"/>
    </xf>
    <xf numFmtId="0" fontId="22" fillId="0" borderId="8" xfId="1" applyFont="1" applyBorder="1" applyAlignment="1">
      <alignment horizontal="center" vertical="top" wrapText="1"/>
    </xf>
    <xf numFmtId="0" fontId="22" fillId="0" borderId="6" xfId="1" applyFont="1" applyBorder="1" applyAlignment="1">
      <alignment horizontal="center" vertical="top" wrapText="1"/>
    </xf>
    <xf numFmtId="0" fontId="14" fillId="0" borderId="7" xfId="1" applyFont="1" applyBorder="1" applyAlignment="1">
      <alignment horizontal="center" vertical="top" wrapText="1"/>
    </xf>
    <xf numFmtId="0" fontId="14" fillId="0" borderId="6" xfId="1" applyFont="1" applyBorder="1" applyAlignment="1">
      <alignment horizontal="center" vertical="top" wrapText="1"/>
    </xf>
  </cellXfs>
  <cellStyles count="3">
    <cellStyle name="Currency"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workbookViewId="0">
      <selection activeCell="L32" sqref="L32"/>
    </sheetView>
  </sheetViews>
  <sheetFormatPr defaultColWidth="9.1796875" defaultRowHeight="14" x14ac:dyDescent="0.3"/>
  <cols>
    <col min="1" max="1" width="44.26953125" style="50" customWidth="1"/>
    <col min="2" max="2" width="12.81640625" style="50" customWidth="1"/>
    <col min="3" max="3" width="17.1796875" style="50" customWidth="1"/>
    <col min="4" max="4" width="17.26953125" style="50" customWidth="1"/>
    <col min="5" max="5" width="14.81640625" style="50" customWidth="1"/>
    <col min="6" max="6" width="15.81640625" style="50" customWidth="1"/>
    <col min="7" max="7" width="14.7265625" style="50" customWidth="1"/>
    <col min="8" max="8" width="13.81640625" style="50" customWidth="1"/>
    <col min="9" max="9" width="15" style="50" customWidth="1"/>
    <col min="10" max="10" width="9.1796875" style="50" customWidth="1"/>
    <col min="11" max="11" width="15.1796875" style="50" customWidth="1"/>
    <col min="12" max="16384" width="9.1796875" style="50"/>
  </cols>
  <sheetData>
    <row r="1" spans="1:13" ht="15" x14ac:dyDescent="0.3">
      <c r="A1" s="96" t="s">
        <v>118</v>
      </c>
      <c r="B1" s="96"/>
      <c r="C1" s="96"/>
      <c r="D1" s="96"/>
      <c r="E1" s="96"/>
      <c r="F1" s="96"/>
      <c r="G1" s="96"/>
      <c r="H1" s="96"/>
      <c r="I1" s="96"/>
    </row>
    <row r="3" spans="1:13" ht="52" x14ac:dyDescent="0.3">
      <c r="A3" s="47" t="s">
        <v>0</v>
      </c>
      <c r="B3" s="49" t="s">
        <v>44</v>
      </c>
      <c r="C3" s="49" t="s">
        <v>45</v>
      </c>
      <c r="D3" s="49" t="s">
        <v>56</v>
      </c>
      <c r="E3" s="49" t="s">
        <v>46</v>
      </c>
      <c r="F3" s="49" t="s">
        <v>55</v>
      </c>
      <c r="G3" s="49" t="s">
        <v>53</v>
      </c>
      <c r="H3" s="49" t="s">
        <v>54</v>
      </c>
      <c r="I3" s="49" t="s">
        <v>47</v>
      </c>
    </row>
    <row r="4" spans="1:13" x14ac:dyDescent="0.3">
      <c r="A4" s="3" t="s">
        <v>1</v>
      </c>
      <c r="B4" s="48" t="s">
        <v>2</v>
      </c>
      <c r="C4" s="48"/>
      <c r="D4" s="48"/>
      <c r="E4" s="48"/>
      <c r="F4" s="48"/>
      <c r="G4" s="48"/>
      <c r="H4" s="48"/>
      <c r="I4" s="4"/>
      <c r="K4" s="109" t="s">
        <v>101</v>
      </c>
      <c r="L4" s="109"/>
    </row>
    <row r="5" spans="1:13" x14ac:dyDescent="0.3">
      <c r="A5" s="3" t="s">
        <v>3</v>
      </c>
      <c r="B5" s="48" t="s">
        <v>4</v>
      </c>
      <c r="C5" s="48"/>
      <c r="D5" s="48"/>
      <c r="E5" s="48"/>
      <c r="F5" s="48"/>
      <c r="G5" s="48"/>
      <c r="H5" s="48"/>
      <c r="I5" s="4"/>
      <c r="K5" s="60" t="s">
        <v>126</v>
      </c>
      <c r="L5" s="57">
        <v>149.84</v>
      </c>
    </row>
    <row r="6" spans="1:13" x14ac:dyDescent="0.3">
      <c r="A6" s="3" t="s">
        <v>5</v>
      </c>
      <c r="B6" s="48"/>
      <c r="C6" s="48"/>
      <c r="D6" s="48"/>
      <c r="E6" s="48"/>
      <c r="F6" s="48"/>
      <c r="G6" s="48"/>
      <c r="H6" s="48"/>
      <c r="I6" s="4"/>
      <c r="K6" s="60" t="s">
        <v>127</v>
      </c>
      <c r="L6" s="57">
        <v>122.66</v>
      </c>
    </row>
    <row r="7" spans="1:13" s="52" customFormat="1" ht="17.25" customHeight="1" x14ac:dyDescent="0.3">
      <c r="A7" s="43" t="s">
        <v>137</v>
      </c>
      <c r="B7" s="10">
        <v>1</v>
      </c>
      <c r="C7" s="10">
        <v>1</v>
      </c>
      <c r="D7" s="10">
        <f>B7*C7</f>
        <v>1</v>
      </c>
      <c r="E7" s="10">
        <f>'O&amp;M'!G38</f>
        <v>12</v>
      </c>
      <c r="F7" s="10">
        <f>D7*E7</f>
        <v>12</v>
      </c>
      <c r="G7" s="10">
        <f>+F7*0.05</f>
        <v>0.60000000000000009</v>
      </c>
      <c r="H7" s="10">
        <f>+F7*0.1</f>
        <v>1.2000000000000002</v>
      </c>
      <c r="I7" s="73">
        <f>F7*$L$6+$L$5*G7+H7*$L$7</f>
        <v>1634.88</v>
      </c>
      <c r="J7" s="61"/>
      <c r="K7" s="60" t="s">
        <v>128</v>
      </c>
      <c r="L7" s="57">
        <v>60.88</v>
      </c>
    </row>
    <row r="8" spans="1:13" ht="15.5" x14ac:dyDescent="0.3">
      <c r="A8" s="5" t="s">
        <v>108</v>
      </c>
      <c r="B8" s="48"/>
      <c r="C8" s="48"/>
      <c r="D8" s="48"/>
      <c r="E8" s="48"/>
      <c r="F8" s="48"/>
      <c r="G8" s="48"/>
      <c r="H8" s="48"/>
      <c r="I8" s="73"/>
      <c r="K8" s="59"/>
      <c r="L8" s="62"/>
    </row>
    <row r="9" spans="1:13" x14ac:dyDescent="0.3">
      <c r="A9" s="6" t="s">
        <v>6</v>
      </c>
      <c r="B9" s="48">
        <v>330</v>
      </c>
      <c r="C9" s="48">
        <v>1</v>
      </c>
      <c r="D9" s="48">
        <f t="shared" ref="D9:D18" si="0">B9*C9</f>
        <v>330</v>
      </c>
      <c r="E9" s="10">
        <f>'O&amp;M'!G38</f>
        <v>12</v>
      </c>
      <c r="F9" s="7">
        <f>+D9*E9</f>
        <v>3960</v>
      </c>
      <c r="G9" s="48">
        <f>+F9*0.05</f>
        <v>198</v>
      </c>
      <c r="H9" s="48">
        <f>+F9*0.1</f>
        <v>396</v>
      </c>
      <c r="I9" s="73">
        <f t="shared" ref="I9:I18" si="1">F9*$L$6+$L$5*G9+H9*$L$7</f>
        <v>539510.4</v>
      </c>
      <c r="K9" s="63"/>
      <c r="L9" s="63"/>
      <c r="M9" s="63"/>
    </row>
    <row r="10" spans="1:13" x14ac:dyDescent="0.3">
      <c r="A10" s="6" t="s">
        <v>7</v>
      </c>
      <c r="B10" s="48">
        <v>10</v>
      </c>
      <c r="C10" s="48">
        <v>1</v>
      </c>
      <c r="D10" s="48">
        <f t="shared" si="0"/>
        <v>10</v>
      </c>
      <c r="E10" s="40">
        <f>'O&amp;M'!G17</f>
        <v>12</v>
      </c>
      <c r="F10" s="7">
        <f t="shared" ref="F10:F18" si="2">+D10*E10</f>
        <v>120</v>
      </c>
      <c r="G10" s="48">
        <f t="shared" ref="G10:G18" si="3">+F10*0.05</f>
        <v>6</v>
      </c>
      <c r="H10" s="48">
        <f t="shared" ref="H10:H18" si="4">+F10*0.1</f>
        <v>12</v>
      </c>
      <c r="I10" s="73">
        <f t="shared" si="1"/>
        <v>16348.799999999997</v>
      </c>
      <c r="K10" s="63"/>
      <c r="L10" s="63"/>
      <c r="M10" s="63"/>
    </row>
    <row r="11" spans="1:13" x14ac:dyDescent="0.3">
      <c r="A11" s="6" t="s">
        <v>8</v>
      </c>
      <c r="B11" s="48">
        <v>10</v>
      </c>
      <c r="C11" s="48">
        <v>1</v>
      </c>
      <c r="D11" s="48">
        <f t="shared" si="0"/>
        <v>10</v>
      </c>
      <c r="E11" s="40">
        <f>'O&amp;M'!G18</f>
        <v>2</v>
      </c>
      <c r="F11" s="7">
        <f t="shared" si="2"/>
        <v>20</v>
      </c>
      <c r="G11" s="48">
        <f t="shared" si="3"/>
        <v>1</v>
      </c>
      <c r="H11" s="48">
        <f t="shared" si="4"/>
        <v>2</v>
      </c>
      <c r="I11" s="73">
        <f t="shared" si="1"/>
        <v>2724.8</v>
      </c>
      <c r="K11" s="63"/>
      <c r="L11" s="63"/>
      <c r="M11" s="63"/>
    </row>
    <row r="12" spans="1:13" x14ac:dyDescent="0.3">
      <c r="A12" s="6" t="s">
        <v>9</v>
      </c>
      <c r="B12" s="48">
        <v>10</v>
      </c>
      <c r="C12" s="48">
        <v>0.5</v>
      </c>
      <c r="D12" s="48">
        <f t="shared" si="0"/>
        <v>5</v>
      </c>
      <c r="E12" s="40">
        <f>'O&amp;M'!G19</f>
        <v>6</v>
      </c>
      <c r="F12" s="7">
        <f t="shared" si="2"/>
        <v>30</v>
      </c>
      <c r="G12" s="48">
        <f t="shared" si="3"/>
        <v>1.5</v>
      </c>
      <c r="H12" s="48">
        <f t="shared" si="4"/>
        <v>3</v>
      </c>
      <c r="I12" s="73">
        <f t="shared" si="1"/>
        <v>4087.1999999999994</v>
      </c>
      <c r="K12" s="63"/>
      <c r="L12" s="63"/>
      <c r="M12" s="63"/>
    </row>
    <row r="13" spans="1:13" x14ac:dyDescent="0.3">
      <c r="A13" s="6" t="s">
        <v>10</v>
      </c>
      <c r="B13" s="48">
        <v>1</v>
      </c>
      <c r="C13" s="48">
        <v>52</v>
      </c>
      <c r="D13" s="48">
        <f t="shared" si="0"/>
        <v>52</v>
      </c>
      <c r="E13" s="40">
        <f>'O&amp;M'!G20</f>
        <v>12</v>
      </c>
      <c r="F13" s="7">
        <f t="shared" si="2"/>
        <v>624</v>
      </c>
      <c r="G13" s="48">
        <f t="shared" si="3"/>
        <v>31.200000000000003</v>
      </c>
      <c r="H13" s="48">
        <f t="shared" si="4"/>
        <v>62.400000000000006</v>
      </c>
      <c r="I13" s="73">
        <f t="shared" si="1"/>
        <v>85013.759999999995</v>
      </c>
      <c r="K13" s="63"/>
      <c r="L13" s="63"/>
      <c r="M13" s="63"/>
    </row>
    <row r="14" spans="1:13" x14ac:dyDescent="0.3">
      <c r="A14" s="6" t="s">
        <v>11</v>
      </c>
      <c r="B14" s="48">
        <v>2</v>
      </c>
      <c r="C14" s="48">
        <v>1</v>
      </c>
      <c r="D14" s="48">
        <f t="shared" si="0"/>
        <v>2</v>
      </c>
      <c r="E14" s="40">
        <f>'O&amp;M'!G21</f>
        <v>24</v>
      </c>
      <c r="F14" s="7">
        <f t="shared" si="2"/>
        <v>48</v>
      </c>
      <c r="G14" s="48">
        <f t="shared" si="3"/>
        <v>2.4000000000000004</v>
      </c>
      <c r="H14" s="48">
        <f t="shared" si="4"/>
        <v>4.8000000000000007</v>
      </c>
      <c r="I14" s="73">
        <f t="shared" si="1"/>
        <v>6539.52</v>
      </c>
      <c r="K14" s="63"/>
      <c r="L14" s="63"/>
      <c r="M14" s="63"/>
    </row>
    <row r="15" spans="1:13" s="52" customFormat="1" x14ac:dyDescent="0.3">
      <c r="A15" s="44" t="s">
        <v>12</v>
      </c>
      <c r="B15" s="10">
        <v>8</v>
      </c>
      <c r="C15" s="10">
        <v>12</v>
      </c>
      <c r="D15" s="10">
        <f t="shared" si="0"/>
        <v>96</v>
      </c>
      <c r="E15" s="10">
        <f>'O&amp;M'!G38</f>
        <v>12</v>
      </c>
      <c r="F15" s="45">
        <f t="shared" si="2"/>
        <v>1152</v>
      </c>
      <c r="G15" s="10">
        <f t="shared" si="3"/>
        <v>57.6</v>
      </c>
      <c r="H15" s="10">
        <f t="shared" si="4"/>
        <v>115.2</v>
      </c>
      <c r="I15" s="73">
        <f t="shared" si="1"/>
        <v>156948.47999999998</v>
      </c>
      <c r="J15" s="32" t="s">
        <v>119</v>
      </c>
      <c r="K15" s="64"/>
      <c r="L15" s="64"/>
      <c r="M15" s="64"/>
    </row>
    <row r="16" spans="1:13" s="52" customFormat="1" x14ac:dyDescent="0.3">
      <c r="A16" s="44" t="s">
        <v>13</v>
      </c>
      <c r="B16" s="10">
        <v>20</v>
      </c>
      <c r="C16" s="10">
        <v>12</v>
      </c>
      <c r="D16" s="10">
        <f t="shared" si="0"/>
        <v>240</v>
      </c>
      <c r="E16" s="10">
        <f>'O&amp;M'!G38</f>
        <v>12</v>
      </c>
      <c r="F16" s="45">
        <f t="shared" si="2"/>
        <v>2880</v>
      </c>
      <c r="G16" s="10">
        <f t="shared" si="3"/>
        <v>144</v>
      </c>
      <c r="H16" s="10">
        <f t="shared" si="4"/>
        <v>288</v>
      </c>
      <c r="I16" s="73">
        <f t="shared" si="1"/>
        <v>392371.20000000001</v>
      </c>
      <c r="J16" s="32" t="s">
        <v>119</v>
      </c>
      <c r="K16" s="64"/>
      <c r="L16" s="64"/>
      <c r="M16" s="64"/>
    </row>
    <row r="17" spans="1:18" s="52" customFormat="1" x14ac:dyDescent="0.3">
      <c r="A17" s="44" t="s">
        <v>14</v>
      </c>
      <c r="B17" s="10">
        <v>8</v>
      </c>
      <c r="C17" s="10">
        <v>52</v>
      </c>
      <c r="D17" s="45">
        <f t="shared" si="0"/>
        <v>416</v>
      </c>
      <c r="E17" s="10">
        <f>'O&amp;M'!G38</f>
        <v>12</v>
      </c>
      <c r="F17" s="45">
        <f t="shared" si="2"/>
        <v>4992</v>
      </c>
      <c r="G17" s="10">
        <f t="shared" si="3"/>
        <v>249.60000000000002</v>
      </c>
      <c r="H17" s="10">
        <f t="shared" si="4"/>
        <v>499.20000000000005</v>
      </c>
      <c r="I17" s="73">
        <f t="shared" si="1"/>
        <v>680110.07999999996</v>
      </c>
      <c r="J17" s="32" t="s">
        <v>120</v>
      </c>
      <c r="K17" s="64"/>
      <c r="L17" s="64"/>
      <c r="M17" s="64"/>
    </row>
    <row r="18" spans="1:18" ht="15.5" x14ac:dyDescent="0.3">
      <c r="A18" s="6" t="s">
        <v>109</v>
      </c>
      <c r="B18" s="48">
        <v>20</v>
      </c>
      <c r="C18" s="48">
        <v>1</v>
      </c>
      <c r="D18" s="48">
        <f t="shared" si="0"/>
        <v>20</v>
      </c>
      <c r="E18" s="10">
        <v>1</v>
      </c>
      <c r="F18" s="7">
        <f t="shared" si="2"/>
        <v>20</v>
      </c>
      <c r="G18" s="48">
        <f t="shared" si="3"/>
        <v>1</v>
      </c>
      <c r="H18" s="48">
        <f t="shared" si="4"/>
        <v>2</v>
      </c>
      <c r="I18" s="73">
        <f t="shared" si="1"/>
        <v>2724.8</v>
      </c>
      <c r="J18" s="54" t="s">
        <v>158</v>
      </c>
      <c r="K18" s="63"/>
      <c r="L18" s="63"/>
      <c r="M18" s="63"/>
    </row>
    <row r="19" spans="1:18" x14ac:dyDescent="0.3">
      <c r="A19" s="5" t="s">
        <v>15</v>
      </c>
      <c r="B19" s="48" t="s">
        <v>16</v>
      </c>
      <c r="C19" s="48"/>
      <c r="D19" s="48"/>
      <c r="E19" s="10"/>
      <c r="F19" s="48"/>
      <c r="G19" s="48"/>
      <c r="H19" s="48"/>
      <c r="I19" s="73"/>
      <c r="J19" s="54"/>
      <c r="K19" s="63"/>
      <c r="L19" s="63"/>
      <c r="M19" s="63"/>
    </row>
    <row r="20" spans="1:18" x14ac:dyDescent="0.3">
      <c r="A20" s="5" t="s">
        <v>17</v>
      </c>
      <c r="B20" s="48" t="s">
        <v>18</v>
      </c>
      <c r="C20" s="48"/>
      <c r="D20" s="48"/>
      <c r="E20" s="10"/>
      <c r="F20" s="48"/>
      <c r="G20" s="48"/>
      <c r="H20" s="48"/>
      <c r="I20" s="73"/>
      <c r="J20" s="54"/>
      <c r="K20" s="63"/>
      <c r="L20" s="63"/>
      <c r="M20" s="63"/>
    </row>
    <row r="21" spans="1:18" x14ac:dyDescent="0.3">
      <c r="A21" s="5" t="s">
        <v>19</v>
      </c>
      <c r="B21" s="48"/>
      <c r="C21" s="48"/>
      <c r="D21" s="48"/>
      <c r="E21" s="48"/>
      <c r="F21" s="48"/>
      <c r="G21" s="48"/>
      <c r="H21" s="48"/>
      <c r="I21" s="73"/>
      <c r="J21" s="54"/>
      <c r="K21" s="63"/>
      <c r="L21" s="63"/>
      <c r="M21" s="63"/>
    </row>
    <row r="22" spans="1:18" s="52" customFormat="1" ht="15.5" x14ac:dyDescent="0.3">
      <c r="A22" s="44" t="s">
        <v>155</v>
      </c>
      <c r="B22" s="10">
        <v>2</v>
      </c>
      <c r="C22" s="10">
        <f>ROUND((E10+E11+E12)/12,0)</f>
        <v>2</v>
      </c>
      <c r="D22" s="10">
        <f>B22*C22</f>
        <v>4</v>
      </c>
      <c r="E22" s="10">
        <f>'O&amp;M'!G38</f>
        <v>12</v>
      </c>
      <c r="F22" s="45">
        <f>+D22*E22</f>
        <v>48</v>
      </c>
      <c r="G22" s="10">
        <f>+F22*0.05</f>
        <v>2.4000000000000004</v>
      </c>
      <c r="H22" s="10">
        <f>+F22*0.1</f>
        <v>4.8000000000000007</v>
      </c>
      <c r="I22" s="73">
        <f>F22*$L$6+$L$5*G22+H22*$L$7</f>
        <v>6539.52</v>
      </c>
      <c r="J22" s="94"/>
      <c r="K22" s="95"/>
      <c r="L22" s="95"/>
      <c r="M22" s="95"/>
      <c r="N22" s="95"/>
      <c r="O22" s="95"/>
      <c r="P22" s="95"/>
      <c r="Q22" s="95"/>
      <c r="R22" s="95"/>
    </row>
    <row r="23" spans="1:18" s="52" customFormat="1" ht="14.5" x14ac:dyDescent="0.3">
      <c r="A23" s="44" t="s">
        <v>112</v>
      </c>
      <c r="B23" s="10">
        <v>16</v>
      </c>
      <c r="C23" s="10">
        <v>2</v>
      </c>
      <c r="D23" s="10">
        <f>B23*C23</f>
        <v>32</v>
      </c>
      <c r="E23" s="10">
        <f>'O&amp;M'!G38</f>
        <v>12</v>
      </c>
      <c r="F23" s="45">
        <f t="shared" ref="F23:F25" si="5">+D23*E23</f>
        <v>384</v>
      </c>
      <c r="G23" s="10">
        <f t="shared" ref="G23:G25" si="6">+F23*0.05</f>
        <v>19.200000000000003</v>
      </c>
      <c r="H23" s="10">
        <f t="shared" ref="H23:H25" si="7">+F23*0.1</f>
        <v>38.400000000000006</v>
      </c>
      <c r="I23" s="73">
        <f>F23*$L$6+$L$5*G23+H23*$L$7</f>
        <v>52316.160000000003</v>
      </c>
      <c r="J23" s="94"/>
      <c r="K23" s="95"/>
      <c r="L23" s="95"/>
      <c r="M23" s="95"/>
      <c r="N23" s="95"/>
      <c r="O23" s="95"/>
      <c r="P23" s="95"/>
      <c r="Q23" s="95"/>
      <c r="R23" s="95"/>
    </row>
    <row r="24" spans="1:18" s="52" customFormat="1" ht="15.5" x14ac:dyDescent="0.3">
      <c r="A24" s="44" t="s">
        <v>156</v>
      </c>
      <c r="B24" s="10">
        <v>10</v>
      </c>
      <c r="C24" s="10">
        <f>ROUND((E10+E11+E12)/12,0)</f>
        <v>2</v>
      </c>
      <c r="D24" s="10">
        <f>B24*C24</f>
        <v>20</v>
      </c>
      <c r="E24" s="45">
        <f>E9</f>
        <v>12</v>
      </c>
      <c r="F24" s="45">
        <f>+D24*E24</f>
        <v>240</v>
      </c>
      <c r="G24" s="10">
        <f t="shared" si="6"/>
        <v>12</v>
      </c>
      <c r="H24" s="10">
        <f t="shared" si="7"/>
        <v>24</v>
      </c>
      <c r="I24" s="73">
        <f>F24*$L$6+$L$5*G24+H24*$L$7</f>
        <v>32697.599999999995</v>
      </c>
      <c r="J24" s="94"/>
      <c r="K24" s="95"/>
      <c r="L24" s="95"/>
      <c r="M24" s="95"/>
      <c r="N24" s="95"/>
      <c r="O24" s="95"/>
      <c r="P24" s="95"/>
      <c r="Q24" s="95"/>
      <c r="R24" s="95"/>
    </row>
    <row r="25" spans="1:18" s="52" customFormat="1" ht="15.5" x14ac:dyDescent="0.3">
      <c r="A25" s="44" t="s">
        <v>157</v>
      </c>
      <c r="B25" s="10">
        <v>10</v>
      </c>
      <c r="C25" s="10">
        <v>1</v>
      </c>
      <c r="D25" s="10">
        <f>B25*C25</f>
        <v>10</v>
      </c>
      <c r="E25" s="10">
        <f>E7</f>
        <v>12</v>
      </c>
      <c r="F25" s="45">
        <f t="shared" si="5"/>
        <v>120</v>
      </c>
      <c r="G25" s="10">
        <f t="shared" si="6"/>
        <v>6</v>
      </c>
      <c r="H25" s="10">
        <f t="shared" si="7"/>
        <v>12</v>
      </c>
      <c r="I25" s="73">
        <f>F25*$L$6+$L$5*G25+H25*$L$7</f>
        <v>16348.799999999997</v>
      </c>
      <c r="J25" s="94"/>
      <c r="K25" s="95"/>
      <c r="L25" s="95"/>
      <c r="M25" s="95"/>
      <c r="N25" s="95"/>
      <c r="O25" s="95"/>
      <c r="P25" s="95"/>
      <c r="Q25" s="95"/>
      <c r="R25" s="95"/>
    </row>
    <row r="26" spans="1:18" ht="14.5" x14ac:dyDescent="0.3">
      <c r="A26" s="8" t="s">
        <v>23</v>
      </c>
      <c r="B26" s="9"/>
      <c r="C26" s="9"/>
      <c r="D26" s="9"/>
      <c r="E26" s="9"/>
      <c r="F26" s="99">
        <f>SUM(F7:H25)</f>
        <v>16847.5</v>
      </c>
      <c r="G26" s="99"/>
      <c r="H26" s="99"/>
      <c r="I26" s="75">
        <f>SUM(I7:I25)</f>
        <v>1995916.0000000002</v>
      </c>
      <c r="J26" s="94"/>
      <c r="K26" s="95"/>
      <c r="L26" s="95"/>
      <c r="M26" s="95"/>
      <c r="N26" s="95"/>
      <c r="O26" s="95"/>
      <c r="P26" s="95"/>
      <c r="Q26" s="95"/>
      <c r="R26" s="95"/>
    </row>
    <row r="27" spans="1:18" ht="14.5" x14ac:dyDescent="0.3">
      <c r="A27" s="3" t="s">
        <v>24</v>
      </c>
      <c r="B27" s="48"/>
      <c r="C27" s="48"/>
      <c r="D27" s="48"/>
      <c r="E27" s="48"/>
      <c r="F27" s="48"/>
      <c r="G27" s="48"/>
      <c r="H27" s="48"/>
      <c r="I27" s="73"/>
      <c r="J27" s="94"/>
      <c r="K27" s="95"/>
      <c r="L27" s="95"/>
      <c r="M27" s="95"/>
      <c r="N27" s="95"/>
      <c r="O27" s="95"/>
      <c r="P27" s="95"/>
      <c r="Q27" s="95"/>
      <c r="R27" s="95"/>
    </row>
    <row r="28" spans="1:18" s="52" customFormat="1" x14ac:dyDescent="0.3">
      <c r="A28" s="43" t="s">
        <v>107</v>
      </c>
      <c r="B28" s="10" t="s">
        <v>25</v>
      </c>
      <c r="C28" s="10"/>
      <c r="D28" s="10"/>
      <c r="E28" s="10"/>
      <c r="F28" s="10"/>
      <c r="G28" s="10"/>
      <c r="H28" s="10"/>
      <c r="I28" s="73"/>
      <c r="K28" s="64"/>
      <c r="L28" s="64"/>
      <c r="M28" s="64"/>
    </row>
    <row r="29" spans="1:18" s="52" customFormat="1" x14ac:dyDescent="0.3">
      <c r="A29" s="43" t="s">
        <v>26</v>
      </c>
      <c r="B29" s="10" t="s">
        <v>2</v>
      </c>
      <c r="C29" s="10"/>
      <c r="D29" s="10"/>
      <c r="E29" s="10"/>
      <c r="F29" s="10"/>
      <c r="G29" s="10"/>
      <c r="H29" s="10"/>
      <c r="I29" s="73"/>
      <c r="K29" s="64"/>
      <c r="L29" s="64"/>
      <c r="M29" s="64"/>
    </row>
    <row r="30" spans="1:18" s="52" customFormat="1" x14ac:dyDescent="0.3">
      <c r="A30" s="43" t="s">
        <v>27</v>
      </c>
      <c r="B30" s="10" t="s">
        <v>2</v>
      </c>
      <c r="C30" s="10"/>
      <c r="D30" s="10"/>
      <c r="E30" s="10"/>
      <c r="F30" s="10"/>
      <c r="G30" s="10"/>
      <c r="H30" s="10"/>
      <c r="I30" s="73"/>
      <c r="K30" s="64"/>
      <c r="L30" s="64"/>
      <c r="M30" s="64"/>
    </row>
    <row r="31" spans="1:18" s="52" customFormat="1" x14ac:dyDescent="0.3">
      <c r="A31" s="43" t="s">
        <v>28</v>
      </c>
      <c r="B31" s="10"/>
      <c r="C31" s="10"/>
      <c r="D31" s="10"/>
      <c r="E31" s="10"/>
      <c r="F31" s="10"/>
      <c r="G31" s="10"/>
      <c r="H31" s="10"/>
      <c r="I31" s="73"/>
      <c r="K31" s="64"/>
      <c r="L31" s="64"/>
      <c r="M31" s="64"/>
    </row>
    <row r="32" spans="1:18" s="52" customFormat="1" x14ac:dyDescent="0.3">
      <c r="A32" s="44" t="s">
        <v>29</v>
      </c>
      <c r="B32" s="10">
        <v>1</v>
      </c>
      <c r="C32" s="10">
        <v>12</v>
      </c>
      <c r="D32" s="10">
        <f t="shared" ref="D32:D45" si="8">B32*C32</f>
        <v>12</v>
      </c>
      <c r="E32" s="10">
        <f>'O&amp;M'!G$38</f>
        <v>12</v>
      </c>
      <c r="F32" s="45">
        <f t="shared" ref="F32:F44" si="9">+D32*E32</f>
        <v>144</v>
      </c>
      <c r="G32" s="10">
        <f t="shared" ref="G32:G44" si="10">+F32*0.05</f>
        <v>7.2</v>
      </c>
      <c r="H32" s="10">
        <f t="shared" ref="H32" si="11">+F32*0.1</f>
        <v>14.4</v>
      </c>
      <c r="I32" s="73">
        <f t="shared" ref="I32:I44" si="12">F32*$L$6+$L$5*G32+H32*$L$7</f>
        <v>19618.559999999998</v>
      </c>
      <c r="K32" s="64"/>
      <c r="L32" s="64"/>
      <c r="M32" s="64"/>
    </row>
    <row r="33" spans="1:13" s="52" customFormat="1" x14ac:dyDescent="0.3">
      <c r="A33" s="44" t="s">
        <v>30</v>
      </c>
      <c r="B33" s="10">
        <v>1</v>
      </c>
      <c r="C33" s="10">
        <v>1</v>
      </c>
      <c r="D33" s="10">
        <f t="shared" si="8"/>
        <v>1</v>
      </c>
      <c r="E33" s="10">
        <f>'O&amp;M'!G$38</f>
        <v>12</v>
      </c>
      <c r="F33" s="45">
        <f t="shared" si="9"/>
        <v>12</v>
      </c>
      <c r="G33" s="10">
        <f t="shared" si="10"/>
        <v>0.60000000000000009</v>
      </c>
      <c r="H33" s="10">
        <f t="shared" ref="H33:H40" si="13">+F33*0.1</f>
        <v>1.2000000000000002</v>
      </c>
      <c r="I33" s="73">
        <f t="shared" si="12"/>
        <v>1634.88</v>
      </c>
      <c r="K33" s="64"/>
      <c r="L33" s="64"/>
      <c r="M33" s="64"/>
    </row>
    <row r="34" spans="1:13" s="52" customFormat="1" x14ac:dyDescent="0.3">
      <c r="A34" s="44" t="s">
        <v>10</v>
      </c>
      <c r="B34" s="10">
        <v>1</v>
      </c>
      <c r="C34" s="10">
        <v>52</v>
      </c>
      <c r="D34" s="10">
        <f t="shared" si="8"/>
        <v>52</v>
      </c>
      <c r="E34" s="10">
        <f>'O&amp;M'!G$38</f>
        <v>12</v>
      </c>
      <c r="F34" s="45">
        <f>+D34*E34</f>
        <v>624</v>
      </c>
      <c r="G34" s="10">
        <f>+F34*0.05</f>
        <v>31.200000000000003</v>
      </c>
      <c r="H34" s="10">
        <f>+F34*0.1</f>
        <v>62.400000000000006</v>
      </c>
      <c r="I34" s="73">
        <f t="shared" si="12"/>
        <v>85013.759999999995</v>
      </c>
      <c r="K34" s="64"/>
      <c r="L34" s="64"/>
      <c r="M34" s="64"/>
    </row>
    <row r="35" spans="1:13" s="52" customFormat="1" x14ac:dyDescent="0.3">
      <c r="A35" s="44" t="s">
        <v>113</v>
      </c>
      <c r="B35" s="10">
        <v>1</v>
      </c>
      <c r="C35" s="10">
        <v>12</v>
      </c>
      <c r="D35" s="10">
        <f t="shared" si="8"/>
        <v>12</v>
      </c>
      <c r="E35" s="45">
        <f>E14</f>
        <v>24</v>
      </c>
      <c r="F35" s="45">
        <f>+D35*E35</f>
        <v>288</v>
      </c>
      <c r="G35" s="10">
        <f t="shared" si="10"/>
        <v>14.4</v>
      </c>
      <c r="H35" s="10">
        <f t="shared" si="13"/>
        <v>28.8</v>
      </c>
      <c r="I35" s="73">
        <f t="shared" si="12"/>
        <v>39237.119999999995</v>
      </c>
      <c r="K35" s="64"/>
      <c r="L35" s="64"/>
      <c r="M35" s="64"/>
    </row>
    <row r="36" spans="1:13" s="52" customFormat="1" x14ac:dyDescent="0.3">
      <c r="A36" s="44" t="s">
        <v>31</v>
      </c>
      <c r="B36" s="10">
        <v>1</v>
      </c>
      <c r="C36" s="10">
        <v>12</v>
      </c>
      <c r="D36" s="10">
        <f t="shared" si="8"/>
        <v>12</v>
      </c>
      <c r="E36" s="10">
        <f>'O&amp;M'!G$38</f>
        <v>12</v>
      </c>
      <c r="F36" s="45">
        <f t="shared" si="9"/>
        <v>144</v>
      </c>
      <c r="G36" s="10">
        <f t="shared" si="10"/>
        <v>7.2</v>
      </c>
      <c r="H36" s="10">
        <f t="shared" si="13"/>
        <v>14.4</v>
      </c>
      <c r="I36" s="73">
        <f t="shared" si="12"/>
        <v>19618.559999999998</v>
      </c>
      <c r="K36" s="64"/>
      <c r="L36" s="64"/>
      <c r="M36" s="64"/>
    </row>
    <row r="37" spans="1:13" s="52" customFormat="1" x14ac:dyDescent="0.3">
      <c r="A37" s="44" t="s">
        <v>32</v>
      </c>
      <c r="B37" s="10">
        <v>1</v>
      </c>
      <c r="C37" s="10">
        <v>12</v>
      </c>
      <c r="D37" s="10">
        <f t="shared" si="8"/>
        <v>12</v>
      </c>
      <c r="E37" s="10">
        <f>'O&amp;M'!G$38</f>
        <v>12</v>
      </c>
      <c r="F37" s="45">
        <f t="shared" si="9"/>
        <v>144</v>
      </c>
      <c r="G37" s="10">
        <f t="shared" si="10"/>
        <v>7.2</v>
      </c>
      <c r="H37" s="10">
        <f t="shared" si="13"/>
        <v>14.4</v>
      </c>
      <c r="I37" s="73">
        <f t="shared" si="12"/>
        <v>19618.559999999998</v>
      </c>
      <c r="K37" s="64"/>
      <c r="L37" s="64"/>
      <c r="M37" s="64"/>
    </row>
    <row r="38" spans="1:13" s="52" customFormat="1" x14ac:dyDescent="0.3">
      <c r="A38" s="44" t="s">
        <v>33</v>
      </c>
      <c r="B38" s="10">
        <v>1</v>
      </c>
      <c r="C38" s="10">
        <v>12</v>
      </c>
      <c r="D38" s="10">
        <f t="shared" si="8"/>
        <v>12</v>
      </c>
      <c r="E38" s="10">
        <f>'O&amp;M'!G$38</f>
        <v>12</v>
      </c>
      <c r="F38" s="45">
        <f t="shared" si="9"/>
        <v>144</v>
      </c>
      <c r="G38" s="10">
        <f t="shared" si="10"/>
        <v>7.2</v>
      </c>
      <c r="H38" s="10">
        <f t="shared" si="13"/>
        <v>14.4</v>
      </c>
      <c r="I38" s="73">
        <f t="shared" si="12"/>
        <v>19618.559999999998</v>
      </c>
      <c r="K38" s="64"/>
      <c r="L38" s="64"/>
      <c r="M38" s="64"/>
    </row>
    <row r="39" spans="1:13" s="52" customFormat="1" x14ac:dyDescent="0.3">
      <c r="A39" s="44" t="s">
        <v>34</v>
      </c>
      <c r="B39" s="10">
        <v>2</v>
      </c>
      <c r="C39" s="10">
        <v>6</v>
      </c>
      <c r="D39" s="10">
        <f t="shared" si="8"/>
        <v>12</v>
      </c>
      <c r="E39" s="10">
        <f>'O&amp;M'!G$38</f>
        <v>12</v>
      </c>
      <c r="F39" s="45">
        <f t="shared" si="9"/>
        <v>144</v>
      </c>
      <c r="G39" s="10">
        <f t="shared" si="10"/>
        <v>7.2</v>
      </c>
      <c r="H39" s="10">
        <f t="shared" si="13"/>
        <v>14.4</v>
      </c>
      <c r="I39" s="73">
        <f t="shared" si="12"/>
        <v>19618.559999999998</v>
      </c>
      <c r="K39" s="64"/>
      <c r="L39" s="64"/>
      <c r="M39" s="64"/>
    </row>
    <row r="40" spans="1:13" s="52" customFormat="1" x14ac:dyDescent="0.3">
      <c r="A40" s="44" t="s">
        <v>35</v>
      </c>
      <c r="B40" s="10">
        <v>1</v>
      </c>
      <c r="C40" s="10">
        <v>6</v>
      </c>
      <c r="D40" s="10">
        <f t="shared" si="8"/>
        <v>6</v>
      </c>
      <c r="E40" s="10">
        <f>'O&amp;M'!G$38</f>
        <v>12</v>
      </c>
      <c r="F40" s="45">
        <f t="shared" si="9"/>
        <v>72</v>
      </c>
      <c r="G40" s="10">
        <f t="shared" si="10"/>
        <v>3.6</v>
      </c>
      <c r="H40" s="10">
        <f t="shared" si="13"/>
        <v>7.2</v>
      </c>
      <c r="I40" s="73">
        <f t="shared" si="12"/>
        <v>9809.2799999999988</v>
      </c>
      <c r="K40" s="64"/>
      <c r="L40" s="64"/>
      <c r="M40" s="64"/>
    </row>
    <row r="41" spans="1:13" s="52" customFormat="1" x14ac:dyDescent="0.3">
      <c r="A41" s="44" t="s">
        <v>36</v>
      </c>
      <c r="B41" s="10">
        <v>1</v>
      </c>
      <c r="C41" s="10">
        <v>12</v>
      </c>
      <c r="D41" s="10">
        <f t="shared" si="8"/>
        <v>12</v>
      </c>
      <c r="E41" s="10">
        <f>'O&amp;M'!G$38</f>
        <v>12</v>
      </c>
      <c r="F41" s="45">
        <f t="shared" si="9"/>
        <v>144</v>
      </c>
      <c r="G41" s="10">
        <f t="shared" si="10"/>
        <v>7.2</v>
      </c>
      <c r="H41" s="10">
        <f t="shared" ref="H41:H44" si="14">+F41*0.1</f>
        <v>14.4</v>
      </c>
      <c r="I41" s="73">
        <f t="shared" si="12"/>
        <v>19618.559999999998</v>
      </c>
      <c r="K41" s="64"/>
      <c r="L41" s="64"/>
      <c r="M41" s="64"/>
    </row>
    <row r="42" spans="1:13" s="52" customFormat="1" x14ac:dyDescent="0.3">
      <c r="A42" s="44" t="s">
        <v>37</v>
      </c>
      <c r="B42" s="10">
        <v>1</v>
      </c>
      <c r="C42" s="10">
        <v>12</v>
      </c>
      <c r="D42" s="10">
        <f t="shared" si="8"/>
        <v>12</v>
      </c>
      <c r="E42" s="10">
        <f>'O&amp;M'!G$38</f>
        <v>12</v>
      </c>
      <c r="F42" s="45">
        <f t="shared" si="9"/>
        <v>144</v>
      </c>
      <c r="G42" s="10">
        <f t="shared" si="10"/>
        <v>7.2</v>
      </c>
      <c r="H42" s="10">
        <f t="shared" si="14"/>
        <v>14.4</v>
      </c>
      <c r="I42" s="73">
        <f t="shared" si="12"/>
        <v>19618.559999999998</v>
      </c>
      <c r="K42" s="64"/>
      <c r="L42" s="64"/>
      <c r="M42" s="64"/>
    </row>
    <row r="43" spans="1:13" s="52" customFormat="1" x14ac:dyDescent="0.3">
      <c r="A43" s="44" t="s">
        <v>38</v>
      </c>
      <c r="B43" s="10">
        <v>1</v>
      </c>
      <c r="C43" s="10">
        <v>6</v>
      </c>
      <c r="D43" s="10">
        <f t="shared" si="8"/>
        <v>6</v>
      </c>
      <c r="E43" s="10">
        <f>'O&amp;M'!G$38</f>
        <v>12</v>
      </c>
      <c r="F43" s="45">
        <f t="shared" si="9"/>
        <v>72</v>
      </c>
      <c r="G43" s="10">
        <f t="shared" si="10"/>
        <v>3.6</v>
      </c>
      <c r="H43" s="10">
        <f t="shared" si="14"/>
        <v>7.2</v>
      </c>
      <c r="I43" s="73">
        <f t="shared" si="12"/>
        <v>9809.2799999999988</v>
      </c>
      <c r="K43" s="64"/>
      <c r="L43" s="64"/>
      <c r="M43" s="64"/>
    </row>
    <row r="44" spans="1:13" s="52" customFormat="1" ht="26" x14ac:dyDescent="0.3">
      <c r="A44" s="44" t="s">
        <v>39</v>
      </c>
      <c r="B44" s="10">
        <v>3.5</v>
      </c>
      <c r="C44" s="10">
        <v>52</v>
      </c>
      <c r="D44" s="10">
        <f t="shared" si="8"/>
        <v>182</v>
      </c>
      <c r="E44" s="10">
        <f>'O&amp;M'!G$38</f>
        <v>12</v>
      </c>
      <c r="F44" s="45">
        <f t="shared" si="9"/>
        <v>2184</v>
      </c>
      <c r="G44" s="10">
        <f t="shared" si="10"/>
        <v>109.2</v>
      </c>
      <c r="H44" s="10">
        <f t="shared" si="14"/>
        <v>218.4</v>
      </c>
      <c r="I44" s="73">
        <f t="shared" si="12"/>
        <v>297548.15999999997</v>
      </c>
      <c r="K44" s="64"/>
      <c r="L44" s="64"/>
      <c r="M44" s="64"/>
    </row>
    <row r="45" spans="1:13" s="52" customFormat="1" x14ac:dyDescent="0.3">
      <c r="A45" s="43" t="s">
        <v>40</v>
      </c>
      <c r="B45" s="10">
        <v>8</v>
      </c>
      <c r="C45" s="10">
        <v>1</v>
      </c>
      <c r="D45" s="10">
        <f t="shared" si="8"/>
        <v>8</v>
      </c>
      <c r="E45" s="10">
        <v>0</v>
      </c>
      <c r="F45" s="10">
        <v>0</v>
      </c>
      <c r="G45" s="10">
        <v>0</v>
      </c>
      <c r="H45" s="10">
        <v>0</v>
      </c>
      <c r="I45" s="76">
        <v>0</v>
      </c>
    </row>
    <row r="46" spans="1:13" x14ac:dyDescent="0.3">
      <c r="A46" s="5" t="s">
        <v>41</v>
      </c>
      <c r="B46" s="48" t="s">
        <v>2</v>
      </c>
      <c r="C46" s="48"/>
      <c r="D46" s="48"/>
      <c r="E46" s="48"/>
      <c r="F46" s="48"/>
      <c r="G46" s="48"/>
      <c r="H46" s="48"/>
      <c r="I46" s="74"/>
    </row>
    <row r="47" spans="1:13" x14ac:dyDescent="0.3">
      <c r="A47" s="8" t="s">
        <v>42</v>
      </c>
      <c r="B47" s="9"/>
      <c r="C47" s="9"/>
      <c r="D47" s="9"/>
      <c r="E47" s="9"/>
      <c r="F47" s="99">
        <f>SUM(F28:H45)</f>
        <v>4898.9999999999991</v>
      </c>
      <c r="G47" s="99"/>
      <c r="H47" s="99"/>
      <c r="I47" s="77">
        <f>SUM(I32:I46)</f>
        <v>580382.39999999991</v>
      </c>
    </row>
    <row r="48" spans="1:13" x14ac:dyDescent="0.3">
      <c r="A48" s="100" t="s">
        <v>152</v>
      </c>
      <c r="B48" s="100"/>
      <c r="C48" s="100"/>
      <c r="D48" s="100"/>
      <c r="E48" s="100"/>
      <c r="F48" s="101">
        <f>ROUND(+F26+F47,-2)</f>
        <v>21700</v>
      </c>
      <c r="G48" s="101"/>
      <c r="H48" s="101"/>
      <c r="I48" s="78">
        <f>ROUND(+I26+I47,-4)</f>
        <v>2580000</v>
      </c>
      <c r="K48" s="67">
        <f>+F48/'O&amp;M'!F50</f>
        <v>255.29411764705881</v>
      </c>
      <c r="L48" s="68" t="s">
        <v>114</v>
      </c>
    </row>
    <row r="49" spans="1:10" x14ac:dyDescent="0.3">
      <c r="A49" s="102" t="s">
        <v>154</v>
      </c>
      <c r="B49" s="103"/>
      <c r="C49" s="103"/>
      <c r="D49" s="103"/>
      <c r="E49" s="104"/>
      <c r="F49" s="105"/>
      <c r="G49" s="105"/>
      <c r="H49" s="105"/>
      <c r="I49" s="78">
        <f>ROUND('O&amp;M'!H23,-3)</f>
        <v>251000</v>
      </c>
    </row>
    <row r="50" spans="1:10" x14ac:dyDescent="0.3">
      <c r="A50" s="102" t="s">
        <v>153</v>
      </c>
      <c r="B50" s="103"/>
      <c r="C50" s="103"/>
      <c r="D50" s="103"/>
      <c r="E50" s="104"/>
      <c r="F50" s="106"/>
      <c r="G50" s="106"/>
      <c r="H50" s="106"/>
      <c r="I50" s="78">
        <f>ROUND(+I48+I49,-4)</f>
        <v>2830000</v>
      </c>
    </row>
    <row r="51" spans="1:10" ht="15.5" x14ac:dyDescent="0.3">
      <c r="A51" s="1"/>
    </row>
    <row r="52" spans="1:10" x14ac:dyDescent="0.3">
      <c r="A52" s="80" t="s">
        <v>43</v>
      </c>
    </row>
    <row r="53" spans="1:10" s="65" customFormat="1" ht="61.5" customHeight="1" x14ac:dyDescent="0.3">
      <c r="A53" s="107" t="s">
        <v>132</v>
      </c>
      <c r="B53" s="108"/>
      <c r="C53" s="108"/>
      <c r="D53" s="108"/>
      <c r="E53" s="108"/>
      <c r="F53" s="108"/>
      <c r="G53" s="108"/>
      <c r="H53" s="108"/>
      <c r="I53" s="108"/>
    </row>
    <row r="54" spans="1:10" s="65" customFormat="1" ht="48.75" customHeight="1" x14ac:dyDescent="0.3">
      <c r="A54" s="98" t="s">
        <v>130</v>
      </c>
      <c r="B54" s="98"/>
      <c r="C54" s="98"/>
      <c r="D54" s="98"/>
      <c r="E54" s="98"/>
      <c r="F54" s="98"/>
      <c r="G54" s="98"/>
      <c r="H54" s="98"/>
      <c r="I54" s="98"/>
    </row>
    <row r="55" spans="1:10" s="65" customFormat="1" ht="74.25" customHeight="1" x14ac:dyDescent="0.3">
      <c r="A55" s="98" t="s">
        <v>134</v>
      </c>
      <c r="B55" s="98"/>
      <c r="C55" s="98"/>
      <c r="D55" s="98"/>
      <c r="E55" s="98"/>
      <c r="F55" s="98"/>
      <c r="G55" s="98"/>
      <c r="H55" s="98"/>
      <c r="I55" s="98"/>
    </row>
    <row r="56" spans="1:10" ht="15.5" x14ac:dyDescent="0.3">
      <c r="A56" s="110" t="s">
        <v>131</v>
      </c>
      <c r="B56" s="110"/>
      <c r="C56" s="110"/>
      <c r="D56" s="110"/>
      <c r="E56" s="110"/>
      <c r="F56" s="110"/>
      <c r="G56" s="110"/>
      <c r="H56" s="110"/>
      <c r="I56" s="110"/>
    </row>
    <row r="57" spans="1:10" s="66" customFormat="1" ht="35.25" customHeight="1" x14ac:dyDescent="0.3">
      <c r="A57" s="97" t="s">
        <v>159</v>
      </c>
      <c r="B57" s="97"/>
      <c r="C57" s="97"/>
      <c r="D57" s="97"/>
      <c r="E57" s="97"/>
      <c r="F57" s="97"/>
      <c r="G57" s="97"/>
      <c r="H57" s="97"/>
      <c r="I57" s="97"/>
      <c r="J57" s="51"/>
    </row>
    <row r="58" spans="1:10" s="66" customFormat="1" ht="15.5" x14ac:dyDescent="0.3">
      <c r="A58" s="111" t="s">
        <v>135</v>
      </c>
      <c r="B58" s="111"/>
      <c r="C58" s="111"/>
      <c r="D58" s="111"/>
      <c r="E58" s="111"/>
      <c r="F58" s="111"/>
      <c r="G58" s="111"/>
      <c r="H58" s="111"/>
      <c r="I58" s="111"/>
    </row>
    <row r="59" spans="1:10" s="66" customFormat="1" ht="15.5" x14ac:dyDescent="0.3">
      <c r="A59" s="111" t="s">
        <v>136</v>
      </c>
      <c r="B59" s="111"/>
      <c r="C59" s="111"/>
      <c r="D59" s="111"/>
      <c r="E59" s="111"/>
      <c r="F59" s="111"/>
      <c r="G59" s="111"/>
      <c r="H59" s="111"/>
      <c r="I59" s="111"/>
    </row>
  </sheetData>
  <mergeCells count="17">
    <mergeCell ref="K4:L4"/>
    <mergeCell ref="A56:I56"/>
    <mergeCell ref="A58:I58"/>
    <mergeCell ref="A59:I59"/>
    <mergeCell ref="A1:I1"/>
    <mergeCell ref="A57:I57"/>
    <mergeCell ref="A54:I54"/>
    <mergeCell ref="F26:H26"/>
    <mergeCell ref="F47:H47"/>
    <mergeCell ref="A48:E48"/>
    <mergeCell ref="F48:H48"/>
    <mergeCell ref="A49:E49"/>
    <mergeCell ref="F49:H49"/>
    <mergeCell ref="A50:E50"/>
    <mergeCell ref="F50:H50"/>
    <mergeCell ref="A53:I53"/>
    <mergeCell ref="A55:I5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workbookViewId="0">
      <selection activeCell="F17" sqref="F17"/>
    </sheetView>
  </sheetViews>
  <sheetFormatPr defaultColWidth="9.1796875" defaultRowHeight="14" x14ac:dyDescent="0.3"/>
  <cols>
    <col min="1" max="1" width="33" style="50" customWidth="1"/>
    <col min="2" max="2" width="17.453125" style="50" customWidth="1"/>
    <col min="3" max="3" width="16" style="50" customWidth="1"/>
    <col min="4" max="4" width="14.1796875" style="50" customWidth="1"/>
    <col min="5" max="5" width="13.81640625" style="50" customWidth="1"/>
    <col min="6" max="6" width="15" style="50" customWidth="1"/>
    <col min="7" max="7" width="13.7265625" style="50" customWidth="1"/>
    <col min="8" max="8" width="14.7265625" style="50" customWidth="1"/>
    <col min="9" max="9" width="11.26953125" style="50" customWidth="1"/>
    <col min="10" max="10" width="9.1796875" style="50"/>
    <col min="11" max="11" width="11.81640625" style="50" customWidth="1"/>
    <col min="12" max="16384" width="9.1796875" style="50"/>
  </cols>
  <sheetData>
    <row r="1" spans="1:12" ht="15" x14ac:dyDescent="0.3">
      <c r="A1" s="96" t="s">
        <v>117</v>
      </c>
      <c r="B1" s="96"/>
      <c r="C1" s="96"/>
      <c r="D1" s="96"/>
      <c r="E1" s="96"/>
      <c r="F1" s="96"/>
      <c r="G1" s="96"/>
      <c r="H1" s="96"/>
      <c r="I1" s="96"/>
    </row>
    <row r="3" spans="1:12" ht="78" x14ac:dyDescent="0.3">
      <c r="A3" s="47" t="s">
        <v>0</v>
      </c>
      <c r="B3" s="49" t="s">
        <v>52</v>
      </c>
      <c r="C3" s="49" t="s">
        <v>45</v>
      </c>
      <c r="D3" s="49" t="s">
        <v>57</v>
      </c>
      <c r="E3" s="49" t="s">
        <v>46</v>
      </c>
      <c r="F3" s="49" t="s">
        <v>58</v>
      </c>
      <c r="G3" s="49" t="s">
        <v>53</v>
      </c>
      <c r="H3" s="49" t="s">
        <v>54</v>
      </c>
      <c r="I3" s="49" t="s">
        <v>47</v>
      </c>
    </row>
    <row r="4" spans="1:12" x14ac:dyDescent="0.3">
      <c r="A4" s="3" t="s">
        <v>1</v>
      </c>
      <c r="B4" s="48" t="s">
        <v>2</v>
      </c>
      <c r="C4" s="48"/>
      <c r="D4" s="48"/>
      <c r="E4" s="48"/>
      <c r="F4" s="48"/>
      <c r="G4" s="48"/>
      <c r="H4" s="48"/>
      <c r="I4" s="4"/>
      <c r="K4" s="114" t="s">
        <v>101</v>
      </c>
      <c r="L4" s="115"/>
    </row>
    <row r="5" spans="1:12" x14ac:dyDescent="0.3">
      <c r="A5" s="3" t="s">
        <v>115</v>
      </c>
      <c r="B5" s="48"/>
      <c r="C5" s="48"/>
      <c r="D5" s="48"/>
      <c r="E5" s="10"/>
      <c r="F5" s="48"/>
      <c r="G5" s="48"/>
      <c r="H5" s="48"/>
      <c r="I5" s="4"/>
      <c r="K5" s="55" t="s">
        <v>126</v>
      </c>
      <c r="L5" s="57">
        <v>69.040000000000006</v>
      </c>
    </row>
    <row r="6" spans="1:12" ht="15.5" x14ac:dyDescent="0.3">
      <c r="A6" s="5" t="s">
        <v>48</v>
      </c>
      <c r="B6" s="48">
        <v>48</v>
      </c>
      <c r="C6" s="48">
        <v>1</v>
      </c>
      <c r="D6" s="48">
        <f>B6*C6</f>
        <v>48</v>
      </c>
      <c r="E6" s="10">
        <f>ROUND(SUM('Table 1'!E10,'Table 1'!E11,'Table 1'!E12)*0.2,0)</f>
        <v>4</v>
      </c>
      <c r="F6" s="42">
        <f>+D6*E6</f>
        <v>192</v>
      </c>
      <c r="G6" s="48">
        <f>+F6*0.05</f>
        <v>9.6000000000000014</v>
      </c>
      <c r="H6" s="48">
        <f>+F6*0.1</f>
        <v>19.200000000000003</v>
      </c>
      <c r="I6" s="73">
        <f>F6*$L$6+G6*$L$5+H6*$L$7</f>
        <v>11031.359999999999</v>
      </c>
      <c r="K6" s="56" t="s">
        <v>127</v>
      </c>
      <c r="L6" s="57">
        <v>51.23</v>
      </c>
    </row>
    <row r="7" spans="1:12" ht="28.5" x14ac:dyDescent="0.3">
      <c r="A7" s="5" t="s">
        <v>49</v>
      </c>
      <c r="B7" s="48">
        <v>24</v>
      </c>
      <c r="C7" s="48">
        <v>1</v>
      </c>
      <c r="D7" s="48">
        <f>B7*C7</f>
        <v>24</v>
      </c>
      <c r="E7" s="69">
        <f>ROUND('O&amp;M'!G38*0.1,0)</f>
        <v>1</v>
      </c>
      <c r="F7" s="48">
        <f>+D7*E6</f>
        <v>96</v>
      </c>
      <c r="G7" s="48">
        <f>+F7*0.05</f>
        <v>4.8000000000000007</v>
      </c>
      <c r="H7" s="48">
        <f>+F7*0.1</f>
        <v>9.6000000000000014</v>
      </c>
      <c r="I7" s="73">
        <f>F7*$L$6+G7*$L$5+H7*$L$7</f>
        <v>5515.6799999999994</v>
      </c>
      <c r="K7" s="56" t="s">
        <v>128</v>
      </c>
      <c r="L7" s="57">
        <v>27.73</v>
      </c>
    </row>
    <row r="8" spans="1:12" x14ac:dyDescent="0.3">
      <c r="A8" s="5" t="s">
        <v>15</v>
      </c>
      <c r="B8" s="48" t="s">
        <v>2</v>
      </c>
      <c r="C8" s="48"/>
      <c r="D8" s="48"/>
      <c r="E8" s="10"/>
      <c r="F8" s="48"/>
      <c r="G8" s="48"/>
      <c r="H8" s="48"/>
      <c r="I8" s="73"/>
      <c r="K8" s="51"/>
      <c r="L8" s="51"/>
    </row>
    <row r="9" spans="1:12" x14ac:dyDescent="0.3">
      <c r="A9" s="5" t="s">
        <v>17</v>
      </c>
      <c r="B9" s="48" t="s">
        <v>2</v>
      </c>
      <c r="C9" s="48"/>
      <c r="D9" s="48"/>
      <c r="E9" s="10"/>
      <c r="F9" s="48"/>
      <c r="G9" s="48"/>
      <c r="H9" s="48"/>
      <c r="I9" s="73"/>
      <c r="K9" s="51"/>
      <c r="L9" s="51"/>
    </row>
    <row r="10" spans="1:12" x14ac:dyDescent="0.3">
      <c r="A10" s="5" t="s">
        <v>50</v>
      </c>
      <c r="B10" s="48"/>
      <c r="C10" s="48"/>
      <c r="D10" s="48"/>
      <c r="E10" s="10"/>
      <c r="F10" s="48"/>
      <c r="G10" s="48"/>
      <c r="H10" s="48"/>
      <c r="I10" s="73"/>
      <c r="K10" s="51"/>
      <c r="L10" s="51"/>
    </row>
    <row r="11" spans="1:12" s="52" customFormat="1" x14ac:dyDescent="0.3">
      <c r="A11" s="43" t="s">
        <v>116</v>
      </c>
      <c r="B11" s="10">
        <v>3</v>
      </c>
      <c r="C11" s="10">
        <v>2</v>
      </c>
      <c r="D11" s="10">
        <f t="shared" ref="D11:D15" si="0">B11*C11</f>
        <v>6</v>
      </c>
      <c r="E11" s="10">
        <f>'Table 1'!E22</f>
        <v>12</v>
      </c>
      <c r="F11" s="41">
        <f t="shared" ref="F11:F15" si="1">+D11*E11</f>
        <v>72</v>
      </c>
      <c r="G11" s="10">
        <f>+F11*0.05</f>
        <v>3.6</v>
      </c>
      <c r="H11" s="10">
        <f>+F11*0.1</f>
        <v>7.2</v>
      </c>
      <c r="I11" s="73">
        <f>F11*$L$6+G11*$L$5+H11*$L$7</f>
        <v>4136.76</v>
      </c>
      <c r="K11" s="53"/>
      <c r="L11" s="53"/>
    </row>
    <row r="12" spans="1:12" s="52" customFormat="1" x14ac:dyDescent="0.3">
      <c r="A12" s="46" t="s">
        <v>20</v>
      </c>
      <c r="B12" s="10">
        <v>10</v>
      </c>
      <c r="C12" s="10">
        <f>'Table 1'!C23</f>
        <v>2</v>
      </c>
      <c r="D12" s="10">
        <f t="shared" si="0"/>
        <v>20</v>
      </c>
      <c r="E12" s="10">
        <f>'Table 1'!E23</f>
        <v>12</v>
      </c>
      <c r="F12" s="10">
        <f t="shared" si="1"/>
        <v>240</v>
      </c>
      <c r="G12" s="41">
        <f>+F12*0.05</f>
        <v>12</v>
      </c>
      <c r="H12" s="10">
        <f>+F12*0.1</f>
        <v>24</v>
      </c>
      <c r="I12" s="73">
        <f>F12*$L$6+G12*$L$5+H12*$L$7</f>
        <v>13789.199999999999</v>
      </c>
      <c r="K12" s="53"/>
      <c r="L12" s="53"/>
    </row>
    <row r="13" spans="1:12" s="52" customFormat="1" x14ac:dyDescent="0.3">
      <c r="A13" s="46" t="s">
        <v>21</v>
      </c>
      <c r="B13" s="10">
        <v>10</v>
      </c>
      <c r="C13" s="10">
        <f>'Table 1'!C24</f>
        <v>2</v>
      </c>
      <c r="D13" s="10">
        <f t="shared" si="0"/>
        <v>20</v>
      </c>
      <c r="E13" s="10">
        <f>'Table 1'!E24</f>
        <v>12</v>
      </c>
      <c r="F13" s="10">
        <f t="shared" si="1"/>
        <v>240</v>
      </c>
      <c r="G13" s="10">
        <f>+F13*0.05</f>
        <v>12</v>
      </c>
      <c r="H13" s="10">
        <f>+F13*0.1</f>
        <v>24</v>
      </c>
      <c r="I13" s="73">
        <f>F13*$L$6+G13*$L$5+H13*$L$7</f>
        <v>13789.199999999999</v>
      </c>
      <c r="K13" s="53"/>
      <c r="L13" s="53"/>
    </row>
    <row r="14" spans="1:12" s="52" customFormat="1" ht="26" x14ac:dyDescent="0.3">
      <c r="A14" s="46" t="s">
        <v>22</v>
      </c>
      <c r="B14" s="10">
        <v>3</v>
      </c>
      <c r="C14" s="10">
        <f>'Table 1'!C25</f>
        <v>1</v>
      </c>
      <c r="D14" s="10">
        <f t="shared" si="0"/>
        <v>3</v>
      </c>
      <c r="E14" s="10">
        <f>'Table 1'!E25</f>
        <v>12</v>
      </c>
      <c r="F14" s="10">
        <f t="shared" si="1"/>
        <v>36</v>
      </c>
      <c r="G14" s="10">
        <f>+F14*0.05</f>
        <v>1.8</v>
      </c>
      <c r="H14" s="10">
        <f>+F14*0.1</f>
        <v>3.6</v>
      </c>
      <c r="I14" s="73">
        <f>F14*$L$6+G14*$L$5+H14*$L$7</f>
        <v>2068.38</v>
      </c>
      <c r="K14" s="53"/>
      <c r="L14" s="53"/>
    </row>
    <row r="15" spans="1:12" s="52" customFormat="1" ht="15.5" x14ac:dyDescent="0.3">
      <c r="A15" s="43" t="s">
        <v>51</v>
      </c>
      <c r="B15" s="10">
        <v>4</v>
      </c>
      <c r="C15" s="10">
        <v>12</v>
      </c>
      <c r="D15" s="10">
        <f t="shared" si="0"/>
        <v>48</v>
      </c>
      <c r="E15" s="10">
        <v>1</v>
      </c>
      <c r="F15" s="10">
        <f t="shared" si="1"/>
        <v>48</v>
      </c>
      <c r="G15" s="10">
        <f>+F15*0.05</f>
        <v>2.4000000000000004</v>
      </c>
      <c r="H15" s="10">
        <f>+F15*0.1</f>
        <v>4.8000000000000007</v>
      </c>
      <c r="I15" s="73">
        <f>F15*$L$6+G15*$L$5+H15*$L$7</f>
        <v>2757.8399999999997</v>
      </c>
      <c r="K15" s="53"/>
      <c r="L15" s="53"/>
    </row>
    <row r="16" spans="1:12" x14ac:dyDescent="0.3">
      <c r="A16" s="100" t="s">
        <v>148</v>
      </c>
      <c r="B16" s="100"/>
      <c r="C16" s="100"/>
      <c r="D16" s="100"/>
      <c r="E16" s="100"/>
      <c r="F16" s="101">
        <f>SUM(F6:H15)</f>
        <v>1062.6000000000001</v>
      </c>
      <c r="G16" s="101"/>
      <c r="H16" s="101"/>
      <c r="I16" s="79">
        <f>ROUND(SUM(I5:I15),-2)</f>
        <v>53100</v>
      </c>
    </row>
    <row r="17" spans="1:9" ht="15.5" x14ac:dyDescent="0.3">
      <c r="A17" s="1"/>
    </row>
    <row r="18" spans="1:9" ht="15" x14ac:dyDescent="0.3">
      <c r="A18" s="2" t="s">
        <v>43</v>
      </c>
    </row>
    <row r="19" spans="1:9" s="54" customFormat="1" ht="15.5" x14ac:dyDescent="0.3">
      <c r="A19" s="113" t="s">
        <v>121</v>
      </c>
      <c r="B19" s="113"/>
      <c r="C19" s="113"/>
      <c r="D19" s="113"/>
      <c r="E19" s="113"/>
      <c r="F19" s="113"/>
      <c r="G19" s="113"/>
      <c r="H19" s="113"/>
      <c r="I19" s="113"/>
    </row>
    <row r="20" spans="1:9" s="54" customFormat="1" ht="38.25" customHeight="1" x14ac:dyDescent="0.3">
      <c r="A20" s="113" t="s">
        <v>129</v>
      </c>
      <c r="B20" s="113"/>
      <c r="C20" s="113"/>
      <c r="D20" s="113"/>
      <c r="E20" s="113"/>
      <c r="F20" s="113"/>
      <c r="G20" s="113"/>
      <c r="H20" s="113"/>
      <c r="I20" s="113"/>
    </row>
    <row r="21" spans="1:9" s="18" customFormat="1" ht="15.5" x14ac:dyDescent="0.3">
      <c r="A21" s="112" t="s">
        <v>122</v>
      </c>
      <c r="B21" s="112"/>
      <c r="C21" s="112"/>
      <c r="D21" s="112"/>
      <c r="E21" s="112"/>
      <c r="F21" s="112"/>
      <c r="G21" s="112"/>
      <c r="H21" s="112"/>
      <c r="I21" s="112"/>
    </row>
    <row r="22" spans="1:9" s="18" customFormat="1" ht="15.5" x14ac:dyDescent="0.3">
      <c r="A22" s="112" t="s">
        <v>123</v>
      </c>
      <c r="B22" s="112"/>
      <c r="C22" s="112"/>
      <c r="D22" s="112"/>
      <c r="E22" s="112"/>
      <c r="F22" s="112"/>
      <c r="G22" s="112"/>
      <c r="H22" s="112"/>
      <c r="I22" s="112"/>
    </row>
    <row r="23" spans="1:9" s="18" customFormat="1" ht="15.5" x14ac:dyDescent="0.3">
      <c r="A23" s="112" t="s">
        <v>124</v>
      </c>
      <c r="B23" s="112"/>
      <c r="C23" s="112"/>
      <c r="D23" s="112"/>
      <c r="E23" s="112"/>
      <c r="F23" s="112"/>
      <c r="G23" s="112"/>
      <c r="H23" s="112"/>
      <c r="I23" s="112"/>
    </row>
    <row r="24" spans="1:9" s="18" customFormat="1" ht="15.5" x14ac:dyDescent="0.3">
      <c r="A24" s="112" t="s">
        <v>133</v>
      </c>
      <c r="B24" s="112"/>
      <c r="C24" s="112"/>
      <c r="D24" s="112"/>
      <c r="E24" s="112"/>
      <c r="F24" s="112"/>
      <c r="G24" s="112"/>
      <c r="H24" s="112"/>
      <c r="I24" s="112"/>
    </row>
  </sheetData>
  <mergeCells count="10">
    <mergeCell ref="K4:L4"/>
    <mergeCell ref="A1:I1"/>
    <mergeCell ref="A21:I21"/>
    <mergeCell ref="A22:I22"/>
    <mergeCell ref="A23:I23"/>
    <mergeCell ref="A24:I24"/>
    <mergeCell ref="A16:E16"/>
    <mergeCell ref="F16:H16"/>
    <mergeCell ref="A20:I20"/>
    <mergeCell ref="A19:I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topLeftCell="A46" workbookViewId="0">
      <selection activeCell="G11" sqref="G11"/>
    </sheetView>
  </sheetViews>
  <sheetFormatPr defaultColWidth="9.1796875" defaultRowHeight="13" x14ac:dyDescent="0.3"/>
  <cols>
    <col min="1" max="1" width="1" style="12" customWidth="1"/>
    <col min="2" max="2" width="34.54296875" style="12" customWidth="1"/>
    <col min="3" max="3" width="12.54296875" style="12" customWidth="1"/>
    <col min="4" max="4" width="12.7265625" style="12" customWidth="1"/>
    <col min="5" max="5" width="14.453125" style="12" customWidth="1"/>
    <col min="6" max="6" width="12.54296875" style="13" customWidth="1"/>
    <col min="7" max="7" width="11.1796875" style="12" customWidth="1"/>
    <col min="8" max="8" width="10" style="12" customWidth="1"/>
    <col min="9" max="9" width="8" style="12" bestFit="1" customWidth="1"/>
    <col min="10" max="12" width="9.1796875" style="12"/>
    <col min="13" max="13" width="10.26953125" style="12" bestFit="1" customWidth="1"/>
    <col min="14" max="16384" width="9.1796875" style="12"/>
  </cols>
  <sheetData>
    <row r="1" spans="2:8" x14ac:dyDescent="0.3">
      <c r="B1" s="11" t="s">
        <v>59</v>
      </c>
    </row>
    <row r="2" spans="2:8" s="18" customFormat="1" ht="52" x14ac:dyDescent="0.3">
      <c r="B2" s="14" t="s">
        <v>0</v>
      </c>
      <c r="C2" s="15" t="s">
        <v>60</v>
      </c>
      <c r="D2" s="16" t="s">
        <v>61</v>
      </c>
      <c r="E2" s="17" t="s">
        <v>62</v>
      </c>
      <c r="F2" s="17" t="s">
        <v>63</v>
      </c>
    </row>
    <row r="3" spans="2:8" x14ac:dyDescent="0.3">
      <c r="B3" s="19" t="s">
        <v>7</v>
      </c>
      <c r="C3" s="92">
        <v>4700</v>
      </c>
      <c r="D3" s="20"/>
      <c r="E3" s="21">
        <v>1</v>
      </c>
      <c r="F3" s="22">
        <f>'O&amp;M'!G38</f>
        <v>12</v>
      </c>
    </row>
    <row r="4" spans="2:8" x14ac:dyDescent="0.3">
      <c r="B4" s="19" t="s">
        <v>8</v>
      </c>
      <c r="C4" s="92">
        <v>19300</v>
      </c>
      <c r="D4" s="20"/>
      <c r="E4" s="21">
        <v>1</v>
      </c>
      <c r="F4" s="22">
        <f>12/6</f>
        <v>2</v>
      </c>
      <c r="G4" s="12" t="s">
        <v>102</v>
      </c>
    </row>
    <row r="5" spans="2:8" x14ac:dyDescent="0.3">
      <c r="B5" s="19" t="s">
        <v>9</v>
      </c>
      <c r="C5" s="92">
        <v>10000</v>
      </c>
      <c r="D5" s="20"/>
      <c r="E5" s="21">
        <v>1</v>
      </c>
      <c r="F5" s="22">
        <v>6</v>
      </c>
      <c r="G5" s="12" t="s">
        <v>125</v>
      </c>
    </row>
    <row r="6" spans="2:8" ht="15" customHeight="1" x14ac:dyDescent="0.3">
      <c r="B6" s="19" t="s">
        <v>64</v>
      </c>
      <c r="C6" s="20"/>
      <c r="D6" s="20">
        <v>2300</v>
      </c>
      <c r="E6" s="21">
        <v>1</v>
      </c>
      <c r="F6" s="22">
        <v>0</v>
      </c>
    </row>
    <row r="7" spans="2:8" ht="15.75" customHeight="1" x14ac:dyDescent="0.3">
      <c r="B7" s="19" t="s">
        <v>65</v>
      </c>
      <c r="C7" s="20"/>
      <c r="D7" s="92">
        <v>230</v>
      </c>
      <c r="E7" s="21">
        <v>1</v>
      </c>
      <c r="F7" s="22">
        <v>12</v>
      </c>
    </row>
    <row r="8" spans="2:8" x14ac:dyDescent="0.3">
      <c r="B8" s="19" t="s">
        <v>66</v>
      </c>
      <c r="C8" s="20"/>
      <c r="D8" s="20">
        <v>32759</v>
      </c>
      <c r="E8" s="21">
        <v>1</v>
      </c>
      <c r="F8" s="22">
        <v>0</v>
      </c>
    </row>
    <row r="9" spans="2:8" x14ac:dyDescent="0.3">
      <c r="B9" s="19" t="s">
        <v>67</v>
      </c>
      <c r="C9" s="20"/>
      <c r="D9" s="92">
        <v>4665</v>
      </c>
      <c r="E9" s="21">
        <v>1</v>
      </c>
      <c r="F9" s="22">
        <v>0</v>
      </c>
    </row>
    <row r="10" spans="2:8" x14ac:dyDescent="0.3">
      <c r="B10" s="91" t="s">
        <v>160</v>
      </c>
      <c r="D10" s="93"/>
      <c r="E10" s="18"/>
    </row>
    <row r="13" spans="2:8" x14ac:dyDescent="0.3">
      <c r="B13" s="23" t="s">
        <v>68</v>
      </c>
      <c r="C13" s="23"/>
      <c r="D13" s="23"/>
      <c r="E13" s="23"/>
    </row>
    <row r="14" spans="2:8" x14ac:dyDescent="0.3">
      <c r="B14" s="118" t="s">
        <v>69</v>
      </c>
      <c r="C14" s="119"/>
      <c r="D14" s="119"/>
      <c r="E14" s="119"/>
      <c r="F14" s="119"/>
      <c r="G14" s="119"/>
      <c r="H14" s="120"/>
    </row>
    <row r="15" spans="2:8" x14ac:dyDescent="0.3">
      <c r="B15" s="24" t="s">
        <v>70</v>
      </c>
      <c r="C15" s="24" t="s">
        <v>71</v>
      </c>
      <c r="D15" s="24" t="s">
        <v>72</v>
      </c>
      <c r="E15" s="24" t="s">
        <v>73</v>
      </c>
      <c r="F15" s="24" t="s">
        <v>74</v>
      </c>
      <c r="G15" s="24" t="s">
        <v>75</v>
      </c>
      <c r="H15" s="24" t="s">
        <v>76</v>
      </c>
    </row>
    <row r="16" spans="2:8" ht="39" x14ac:dyDescent="0.3">
      <c r="B16" s="25" t="s">
        <v>77</v>
      </c>
      <c r="C16" s="25" t="s">
        <v>78</v>
      </c>
      <c r="D16" s="25" t="s">
        <v>79</v>
      </c>
      <c r="E16" s="25" t="s">
        <v>80</v>
      </c>
      <c r="F16" s="24" t="s">
        <v>81</v>
      </c>
      <c r="G16" s="25" t="s">
        <v>82</v>
      </c>
      <c r="H16" s="25" t="s">
        <v>83</v>
      </c>
    </row>
    <row r="17" spans="2:10" x14ac:dyDescent="0.3">
      <c r="B17" s="25" t="s">
        <v>7</v>
      </c>
      <c r="C17" s="20">
        <v>0</v>
      </c>
      <c r="D17" s="24">
        <v>0</v>
      </c>
      <c r="E17" s="20">
        <f>C17*D17</f>
        <v>0</v>
      </c>
      <c r="F17" s="20">
        <f>C3</f>
        <v>4700</v>
      </c>
      <c r="G17" s="22">
        <f>F3</f>
        <v>12</v>
      </c>
      <c r="H17" s="20">
        <f>F17*G17</f>
        <v>56400</v>
      </c>
      <c r="J17" s="12" t="s">
        <v>104</v>
      </c>
    </row>
    <row r="18" spans="2:10" ht="15.5" x14ac:dyDescent="0.3">
      <c r="B18" s="25" t="s">
        <v>138</v>
      </c>
      <c r="C18" s="20">
        <v>0</v>
      </c>
      <c r="D18" s="24">
        <v>0</v>
      </c>
      <c r="E18" s="20">
        <f t="shared" ref="E18:E22" si="0">C18*D18</f>
        <v>0</v>
      </c>
      <c r="F18" s="20">
        <f>C4</f>
        <v>19300</v>
      </c>
      <c r="G18" s="22">
        <f>F4</f>
        <v>2</v>
      </c>
      <c r="H18" s="20">
        <f t="shared" ref="H18" si="1">F18*G18</f>
        <v>38600</v>
      </c>
      <c r="J18" s="12" t="s">
        <v>106</v>
      </c>
    </row>
    <row r="19" spans="2:10" ht="15.5" x14ac:dyDescent="0.3">
      <c r="B19" s="25" t="s">
        <v>139</v>
      </c>
      <c r="C19" s="20">
        <v>0</v>
      </c>
      <c r="D19" s="24">
        <v>0</v>
      </c>
      <c r="E19" s="20">
        <f t="shared" si="0"/>
        <v>0</v>
      </c>
      <c r="F19" s="20">
        <f>C5</f>
        <v>10000</v>
      </c>
      <c r="G19" s="22">
        <f>12/2</f>
        <v>6</v>
      </c>
      <c r="H19" s="20">
        <f>F19*G19</f>
        <v>60000</v>
      </c>
      <c r="J19" s="12" t="s">
        <v>105</v>
      </c>
    </row>
    <row r="20" spans="2:10" ht="15.5" x14ac:dyDescent="0.3">
      <c r="B20" s="26" t="s">
        <v>140</v>
      </c>
      <c r="C20" s="27">
        <f>D5</f>
        <v>0</v>
      </c>
      <c r="D20" s="28">
        <v>0</v>
      </c>
      <c r="E20" s="27">
        <f t="shared" si="0"/>
        <v>0</v>
      </c>
      <c r="F20" s="27">
        <v>7500</v>
      </c>
      <c r="G20" s="28">
        <v>12</v>
      </c>
      <c r="H20" s="27">
        <f>F20*G20</f>
        <v>90000</v>
      </c>
      <c r="J20" s="12" t="s">
        <v>104</v>
      </c>
    </row>
    <row r="21" spans="2:10" ht="15.5" x14ac:dyDescent="0.3">
      <c r="B21" s="25" t="s">
        <v>141</v>
      </c>
      <c r="C21" s="20">
        <f>D6</f>
        <v>2300</v>
      </c>
      <c r="D21" s="22">
        <f>F6</f>
        <v>0</v>
      </c>
      <c r="E21" s="20">
        <f t="shared" si="0"/>
        <v>0</v>
      </c>
      <c r="F21" s="20">
        <f>D7</f>
        <v>230</v>
      </c>
      <c r="G21" s="22">
        <v>24</v>
      </c>
      <c r="H21" s="20">
        <f>F21*G21</f>
        <v>5520</v>
      </c>
      <c r="J21" s="12" t="s">
        <v>103</v>
      </c>
    </row>
    <row r="22" spans="2:10" x14ac:dyDescent="0.3">
      <c r="B22" s="25" t="s">
        <v>84</v>
      </c>
      <c r="C22" s="29">
        <f>D8</f>
        <v>32759</v>
      </c>
      <c r="D22" s="30">
        <f>F8</f>
        <v>0</v>
      </c>
      <c r="E22" s="20">
        <f t="shared" si="0"/>
        <v>0</v>
      </c>
      <c r="F22" s="20">
        <f>D9</f>
        <v>4665</v>
      </c>
      <c r="G22" s="22">
        <f>F9</f>
        <v>0</v>
      </c>
      <c r="H22" s="20">
        <f>F22*G22</f>
        <v>0</v>
      </c>
    </row>
    <row r="23" spans="2:10" ht="15" x14ac:dyDescent="0.3">
      <c r="B23" s="70" t="s">
        <v>142</v>
      </c>
      <c r="C23" s="71">
        <f>SUM(C17:C22)</f>
        <v>35059</v>
      </c>
      <c r="D23" s="72"/>
      <c r="E23" s="71">
        <f>SUM(E17:E22)</f>
        <v>0</v>
      </c>
      <c r="F23" s="71">
        <f>SUM(F17:F22)</f>
        <v>46395</v>
      </c>
      <c r="G23" s="72"/>
      <c r="H23" s="71">
        <f>ROUND(SUM(H17:H22),-3)</f>
        <v>251000</v>
      </c>
    </row>
    <row r="24" spans="2:10" ht="15.5" x14ac:dyDescent="0.3">
      <c r="B24" s="117" t="s">
        <v>143</v>
      </c>
      <c r="C24" s="117"/>
      <c r="D24" s="117"/>
      <c r="E24" s="117"/>
      <c r="F24" s="117"/>
      <c r="G24" s="117"/>
      <c r="H24" s="117"/>
      <c r="I24" s="39"/>
    </row>
    <row r="25" spans="2:10" s="39" customFormat="1" ht="31.5" customHeight="1" x14ac:dyDescent="0.3">
      <c r="B25" s="122" t="s">
        <v>144</v>
      </c>
      <c r="C25" s="122"/>
      <c r="D25" s="122"/>
      <c r="E25" s="122"/>
      <c r="F25" s="122"/>
      <c r="G25" s="122"/>
      <c r="H25" s="122"/>
    </row>
    <row r="26" spans="2:10" ht="18.75" customHeight="1" x14ac:dyDescent="0.3">
      <c r="B26" s="121" t="s">
        <v>147</v>
      </c>
      <c r="C26" s="121"/>
      <c r="D26" s="121"/>
      <c r="E26" s="121"/>
      <c r="F26" s="121"/>
      <c r="G26" s="121"/>
      <c r="H26" s="121"/>
    </row>
    <row r="27" spans="2:10" ht="15.5" x14ac:dyDescent="0.3">
      <c r="B27" s="111" t="s">
        <v>145</v>
      </c>
      <c r="C27" s="111"/>
      <c r="D27" s="111"/>
      <c r="E27" s="111"/>
      <c r="F27" s="111"/>
      <c r="G27" s="111"/>
      <c r="H27" s="111"/>
    </row>
    <row r="28" spans="2:10" ht="15.5" x14ac:dyDescent="0.3">
      <c r="B28" s="111" t="s">
        <v>146</v>
      </c>
      <c r="C28" s="111"/>
      <c r="D28" s="111"/>
      <c r="E28" s="111"/>
      <c r="F28" s="111"/>
      <c r="G28" s="111"/>
      <c r="H28" s="111"/>
    </row>
    <row r="29" spans="2:10" x14ac:dyDescent="0.3">
      <c r="F29" s="31"/>
    </row>
    <row r="31" spans="2:10" x14ac:dyDescent="0.3">
      <c r="B31" s="123" t="s">
        <v>92</v>
      </c>
      <c r="C31" s="124"/>
      <c r="D31" s="124"/>
      <c r="E31" s="124"/>
      <c r="F31" s="124"/>
      <c r="G31" s="125"/>
    </row>
    <row r="32" spans="2:10" ht="39" x14ac:dyDescent="0.3">
      <c r="B32" s="84"/>
      <c r="C32" s="126" t="s">
        <v>93</v>
      </c>
      <c r="D32" s="127"/>
      <c r="E32" s="85" t="s">
        <v>94</v>
      </c>
      <c r="F32" s="126"/>
      <c r="G32" s="127"/>
    </row>
    <row r="33" spans="2:7" x14ac:dyDescent="0.3">
      <c r="B33" s="33"/>
      <c r="C33" s="34" t="s">
        <v>70</v>
      </c>
      <c r="D33" s="34" t="s">
        <v>71</v>
      </c>
      <c r="E33" s="34" t="s">
        <v>72</v>
      </c>
      <c r="F33" s="34" t="s">
        <v>73</v>
      </c>
      <c r="G33" s="34" t="s">
        <v>74</v>
      </c>
    </row>
    <row r="34" spans="2:7" ht="78" x14ac:dyDescent="0.3">
      <c r="B34" s="34" t="s">
        <v>95</v>
      </c>
      <c r="C34" s="34" t="s">
        <v>96</v>
      </c>
      <c r="D34" s="34" t="s">
        <v>97</v>
      </c>
      <c r="E34" s="35" t="s">
        <v>98</v>
      </c>
      <c r="F34" s="34" t="s">
        <v>99</v>
      </c>
      <c r="G34" s="34" t="s">
        <v>149</v>
      </c>
    </row>
    <row r="35" spans="2:7" x14ac:dyDescent="0.3">
      <c r="B35" s="36">
        <v>1</v>
      </c>
      <c r="C35" s="37">
        <v>0</v>
      </c>
      <c r="D35" s="37">
        <v>12</v>
      </c>
      <c r="E35" s="38">
        <v>0</v>
      </c>
      <c r="F35" s="37">
        <v>0</v>
      </c>
      <c r="G35" s="37">
        <f>C35+D35+E35-F35</f>
        <v>12</v>
      </c>
    </row>
    <row r="36" spans="2:7" x14ac:dyDescent="0.3">
      <c r="B36" s="36">
        <v>2</v>
      </c>
      <c r="C36" s="37">
        <f>C35</f>
        <v>0</v>
      </c>
      <c r="D36" s="37">
        <v>12</v>
      </c>
      <c r="E36" s="38">
        <v>0</v>
      </c>
      <c r="F36" s="38">
        <v>0</v>
      </c>
      <c r="G36" s="38">
        <f>C36+D36+E36-F36</f>
        <v>12</v>
      </c>
    </row>
    <row r="37" spans="2:7" x14ac:dyDescent="0.3">
      <c r="B37" s="36">
        <v>3</v>
      </c>
      <c r="C37" s="37">
        <f>C35</f>
        <v>0</v>
      </c>
      <c r="D37" s="37">
        <f>D35</f>
        <v>12</v>
      </c>
      <c r="E37" s="38">
        <v>0</v>
      </c>
      <c r="F37" s="38">
        <v>0</v>
      </c>
      <c r="G37" s="38">
        <f>C37+D37+E37-F37</f>
        <v>12</v>
      </c>
    </row>
    <row r="38" spans="2:7" x14ac:dyDescent="0.3">
      <c r="B38" s="36" t="s">
        <v>100</v>
      </c>
      <c r="C38" s="37">
        <f>AVERAGE(C35:C37)</f>
        <v>0</v>
      </c>
      <c r="D38" s="37">
        <f>AVERAGE(D35:D37)</f>
        <v>12</v>
      </c>
      <c r="E38" s="37">
        <f>AVERAGE(E35:E37)</f>
        <v>0</v>
      </c>
      <c r="F38" s="37">
        <f>AVERAGE(F35:F37)</f>
        <v>0</v>
      </c>
      <c r="G38" s="58">
        <v>12</v>
      </c>
    </row>
    <row r="39" spans="2:7" ht="15.5" x14ac:dyDescent="0.3">
      <c r="B39" s="81" t="s">
        <v>150</v>
      </c>
      <c r="C39" s="81"/>
      <c r="D39" s="81"/>
      <c r="E39" s="81"/>
      <c r="F39" s="81"/>
      <c r="G39" s="81"/>
    </row>
    <row r="40" spans="2:7" x14ac:dyDescent="0.3">
      <c r="B40" s="82"/>
      <c r="C40" s="82"/>
      <c r="D40" s="82"/>
      <c r="E40" s="82"/>
      <c r="F40" s="82"/>
      <c r="G40" s="82"/>
    </row>
    <row r="43" spans="2:7" x14ac:dyDescent="0.3">
      <c r="B43" s="116" t="s">
        <v>86</v>
      </c>
      <c r="C43" s="116"/>
      <c r="D43" s="116"/>
      <c r="E43" s="116"/>
      <c r="F43" s="116"/>
    </row>
    <row r="44" spans="2:7" ht="91" x14ac:dyDescent="0.3">
      <c r="B44" s="86" t="s">
        <v>87</v>
      </c>
      <c r="C44" s="38" t="s">
        <v>88</v>
      </c>
      <c r="D44" s="38" t="s">
        <v>89</v>
      </c>
      <c r="E44" s="86" t="s">
        <v>90</v>
      </c>
      <c r="F44" s="86" t="s">
        <v>91</v>
      </c>
    </row>
    <row r="45" spans="2:7" x14ac:dyDescent="0.3">
      <c r="B45" s="87" t="s">
        <v>111</v>
      </c>
      <c r="C45" s="37">
        <f>'Table 1'!E22</f>
        <v>12</v>
      </c>
      <c r="D45" s="37">
        <f>'Table 1'!C22</f>
        <v>2</v>
      </c>
      <c r="E45" s="86">
        <v>0</v>
      </c>
      <c r="F45" s="38">
        <f>C45*D45+E45</f>
        <v>24</v>
      </c>
    </row>
    <row r="46" spans="2:7" x14ac:dyDescent="0.3">
      <c r="B46" s="6" t="s">
        <v>112</v>
      </c>
      <c r="C46" s="37">
        <f>'Table 1'!E23</f>
        <v>12</v>
      </c>
      <c r="D46" s="37">
        <f>'Table 1'!C23</f>
        <v>2</v>
      </c>
      <c r="E46" s="38">
        <v>0</v>
      </c>
      <c r="F46" s="38">
        <f>C46*D46+E46</f>
        <v>24</v>
      </c>
    </row>
    <row r="47" spans="2:7" x14ac:dyDescent="0.3">
      <c r="B47" s="6" t="s">
        <v>110</v>
      </c>
      <c r="C47" s="37">
        <f>'Table 1'!E24</f>
        <v>12</v>
      </c>
      <c r="D47" s="37">
        <f>'Table 1'!C24</f>
        <v>2</v>
      </c>
      <c r="E47" s="38">
        <v>0</v>
      </c>
      <c r="F47" s="38">
        <f>C47*D47+E47</f>
        <v>24</v>
      </c>
    </row>
    <row r="48" spans="2:7" x14ac:dyDescent="0.3">
      <c r="B48" s="6" t="s">
        <v>22</v>
      </c>
      <c r="C48" s="37">
        <f>'Table 1'!E25</f>
        <v>12</v>
      </c>
      <c r="D48" s="37">
        <f>'Table 1'!C25</f>
        <v>1</v>
      </c>
      <c r="E48" s="38">
        <v>0</v>
      </c>
      <c r="F48" s="38">
        <f>C48*D48+E48</f>
        <v>12</v>
      </c>
    </row>
    <row r="49" spans="2:6" ht="26" x14ac:dyDescent="0.3">
      <c r="B49" s="88" t="s">
        <v>151</v>
      </c>
      <c r="C49" s="37">
        <f>'Table 1'!E18</f>
        <v>1</v>
      </c>
      <c r="D49" s="37">
        <f>'Table 1'!C18</f>
        <v>1</v>
      </c>
      <c r="E49" s="38">
        <v>0</v>
      </c>
      <c r="F49" s="38">
        <f>C49*D49+E49</f>
        <v>1</v>
      </c>
    </row>
    <row r="50" spans="2:6" x14ac:dyDescent="0.3">
      <c r="B50" s="89"/>
      <c r="C50" s="89"/>
      <c r="D50" s="89"/>
      <c r="E50" s="90" t="s">
        <v>85</v>
      </c>
      <c r="F50" s="90">
        <f>SUM(F45:F49)</f>
        <v>85</v>
      </c>
    </row>
    <row r="51" spans="2:6" x14ac:dyDescent="0.3">
      <c r="B51" s="83"/>
      <c r="C51" s="83"/>
      <c r="D51" s="83"/>
      <c r="E51" s="83"/>
      <c r="F51" s="83"/>
    </row>
  </sheetData>
  <mergeCells count="10">
    <mergeCell ref="B43:F43"/>
    <mergeCell ref="B27:H27"/>
    <mergeCell ref="B28:H28"/>
    <mergeCell ref="B24:H24"/>
    <mergeCell ref="B14:H14"/>
    <mergeCell ref="B26:H26"/>
    <mergeCell ref="B25:H25"/>
    <mergeCell ref="B31:G31"/>
    <mergeCell ref="C32:D32"/>
    <mergeCell ref="F32:G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ONeil</dc:creator>
  <cp:lastModifiedBy>Wrigley, William</cp:lastModifiedBy>
  <dcterms:created xsi:type="dcterms:W3CDTF">2018-01-11T18:44:31Z</dcterms:created>
  <dcterms:modified xsi:type="dcterms:W3CDTF">2021-06-17T13:54:59Z</dcterms:modified>
</cp:coreProperties>
</file>