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usepa-my.sharepoint.com/personal/purdy_mark_epa_gov/Documents/ICRs/2060-0338/TO TL/"/>
    </mc:Choice>
  </mc:AlternateContent>
  <xr:revisionPtr revIDLastSave="0" documentId="8_{1ACDDB68-09D6-42CF-A6C6-137E38E401BD}" xr6:coauthVersionLast="46" xr6:coauthVersionMax="46" xr10:uidLastSave="{00000000-0000-0000-0000-000000000000}"/>
  <bookViews>
    <workbookView xWindow="-19310" yWindow="1360" windowWidth="19420" windowHeight="10420" firstSheet="1" activeTab="3" xr2:uid="{25B14930-8D0E-4BA6-BEEB-96B199CCFCBF}"/>
  </bookViews>
  <sheets>
    <sheet name="Requirements for Cert and Comp" sheetId="12" r:id="rId1"/>
    <sheet name="Sector Production" sheetId="6" r:id="rId2"/>
    <sheet name="Total Respondent Burden Tally" sheetId="1" r:id="rId3"/>
    <sheet name="All Certification and Reporting" sheetId="9" r:id="rId4"/>
    <sheet name="Respondent Labor rates" sheetId="10" r:id="rId5"/>
    <sheet name="Truncated Charts" sheetId="13" r:id="rId6"/>
    <sheet name="IC Respondent Burden Tally" sheetId="8" r:id="rId7"/>
    <sheet name="PLT" sheetId="3" r:id="rId8"/>
    <sheet name="ABT" sheetId="2" r:id="rId9"/>
    <sheet name="In-Use Test " sheetId="4" r:id="rId10"/>
    <sheet name="SEA" sheetId="5" r:id="rId11"/>
    <sheet name="EPA Burden " sheetId="7" r:id="rId12"/>
    <sheet name="Regulatory Appendix" sheetId="11"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3" l="1"/>
  <c r="D34" i="13"/>
  <c r="D35" i="13"/>
  <c r="D36" i="13"/>
  <c r="D37" i="13"/>
  <c r="D33" i="13"/>
  <c r="F28" i="13"/>
  <c r="G22" i="13"/>
  <c r="G24" i="13"/>
  <c r="U17" i="9"/>
  <c r="B25" i="13" l="1"/>
  <c r="X43" i="9"/>
  <c r="K48" i="9"/>
  <c r="K47" i="9"/>
  <c r="R48" i="9" l="1"/>
  <c r="O48" i="9"/>
  <c r="S4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5" i="9"/>
  <c r="L31" i="9" l="1"/>
  <c r="L32" i="9"/>
  <c r="T32" i="9" s="1"/>
  <c r="H5" i="6"/>
  <c r="L20" i="9"/>
  <c r="T20" i="9" s="1"/>
  <c r="L21" i="9"/>
  <c r="Q21" i="9" s="1"/>
  <c r="L22" i="9"/>
  <c r="T22" i="9" s="1"/>
  <c r="L23" i="9"/>
  <c r="R23" i="9" s="1"/>
  <c r="L24" i="9"/>
  <c r="T24" i="9" s="1"/>
  <c r="L25" i="9"/>
  <c r="Q25" i="9" s="1"/>
  <c r="L19" i="9"/>
  <c r="L12" i="9"/>
  <c r="L13" i="9"/>
  <c r="L14" i="9"/>
  <c r="L15" i="9"/>
  <c r="L16" i="9"/>
  <c r="L17" i="9"/>
  <c r="L11" i="9"/>
  <c r="A48" i="6"/>
  <c r="A47" i="6"/>
  <c r="A46" i="6"/>
  <c r="A45" i="6"/>
  <c r="A44" i="6"/>
  <c r="A43" i="6"/>
  <c r="A42" i="6"/>
  <c r="Q29" i="9"/>
  <c r="Q30" i="9"/>
  <c r="Q31" i="9"/>
  <c r="Q33" i="9"/>
  <c r="Q34" i="9"/>
  <c r="Q35" i="9"/>
  <c r="Q36" i="9"/>
  <c r="Q37" i="9"/>
  <c r="Q38" i="9"/>
  <c r="Q39" i="9"/>
  <c r="Q40" i="9"/>
  <c r="Q41" i="9"/>
  <c r="Q42" i="9"/>
  <c r="Q43" i="9"/>
  <c r="Q44" i="9"/>
  <c r="Q24" i="9"/>
  <c r="Q19" i="9"/>
  <c r="M27" i="9"/>
  <c r="R25" i="9"/>
  <c r="T19" i="9"/>
  <c r="C17" i="13"/>
  <c r="C16" i="13" s="1"/>
  <c r="I19" i="1"/>
  <c r="I17" i="1"/>
  <c r="I18" i="1" s="1"/>
  <c r="I10" i="1"/>
  <c r="I11" i="1"/>
  <c r="I12" i="1"/>
  <c r="I13" i="1"/>
  <c r="I14" i="1"/>
  <c r="I15" i="1"/>
  <c r="I16" i="1"/>
  <c r="H20" i="1"/>
  <c r="D8" i="1"/>
  <c r="T44" i="9"/>
  <c r="R44" i="9"/>
  <c r="P44" i="9"/>
  <c r="O44" i="9"/>
  <c r="N44" i="9"/>
  <c r="T43" i="9"/>
  <c r="R43" i="9"/>
  <c r="O43" i="9"/>
  <c r="N43" i="9"/>
  <c r="T42" i="9"/>
  <c r="R42" i="9"/>
  <c r="O42" i="9"/>
  <c r="N42" i="9"/>
  <c r="T41" i="9"/>
  <c r="R41" i="9"/>
  <c r="O41" i="9"/>
  <c r="N41" i="9"/>
  <c r="T40" i="9"/>
  <c r="R40" i="9"/>
  <c r="O40" i="9"/>
  <c r="N40" i="9"/>
  <c r="T39" i="9"/>
  <c r="R39" i="9"/>
  <c r="O39" i="9"/>
  <c r="N39" i="9"/>
  <c r="T38" i="9"/>
  <c r="R38" i="9"/>
  <c r="O38" i="9"/>
  <c r="N38" i="9"/>
  <c r="T37" i="9"/>
  <c r="R37" i="9"/>
  <c r="Q48" i="9"/>
  <c r="O37" i="9"/>
  <c r="N37" i="9"/>
  <c r="N48" i="9" s="1"/>
  <c r="R29" i="9"/>
  <c r="R30" i="9"/>
  <c r="R31" i="9"/>
  <c r="R32" i="9"/>
  <c r="R33" i="9"/>
  <c r="R34" i="9"/>
  <c r="R35" i="9"/>
  <c r="R36" i="9"/>
  <c r="R19" i="9"/>
  <c r="R6" i="9"/>
  <c r="R7" i="9"/>
  <c r="R8" i="9"/>
  <c r="R9" i="9"/>
  <c r="R5" i="9"/>
  <c r="R3" i="13"/>
  <c r="R4" i="13"/>
  <c r="R5" i="13"/>
  <c r="R6" i="13"/>
  <c r="R7" i="13"/>
  <c r="R8" i="13"/>
  <c r="R9" i="13"/>
  <c r="R2" i="13"/>
  <c r="N11" i="13"/>
  <c r="M10" i="13"/>
  <c r="C10" i="13"/>
  <c r="D10" i="13"/>
  <c r="E10" i="13"/>
  <c r="F10" i="13"/>
  <c r="G10" i="13"/>
  <c r="H10" i="13"/>
  <c r="I10" i="13"/>
  <c r="J10" i="13"/>
  <c r="N10" i="13"/>
  <c r="O10" i="13"/>
  <c r="P10" i="13"/>
  <c r="Q10" i="13"/>
  <c r="T10" i="13"/>
  <c r="B10" i="13"/>
  <c r="T6" i="9"/>
  <c r="T7" i="9"/>
  <c r="T8" i="9"/>
  <c r="T9" i="9"/>
  <c r="T23" i="9"/>
  <c r="T29" i="9"/>
  <c r="T30" i="9"/>
  <c r="T31" i="9"/>
  <c r="T33" i="9"/>
  <c r="T34" i="9"/>
  <c r="T35" i="9"/>
  <c r="T36" i="9"/>
  <c r="T5" i="9"/>
  <c r="L7" i="9"/>
  <c r="P7" i="9"/>
  <c r="P19" i="6"/>
  <c r="D42" i="6"/>
  <c r="B45" i="6"/>
  <c r="D45" i="6" s="1"/>
  <c r="D46" i="6"/>
  <c r="B42" i="6"/>
  <c r="Q32" i="9" l="1"/>
  <c r="R22" i="9"/>
  <c r="Q22" i="9"/>
  <c r="R20" i="9"/>
  <c r="Q20" i="9"/>
  <c r="Q23" i="9"/>
  <c r="T21" i="9"/>
  <c r="R24" i="9"/>
  <c r="M28" i="9"/>
  <c r="B48" i="6"/>
  <c r="D48" i="6" s="1"/>
  <c r="D47" i="6"/>
  <c r="B47" i="6"/>
  <c r="B44" i="6"/>
  <c r="D44" i="6" s="1"/>
  <c r="A49" i="6"/>
  <c r="B43" i="6"/>
  <c r="T25" i="9"/>
  <c r="R21" i="9"/>
  <c r="R10" i="13"/>
  <c r="S10" i="13" s="1"/>
  <c r="B49" i="6" l="1"/>
  <c r="D43" i="6"/>
  <c r="D49" i="6" s="1"/>
  <c r="E49" i="6" l="1"/>
  <c r="K25" i="9" l="1"/>
  <c r="K24" i="9"/>
  <c r="K20" i="9"/>
  <c r="B39" i="6"/>
  <c r="Q10" i="9"/>
  <c r="Q11" i="9"/>
  <c r="Q12" i="9"/>
  <c r="Q13" i="9"/>
  <c r="Q14" i="9"/>
  <c r="Q15" i="9"/>
  <c r="Q16" i="9"/>
  <c r="Q17" i="9"/>
  <c r="K19" i="9"/>
  <c r="K22" i="9"/>
  <c r="K21" i="9"/>
  <c r="K23" i="9"/>
  <c r="B72" i="9"/>
  <c r="B71" i="9"/>
  <c r="B70" i="9"/>
  <c r="B69" i="9"/>
  <c r="B68" i="9"/>
  <c r="B67" i="9"/>
  <c r="B66" i="9"/>
  <c r="I9" i="6"/>
  <c r="P67" i="6"/>
  <c r="P66" i="6"/>
  <c r="L67" i="6"/>
  <c r="L66" i="6"/>
  <c r="P59" i="6"/>
  <c r="P58" i="6"/>
  <c r="L59" i="6"/>
  <c r="L58" i="6"/>
  <c r="P47" i="6"/>
  <c r="P46" i="6"/>
  <c r="L47" i="6"/>
  <c r="L46" i="6"/>
  <c r="P35" i="6"/>
  <c r="P34" i="6"/>
  <c r="L35" i="6"/>
  <c r="L34" i="6"/>
  <c r="P72" i="6"/>
  <c r="P71" i="6"/>
  <c r="M71" i="6"/>
  <c r="L71" i="6"/>
  <c r="T82" i="6"/>
  <c r="S82" i="6"/>
  <c r="T71" i="6"/>
  <c r="S71" i="6"/>
  <c r="N72" i="6"/>
  <c r="O72" i="6"/>
  <c r="N73" i="6"/>
  <c r="O73" i="6"/>
  <c r="N74" i="6"/>
  <c r="O74" i="6"/>
  <c r="N75" i="6"/>
  <c r="O75" i="6"/>
  <c r="N76" i="6"/>
  <c r="O76" i="6"/>
  <c r="N77" i="6"/>
  <c r="O77" i="6"/>
  <c r="N78" i="6"/>
  <c r="O78" i="6"/>
  <c r="N79" i="6"/>
  <c r="O79" i="6"/>
  <c r="O80" i="6"/>
  <c r="N82" i="6"/>
  <c r="O82" i="6"/>
  <c r="N83" i="6"/>
  <c r="O83" i="6"/>
  <c r="N84" i="6"/>
  <c r="O84" i="6"/>
  <c r="N85" i="6"/>
  <c r="O85" i="6"/>
  <c r="N86" i="6"/>
  <c r="O86" i="6"/>
  <c r="N87" i="6"/>
  <c r="O87" i="6"/>
  <c r="N88" i="6"/>
  <c r="O88" i="6"/>
  <c r="N89" i="6"/>
  <c r="O89" i="6"/>
  <c r="N90" i="6"/>
  <c r="O90" i="6"/>
  <c r="O71" i="6"/>
  <c r="N71" i="6"/>
  <c r="T12" i="9" l="1"/>
  <c r="R12" i="9"/>
  <c r="R16" i="9"/>
  <c r="T16" i="9"/>
  <c r="T13" i="9"/>
  <c r="R13" i="9"/>
  <c r="R14" i="9"/>
  <c r="T14" i="9"/>
  <c r="T17" i="9"/>
  <c r="R17" i="9"/>
  <c r="R11" i="9"/>
  <c r="T11" i="9"/>
  <c r="R15" i="9"/>
  <c r="T15" i="9"/>
  <c r="I6" i="6" l="1"/>
  <c r="H6" i="6"/>
  <c r="I5" i="6"/>
  <c r="M26" i="9" l="1"/>
  <c r="P18" i="6"/>
  <c r="P8" i="6"/>
  <c r="P10" i="6"/>
  <c r="P12" i="6"/>
  <c r="P13" i="6"/>
  <c r="P14" i="6"/>
  <c r="P16" i="6"/>
  <c r="P4" i="6"/>
  <c r="I8" i="6"/>
  <c r="I10" i="6"/>
  <c r="I12" i="6"/>
  <c r="I13" i="6"/>
  <c r="I14" i="6"/>
  <c r="I16" i="6"/>
  <c r="I18" i="6"/>
  <c r="I4" i="6"/>
  <c r="Q4" i="6"/>
  <c r="Q45" i="9"/>
  <c r="Q6" i="9"/>
  <c r="Q7" i="9"/>
  <c r="Q8" i="9"/>
  <c r="Q9" i="9"/>
  <c r="Q5" i="9"/>
  <c r="Q26" i="9" l="1"/>
  <c r="T26" i="9"/>
  <c r="R26" i="9"/>
  <c r="J16" i="1"/>
  <c r="D20" i="1"/>
  <c r="H17" i="1"/>
  <c r="G17" i="1"/>
  <c r="E17" i="1"/>
  <c r="D17" i="1"/>
  <c r="D22" i="1"/>
  <c r="D21" i="1"/>
  <c r="H37" i="6" l="1"/>
  <c r="G37" i="6"/>
  <c r="B37" i="6"/>
  <c r="E36" i="6"/>
  <c r="D36" i="6"/>
  <c r="C36" i="6"/>
  <c r="B36" i="6"/>
  <c r="I8" i="1" l="1"/>
  <c r="I9" i="1"/>
  <c r="I7" i="1"/>
  <c r="L27" i="9" l="1"/>
  <c r="Q27" i="9" s="1"/>
  <c r="X17" i="9"/>
  <c r="C7" i="1"/>
  <c r="E17" i="13" l="1"/>
  <c r="T27" i="9"/>
  <c r="R27" i="9"/>
  <c r="L28" i="9"/>
  <c r="Q28" i="9" s="1"/>
  <c r="Q46" i="9" s="1"/>
  <c r="V9" i="9"/>
  <c r="D4" i="10"/>
  <c r="D5" i="10"/>
  <c r="D6" i="10"/>
  <c r="D7" i="10"/>
  <c r="D3" i="10"/>
  <c r="E4" i="10"/>
  <c r="E3" i="10"/>
  <c r="H41" i="9"/>
  <c r="I41" i="9"/>
  <c r="J14" i="5"/>
  <c r="J6" i="5"/>
  <c r="J7" i="5"/>
  <c r="J8" i="5"/>
  <c r="J9" i="5"/>
  <c r="J10" i="5"/>
  <c r="J11" i="5"/>
  <c r="J12" i="5"/>
  <c r="J13" i="5"/>
  <c r="J5" i="5"/>
  <c r="I6" i="5"/>
  <c r="I7" i="5"/>
  <c r="I8" i="5"/>
  <c r="I9" i="5"/>
  <c r="I10" i="5"/>
  <c r="I11" i="5"/>
  <c r="I12" i="5"/>
  <c r="I13" i="5"/>
  <c r="C14" i="5"/>
  <c r="D14" i="5"/>
  <c r="E14" i="5"/>
  <c r="F14" i="5"/>
  <c r="G14" i="5"/>
  <c r="H14" i="5"/>
  <c r="B14" i="5"/>
  <c r="C20" i="4"/>
  <c r="D20" i="4"/>
  <c r="E20" i="4"/>
  <c r="F20" i="4"/>
  <c r="B20" i="4"/>
  <c r="J20" i="4" s="1"/>
  <c r="H25" i="4"/>
  <c r="I20" i="4"/>
  <c r="I6" i="4"/>
  <c r="I7" i="4"/>
  <c r="I8" i="4"/>
  <c r="I9" i="4"/>
  <c r="I10" i="4"/>
  <c r="I11" i="4"/>
  <c r="I12" i="4"/>
  <c r="I13" i="4"/>
  <c r="I14" i="4"/>
  <c r="I15" i="4"/>
  <c r="I16" i="4"/>
  <c r="I17" i="4"/>
  <c r="I18" i="4"/>
  <c r="I19" i="4"/>
  <c r="I5" i="4"/>
  <c r="H40" i="9"/>
  <c r="I40" i="9"/>
  <c r="J6" i="4"/>
  <c r="J7" i="4"/>
  <c r="J8" i="4"/>
  <c r="J9" i="4"/>
  <c r="J10" i="4"/>
  <c r="J11" i="4"/>
  <c r="J12" i="4"/>
  <c r="J13" i="4"/>
  <c r="J14" i="4"/>
  <c r="J15" i="4"/>
  <c r="J16" i="4"/>
  <c r="J17" i="4"/>
  <c r="J18" i="4"/>
  <c r="J19" i="4"/>
  <c r="J5" i="4"/>
  <c r="M17" i="4"/>
  <c r="M18" i="4"/>
  <c r="M19" i="4"/>
  <c r="M16" i="4"/>
  <c r="M10" i="4"/>
  <c r="M11" i="4"/>
  <c r="M9" i="4"/>
  <c r="M8" i="4"/>
  <c r="M11" i="3"/>
  <c r="M9" i="3"/>
  <c r="M8" i="3"/>
  <c r="M10" i="3"/>
  <c r="J20" i="6"/>
  <c r="Q6" i="6"/>
  <c r="Q47" i="9" l="1"/>
  <c r="R28" i="9"/>
  <c r="T28" i="9"/>
  <c r="R46" i="9"/>
  <c r="T45" i="9"/>
  <c r="T46" i="9" s="1"/>
  <c r="T47" i="9"/>
  <c r="I17" i="13"/>
  <c r="L38" i="9"/>
  <c r="L8" i="9"/>
  <c r="I38" i="9"/>
  <c r="I39" i="9"/>
  <c r="I42" i="9"/>
  <c r="I43" i="9"/>
  <c r="I44" i="9"/>
  <c r="H38" i="9"/>
  <c r="H39" i="9"/>
  <c r="H42" i="9"/>
  <c r="H43" i="9"/>
  <c r="H44" i="9"/>
  <c r="C11" i="7"/>
  <c r="C10" i="7"/>
  <c r="C6" i="7"/>
  <c r="C7" i="7"/>
  <c r="C8" i="7"/>
  <c r="I12" i="7"/>
  <c r="H12" i="7"/>
  <c r="J17" i="3" l="1"/>
  <c r="J18" i="3"/>
  <c r="J19" i="3"/>
  <c r="J6" i="3"/>
  <c r="J7" i="3"/>
  <c r="J8" i="3"/>
  <c r="J9" i="3"/>
  <c r="J10" i="3"/>
  <c r="J11" i="3"/>
  <c r="J12" i="3"/>
  <c r="J5" i="3"/>
  <c r="C20" i="3"/>
  <c r="D20" i="3"/>
  <c r="E20" i="3"/>
  <c r="F20" i="3"/>
  <c r="B20" i="3"/>
  <c r="I18" i="3"/>
  <c r="I19" i="3"/>
  <c r="I17" i="3"/>
  <c r="I6" i="3"/>
  <c r="I7" i="3"/>
  <c r="I8" i="3"/>
  <c r="I9" i="3"/>
  <c r="I10" i="3"/>
  <c r="I11" i="3"/>
  <c r="I12" i="3"/>
  <c r="I5" i="3"/>
  <c r="K20" i="6"/>
  <c r="J19" i="6"/>
  <c r="H15" i="9"/>
  <c r="H16" i="9"/>
  <c r="I6" i="9"/>
  <c r="I7" i="9"/>
  <c r="I8" i="9"/>
  <c r="I9" i="9"/>
  <c r="I11" i="9"/>
  <c r="I12" i="9"/>
  <c r="I13" i="9"/>
  <c r="I14" i="9"/>
  <c r="I15" i="9"/>
  <c r="I16" i="9"/>
  <c r="I17" i="9"/>
  <c r="I26" i="9"/>
  <c r="I27" i="9"/>
  <c r="I28" i="9"/>
  <c r="I29" i="9"/>
  <c r="I31" i="9"/>
  <c r="I32" i="9"/>
  <c r="I33" i="9"/>
  <c r="I34" i="9"/>
  <c r="I35" i="9"/>
  <c r="I36" i="9"/>
  <c r="I37" i="9"/>
  <c r="I5" i="9"/>
  <c r="X31" i="9"/>
  <c r="U10" i="9"/>
  <c r="Q3" i="6"/>
  <c r="X8" i="9"/>
  <c r="U9" i="9"/>
  <c r="U8" i="9"/>
  <c r="X32" i="9"/>
  <c r="H5" i="9"/>
  <c r="H6" i="9"/>
  <c r="I47" i="9" l="1"/>
  <c r="I20" i="3"/>
  <c r="J20" i="3"/>
  <c r="F45" i="9"/>
  <c r="M46" i="9"/>
  <c r="G45" i="9"/>
  <c r="E45" i="9"/>
  <c r="D45" i="9"/>
  <c r="C45" i="9"/>
  <c r="B45" i="9"/>
  <c r="H37" i="9"/>
  <c r="O36" i="9"/>
  <c r="H36" i="9"/>
  <c r="N36" i="9" s="1"/>
  <c r="O35" i="9"/>
  <c r="H35" i="9"/>
  <c r="N35" i="9" s="1"/>
  <c r="O34" i="9"/>
  <c r="H34" i="9"/>
  <c r="N34" i="9" s="1"/>
  <c r="L33" i="9"/>
  <c r="O33" i="9"/>
  <c r="H33" i="9"/>
  <c r="O32" i="9"/>
  <c r="H32" i="9"/>
  <c r="N32" i="9" s="1"/>
  <c r="O31" i="9"/>
  <c r="H31" i="9"/>
  <c r="N31" i="9" s="1"/>
  <c r="N29" i="9"/>
  <c r="O28" i="9"/>
  <c r="H28" i="9"/>
  <c r="N28" i="9" s="1"/>
  <c r="O27" i="9"/>
  <c r="H27" i="9"/>
  <c r="N27" i="9" s="1"/>
  <c r="O26" i="9"/>
  <c r="H26" i="9"/>
  <c r="N26" i="9" s="1"/>
  <c r="H17" i="9"/>
  <c r="N17" i="9" s="1"/>
  <c r="H14" i="9"/>
  <c r="N14" i="9" s="1"/>
  <c r="O13" i="9"/>
  <c r="H13" i="9"/>
  <c r="N13" i="9" s="1"/>
  <c r="H12" i="9"/>
  <c r="N12" i="9" s="1"/>
  <c r="H11" i="9"/>
  <c r="N11" i="9" s="1"/>
  <c r="O9" i="9"/>
  <c r="H9" i="9"/>
  <c r="N9" i="9" s="1"/>
  <c r="O8" i="9"/>
  <c r="H8" i="9"/>
  <c r="N8" i="9" s="1"/>
  <c r="O7" i="9"/>
  <c r="H7" i="9"/>
  <c r="N7" i="9" s="1"/>
  <c r="O6" i="9"/>
  <c r="N6" i="9"/>
  <c r="N46" i="9" l="1"/>
  <c r="N45" i="9" s="1"/>
  <c r="O11" i="9"/>
  <c r="I45" i="9"/>
  <c r="O12" i="9"/>
  <c r="O14" i="9"/>
  <c r="N33" i="9"/>
  <c r="N47" i="9" s="1"/>
  <c r="O17" i="9"/>
  <c r="H45" i="9"/>
  <c r="N5" i="9"/>
  <c r="O29" i="9"/>
  <c r="O5" i="9"/>
  <c r="I46" i="9"/>
  <c r="H17" i="13" l="1"/>
  <c r="B16" i="13" s="1"/>
  <c r="O47" i="9"/>
  <c r="O46" i="9"/>
  <c r="I28" i="8" l="1"/>
  <c r="I29" i="8"/>
  <c r="I30" i="8"/>
  <c r="I31" i="8"/>
  <c r="I35" i="8"/>
  <c r="I36" i="8"/>
  <c r="I37" i="8"/>
  <c r="I38" i="8"/>
  <c r="I39" i="8"/>
  <c r="I40" i="8"/>
  <c r="I41" i="8"/>
  <c r="G28" i="8"/>
  <c r="G29" i="8"/>
  <c r="G30" i="8"/>
  <c r="G31" i="8"/>
  <c r="G35" i="8"/>
  <c r="G36" i="8"/>
  <c r="G37" i="8"/>
  <c r="G38" i="8"/>
  <c r="G39" i="8"/>
  <c r="G40" i="8"/>
  <c r="G41" i="8"/>
  <c r="E28" i="8"/>
  <c r="E29" i="8"/>
  <c r="E30" i="8"/>
  <c r="E31" i="8"/>
  <c r="E32" i="8"/>
  <c r="E33" i="8"/>
  <c r="E34" i="8"/>
  <c r="E35" i="8"/>
  <c r="E36" i="8"/>
  <c r="E37" i="8"/>
  <c r="E38" i="8"/>
  <c r="E39" i="8"/>
  <c r="E40" i="8"/>
  <c r="E41" i="8"/>
  <c r="K27" i="8"/>
  <c r="G27" i="8"/>
  <c r="E27" i="8"/>
  <c r="M14" i="8"/>
  <c r="M15" i="8"/>
  <c r="M16" i="8"/>
  <c r="M17" i="8"/>
  <c r="M18" i="8"/>
  <c r="M19" i="8"/>
  <c r="M20" i="8"/>
  <c r="K11" i="8"/>
  <c r="K12" i="8"/>
  <c r="K13" i="8"/>
  <c r="K14" i="8"/>
  <c r="K15" i="8"/>
  <c r="K16" i="8"/>
  <c r="K17" i="8"/>
  <c r="K18" i="8"/>
  <c r="K19" i="8"/>
  <c r="K20" i="8"/>
  <c r="I14" i="8"/>
  <c r="I15" i="8"/>
  <c r="I16" i="8"/>
  <c r="I17" i="8"/>
  <c r="I18" i="8"/>
  <c r="I19" i="8"/>
  <c r="I20" i="8"/>
  <c r="G14" i="8"/>
  <c r="G15" i="8"/>
  <c r="G16" i="8"/>
  <c r="G17" i="8"/>
  <c r="G18" i="8"/>
  <c r="G19" i="8"/>
  <c r="G20" i="8"/>
  <c r="E11" i="8"/>
  <c r="E12" i="8"/>
  <c r="E13" i="8"/>
  <c r="E14" i="8"/>
  <c r="E15" i="8"/>
  <c r="E16" i="8"/>
  <c r="E17" i="8"/>
  <c r="E18" i="8"/>
  <c r="E19" i="8"/>
  <c r="E20" i="8"/>
  <c r="M10" i="8"/>
  <c r="K10" i="8"/>
  <c r="I10" i="8"/>
  <c r="G10" i="8"/>
  <c r="E10" i="8"/>
  <c r="M7" i="8"/>
  <c r="K7" i="8"/>
  <c r="I7" i="8"/>
  <c r="G7" i="8"/>
  <c r="E7" i="8"/>
  <c r="K6" i="8"/>
  <c r="I6" i="8"/>
  <c r="G6" i="8"/>
  <c r="E6" i="8"/>
  <c r="AG5" i="8"/>
  <c r="AE5" i="8"/>
  <c r="AC5" i="8"/>
  <c r="AA5" i="8"/>
  <c r="Y5" i="8"/>
  <c r="N6" i="8"/>
  <c r="J117" i="8"/>
  <c r="N116" i="8"/>
  <c r="L116" i="8"/>
  <c r="H116" i="8"/>
  <c r="F116" i="8"/>
  <c r="N115" i="8"/>
  <c r="L115" i="8"/>
  <c r="H115" i="8"/>
  <c r="F115" i="8"/>
  <c r="N114" i="8"/>
  <c r="L114" i="8"/>
  <c r="H114" i="8"/>
  <c r="F114" i="8"/>
  <c r="N111" i="8"/>
  <c r="L111" i="8"/>
  <c r="H111" i="8"/>
  <c r="F111" i="8"/>
  <c r="J97" i="8"/>
  <c r="N96" i="8"/>
  <c r="L96" i="8"/>
  <c r="H96" i="8"/>
  <c r="F96" i="8"/>
  <c r="N95" i="8"/>
  <c r="L95" i="8"/>
  <c r="H95" i="8"/>
  <c r="F95" i="8"/>
  <c r="N94" i="8"/>
  <c r="L94" i="8"/>
  <c r="H94" i="8"/>
  <c r="F94" i="8"/>
  <c r="N90" i="8"/>
  <c r="L90" i="8"/>
  <c r="H90" i="8"/>
  <c r="F90" i="8"/>
  <c r="J76" i="8"/>
  <c r="N75" i="8"/>
  <c r="L75" i="8"/>
  <c r="H75" i="8"/>
  <c r="F75" i="8"/>
  <c r="N74" i="8"/>
  <c r="L74" i="8"/>
  <c r="H74" i="8"/>
  <c r="F74" i="8"/>
  <c r="N73" i="8"/>
  <c r="L73" i="8"/>
  <c r="H73" i="8"/>
  <c r="F73" i="8"/>
  <c r="N69" i="8"/>
  <c r="L69" i="8"/>
  <c r="H69" i="8"/>
  <c r="F69" i="8"/>
  <c r="J55" i="8"/>
  <c r="N54" i="8"/>
  <c r="L54" i="8"/>
  <c r="H54" i="8"/>
  <c r="F54" i="8"/>
  <c r="N53" i="8"/>
  <c r="L53" i="8"/>
  <c r="H53" i="8"/>
  <c r="F53" i="8"/>
  <c r="N52" i="8"/>
  <c r="L52" i="8"/>
  <c r="H52" i="8"/>
  <c r="F52" i="8"/>
  <c r="N48" i="8"/>
  <c r="L48" i="8"/>
  <c r="H48" i="8"/>
  <c r="F48" i="8"/>
  <c r="J34" i="8"/>
  <c r="N33" i="8"/>
  <c r="L33" i="8"/>
  <c r="H33" i="8"/>
  <c r="I33" i="8" s="1"/>
  <c r="F33" i="8"/>
  <c r="G33" i="8" s="1"/>
  <c r="N32" i="8"/>
  <c r="L32" i="8"/>
  <c r="H32" i="8"/>
  <c r="I32" i="8" s="1"/>
  <c r="F32" i="8"/>
  <c r="G32" i="8" s="1"/>
  <c r="N31" i="8"/>
  <c r="L31" i="8"/>
  <c r="N27" i="8"/>
  <c r="L27" i="8"/>
  <c r="M27" i="8" s="1"/>
  <c r="H27" i="8"/>
  <c r="I27" i="8" s="1"/>
  <c r="J13" i="8"/>
  <c r="N12" i="8"/>
  <c r="L12" i="8"/>
  <c r="M12" i="8" s="1"/>
  <c r="H12" i="8"/>
  <c r="I12" i="8" s="1"/>
  <c r="F12" i="8"/>
  <c r="G12" i="8" s="1"/>
  <c r="N11" i="8"/>
  <c r="L11" i="8"/>
  <c r="M11" i="8" s="1"/>
  <c r="H11" i="8"/>
  <c r="I11" i="8" s="1"/>
  <c r="F11" i="8"/>
  <c r="G11" i="8" s="1"/>
  <c r="N10" i="8"/>
  <c r="L6" i="8"/>
  <c r="M6" i="8" s="1"/>
  <c r="H10" i="6"/>
  <c r="H9" i="6"/>
  <c r="H8" i="6"/>
  <c r="H7" i="6"/>
  <c r="H19" i="6"/>
  <c r="H4" i="6"/>
  <c r="H3" i="6"/>
  <c r="H14" i="6"/>
  <c r="H11" i="6"/>
  <c r="H18" i="6"/>
  <c r="H17" i="6"/>
  <c r="H16" i="6"/>
  <c r="H15" i="6"/>
  <c r="I20" i="6" l="1"/>
  <c r="H20" i="6"/>
  <c r="P6" i="8"/>
  <c r="N76" i="8"/>
  <c r="L97" i="8"/>
  <c r="L117" i="8"/>
  <c r="N97" i="8"/>
  <c r="H117" i="8"/>
  <c r="H97" i="8"/>
  <c r="F34" i="8"/>
  <c r="G34" i="8" s="1"/>
  <c r="F13" i="8"/>
  <c r="G13" i="8" s="1"/>
  <c r="N117" i="8"/>
  <c r="H13" i="8"/>
  <c r="I13" i="8" s="1"/>
  <c r="L34" i="8"/>
  <c r="H34" i="8"/>
  <c r="I34" i="8" s="1"/>
  <c r="L13" i="8"/>
  <c r="M13" i="8" s="1"/>
  <c r="L55" i="8"/>
  <c r="F55" i="8"/>
  <c r="H55" i="8"/>
  <c r="F76" i="8"/>
  <c r="H76" i="8"/>
  <c r="L76" i="8"/>
  <c r="F97" i="8"/>
  <c r="F117" i="8"/>
  <c r="N34" i="8"/>
  <c r="N55" i="8"/>
  <c r="N13" i="8"/>
  <c r="P6" i="6" l="1"/>
  <c r="I21" i="7"/>
  <c r="E13" i="7"/>
  <c r="F11" i="7"/>
  <c r="H11" i="7" s="1"/>
  <c r="D11" i="7"/>
  <c r="F10" i="7"/>
  <c r="H10" i="7" s="1"/>
  <c r="D10" i="7"/>
  <c r="F9" i="7"/>
  <c r="H9" i="7" s="1"/>
  <c r="D9" i="7"/>
  <c r="I9" i="7" s="1"/>
  <c r="F8" i="7"/>
  <c r="H8" i="7" s="1"/>
  <c r="D8" i="7"/>
  <c r="I8" i="7" s="1"/>
  <c r="F7" i="7"/>
  <c r="H7" i="7" s="1"/>
  <c r="D7" i="7"/>
  <c r="F6" i="7"/>
  <c r="H6" i="7" s="1"/>
  <c r="D6" i="7"/>
  <c r="N19" i="6"/>
  <c r="L15" i="5"/>
  <c r="P13" i="5"/>
  <c r="O13" i="5"/>
  <c r="O12" i="5"/>
  <c r="P12" i="5"/>
  <c r="O11" i="5"/>
  <c r="P11" i="5"/>
  <c r="P10" i="5"/>
  <c r="O10" i="5"/>
  <c r="P9" i="5"/>
  <c r="O9" i="5"/>
  <c r="P8" i="5"/>
  <c r="O8" i="5"/>
  <c r="P7" i="5"/>
  <c r="O7" i="5"/>
  <c r="O6" i="5"/>
  <c r="P6" i="5"/>
  <c r="I5" i="5"/>
  <c r="I21" i="4"/>
  <c r="P19" i="4"/>
  <c r="O19" i="4"/>
  <c r="O18" i="4"/>
  <c r="P18" i="4"/>
  <c r="O17" i="4"/>
  <c r="P17" i="4"/>
  <c r="P16" i="4"/>
  <c r="O16" i="4"/>
  <c r="L16" i="4"/>
  <c r="O15" i="4"/>
  <c r="L15" i="4"/>
  <c r="P15" i="4" s="1"/>
  <c r="O14" i="4"/>
  <c r="L14" i="4"/>
  <c r="P14" i="4" s="1"/>
  <c r="O12" i="4"/>
  <c r="P12" i="4"/>
  <c r="O11" i="4"/>
  <c r="P11" i="4"/>
  <c r="O10" i="4"/>
  <c r="P10" i="4"/>
  <c r="O9" i="4"/>
  <c r="P9" i="4"/>
  <c r="O8" i="4"/>
  <c r="P8" i="4"/>
  <c r="P7" i="4"/>
  <c r="O7" i="4"/>
  <c r="O6" i="4"/>
  <c r="P6" i="4"/>
  <c r="O5" i="4"/>
  <c r="J21" i="4"/>
  <c r="O19" i="3"/>
  <c r="P19" i="3"/>
  <c r="O18" i="3"/>
  <c r="P18" i="3"/>
  <c r="O17" i="3"/>
  <c r="P17" i="3"/>
  <c r="O16" i="3"/>
  <c r="L16" i="3"/>
  <c r="O15" i="3"/>
  <c r="L15" i="3"/>
  <c r="O14" i="3"/>
  <c r="L14" i="3"/>
  <c r="O12" i="3"/>
  <c r="P12" i="3"/>
  <c r="O11" i="3"/>
  <c r="P11" i="3"/>
  <c r="O10" i="3"/>
  <c r="P10" i="3"/>
  <c r="O9" i="3"/>
  <c r="P9" i="3"/>
  <c r="O8" i="3"/>
  <c r="P8" i="3"/>
  <c r="O7" i="3"/>
  <c r="P7" i="3"/>
  <c r="O6" i="3"/>
  <c r="P6" i="3"/>
  <c r="O5" i="3"/>
  <c r="J10" i="2"/>
  <c r="J11" i="2" s="1"/>
  <c r="G10" i="2"/>
  <c r="E10" i="2"/>
  <c r="D10" i="2"/>
  <c r="C10" i="2"/>
  <c r="B10" i="2"/>
  <c r="L9" i="2"/>
  <c r="H9" i="2"/>
  <c r="M9" i="2" s="1"/>
  <c r="L8" i="2"/>
  <c r="H8" i="2"/>
  <c r="M8" i="2" s="1"/>
  <c r="L7" i="2"/>
  <c r="H7" i="2"/>
  <c r="M7" i="2" s="1"/>
  <c r="L6" i="2"/>
  <c r="H6" i="2"/>
  <c r="M6" i="2" s="1"/>
  <c r="L5" i="2"/>
  <c r="H5" i="2"/>
  <c r="F8" i="1"/>
  <c r="L21" i="3" l="1"/>
  <c r="L22" i="3" s="1"/>
  <c r="O21" i="4"/>
  <c r="I6" i="7"/>
  <c r="I10" i="7"/>
  <c r="I7" i="7"/>
  <c r="I11" i="7"/>
  <c r="P15" i="3"/>
  <c r="P16" i="3"/>
  <c r="O21" i="3"/>
  <c r="J21" i="3"/>
  <c r="H12" i="2"/>
  <c r="H10" i="2"/>
  <c r="H11" i="2"/>
  <c r="L11" i="2"/>
  <c r="E8" i="1"/>
  <c r="H8" i="1"/>
  <c r="G8" i="1"/>
  <c r="H13" i="7"/>
  <c r="I14" i="5"/>
  <c r="J15" i="5"/>
  <c r="O5" i="5"/>
  <c r="O15" i="5" s="1"/>
  <c r="P5" i="5"/>
  <c r="P15" i="5" s="1"/>
  <c r="P5" i="4"/>
  <c r="P21" i="4" s="1"/>
  <c r="L21" i="4"/>
  <c r="P5" i="3"/>
  <c r="P14" i="3"/>
  <c r="M5" i="2"/>
  <c r="M11" i="2" s="1"/>
  <c r="I13" i="7" l="1"/>
  <c r="I23" i="7" s="1"/>
  <c r="P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tc={A5F3A3D6-3B52-4687-803E-2E4592B26152}</author>
    <author>tc={B1C07BAC-7237-4057-A02D-3DC89C4ECC2D}</author>
  </authors>
  <commentList>
    <comment ref="C6" authorId="0" shapeId="0" xr:uid="{A5F3A3D6-3B52-4687-803E-2E4592B26152}">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A14" authorId="1" shapeId="0" xr:uid="{B1C07BAC-7237-4057-A02D-3DC89C4ECC2D}">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tc={B317B92B-CFD7-4C2D-BA9A-36641AC5ACE9}</author>
    <author>tc={849ACB57-5197-4514-BE46-6B662A6167E5}</author>
    <author>Davis, Julian</author>
    <author>tc={F7C3CC72-A9D4-4C53-B300-998CF8BB4D44}</author>
    <author>tc={0A41E9EB-DC67-4558-944F-A3109D38B08B}</author>
    <author>tc={A850790A-A1D0-481F-BF73-F8480F49A685}</author>
    <author>tc={42BD1206-3B40-492C-8175-BE333DD301CA}</author>
    <author>tc={BC684558-7A29-4914-8AA8-3354EB6D0FD1}</author>
    <author>tc={0BA90EF3-B820-48EE-A184-16CE231034D4}</author>
    <author>tc={8649D729-E25C-4224-A78A-83AD3AD50347}</author>
    <author>tc={045D2EC5-DA94-4227-BD6B-8DB38E26FE17}</author>
    <author>tc={1F32EE6D-F51E-451B-AC09-82F77DAFCC8C}</author>
    <author>tc={F137CF1B-3E8C-4E22-A67F-6C81F1A4515C}</author>
    <author>tc={5B156BF3-182A-49D4-9D64-F10A2F855D2E}</author>
    <author>tc={8AA4E1DF-79A5-43AA-B9F2-2713CB88BC82}</author>
    <author>tc={513052D9-D0C0-4019-9CB1-F4032D95B23D}</author>
    <author>tc={99AA9AC0-3F91-43C9-9874-BB20C0767696}</author>
    <author>tc={EBA92681-9D3A-48C3-9EC1-C0E88E74260F}</author>
    <author>tc={4907CBBD-D748-4360-8A1C-C5544B746B43}</author>
    <author>tc={F05A0AB2-ECB0-4EA7-BFDE-B2624A0CF57B}</author>
    <author>tc={FA7FF0B0-ACDB-4234-ACB3-B4DC0A5ECAEB}</author>
    <author>tc={8C93FEED-99D7-4696-B7C5-3E905B0DF7AB}</author>
    <author>tc={A4071904-6714-4C7C-A36B-BB674A69D2DD}</author>
    <author>tc={D7FEDBAA-654F-4B26-9DA6-151893E4E771}</author>
  </authors>
  <commentList>
    <comment ref="M1" authorId="0" shapeId="0" xr:uid="{B317B92B-CFD7-4C2D-BA9A-36641AC5ACE9}">
      <text>
        <t>[Threaded comment]
Your version of Excel allows you to read this threaded comment; however, any edits to it will get removed if the file is opened in a newer version of Excel. Learn more: https://go.microsoft.com/fwlink/?linkid=870924
Comment:
    We may not have calculated the number of applications that were carryover. recalculate...</t>
      </text>
    </comment>
    <comment ref="F4" authorId="1" shapeId="0" xr:uid="{849ACB57-5197-4514-BE46-6B662A6167E5}">
      <text>
        <t>[Threaded comment]
Your version of Excel allows you to read this threaded comment; however, any edits to it will get removed if the file is opened in a newer version of Excel. Learn more: https://go.microsoft.com/fwlink/?linkid=870924
Comment:
    We are ending a separate category for this column as this activity is now accounted for under the Technician column.</t>
      </text>
    </comment>
    <comment ref="J4" authorId="2" shapeId="0" xr:uid="{D7897A10-E081-4663-9529-38B9BA6C4976}">
      <text>
        <r>
          <rPr>
            <b/>
            <sz val="9"/>
            <color indexed="81"/>
            <rFont val="Tahoma"/>
            <family val="2"/>
          </rPr>
          <t>Davis, Julian:</t>
        </r>
        <r>
          <rPr>
            <sz val="9"/>
            <color indexed="81"/>
            <rFont val="Tahoma"/>
            <family val="2"/>
          </rPr>
          <t xml:space="preserve">
Capital costs have been assumed to be $0.00 due to being far outside the ten-year period following original promulgation. We do not expect continued Capital cost but refer to the Operation and Maintenance cost at this point in time.</t>
        </r>
      </text>
    </comment>
    <comment ref="K5" authorId="3" shapeId="0" xr:uid="{F7C3CC72-A9D4-4C53-B300-998CF8BB4D44}">
      <text>
        <t>[Threaded comment]
Your version of Excel allows you to read this threaded comment; however, any edits to it will get removed if the file is opened in a newer version of Excel. Learn more: https://go.microsoft.com/fwlink/?linkid=870924
Comment:
    Adjusted by the CPI from the previous 2018 estimate.</t>
      </text>
    </comment>
    <comment ref="M7" authorId="4" shapeId="0" xr:uid="{0A41E9EB-DC67-4558-944F-A3109D38B08B}">
      <text>
        <t>[Threaded comment]
Your version of Excel allows you to read this threaded comment; however, any edits to it will get removed if the file is opened in a newer version of Excel. Learn more: https://go.microsoft.com/fwlink/?linkid=870924
Comment:
    The number of manufacturers minus the evaporative component manufacturers. (R7)</t>
      </text>
    </comment>
    <comment ref="A8" authorId="5" shapeId="0" xr:uid="{A850790A-A1D0-481F-BF73-F8480F49A685}">
      <text>
        <t>[Threaded comment]
Your version of Excel allows you to read this threaded comment; however, any edits to it will get removed if the file is opened in a newer version of Excel. Learn more: https://go.microsoft.com/fwlink/?linkid=870924
Comment:
    All testing is calculated below for in-house testing and contractor testing.</t>
      </text>
    </comment>
    <comment ref="K9" authorId="6" shapeId="0" xr:uid="{42BD1206-3B40-492C-8175-BE333DD301CA}">
      <text>
        <t>[Threaded comment]
Your version of Excel allows you to read this threaded comment; however, any edits to it will get removed if the file is opened in a newer version of Excel. Learn more: https://go.microsoft.com/fwlink/?linkid=870924
Comment:
    Adjusted for 2021 by the CPI. We state the following in the Supporting Statement, "Engine manufacturers that have in-house testing facilities use them for all their certification and compliance testing needs as well as for research and development. The cost of maintaining these laboratories have been estimated at $73,300 per year. This estimate (which appears under the certification program estimates) includes the cost of test fuels, calibration gases and equipment."</t>
      </text>
    </comment>
    <comment ref="U10" authorId="7" shapeId="0" xr:uid="{BC684558-7A29-4914-8AA8-3354EB6D0FD1}">
      <text>
        <t>[Threaded comment]
Your version of Excel allows you to read this threaded comment; however, any edits to it will get removed if the file is opened in a newer version of Excel. Learn more: https://go.microsoft.com/fwlink/?linkid=870924
Comment:
    Running change estimation</t>
      </text>
    </comment>
    <comment ref="J11" authorId="8" shapeId="0" xr:uid="{0BA90EF3-B820-48EE-A184-16CE231034D4}">
      <text>
        <t>[Threaded comment]
Your version of Excel allows you to read this threaded comment; however, any edits to it will get removed if the file is opened in a newer version of Excel. Learn more: https://go.microsoft.com/fwlink/?linkid=870924
Comment:
    These O&amp;M costs were calculated in the above "Lab Maintenance" cell.</t>
      </text>
    </comment>
    <comment ref="M11" authorId="9" shapeId="0" xr:uid="{8649D729-E25C-4224-A78A-83AD3AD50347}">
      <text>
        <t>[Threaded comment]
Your version of Excel allows you to read this threaded comment; however, any edits to it will get removed if the file is opened in a newer version of Excel. Learn more: https://go.microsoft.com/fwlink/?linkid=870924
Comment:
    For testing, these are individual engine families (certificates).</t>
      </text>
    </comment>
    <comment ref="A18" authorId="10" shapeId="0" xr:uid="{045D2EC5-DA94-4227-BD6B-8DB38E26FE17}">
      <text>
        <t>[Threaded comment]
Your version of Excel allows you to read this threaded comment; however, any edits to it will get removed if the file is opened in a newer version of Excel. Learn more: https://go.microsoft.com/fwlink/?linkid=870924
Comment:
    This section for testing would be a subset of the above "new" test data for cert, durability, evap.</t>
      </text>
    </comment>
    <comment ref="K19" authorId="11" shapeId="0" xr:uid="{1F32EE6D-F51E-451B-AC09-82F77DAFCC8C}">
      <text>
        <t>[Threaded comment]
Your version of Excel allows you to read this threaded comment; however, any edits to it will get removed if the file is opened in a newer version of Excel. Learn more: https://go.microsoft.com/fwlink/?linkid=870924
Comment:
    If the above 79,952.08 for O&amp;M on Lab maintenance, why these estimates for O&amp;M?</t>
      </text>
    </comment>
    <comment ref="K24" authorId="12" shapeId="0" xr:uid="{F137CF1B-3E8C-4E22-A67F-6C81F1A4515C}">
      <text>
        <t>[Threaded comment]
Your version of Excel allows you to read this threaded comment; however, any edits to it will get removed if the file is opened in a newer version of Excel. Learn more: https://go.microsoft.com/fwlink/?linkid=870924
Comment:
    This figure represents the average cost for both fuel lines and fuel tanks for certification testing.</t>
      </text>
    </comment>
    <comment ref="A34" authorId="13" shapeId="0" xr:uid="{5B156BF3-182A-49D4-9D64-F10A2F855D2E}">
      <text>
        <t>[Threaded comment]
Your version of Excel allows you to read this threaded comment; however, any edits to it will get removed if the file is opened in a newer version of Excel. Learn more: https://go.microsoft.com/fwlink/?linkid=870924
Comment:
    Applies to Small SI manufacutrers only</t>
      </text>
    </comment>
    <comment ref="K37" authorId="14" shapeId="0" xr:uid="{8AA4E1DF-79A5-43AA-B9F2-2713CB88BC82}">
      <text>
        <t>[Threaded comment]
Your version of Excel allows you to read this threaded comment; however, any edits to it will get removed if the file is opened in a newer version of Excel. Learn more: https://go.microsoft.com/fwlink/?linkid=870924
Comment:
    For O&amp;M cost for reporting obligations we computed the average cost to maintain a computer system as the cost of labor and repair, in addtion to office and computig supplies per unit. Assesed expenses include $65 labor charge and ~$100 for parts and repair.</t>
      </text>
    </comment>
    <comment ref="K38" authorId="15" shapeId="0" xr:uid="{513052D9-D0C0-4019-9CB1-F4032D95B23D}">
      <text>
        <t>[Threaded comment]
Your version of Excel allows you to read this threaded comment; however, any edits to it will get removed if the file is opened in a newer version of Excel. Learn more: https://go.microsoft.com/fwlink/?linkid=870924
Comment:
    O&amp;M cost include test cell maintenance outside that accounted for in certification testing above.</t>
      </text>
    </comment>
    <comment ref="K40" authorId="16" shapeId="0" xr:uid="{99AA9AC0-3F91-43C9-9874-BB20C0767696}">
      <text>
        <t>[Threaded comment]
Your version of Excel allows you to read this threaded comment; however, any edits to it will get removed if the file is opened in a newer version of Excel. Learn more: https://go.microsoft.com/fwlink/?linkid=870924
Comment:
    O&amp;M cost include test cell maintenance outside that accounted for in certification testing above.</t>
      </text>
    </comment>
    <comment ref="B42" authorId="17" shapeId="0" xr:uid="{EBA92681-9D3A-48C3-9EC1-C0E88E74260F}">
      <text>
        <t>[Threaded comment]
Your version of Excel allows you to read this threaded comment; however, any edits to it will get removed if the file is opened in a newer version of Excel. Learn more: https://go.microsoft.com/fwlink/?linkid=870924
Comment:
    Determine whether a substantial number have exceeded 1068 Part F requirements. File a defect and determine if recall is warranted.</t>
      </text>
    </comment>
    <comment ref="B43" authorId="18" shapeId="0" xr:uid="{4907CBBD-D748-4360-8A1C-C5544B746B43}">
      <text>
        <t>[Threaded comment]
Your version of Excel allows you to read this threaded comment; however, any edits to it will get removed if the file is opened in a newer version of Excel. Learn more: https://go.microsoft.com/fwlink/?linkid=870924
Comment:
    Determine a "fix" for the recall condition. Some recalls are for labelling issues only.</t>
      </text>
    </comment>
    <comment ref="E43" authorId="19" shapeId="0" xr:uid="{F05A0AB2-ECB0-4EA7-BFDE-B2624A0CF57B}">
      <text>
        <t>[Threaded comment]
Your version of Excel allows you to read this threaded comment; however, any edits to it will get removed if the file is opened in a newer version of Excel. Learn more: https://go.microsoft.com/fwlink/?linkid=870924
Comment:
    Test to conduct proper resolution for a voluntary recall.</t>
      </text>
    </comment>
    <comment ref="L43" authorId="20" shapeId="0" xr:uid="{FA7FF0B0-ACDB-4234-ACB3-B4DC0A5ECAEB}">
      <text>
        <t>[Threaded comment]
Your version of Excel allows you to read this threaded comment; however, any edits to it will get removed if the file is opened in a newer version of Excel. Learn more: https://go.microsoft.com/fwlink/?linkid=870924
Comment:
    Recall reports are on a quarterly basis, similar to PLT reporting.</t>
      </text>
    </comment>
    <comment ref="K47" authorId="21" shapeId="0" xr:uid="{8C93FEED-99D7-4696-B7C5-3E905B0DF7AB}">
      <text>
        <t>[Threaded comment]
Your version of Excel allows you to read this threaded comment; however, any edits to it will get removed if the file is opened in a newer version of Excel. Learn more: https://go.microsoft.com/fwlink/?linkid=870924
Comment:
    Certification only.</t>
      </text>
    </comment>
    <comment ref="K48" authorId="22" shapeId="0" xr:uid="{A4071904-6714-4C7C-A36B-BB674A69D2DD}">
      <text>
        <t>[Threaded comment]
Your version of Excel allows you to read this threaded comment; however, any edits to it will get removed if the file is opened in a newer version of Excel. Learn more: https://go.microsoft.com/fwlink/?linkid=870924
Comment:
    Certification only.</t>
      </text>
    </comment>
    <comment ref="B66" authorId="23" shapeId="0" xr:uid="{D7FEDBAA-654F-4B26-9DA6-151893E4E771}">
      <text>
        <t>[Threaded comment]
Your version of Excel allows you to read this threaded comment; however, any edits to it will get removed if the file is opened in a newer version of Excel. Learn more: https://go.microsoft.com/fwlink/?linkid=870924
Comment:
    If the above 79,952.08 for O&amp;M on Lab maintenance, why these estimates for O&amp;M?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tc={F3564927-A8B6-4592-A7A3-04AF698004F7}</author>
    <author>tc={C326D2CA-25F2-4CEF-B50B-A45737C096ED}</author>
    <author>tc={2C3709FF-4C24-4AD8-8220-2A98E185DDFA}</author>
    <author>tc={28B26308-BE9D-4843-BED6-6C373D40DDAF}</author>
    <author>tc={A94A14AB-FD69-4AB2-B546-F2F146C524D6}</author>
    <author>tc={E2730F08-37B3-4BEC-9331-04403CE8469E}</author>
    <author>tc={2E5AE664-A421-4EBF-8105-CC2C06E03C86}</author>
    <author>tc={8F28CAD3-4183-4665-BCC2-C9028C1C48F6}</author>
    <author>tc={733BD2D2-02BB-4B44-93EC-EC7388350099}</author>
    <author>tc={72BFBB8D-A9E5-4AD7-8F91-3D2362834923}</author>
    <author>tc={B6061DE6-0BA8-48F5-9653-156CCF521B4A}</author>
    <author>tc={2BF92AD4-BD19-4AC1-ABA3-DFE724B24A8C}</author>
    <author>tc={F31BDF07-4E5A-4E38-B005-70D6F07C330F}</author>
    <author>tc={76FC81C9-C6A4-4690-956D-BC0D526B4E66}</author>
  </authors>
  <commentList>
    <comment ref="N5" authorId="0" shapeId="0" xr:uid="{F3564927-A8B6-4592-A7A3-04AF698004F7}">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A19" authorId="1" shapeId="0" xr:uid="{C326D2CA-25F2-4CEF-B50B-A45737C096ED}">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 ref="N26" authorId="2" shapeId="0" xr:uid="{2C3709FF-4C24-4AD8-8220-2A98E185DDFA}">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A40" authorId="3" shapeId="0" xr:uid="{28B26308-BE9D-4843-BED6-6C373D40DDAF}">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 ref="N47" authorId="4" shapeId="0" xr:uid="{A94A14AB-FD69-4AB2-B546-F2F146C524D6}">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P49" authorId="5" shapeId="0" xr:uid="{E2730F08-37B3-4BEC-9331-04403CE8469E}">
      <text>
        <t>[Threaded comment]
Your version of Excel allows you to read this threaded comment; however, any edits to it will get removed if the file is opened in a newer version of Excel. Learn more: https://go.microsoft.com/fwlink/?linkid=870924
Comment:
    1048.501(d) In place of the provisions of 40 CFR 1065.405, you may consider emission levels stable without measurement after 50 hours of engine operation.</t>
      </text>
    </comment>
    <comment ref="A61" authorId="6" shapeId="0" xr:uid="{2E5AE664-A421-4EBF-8105-CC2C06E03C86}">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 ref="N68" authorId="7" shapeId="0" xr:uid="{8F28CAD3-4183-4665-BCC2-C9028C1C48F6}">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P70" authorId="8" shapeId="0" xr:uid="{733BD2D2-02BB-4B44-93EC-EC7388350099}">
      <text>
        <t>[Threaded comment]
Your version of Excel allows you to read this threaded comment; however, any edits to it will get removed if the file is opened in a newer version of Excel. Learn more: https://go.microsoft.com/fwlink/?linkid=870924
Comment:
    1045.501(e) Engine stabilization. Instead of the provisions of 40 CFR 1065.405, you may consider emission levels stable without measurement after 12 hours of engine operation.</t>
      </text>
    </comment>
    <comment ref="A82" authorId="9" shapeId="0" xr:uid="{72BFBB8D-A9E5-4AD7-8F91-3D2362834923}">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 ref="N89" authorId="10" shapeId="0" xr:uid="{B6061DE6-0BA8-48F5-9653-156CCF521B4A}">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A103" authorId="11" shapeId="0" xr:uid="{2BF92AD4-BD19-4AC1-ABA3-DFE724B24A8C}">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 ref="N110" authorId="12" shapeId="0" xr:uid="{F31BDF07-4E5A-4E38-B005-70D6F07C330F}">
      <text>
        <t>[Threaded comment]
Your version of Excel allows you to read this threaded comment; however, any edits to it will get removed if the file is opened in a newer version of Excel. Learn more: https://go.microsoft.com/fwlink/?linkid=870924
Comment:
    May not be necessary for our calculation</t>
      </text>
    </comment>
    <comment ref="A123" authorId="13" shapeId="0" xr:uid="{76FC81C9-C6A4-4690-956D-BC0D526B4E66}">
      <text>
        <t>[Threaded comment]
Your version of Excel allows you to read this threaded comment; however, any edits to it will get removed if the file is opened in a newer version of Excel. Learn more: https://go.microsoft.com/fwlink/?linkid=870924
Comment:
    Voluntary Emissions Recall Reporting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Julian Maurice Davis</author>
    <author>Nydia Yanira Reyes-Morales</author>
  </authors>
  <commentList>
    <comment ref="M10" authorId="0" shapeId="0" xr:uid="{8CE1D30B-2CBF-492D-8CE8-E75125C9DA2A}">
      <text>
        <r>
          <rPr>
            <b/>
            <sz val="9"/>
            <color indexed="81"/>
            <rFont val="Tahoma"/>
            <charset val="1"/>
          </rPr>
          <t>Julian Maurice Davis:</t>
        </r>
        <r>
          <rPr>
            <sz val="9"/>
            <color indexed="81"/>
            <rFont val="Tahoma"/>
            <charset val="1"/>
          </rPr>
          <t xml:space="preserve">
Based on average respondent burden per year (2018).</t>
        </r>
      </text>
    </comment>
    <comment ref="L14" authorId="1" shapeId="0" xr:uid="{1223E3DA-29D0-4A0C-96CB-E0912F0CA875}">
      <text>
        <r>
          <rPr>
            <b/>
            <sz val="8"/>
            <color indexed="81"/>
            <rFont val="Tahoma"/>
            <family val="2"/>
          </rPr>
          <t>Nydia Yanira Reyes-Morales:</t>
        </r>
        <r>
          <rPr>
            <sz val="8"/>
            <color indexed="81"/>
            <rFont val="Tahoma"/>
            <family val="2"/>
          </rPr>
          <t xml:space="preserve">
from Phil, annualized, 
based on 125 hours of durability accumulation</t>
        </r>
      </text>
    </comment>
    <comment ref="M14" authorId="1" shapeId="0" xr:uid="{7A613BC5-2840-4026-95DF-D5CDC4F8CF5F}">
      <text>
        <r>
          <rPr>
            <b/>
            <sz val="8"/>
            <color indexed="81"/>
            <rFont val="Tahoma"/>
            <family val="2"/>
          </rPr>
          <t>Nydia Yanira Reyes-Morales:</t>
        </r>
        <r>
          <rPr>
            <sz val="8"/>
            <color indexed="81"/>
            <rFont val="Tahoma"/>
            <family val="2"/>
          </rPr>
          <t xml:space="preserve">
Used actual received
from comp dabase
2011. Revised for 2018 (julian Davis).</t>
        </r>
      </text>
    </comment>
    <comment ref="L15" authorId="1" shapeId="0" xr:uid="{CFC9C5A7-DF72-43D7-8E1E-0231757E80D4}">
      <text>
        <r>
          <rPr>
            <b/>
            <sz val="8"/>
            <color indexed="81"/>
            <rFont val="Tahoma"/>
            <family val="2"/>
          </rPr>
          <t>Nydia Yanira Reyes-Morales:</t>
        </r>
        <r>
          <rPr>
            <sz val="8"/>
            <color indexed="81"/>
            <rFont val="Tahoma"/>
            <family val="2"/>
          </rPr>
          <t xml:space="preserve">
SwRI 2007, adjusted from inflation
</t>
        </r>
      </text>
    </comment>
    <comment ref="L16" authorId="1" shapeId="0" xr:uid="{E7DEBF34-33C0-47B8-8D60-300C3E3307F8}">
      <text>
        <r>
          <rPr>
            <b/>
            <sz val="8"/>
            <color indexed="81"/>
            <rFont val="Tahoma"/>
            <family val="2"/>
          </rPr>
          <t>Nydia Yanira Reyes-Morales:</t>
        </r>
        <r>
          <rPr>
            <sz val="8"/>
            <color indexed="81"/>
            <rFont val="Tahoma"/>
            <family val="2"/>
          </rPr>
          <t xml:space="preserve">
adjusted from inflation from 2008: $1587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Julian Maurice Davis</author>
  </authors>
  <commentList>
    <comment ref="N4" authorId="0" shapeId="0" xr:uid="{47C1D711-8809-4A09-B707-8CAFD9FCD999}">
      <text>
        <r>
          <rPr>
            <b/>
            <sz val="9"/>
            <color indexed="81"/>
            <rFont val="Tahoma"/>
            <charset val="1"/>
          </rPr>
          <t>Julian Maurice Davis:</t>
        </r>
        <r>
          <rPr>
            <sz val="9"/>
            <color indexed="81"/>
            <rFont val="Tahoma"/>
            <charset val="1"/>
          </rPr>
          <t xml:space="preserve">
A total of 8-SEAs were condiucted in 2017. However, the three year average was about 5 per year.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tc={451A0C43-AF32-4736-9EBB-3AEC18E58582}</author>
  </authors>
  <commentList>
    <comment ref="I12" authorId="0" shapeId="0" xr:uid="{451A0C43-AF32-4736-9EBB-3AEC18E58582}">
      <text>
        <t>[Threaded comment]
Your version of Excel allows you to read this threaded comment; however, any edits to it will get removed if the file is opened in a newer version of Excel. Learn more: https://go.microsoft.com/fwlink/?linkid=870924
Comment:
    We estimate a rate of $83,000 per person per year for SEE support.</t>
      </text>
    </comment>
  </commentList>
</comments>
</file>

<file path=xl/sharedStrings.xml><?xml version="1.0" encoding="utf-8"?>
<sst xmlns="http://schemas.openxmlformats.org/spreadsheetml/2006/main" count="898" uniqueCount="362">
  <si>
    <t>Table 7</t>
  </si>
  <si>
    <t>Respondent Burden Tally</t>
  </si>
  <si>
    <t>Program</t>
  </si>
  <si>
    <t>Number of Respond.</t>
  </si>
  <si>
    <t>Total Hours Per Year</t>
  </si>
  <si>
    <t>Total Labor Cost Per Year</t>
  </si>
  <si>
    <t>Total Annual Capital Costs</t>
  </si>
  <si>
    <t>Total Annual O&amp;M Costs</t>
  </si>
  <si>
    <t>Total Costs</t>
  </si>
  <si>
    <t>PLT</t>
  </si>
  <si>
    <t>Totals:</t>
  </si>
  <si>
    <t>Number of Activities/per Respondent</t>
  </si>
  <si>
    <t>Reporting:</t>
  </si>
  <si>
    <t>PLT reports</t>
  </si>
  <si>
    <t>Sales production</t>
  </si>
  <si>
    <t>ABT reports</t>
  </si>
  <si>
    <t>Defect Reporting</t>
  </si>
  <si>
    <t>VERR</t>
  </si>
  <si>
    <t>Reporting Totals:</t>
  </si>
  <si>
    <t xml:space="preserve">Each Sector should compile the below chart ofr the data submitted and the reporting required. </t>
  </si>
  <si>
    <t xml:space="preserve">Table 3 - Annual Respondent Burden and Cost  - Average, Trading and Banking Program </t>
  </si>
  <si>
    <t>Hours and Cost per Application</t>
  </si>
  <si>
    <t>Total Hours and Cost</t>
  </si>
  <si>
    <t>Information Collection              Activity</t>
  </si>
  <si>
    <t>Respondents   hr/yr</t>
  </si>
  <si>
    <t>Labor       Cost/yr</t>
  </si>
  <si>
    <t>Capital Startup      Cost</t>
  </si>
  <si>
    <t>O&amp;M Cost (1)</t>
  </si>
  <si>
    <t>Number of Respondents</t>
  </si>
  <si>
    <t>Total        hr/yr</t>
  </si>
  <si>
    <t>Total               Cost/yr</t>
  </si>
  <si>
    <t>Precertification activities/Submit info in cert application</t>
  </si>
  <si>
    <t>Gather Information regarding point of first retail sale (2)</t>
  </si>
  <si>
    <t>Develop and submit end-of-year-report</t>
  </si>
  <si>
    <t>Develop and submit final reports</t>
  </si>
  <si>
    <t>Recordkeeping (2)</t>
  </si>
  <si>
    <t>Total</t>
  </si>
  <si>
    <t>N/A</t>
  </si>
  <si>
    <t>Total for the industry</t>
  </si>
  <si>
    <t>(1) See section 6(b)ii for details.</t>
  </si>
  <si>
    <t>(2)  Numbers reflect one activity done four times a year.</t>
  </si>
  <si>
    <t>Table 4 - Annual Respondent Burden and Cost - Production Line Testing Program</t>
  </si>
  <si>
    <t>Hours and Cost per Engine Family</t>
  </si>
  <si>
    <t>Assembler $42.44/hr</t>
  </si>
  <si>
    <t>Transport  $38.58/hr</t>
  </si>
  <si>
    <t>Respondents     hr/yr</t>
  </si>
  <si>
    <t>Labor Cost/yr</t>
  </si>
  <si>
    <t>O&amp;M Cost(1)</t>
  </si>
  <si>
    <t>Frequency (2)</t>
  </si>
  <si>
    <t>Total hr/yr</t>
  </si>
  <si>
    <t>Total Cost/yr</t>
  </si>
  <si>
    <t>Review of instructions and regulations</t>
  </si>
  <si>
    <t>Training</t>
  </si>
  <si>
    <t>Projecting testing needs and planning test schedules</t>
  </si>
  <si>
    <t>Engine selection and transport</t>
  </si>
  <si>
    <t xml:space="preserve">Engine inspection </t>
  </si>
  <si>
    <t>Testing (In-house)</t>
  </si>
  <si>
    <t>Data entry and analysis</t>
  </si>
  <si>
    <t>Other tasks (test equipment calibration, engine repair, etc.)</t>
  </si>
  <si>
    <t>Testing (Contract Out)</t>
  </si>
  <si>
    <t>Small SI</t>
  </si>
  <si>
    <t>Large SI</t>
  </si>
  <si>
    <t>Marine SI</t>
  </si>
  <si>
    <t>Setting up contract</t>
  </si>
  <si>
    <t>Preparing and submitting  report</t>
  </si>
  <si>
    <t>Store, file and maintain records</t>
  </si>
  <si>
    <t>Total per manufacturer</t>
  </si>
  <si>
    <t>varies</t>
  </si>
  <si>
    <t>Total Number of manufacturers</t>
  </si>
  <si>
    <t>Table 5 - In-use Estimated Annual Respondent Burden and Cost</t>
  </si>
  <si>
    <t>Hours and cost per application</t>
  </si>
  <si>
    <t>Total hours and cost</t>
  </si>
  <si>
    <t>Respondent  hr/yr</t>
  </si>
  <si>
    <t>O&amp;M      Cost(1)</t>
  </si>
  <si>
    <t>Plan activities</t>
  </si>
  <si>
    <t>Procure engines</t>
  </si>
  <si>
    <t>Ship Engines</t>
  </si>
  <si>
    <t>Engine Maintenance</t>
  </si>
  <si>
    <t>Testing In-house</t>
  </si>
  <si>
    <t>Testing (Contracting out)</t>
  </si>
  <si>
    <t xml:space="preserve">Data entry and analysis </t>
  </si>
  <si>
    <t xml:space="preserve">Preparing and submitting  report </t>
  </si>
  <si>
    <t>Total number of manufacturers</t>
  </si>
  <si>
    <t>Table 6 - Annual Respondent Burden and Cost - Selective Enforcement Auditing (SEA) Program</t>
  </si>
  <si>
    <t>Respondent     hr/yr</t>
  </si>
  <si>
    <t>Number of Respondents (5)</t>
  </si>
  <si>
    <t>Provide Pre-audit information</t>
  </si>
  <si>
    <t>Testing  Contract Out</t>
  </si>
  <si>
    <t>(1) Includes diskettes, photocopying, postage expenses, phone calls, and testing costs, annualized.  See section 6(b)(iii) for details.</t>
  </si>
  <si>
    <t>(2) 1 = one time tasks; other # = number of tests performed/eng manufacturer/model year.    Refer to Section 6(d) for further detail.</t>
  </si>
  <si>
    <t>(3) EPA estimates it will audit 14 manufacturers over the next 3 years.  It might, however, request pre-audit information from several manufacturers each year.</t>
  </si>
  <si>
    <t>Average burden = total burden / # of respondents</t>
  </si>
  <si>
    <t>Total of 8 SEAs in 2017, though the three year average was about 5 per year.</t>
  </si>
  <si>
    <t>MY 2017</t>
  </si>
  <si>
    <t>Nonroad Spark Ignition Engines</t>
  </si>
  <si>
    <t>Small SI: Small nonroad gasoline powered equipment, such as lawnmowers, string trimmers, chain saws, small compressors, pumps, utility vehicles &lt; 25 mph, snow blowers, rammers, floor cleaners</t>
  </si>
  <si>
    <t>Large SI: Large nonroad gasoline powered equipment, such as forklifts, compressors, generators, and stationary equipment</t>
  </si>
  <si>
    <t xml:space="preserve">Recreational Vehicles </t>
  </si>
  <si>
    <r>
      <t>Total</t>
    </r>
    <r>
      <rPr>
        <b/>
        <sz val="10"/>
        <color rgb="FF000000"/>
        <rFont val="Calibri"/>
        <family val="2"/>
      </rPr>
      <t> </t>
    </r>
  </si>
  <si>
    <t>MY 2018</t>
  </si>
  <si>
    <t>MY 2019</t>
  </si>
  <si>
    <t>MY 2020</t>
  </si>
  <si>
    <t>NRSI and Evaporative Certificates (Part 1060 only certifications)</t>
  </si>
  <si>
    <t>Evaporative components (manufacturers certifying their own equipment under the standard setting part)</t>
  </si>
  <si>
    <t>Manufacturers</t>
  </si>
  <si>
    <t>Certificates</t>
  </si>
  <si>
    <t>Total Certificates</t>
  </si>
  <si>
    <t>Computation of all NRSI manufacturers and certificates issued (three-year period and average)</t>
  </si>
  <si>
    <t>Average Number of manufacturers and certificates</t>
  </si>
  <si>
    <t xml:space="preserve">Table 8 - Annual Agency Burden and Cost </t>
  </si>
  <si>
    <t>Employee</t>
  </si>
  <si>
    <t>Hours and Labor Cost</t>
  </si>
  <si>
    <t>Level</t>
  </si>
  <si>
    <t>Rate</t>
  </si>
  <si>
    <t>Rate Increase by 1.6</t>
  </si>
  <si>
    <t>Number of Employees</t>
  </si>
  <si>
    <t>Full time hours</t>
  </si>
  <si>
    <t>% of Time</t>
  </si>
  <si>
    <t>Total  hr/yr</t>
  </si>
  <si>
    <t>Total Labor cost/yr</t>
  </si>
  <si>
    <t>Engineer</t>
  </si>
  <si>
    <t>GS-13/6</t>
  </si>
  <si>
    <t xml:space="preserve">Attorney </t>
  </si>
  <si>
    <t>GS-13/7</t>
  </si>
  <si>
    <t>Managers</t>
  </si>
  <si>
    <t>GS-15/1</t>
  </si>
  <si>
    <t xml:space="preserve">SES-1 </t>
  </si>
  <si>
    <t>SES - 1</t>
  </si>
  <si>
    <t>IT Support</t>
  </si>
  <si>
    <t>SEE Support</t>
  </si>
  <si>
    <t>Subtotal</t>
  </si>
  <si>
    <t>O&amp;M Costs</t>
  </si>
  <si>
    <t>Testing</t>
  </si>
  <si>
    <t>Other</t>
  </si>
  <si>
    <t xml:space="preserve">Contract Support - Compliance </t>
  </si>
  <si>
    <t xml:space="preserve">Contract Support -Certification </t>
  </si>
  <si>
    <t>Subtotal:</t>
  </si>
  <si>
    <t xml:space="preserve">TOTAL: </t>
  </si>
  <si>
    <t xml:space="preserve">Marine SI: e.g. Gasoline boats and personal watercraft </t>
  </si>
  <si>
    <t>Heavy Duty Highway Vehicles/Evaporative components</t>
  </si>
  <si>
    <t>Evap Manufacturers</t>
  </si>
  <si>
    <t>Evap Certificates</t>
  </si>
  <si>
    <t>Recreational Vehicles (All-terrain vehicles / utility vehicles/Snowmobiles/Off-Highway mtorcycles)</t>
  </si>
  <si>
    <t>Non-handheld</t>
  </si>
  <si>
    <t>Handheld</t>
  </si>
  <si>
    <t>Vessel Cert</t>
  </si>
  <si>
    <t>Marine SI diurnal</t>
  </si>
  <si>
    <t>Certification Application</t>
  </si>
  <si>
    <t>Cert Testing</t>
  </si>
  <si>
    <t>Contract Testing</t>
  </si>
  <si>
    <t>PLT Testing</t>
  </si>
  <si>
    <t>In-use Testing</t>
  </si>
  <si>
    <t>SEA Testing</t>
  </si>
  <si>
    <t>Small SI Respondent Burden Tally</t>
  </si>
  <si>
    <t>Recreational Vehicles Respondent Burden Tally</t>
  </si>
  <si>
    <t>Large SI Respondent Burden Tally</t>
  </si>
  <si>
    <t xml:space="preserve"> Marine Respondent Burden Tally</t>
  </si>
  <si>
    <t>Evap Testing (if applicable)</t>
  </si>
  <si>
    <t>Number of responses (Total)</t>
  </si>
  <si>
    <t>Manager</t>
  </si>
  <si>
    <t>Technician</t>
  </si>
  <si>
    <t>Administrative</t>
  </si>
  <si>
    <t>Legal (if applicable)</t>
  </si>
  <si>
    <t>Total Hours Per Year/per response</t>
  </si>
  <si>
    <t>Cost Burden</t>
  </si>
  <si>
    <t>Hours</t>
  </si>
  <si>
    <t>Hourly rate</t>
  </si>
  <si>
    <t>Wage Multiplier (2.1)</t>
  </si>
  <si>
    <t>Manager/ 152.31</t>
  </si>
  <si>
    <t>Engineer/ 94.86</t>
  </si>
  <si>
    <t>Technician/ 66.80</t>
  </si>
  <si>
    <t>Administrative/ 45.97</t>
  </si>
  <si>
    <t>Legal (if applicable)/ 180.08</t>
  </si>
  <si>
    <t>Operations and Maintenance Cost</t>
  </si>
  <si>
    <t>Table 2 - Annual Respondent Burden and Cost for SI Engine Certification</t>
  </si>
  <si>
    <t>Labor            Cost/yr</t>
  </si>
  <si>
    <t>O&amp;M Cost, Annualized (1)</t>
  </si>
  <si>
    <t>Applications/Respondent (2)</t>
  </si>
  <si>
    <t>Review of regulations and guidance documents</t>
  </si>
  <si>
    <t>Developing eng families groups</t>
  </si>
  <si>
    <t>Gathering durability data</t>
  </si>
  <si>
    <t>Laboratory maintenance(1)</t>
  </si>
  <si>
    <t>Cert, Durability &amp; Evap Testing (annualized)(1)</t>
  </si>
  <si>
    <t>Rec Veh Test</t>
  </si>
  <si>
    <t>Marine SI Test</t>
  </si>
  <si>
    <t>Components (per manufacturer)</t>
  </si>
  <si>
    <t>Analyze data to determine compliance</t>
  </si>
  <si>
    <t>Preparing and submitting "carry over" applications</t>
  </si>
  <si>
    <t>Paying Certification Fee</t>
  </si>
  <si>
    <t>Certification Fee (3)</t>
  </si>
  <si>
    <t>Components</t>
  </si>
  <si>
    <t>All Other SI Engines</t>
  </si>
  <si>
    <t>Post Bond</t>
  </si>
  <si>
    <t>Apply for Bond Waivers</t>
  </si>
  <si>
    <t>Preparing and supporting running changes</t>
  </si>
  <si>
    <t>Preparing and Submitting Annual Production Report</t>
  </si>
  <si>
    <t>Total per respondent</t>
  </si>
  <si>
    <t>(2) See section 6(d) for details.</t>
  </si>
  <si>
    <t>Testing/Gathering emission or evaporative data on test engines</t>
  </si>
  <si>
    <t xml:space="preserve">Heavy Duty SI </t>
  </si>
  <si>
    <t>Heavy Duty Si Components</t>
  </si>
  <si>
    <t>ABT</t>
  </si>
  <si>
    <t>2020 with 2.1 multiplier</t>
  </si>
  <si>
    <t>Contract</t>
  </si>
  <si>
    <t>PLT Reporting and Record Keeping</t>
  </si>
  <si>
    <t>ABT Reporting</t>
  </si>
  <si>
    <t>Defect Reporting (EDIR)</t>
  </si>
  <si>
    <t>Recall Reporting (VERR)</t>
  </si>
  <si>
    <t xml:space="preserve">Final (Year-End and End-Of-Model Year) Reporting </t>
  </si>
  <si>
    <t>Applications/ Efs</t>
  </si>
  <si>
    <t>Efs</t>
  </si>
  <si>
    <t>In-use</t>
  </si>
  <si>
    <t>In-Use Testing and Reporting</t>
  </si>
  <si>
    <t>SEA Testing and Reporting</t>
  </si>
  <si>
    <t>Engineer $94.86/hr</t>
  </si>
  <si>
    <t>Manager  $152.31/hr</t>
  </si>
  <si>
    <t>Legal  $180.08/hr</t>
  </si>
  <si>
    <t>Clerical $45.97/hr</t>
  </si>
  <si>
    <t>Test Cell Operator $66.80/hr</t>
  </si>
  <si>
    <t>White=Certification</t>
  </si>
  <si>
    <t>Gray=Reporting and Recordkeeping</t>
  </si>
  <si>
    <t>Occupation</t>
  </si>
  <si>
    <t>SOC Code Number</t>
  </si>
  <si>
    <t>Mean Hourly Rate (BLS)</t>
  </si>
  <si>
    <t>Rate Increased by Factor of 2.1</t>
  </si>
  <si>
    <t>Mechanical Engineers</t>
  </si>
  <si>
    <t>17-2141</t>
  </si>
  <si>
    <t>Engineering Managers</t>
  </si>
  <si>
    <t>Lawyers</t>
  </si>
  <si>
    <t>23-1011</t>
  </si>
  <si>
    <t>Secretaries, Except Legal, Medical and Executive</t>
  </si>
  <si>
    <t>43-6014</t>
  </si>
  <si>
    <t>Mechanical Engineering Technicians</t>
  </si>
  <si>
    <t>17-3027</t>
  </si>
  <si>
    <t>Table 1</t>
  </si>
  <si>
    <t>Preparing and submitting new certification application</t>
  </si>
  <si>
    <t>Certification Application and Testing</t>
  </si>
  <si>
    <t>Total Responses</t>
  </si>
  <si>
    <t>GECC-related Defects/Recalls for 2019/2020</t>
  </si>
  <si>
    <t xml:space="preserve">     Defect Reports</t>
  </si>
  <si>
    <t xml:space="preserve">     Recall Reports</t>
  </si>
  <si>
    <t>Industry</t>
  </si>
  <si>
    <t>Small SI engines</t>
  </si>
  <si>
    <t>Marine SI engines</t>
  </si>
  <si>
    <t>Large SI engines</t>
  </si>
  <si>
    <t>Evap Components/Equipment</t>
  </si>
  <si>
    <t>Highway Motorcycle</t>
  </si>
  <si>
    <t>Recreational - ATV</t>
  </si>
  <si>
    <t>Recreational - Offroad Motorcycle</t>
  </si>
  <si>
    <t>Recreational - Snowmobile</t>
  </si>
  <si>
    <t>Heavy-duty SI engines</t>
  </si>
  <si>
    <t>Heavy-duty Evap</t>
  </si>
  <si>
    <t>Total for all GECC Industries</t>
  </si>
  <si>
    <t>Total for Nonroad SI</t>
  </si>
  <si>
    <t>Average Defect and Recall</t>
  </si>
  <si>
    <t>Total Labor Hours Per Year</t>
  </si>
  <si>
    <t>Reporting and Recordkeeping Totals</t>
  </si>
  <si>
    <t>EVAP components Respondent Burden Tally (See 1060 Evap)</t>
  </si>
  <si>
    <t>Total O&amp;M</t>
  </si>
  <si>
    <t>Heavy Duty SI Respondent Burden Tally (Similar to LSI)</t>
  </si>
  <si>
    <t>Carryover families</t>
  </si>
  <si>
    <t>Number of Respondents/ Responses</t>
  </si>
  <si>
    <t>New test Efs</t>
  </si>
  <si>
    <t>CERTIFICATION APPLICATION REQUIREMENTS</t>
  </si>
  <si>
    <t>1048.205   What must I include in my application?
This section specifies the information that must be in your application, unless we ask you to include less information under §1048.201(c). We may require you to provide additional information to evaluate your application.
(a) Describe the engine family's specifications and other basic parameters of the engine's design and emission controls. List the fuel types on which your engines are designed to operate (for example, gasoline and natural gas). List each distinguishable engine configuration in the engine family.
(b) Explain how the emission control systems operate. Describe the evaporative emission controls, if applicable. Also describe in detail all system components for controlling exhaust emissions, including all auxiliary emission control devices (AECDs) and all fuel-system components you will install on any production or test engine. Identify the part number of each component you describe. For this paragraph (b), treat as separate AECDs any devices that modulate or activate differently from each other. Include sufficient detail to allow us to evaluate whether the AECDs are consistent with the defeat device prohibition of §1048.115.
(c) Explain how the engine diagnostic system works, describing especially the engine conditions (with the corresponding diagnostic trouble codes) that cause the malfunction-indicator light to go on. Propose what you consider to be extreme conditions under which the diagnostic system should disregard trouble codes, as described in §1048.110.
(d) Describe the engines you selected for testing and the reasons for selecting them.
(e) Describe the test equipment and procedures that you used, including any special or alternate test procedures you used (see §1048.501).
(f) Describe how you operated the emission-data engine before testing, including the duty cycle and the number of engine operating hours used to stabilize emission levels. Explain why you selected the method of service accumulation. Describe any scheduled maintenance you did.
(g) List the specifications of each test fuel to show that it falls within the required ranges we specify in 40 CFR part 1065, subpart H.
(h) Identify the engine family's useful life.
(i) Include the maintenance instructions you will give to the ultimate purchaser of each new nonroad engine (see §1048.125).
(j) Include the emission-related installation instructions you will provide if someone else installs your engines in a piece of nonroad equipment (see §1048.130).
(k) Identify each high-cost warranted part and show us how you calculated its replacement cost, including the estimated retail cost of the part, labor rates, and labor hours to diagnose and replace defective parts.
(l) Describe your emission control information label (see §1048.135).
(m) Identify the emission standards to which you are certifying engines in the engine family.
(n) Identify the engine family's deterioration factors and describe how you developed them (see §1048.240). Present any emission test data you used for this.
(o) State that you operated your emission-data engines as described in the application (including the test procedures, test parameters, and test fuels) to show you meet the requirements of this part.
(p) Present emission data to show that you meet emission standards, as follows:
(1) Present exhaust emission data for HC, NOX, and CO on an emission-data engine to show your engines meet the applicable duty-cycle emission standards we specify in §1048.101. Show emission figures before and after applying deterioration factors for each engine. Include emission results for each mode if you do discrete-mode testing under §1048.505. Include test data for each type of fuel from 40 CFR part 1065, subpart H, on which you intend for engines in the engine family to operate (for example, gasoline, liquefied petroleum gas, methanol, or natural gas). If we specify more than one grade of any fuel type (for example, a summer grade and winter grade of gasoline), you need to submit test data only for one grade unless the regulations of this part specify otherwise for your engine. Note that §1048.235 allows you to submit an application in certain cases without new emission data.
(2) If your engine family includes a volatile liquid fuel (and you do not use design-based certification under §1048.245), present evaporative test data to show your vehicles meet the evaporative emission standards we specify in subpart B of this part. Show these figures before and after applying deterioration factors, where applicable.
(q) State that all the engines in the engine family comply with the field-testing emission standards we specify in §1048.101(c) for all normal operation and use when tested as specified in §1048.515. Describe any relevant testing, engineering analysis, or other information in sufficient detail to support your statement.
(r) For engines not subject to transient testing requirements in §148.101(a), include information showing how your emission controls will function during normal in-use transient operation. For example, this might include the following:
(1) Emission data from transient testing of engines using measurement systems designed for measuring in-use emissions.
(2) Comparison of the engine design for controlling transient emissions with that from engines for which you have emission data over the transient duty cycle for certification.
(3) Detailed descriptions of control algorithms and other design parameters for controlling transient emissions.
(s) Report test results as follows:
(1) Report all test results involving measurement of pollutants for which emission standards apply. Include test results from invalid tests or from any other tests, whether or not they were conducted according to the test procedures of subpart F of this part. We may ask you to send other information to confirm that your tests were valid under the requirements of this part and 40 CFR part 1065.
(2) Report measured CO2, N2O, and CH4 as described in §1048.235. Small-volume engine manufacturers may omit reporting N2O and CH4.
(t) Describe all adjustable operating parameters (see §1048.115(e)), including production tolerances. Include the following in your description of each parameter:
(1) The nominal or recommended setting.
(2) The intended physically adjustable range.
(3) The limits or stops used to establish adjustable ranges.
(4) Information showing why the limits, stops, or other means of inhibiting adjustment are effective in preventing adjustment of parameters on in-use engines to settings outside your intended physically adjustable ranges.
(u) Provide the information to read, record, and interpret all the information broadcast by an engine's onboard computers and electronic control units. State that, upon request, you will give us any hardware, software, or tools we would need to do this. If you broadcast a surrogate parameter for torque values, you must provide us what we need to convert these into torque units. You may reference any appropriate publicly released standards that define conventions for these messages and parameters. Format your information consistent with publicly released standards.
(v) Confirm that your emission-related installation instructions specify how to ensure that sampling of exhaust emissions will be possible after engines are installed in equipment and placed in service. If this cannot be done by simply adding a 20-centimeter extension to the exhaust pipe, show how to sample exhaust emissions in a way that prevents diluting the exhaust sample with ambient air.
(w) State whether your certification is intended to include engines used in stationary applications. Also state whether your certification is limited for certain engines. If this is the case, describe how you will prevent use of these engines in applications for which they are not certified. This applies for engines such as the following:
(1) Constant-speed engines.
(2) Variable-speed engines.
(x) Unconditionally certify that all the engines in the engine family comply with the requirements of this part, other referenced parts of the CFR, and the Clean Air Act.
(y) Include good-faith estimates of U.S.-directed production volumes. Include a justification for the estimated production volumes if they are substantially different than actual production volumes in earlier years for similar models.
(z) Include other applicable information, such as information specified in this part or part 1068 of this chapter related to requests for exemptions.
(aa) Name an agent for service located in the United States. Service on this agent constitutes service on you or any of your officers or employees for any action by EPA or otherwise by the United States related to the requirements of this part.</t>
  </si>
  <si>
    <t>Amendment to the Application</t>
  </si>
  <si>
    <t>§1048.225   How do I amend my application for certification to include new or modified engine configurations?
Before we issue you a certificate of conformity, you may amend your application to include new or modified engine configurations, subject to the provisions of this section. After we have issued your certificate of conformity, you may send us an amended application requesting that we include new or modified engine configurations within the scope of the certificate, subject to the provisions of this section. You must amend your application if any changes occur with respect to any information included in your application.
(a) You must amend your application before you take any of the following actions:
(1) Add an engine configuration to an engine family. In this case, the engine configuration added must be consistent with other engine configurations in the engine family with respect to the criteria listed in §1048.230.
(2) Change an engine configuration already included in an engine family in a way that may affect emissions, or change any of the components you described in your application for certification. This includes production and design changes that may affect emissions any time during the engine's lifetime.
(b) To amend your application for certification, send the Designated Compliance Officer the following information:
(1) Describe in detail the addition or change in the engine model or configuration you intend to make.
(2) Include engineering evaluations or data showing that the amended engine family complies with all applicable requirements. You may do this by showing that the original emission-data engine is still appropriate for showing that the amended family complies with all applicable requirements.
(3) If the original emission-data engine for the engine family is not appropriate to show compliance for the new or modified engine configuration, include new test data showing that the new or modified engine configuration meets the requirements of this part.
(c) We may ask for more test data or engineering evaluations. You must give us these within 30 days after we request them.
(d) For engine families already covered by a certificate of conformity, we will determine whether the existing certificate of conformity covers your newly added or modified engine. You may ask for a hearing if we deny your request (see §1048.820).
(e) For engine families already covered by a certificate of conformity, you may start producing the new or modified engine configuration anytime after you send us your amended application and before we make a decision under paragraph (d) of this section. However, if we determine that the affected engines do not meet applicable requirements, we will notify you to cease production of the engines and may require you to recall the engines at no expense to the owner. Choosing to produce engines under this paragraph (e) is deemed to be consent to recall all engines that we determine do not meet applicable emission standards or other requirements and to remedy the nonconformity at no expense to the owner. If you do not provide information required under paragraph (c) of this section within 30 days after we request it, you must stop producing the new or modified engines.</t>
  </si>
  <si>
    <t>Include all information underThe standard setting part (typically section 205 in the applicable regulation).</t>
  </si>
  <si>
    <t>Amend Cert App</t>
  </si>
  <si>
    <t>Prepare Maintenance instructions</t>
  </si>
  <si>
    <t>Prepare label under the regulations</t>
  </si>
  <si>
    <r>
      <t xml:space="preserve">Cert testing should include both certification test to meet standard and durability test for deterioration factor testing, </t>
    </r>
    <r>
      <rPr>
        <b/>
        <sz val="11"/>
        <color theme="1"/>
        <rFont val="Arial"/>
        <family val="2"/>
        <scheme val="minor"/>
      </rPr>
      <t>generally at least half the useful life of the engine family</t>
    </r>
    <r>
      <rPr>
        <sz val="11"/>
        <color theme="1"/>
        <rFont val="Arial"/>
        <family val="2"/>
        <scheme val="minor"/>
      </rPr>
      <t>.</t>
    </r>
  </si>
  <si>
    <t>Production-Line Testing</t>
  </si>
  <si>
    <t>Many, but not all, manufacturers must also test a minimum number of production engines per quarter throughout the model year, run calculations, and report production-line testing (PLT) reports on a quarterly and final report basis.</t>
  </si>
  <si>
    <t>In_Use Testing</t>
  </si>
  <si>
    <t>Some sectors within GECC must conduct in-use testing of engines in the field. These reports must be generated over a longer period of time (3-years, for example) to demonstrate continued compliance.</t>
  </si>
  <si>
    <t>Selective Enforcement Audits</t>
  </si>
  <si>
    <t>The EPA may require a manufacturer to conduct a selective enforcement audit of their production of an engine family. Generally, up to 30-engines (or vehicles) must be selected at random and sequestered until the completion of this test audit.</t>
  </si>
  <si>
    <t>TESTING</t>
  </si>
  <si>
    <t>Additional information includes disclosing AECD and adjustable paramenters, explaining each in detail. Some manufacturers (Marine) must demonstrate that they also meet Not-to-exceed (NTE) standards within their certification testing. Other manufacturers (Large SI) must conduct an in-situ test as well as a certification test (sometimes also called an in-use test), where the engine is inserted into a piece of equipment and tested in application prior to certification and introduction into commerce (not to be confused in in-use compliance testing).</t>
  </si>
  <si>
    <t>CERTIFICATION APPLICATION</t>
  </si>
  <si>
    <t>All manufactures must submit a report representing their U.S. directed production for the previous model year for all engine families.</t>
  </si>
  <si>
    <t>ABT Report</t>
  </si>
  <si>
    <t xml:space="preserve">As an alternative to traditional certification programs, some manufacturers may certify multiple engine families in an ABT (averaging, banking, and trading) group, which is averaged across all families and quantities, and certified to one standard. These reports must be verified at the end of the model year on the basis of actual sales. </t>
  </si>
  <si>
    <t>PLT Reporting</t>
  </si>
  <si>
    <t>Final and/or end-of-year report</t>
  </si>
  <si>
    <t xml:space="preserve">Not to be confused with the Production report, though one may serve as the other, all manufacturers must provide a final report on all sales activities after the end of the model year. </t>
  </si>
  <si>
    <t>End-of-year</t>
  </si>
  <si>
    <t>Along with the certification testing above, manufacturers subject to PLT testing must provide the EPA quarterly reports of their PLT testing progress and a final report 45-days after the end of the model year to demonstrate compliance with the finished products. This should not be confused with the end-of-year report required for all U.S. directed production, whether a PLT family or not.</t>
  </si>
  <si>
    <t>Maintenance of Records</t>
  </si>
  <si>
    <t>Several sections of the regulations, certification testing, PLT testing, In-use testing, engine family information, require manufacturers to maintain these records for a designated number of years following the end of the model year. The EPA may request this informaiton at any time, whether or not you previously disclosed this information to the Agency.</t>
  </si>
  <si>
    <t>REPORTING AND RECORDKEEPING</t>
  </si>
  <si>
    <t>Generally, between 25% and 35% of manufacturers use data from previous certification years to certify for the current model year. This is a flexibility that reduces the amount of testing required annually for all manufacturers, provided no changes have occurred in the emissions characteristics of the engine family. However, the EPA may request new testing where information may seem old or out of date.</t>
  </si>
  <si>
    <t>Contract Test Labs</t>
  </si>
  <si>
    <t>19 (13)</t>
  </si>
  <si>
    <t>21 (11)</t>
  </si>
  <si>
    <t>163 (27)</t>
  </si>
  <si>
    <t>163 (59)</t>
  </si>
  <si>
    <t>()=New certification Data</t>
  </si>
  <si>
    <t>MY (New)</t>
  </si>
  <si>
    <t># of Mfr's</t>
  </si>
  <si>
    <t># of EF's</t>
  </si>
  <si>
    <t>MY (Carryover)</t>
  </si>
  <si>
    <t>Marine MY (New)</t>
  </si>
  <si>
    <t>MY</t>
  </si>
  <si>
    <t>Carryover</t>
  </si>
  <si>
    <t># Mfr</t>
  </si>
  <si>
    <t># EF</t>
  </si>
  <si>
    <t>LSI</t>
  </si>
  <si>
    <t>New</t>
  </si>
  <si>
    <t>Mfr</t>
  </si>
  <si>
    <t>EF</t>
  </si>
  <si>
    <t>Rec Vehicle</t>
  </si>
  <si>
    <t>ATVA-Meet EPA &amp; ARB ATV Definition</t>
  </si>
  <si>
    <t>ATVB &amp; UTV - EPA only</t>
  </si>
  <si>
    <t>Utility Vehicle - EPA Only</t>
  </si>
  <si>
    <t>ATVB-Meeting EPA ATV Definition</t>
  </si>
  <si>
    <t>All Terrain Vehicle</t>
  </si>
  <si>
    <t>Off-Road Motorcycle</t>
  </si>
  <si>
    <t>ATVB &amp; ENGINE - EPA only</t>
  </si>
  <si>
    <t>Off-Road Utility Vehicle</t>
  </si>
  <si>
    <t>Engine - EPA Only</t>
  </si>
  <si>
    <t>Carry Over</t>
  </si>
  <si>
    <t>EF's</t>
  </si>
  <si>
    <t>Mfr's</t>
  </si>
  <si>
    <t>Carryover Total</t>
  </si>
  <si>
    <t>HDSI</t>
  </si>
  <si>
    <t>Contract expenditures</t>
  </si>
  <si>
    <t>Contracted Cert, Durability &amp; Evap Testing (annualized)(1)</t>
  </si>
  <si>
    <t>Total New NRSI Cert Testing (Mfr)</t>
  </si>
  <si>
    <t>Projected Contract rates per engine/vehicle</t>
  </si>
  <si>
    <t>Heavy Duty Si Evap Components</t>
  </si>
  <si>
    <t xml:space="preserve">In-House or Contractor </t>
  </si>
  <si>
    <t>Contractor</t>
  </si>
  <si>
    <t>Own</t>
  </si>
  <si>
    <t>Total Certification Cost</t>
  </si>
  <si>
    <t>Total Labor Cost/yr</t>
  </si>
  <si>
    <t>Total Rpt and RCK</t>
  </si>
  <si>
    <t>Varies</t>
  </si>
  <si>
    <t>Activities Tally</t>
  </si>
  <si>
    <t>Own Cert</t>
  </si>
  <si>
    <t>Own Manf.</t>
  </si>
  <si>
    <t>Contractor Manf</t>
  </si>
  <si>
    <t>Contractor Cert</t>
  </si>
  <si>
    <t>Manf.</t>
  </si>
  <si>
    <t>In-House or Contractor Cert</t>
  </si>
  <si>
    <t>Table 2 - Annual Respondent Burden and Cost for SI Engine and Evaporative Components Certification</t>
  </si>
  <si>
    <t>In-House Testing</t>
  </si>
  <si>
    <t>Evaporative Components Composite</t>
  </si>
  <si>
    <t>1695.11 O&amp;M</t>
  </si>
  <si>
    <t xml:space="preserve">1695.14 O&amp;M </t>
  </si>
  <si>
    <t>In-House and Contract testing</t>
  </si>
  <si>
    <t>in-house</t>
  </si>
  <si>
    <t>contract</t>
  </si>
  <si>
    <t>IC</t>
  </si>
  <si>
    <t>Notes</t>
  </si>
  <si>
    <t>In-House Lab testing</t>
  </si>
  <si>
    <t>Contract testing</t>
  </si>
  <si>
    <t>O&amp;M Total</t>
  </si>
  <si>
    <t>Defect and Recall</t>
  </si>
  <si>
    <t>Evaporative Components</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</si>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</sst>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0"/>
    <numFmt numFmtId="168" formatCode="_(&quot;$&quot;* #,##0_);_(&quot;$&quot;* \(#,##0\);_(&quot;$&quot;* &quot;-&quot;??_);_(@_)"/>
    <numFmt numFmtId="169" formatCode="_(* #,##0.0_);_(* \(#,##0.0\);_(* &quot;-&quot;??_);_(@_)"/>
    <numFmt numFmtId="170" formatCode="0.0"/>
  </numFmts>
  <fonts count="49" x14ac:knownFonts="1">
    <font>
      <sz val="11"/>
      <color theme="1"/>
      <name val="Arial"/>
      <family val="2"/>
      <scheme val="minor"/>
    </font>
    <font>
      <sz val="11"/>
      <color theme="1"/>
      <name val="Arial"/>
      <family val="2"/>
      <scheme val="minor"/>
    </font>
    <font>
      <sz val="12"/>
      <name val="Arial"/>
      <family val="2"/>
    </font>
    <font>
      <sz val="10"/>
      <name val="Arial"/>
      <family val="2"/>
    </font>
    <font>
      <sz val="9"/>
      <color indexed="81"/>
      <name val="Tahoma"/>
      <charset val="1"/>
    </font>
    <font>
      <b/>
      <sz val="10"/>
      <name val="Arial"/>
      <family val="2"/>
    </font>
    <font>
      <sz val="8"/>
      <name val="Arial"/>
      <family val="2"/>
    </font>
    <font>
      <b/>
      <sz val="9"/>
      <color indexed="81"/>
      <name val="Tahoma"/>
      <charset val="1"/>
    </font>
    <font>
      <b/>
      <sz val="8"/>
      <color indexed="81"/>
      <name val="Tahoma"/>
      <family val="2"/>
    </font>
    <font>
      <sz val="8"/>
      <color indexed="81"/>
      <name val="Tahoma"/>
      <family val="2"/>
    </font>
    <font>
      <sz val="11"/>
      <color rgb="FF000000"/>
      <name val="Calibri"/>
      <family val="2"/>
    </font>
    <font>
      <sz val="10"/>
      <color rgb="FF000000"/>
      <name val="Calibri"/>
      <family val="2"/>
    </font>
    <font>
      <b/>
      <sz val="11"/>
      <color rgb="FF000000"/>
      <name val="Calibri"/>
      <family val="2"/>
    </font>
    <font>
      <i/>
      <sz val="12"/>
      <name val="Arial"/>
      <family val="2"/>
    </font>
    <font>
      <i/>
      <sz val="10"/>
      <name val="Arial"/>
      <family val="2"/>
    </font>
    <font>
      <b/>
      <sz val="10"/>
      <color rgb="FF000000"/>
      <name val="Calibri"/>
      <family val="2"/>
    </font>
    <font>
      <b/>
      <sz val="10"/>
      <color rgb="FFFF0000"/>
      <name val="Calibri"/>
      <family val="2"/>
    </font>
    <font>
      <sz val="9"/>
      <color theme="1"/>
      <name val="Arial"/>
      <family val="2"/>
      <scheme val="minor"/>
    </font>
    <font>
      <sz val="9"/>
      <color rgb="FF000000"/>
      <name val="Calibri"/>
      <family val="2"/>
    </font>
    <font>
      <b/>
      <sz val="8"/>
      <name val="Arial"/>
      <family val="2"/>
    </font>
    <font>
      <b/>
      <sz val="11"/>
      <name val="Calibri"/>
      <family val="2"/>
    </font>
    <font>
      <sz val="10"/>
      <color theme="1"/>
      <name val="Arial"/>
      <family val="2"/>
      <scheme val="minor"/>
    </font>
    <font>
      <b/>
      <sz val="11"/>
      <color theme="1"/>
      <name val="Arial"/>
      <family val="2"/>
      <scheme val="minor"/>
    </font>
    <font>
      <sz val="11"/>
      <color theme="1"/>
      <name val="Arial"/>
      <family val="2"/>
    </font>
    <font>
      <sz val="9"/>
      <color indexed="81"/>
      <name val="Tahoma"/>
      <family val="2"/>
    </font>
    <font>
      <sz val="12"/>
      <color theme="1"/>
      <name val="Times New Roman"/>
      <family val="1"/>
    </font>
    <font>
      <sz val="12"/>
      <color rgb="FF000000"/>
      <name val="Times New Roman"/>
      <family val="1"/>
    </font>
    <font>
      <b/>
      <sz val="14"/>
      <name val="Arial"/>
      <family val="2"/>
    </font>
    <font>
      <sz val="14"/>
      <name val="Arial"/>
      <family val="2"/>
    </font>
    <font>
      <sz val="11"/>
      <name val="Arial"/>
      <family val="2"/>
    </font>
    <font>
      <b/>
      <sz val="11"/>
      <color theme="1"/>
      <name val="Arial"/>
      <family val="2"/>
    </font>
    <font>
      <b/>
      <sz val="16"/>
      <color theme="1"/>
      <name val="Arial"/>
      <family val="2"/>
      <scheme val="minor"/>
    </font>
    <font>
      <sz val="11"/>
      <color rgb="FFFF0000"/>
      <name val="Arial"/>
      <family val="2"/>
      <scheme val="minor"/>
    </font>
    <font>
      <i/>
      <sz val="11"/>
      <color theme="1"/>
      <name val="Arial"/>
      <family val="2"/>
      <scheme val="minor"/>
    </font>
    <font>
      <b/>
      <sz val="9"/>
      <color indexed="81"/>
      <name val="Tahoma"/>
      <family val="2"/>
    </font>
    <font>
      <b/>
      <sz val="11"/>
      <color rgb="FFFF0000"/>
      <name val="Arial"/>
      <family val="2"/>
      <scheme val="minor"/>
    </font>
    <font>
      <b/>
      <sz val="9"/>
      <color theme="1"/>
      <name val="Arial"/>
      <family val="2"/>
      <scheme val="minor"/>
    </font>
    <font>
      <sz val="8"/>
      <name val="Arial"/>
      <family val="2"/>
      <scheme val="minor"/>
    </font>
    <font>
      <b/>
      <sz val="11"/>
      <name val="Arial"/>
      <family val="2"/>
    </font>
    <font>
      <b/>
      <sz val="11"/>
      <color rgb="FF7030A0"/>
      <name val="Arial"/>
      <family val="2"/>
      <scheme val="minor"/>
    </font>
    <font>
      <b/>
      <sz val="12"/>
      <color rgb="FF7030A0"/>
      <name val="Arial"/>
      <family val="2"/>
    </font>
    <font>
      <i/>
      <sz val="11"/>
      <color rgb="FF7030A0"/>
      <name val="Arial"/>
      <family val="2"/>
      <scheme val="minor"/>
    </font>
    <font>
      <sz val="11"/>
      <color theme="1"/>
      <name val="Times New Roman"/>
      <family val="1"/>
      <scheme val="major"/>
    </font>
    <font>
      <b/>
      <sz val="11"/>
      <color theme="1"/>
      <name val="Times New Roman"/>
      <family val="1"/>
      <scheme val="major"/>
    </font>
    <font>
      <b/>
      <sz val="10"/>
      <name val="Times New Roman"/>
      <family val="1"/>
      <scheme val="major"/>
    </font>
    <font>
      <sz val="12"/>
      <name val="Times New Roman"/>
      <family val="1"/>
      <scheme val="major"/>
    </font>
    <font>
      <sz val="9"/>
      <color theme="1"/>
      <name val="Times New Roman"/>
      <family val="1"/>
      <scheme val="major"/>
    </font>
    <font>
      <sz val="10"/>
      <color theme="1"/>
      <name val="Times New Roman"/>
      <family val="1"/>
      <scheme val="major"/>
    </font>
    <font>
      <b/>
      <sz val="10"/>
      <name val="Calibri"/>
      <family val="2"/>
    </font>
  </fonts>
  <fills count="18">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indexed="22"/>
        <bgColor indexed="24"/>
      </patternFill>
    </fill>
    <fill>
      <patternFill patternType="solid">
        <fgColor theme="0" tint="-0.14999847407452621"/>
        <bgColor indexed="64"/>
      </patternFill>
    </fill>
    <fill>
      <patternFill patternType="solid">
        <fgColor indexed="22"/>
        <bgColor indexed="9"/>
      </patternFill>
    </fill>
    <fill>
      <patternFill patternType="solid">
        <fgColor indexed="2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
      <patternFill patternType="solid">
        <fgColor theme="1" tint="0.499984740745262"/>
        <bgColor indexed="24"/>
      </patternFill>
    </fill>
    <fill>
      <patternFill patternType="solid">
        <fgColor theme="9" tint="0.59999389629810485"/>
        <bgColor indexed="64"/>
      </patternFill>
    </fill>
    <fill>
      <patternFill patternType="solid">
        <fgColor rgb="FFC0C0C0"/>
        <bgColor indexed="64"/>
      </patternFill>
    </fill>
    <fill>
      <patternFill patternType="solid">
        <fgColor theme="2"/>
        <bgColor indexed="64"/>
      </patternFill>
    </fill>
    <fill>
      <patternFill patternType="solid">
        <fgColor theme="7" tint="0.39997558519241921"/>
        <bgColor indexed="64"/>
      </patternFill>
    </fill>
    <fill>
      <patternFill patternType="solid">
        <fgColor theme="5"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lignment vertical="top"/>
    </xf>
  </cellStyleXfs>
  <cellXfs count="676">
    <xf numFmtId="0" fontId="0" fillId="0" borderId="0" xfId="0"/>
    <xf numFmtId="0" fontId="0" fillId="0" borderId="0" xfId="0" applyAlignment="1">
      <alignment wrapText="1"/>
    </xf>
    <xf numFmtId="0" fontId="2" fillId="0" borderId="0" xfId="0" applyFont="1" applyAlignment="1">
      <alignment horizontal="center" wrapText="1"/>
    </xf>
    <xf numFmtId="0" fontId="3" fillId="0" borderId="0" xfId="0" applyFont="1" applyAlignment="1">
      <alignment wrapText="1"/>
    </xf>
    <xf numFmtId="0" fontId="0" fillId="0" borderId="1" xfId="0"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0" borderId="6" xfId="0" applyBorder="1" applyAlignment="1">
      <alignment wrapText="1"/>
    </xf>
    <xf numFmtId="0" fontId="0" fillId="0" borderId="7" xfId="0" applyBorder="1" applyAlignment="1">
      <alignment wrapText="1"/>
    </xf>
    <xf numFmtId="0" fontId="0" fillId="4" borderId="8" xfId="0" applyFill="1" applyBorder="1" applyAlignment="1">
      <alignment wrapText="1"/>
    </xf>
    <xf numFmtId="0" fontId="0" fillId="4" borderId="9" xfId="0"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0" borderId="11" xfId="0" applyFont="1" applyBorder="1" applyAlignment="1">
      <alignment wrapText="1"/>
    </xf>
    <xf numFmtId="0" fontId="3" fillId="0" borderId="0" xfId="0" applyFont="1" applyBorder="1" applyAlignment="1">
      <alignment wrapText="1"/>
    </xf>
    <xf numFmtId="164" fontId="3" fillId="0" borderId="0" xfId="1" applyNumberFormat="1" applyFont="1" applyBorder="1" applyAlignment="1">
      <alignment wrapText="1"/>
    </xf>
    <xf numFmtId="3" fontId="3" fillId="0" borderId="0" xfId="0" applyNumberFormat="1" applyFont="1" applyBorder="1" applyAlignment="1">
      <alignment wrapText="1"/>
    </xf>
    <xf numFmtId="0" fontId="3" fillId="2" borderId="8" xfId="0" applyFont="1" applyFill="1" applyBorder="1" applyAlignment="1">
      <alignment wrapText="1"/>
    </xf>
    <xf numFmtId="0" fontId="3" fillId="2" borderId="9" xfId="0" applyFont="1" applyFill="1" applyBorder="1" applyAlignment="1">
      <alignment wrapText="1"/>
    </xf>
    <xf numFmtId="164" fontId="3" fillId="2" borderId="9" xfId="1" applyNumberFormat="1" applyFont="1" applyFill="1" applyBorder="1" applyAlignment="1">
      <alignment wrapText="1"/>
    </xf>
    <xf numFmtId="0" fontId="5" fillId="5" borderId="1" xfId="0" applyFont="1" applyFill="1" applyBorder="1" applyAlignment="1">
      <alignment vertical="top"/>
    </xf>
    <xf numFmtId="0" fontId="5" fillId="5" borderId="1" xfId="0" applyFont="1" applyFill="1" applyBorder="1" applyAlignment="1">
      <alignment wrapText="1"/>
    </xf>
    <xf numFmtId="0" fontId="5" fillId="5" borderId="1" xfId="0" applyFont="1" applyFill="1" applyBorder="1" applyAlignment="1">
      <alignment horizontal="center" vertical="top" wrapText="1"/>
    </xf>
    <xf numFmtId="0" fontId="5" fillId="5" borderId="0" xfId="0" applyFont="1" applyFill="1" applyAlignment="1">
      <alignment horizontal="center" vertical="top" wrapText="1"/>
    </xf>
    <xf numFmtId="0" fontId="5" fillId="5" borderId="1" xfId="0" applyFont="1" applyFill="1" applyBorder="1" applyAlignment="1">
      <alignment horizontal="left" vertical="top" wrapText="1"/>
    </xf>
    <xf numFmtId="0" fontId="3" fillId="0" borderId="1" xfId="0" applyFont="1" applyBorder="1" applyAlignment="1">
      <alignment wrapText="1"/>
    </xf>
    <xf numFmtId="0" fontId="3" fillId="0" borderId="1" xfId="0" applyFont="1" applyBorder="1"/>
    <xf numFmtId="165" fontId="3" fillId="0" borderId="1" xfId="0" applyNumberFormat="1" applyFont="1" applyBorder="1" applyAlignment="1">
      <alignment horizontal="right"/>
    </xf>
    <xf numFmtId="165" fontId="3" fillId="0" borderId="1" xfId="0" applyNumberFormat="1" applyFont="1" applyBorder="1"/>
    <xf numFmtId="3" fontId="3" fillId="0" borderId="1" xfId="0" applyNumberFormat="1" applyFont="1" applyBorder="1" applyAlignment="1">
      <alignment horizontal="right"/>
    </xf>
    <xf numFmtId="0" fontId="5" fillId="6" borderId="1" xfId="0" applyFont="1" applyFill="1" applyBorder="1" applyAlignment="1">
      <alignment wrapText="1"/>
    </xf>
    <xf numFmtId="0" fontId="5" fillId="6" borderId="1" xfId="0" applyFont="1" applyFill="1" applyBorder="1" applyAlignment="1">
      <alignment horizontal="right"/>
    </xf>
    <xf numFmtId="165" fontId="5" fillId="6" borderId="1" xfId="0" applyNumberFormat="1" applyFont="1" applyFill="1" applyBorder="1" applyAlignment="1">
      <alignment horizontal="right"/>
    </xf>
    <xf numFmtId="0" fontId="5" fillId="6" borderId="1" xfId="0" applyFont="1" applyFill="1" applyBorder="1"/>
    <xf numFmtId="3" fontId="5" fillId="6" borderId="1" xfId="0" applyNumberFormat="1" applyFont="1" applyFill="1" applyBorder="1" applyAlignment="1">
      <alignment horizontal="right"/>
    </xf>
    <xf numFmtId="0" fontId="6" fillId="0" borderId="0" xfId="0" applyFont="1" applyAlignment="1">
      <alignment vertical="top"/>
    </xf>
    <xf numFmtId="0" fontId="3" fillId="0" borderId="0" xfId="0" applyFont="1" applyAlignment="1">
      <alignment vertical="top"/>
    </xf>
    <xf numFmtId="165" fontId="3" fillId="0" borderId="0" xfId="0" applyNumberFormat="1" applyFont="1" applyAlignment="1">
      <alignment vertical="top"/>
    </xf>
    <xf numFmtId="166" fontId="3" fillId="0" borderId="0" xfId="0" applyNumberFormat="1" applyFont="1" applyAlignment="1">
      <alignment vertical="top"/>
    </xf>
    <xf numFmtId="0" fontId="5" fillId="7" borderId="1" xfId="0" applyFont="1" applyFill="1" applyBorder="1" applyAlignment="1">
      <alignment wrapText="1"/>
    </xf>
    <xf numFmtId="0" fontId="5" fillId="8" borderId="1" xfId="0" applyFont="1" applyFill="1" applyBorder="1" applyAlignment="1">
      <alignment horizontal="center" vertical="top" wrapText="1"/>
    </xf>
    <xf numFmtId="3" fontId="3" fillId="0" borderId="1" xfId="0" applyNumberFormat="1" applyFont="1" applyBorder="1" applyAlignment="1">
      <alignment horizontal="right" wrapText="1"/>
    </xf>
    <xf numFmtId="3" fontId="3" fillId="0" borderId="13" xfId="4" applyNumberFormat="1" applyFont="1" applyBorder="1" applyAlignment="1">
      <alignment horizontal="right" wrapText="1"/>
    </xf>
    <xf numFmtId="3" fontId="3" fillId="0" borderId="2" xfId="0" applyNumberFormat="1" applyFont="1" applyBorder="1" applyAlignment="1">
      <alignment horizontal="right" wrapText="1"/>
    </xf>
    <xf numFmtId="0" fontId="3" fillId="0" borderId="14" xfId="0" applyFont="1" applyBorder="1" applyAlignment="1">
      <alignment wrapText="1"/>
    </xf>
    <xf numFmtId="0" fontId="3" fillId="0" borderId="14" xfId="0" applyFont="1" applyBorder="1" applyAlignment="1">
      <alignment horizontal="right" wrapText="1"/>
    </xf>
    <xf numFmtId="3" fontId="3" fillId="0" borderId="19" xfId="0" applyNumberFormat="1" applyFont="1" applyBorder="1" applyAlignment="1">
      <alignment horizontal="right" wrapText="1"/>
    </xf>
    <xf numFmtId="3" fontId="5" fillId="0" borderId="1" xfId="0" applyNumberFormat="1" applyFont="1" applyBorder="1" applyAlignment="1">
      <alignment horizontal="right" wrapText="1"/>
    </xf>
    <xf numFmtId="166" fontId="3" fillId="0" borderId="1" xfId="0" applyNumberFormat="1" applyFont="1" applyBorder="1" applyAlignment="1">
      <alignment horizontal="right" wrapText="1"/>
    </xf>
    <xf numFmtId="166" fontId="3" fillId="0" borderId="2" xfId="0" applyNumberFormat="1" applyFont="1" applyBorder="1" applyAlignment="1">
      <alignment horizontal="right" wrapText="1"/>
    </xf>
    <xf numFmtId="166" fontId="3" fillId="0" borderId="19" xfId="0" applyNumberFormat="1" applyFont="1" applyBorder="1" applyAlignment="1">
      <alignment horizontal="right" wrapText="1"/>
    </xf>
    <xf numFmtId="0" fontId="0" fillId="0" borderId="21" xfId="0" applyBorder="1" applyAlignment="1">
      <alignment wrapText="1"/>
    </xf>
    <xf numFmtId="0" fontId="0" fillId="0" borderId="22" xfId="0" applyBorder="1" applyAlignment="1">
      <alignment wrapText="1"/>
    </xf>
    <xf numFmtId="166" fontId="5" fillId="7" borderId="1" xfId="0" applyNumberFormat="1" applyFont="1" applyFill="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wrapText="1"/>
    </xf>
    <xf numFmtId="3" fontId="3" fillId="2" borderId="13" xfId="4" applyNumberFormat="1" applyFont="1" applyFill="1" applyBorder="1" applyAlignment="1">
      <alignment horizontal="right" wrapText="1"/>
    </xf>
    <xf numFmtId="0" fontId="5" fillId="0" borderId="1" xfId="0" applyFont="1" applyBorder="1" applyAlignment="1">
      <alignment horizontal="left" vertical="top" wrapText="1"/>
    </xf>
    <xf numFmtId="3" fontId="5" fillId="0" borderId="13" xfId="4" applyNumberFormat="1" applyFont="1" applyBorder="1" applyAlignment="1">
      <alignment horizontal="right" wrapText="1"/>
    </xf>
    <xf numFmtId="165" fontId="3" fillId="0" borderId="1" xfId="0" applyNumberFormat="1" applyFont="1" applyBorder="1" applyAlignment="1">
      <alignment horizontal="right" wrapText="1"/>
    </xf>
    <xf numFmtId="3" fontId="3" fillId="2" borderId="1" xfId="0" applyNumberFormat="1" applyFont="1" applyFill="1" applyBorder="1" applyAlignment="1">
      <alignment horizontal="right" wrapText="1"/>
    </xf>
    <xf numFmtId="165" fontId="3" fillId="2" borderId="1" xfId="0" applyNumberFormat="1" applyFont="1" applyFill="1" applyBorder="1" applyAlignment="1">
      <alignment horizontal="right" wrapText="1"/>
    </xf>
    <xf numFmtId="165" fontId="3" fillId="0" borderId="18" xfId="0" applyNumberFormat="1" applyFont="1" applyBorder="1" applyAlignment="1">
      <alignment horizontal="right" wrapText="1"/>
    </xf>
    <xf numFmtId="165" fontId="3" fillId="0" borderId="13" xfId="0" applyNumberFormat="1" applyFont="1" applyBorder="1" applyAlignment="1">
      <alignment horizontal="right" wrapText="1"/>
    </xf>
    <xf numFmtId="165" fontId="5" fillId="0" borderId="1" xfId="0" applyNumberFormat="1" applyFont="1" applyBorder="1" applyAlignment="1">
      <alignment horizontal="right" wrapText="1"/>
    </xf>
    <xf numFmtId="0" fontId="0" fillId="0" borderId="23" xfId="0" applyBorder="1" applyAlignment="1">
      <alignment wrapText="1"/>
    </xf>
    <xf numFmtId="0" fontId="0" fillId="0" borderId="24" xfId="0" applyBorder="1" applyAlignment="1">
      <alignment wrapText="1"/>
    </xf>
    <xf numFmtId="0" fontId="5" fillId="7" borderId="1" xfId="0" applyFont="1" applyFill="1" applyBorder="1" applyAlignment="1">
      <alignment horizontal="left" vertical="top" wrapText="1"/>
    </xf>
    <xf numFmtId="4" fontId="5" fillId="7" borderId="1" xfId="0" applyNumberFormat="1" applyFont="1" applyFill="1" applyBorder="1" applyAlignment="1">
      <alignment horizontal="left" vertical="top" wrapText="1"/>
    </xf>
    <xf numFmtId="167" fontId="5" fillId="7" borderId="1" xfId="0" applyNumberFormat="1" applyFont="1" applyFill="1" applyBorder="1" applyAlignment="1">
      <alignment horizontal="left" vertical="top" wrapText="1"/>
    </xf>
    <xf numFmtId="0" fontId="5" fillId="9" borderId="1" xfId="0" applyFont="1" applyFill="1" applyBorder="1" applyAlignment="1">
      <alignment vertical="top" wrapText="1"/>
    </xf>
    <xf numFmtId="3" fontId="5" fillId="9" borderId="1" xfId="0" applyNumberFormat="1" applyFont="1" applyFill="1" applyBorder="1" applyAlignment="1">
      <alignment horizontal="right" wrapText="1"/>
    </xf>
    <xf numFmtId="165" fontId="5" fillId="9" borderId="1" xfId="0" applyNumberFormat="1" applyFont="1" applyFill="1" applyBorder="1" applyAlignment="1">
      <alignment horizontal="right" wrapText="1"/>
    </xf>
    <xf numFmtId="0" fontId="5" fillId="9" borderId="1" xfId="0" applyFont="1" applyFill="1" applyBorder="1" applyAlignment="1">
      <alignment wrapText="1"/>
    </xf>
    <xf numFmtId="0" fontId="3" fillId="0" borderId="6" xfId="0" applyFont="1" applyBorder="1" applyAlignment="1">
      <alignment wrapText="1"/>
    </xf>
    <xf numFmtId="0" fontId="14" fillId="0" borderId="6" xfId="0" applyFont="1" applyBorder="1" applyAlignment="1">
      <alignment wrapText="1"/>
    </xf>
    <xf numFmtId="0" fontId="3" fillId="0" borderId="8" xfId="0" applyFont="1" applyBorder="1" applyAlignment="1">
      <alignment wrapText="1"/>
    </xf>
    <xf numFmtId="0" fontId="0" fillId="0" borderId="10" xfId="0" applyBorder="1" applyAlignment="1">
      <alignment wrapText="1"/>
    </xf>
    <xf numFmtId="0" fontId="14" fillId="0" borderId="27" xfId="0" applyFont="1" applyBorder="1" applyAlignment="1">
      <alignment wrapText="1"/>
    </xf>
    <xf numFmtId="0" fontId="0" fillId="0" borderId="28" xfId="0" applyBorder="1" applyAlignment="1">
      <alignment wrapText="1"/>
    </xf>
    <xf numFmtId="0" fontId="17" fillId="0" borderId="0" xfId="0" applyFont="1" applyAlignment="1">
      <alignment wrapText="1"/>
    </xf>
    <xf numFmtId="0" fontId="10" fillId="0" borderId="34" xfId="0" applyFont="1" applyBorder="1" applyAlignment="1">
      <alignment horizontal="center" vertical="center" wrapText="1"/>
    </xf>
    <xf numFmtId="0" fontId="18" fillId="0" borderId="13" xfId="0" applyFont="1" applyBorder="1" applyAlignment="1">
      <alignment horizontal="left" vertical="center" wrapText="1"/>
    </xf>
    <xf numFmtId="0" fontId="12" fillId="0" borderId="19" xfId="0" applyFont="1" applyBorder="1" applyAlignment="1">
      <alignment horizontal="center" vertical="center" wrapText="1"/>
    </xf>
    <xf numFmtId="0" fontId="18" fillId="0" borderId="4" xfId="0" applyFont="1" applyBorder="1" applyAlignment="1">
      <alignment horizontal="left" vertical="center" wrapText="1"/>
    </xf>
    <xf numFmtId="0" fontId="10" fillId="0" borderId="4" xfId="0" applyFont="1" applyBorder="1" applyAlignment="1">
      <alignment horizontal="center" vertical="center" wrapText="1"/>
    </xf>
    <xf numFmtId="0" fontId="18" fillId="0" borderId="9" xfId="0" applyFont="1" applyBorder="1" applyAlignment="1">
      <alignment horizontal="left" vertical="center" wrapText="1"/>
    </xf>
    <xf numFmtId="0" fontId="10" fillId="0" borderId="9" xfId="0" applyFont="1" applyBorder="1" applyAlignment="1">
      <alignment horizontal="center" vertical="center" wrapText="1"/>
    </xf>
    <xf numFmtId="0" fontId="18" fillId="0" borderId="2" xfId="0" applyFont="1" applyBorder="1" applyAlignment="1">
      <alignment horizontal="left" vertical="center" wrapText="1"/>
    </xf>
    <xf numFmtId="0" fontId="10" fillId="0" borderId="2" xfId="0" applyFont="1" applyBorder="1" applyAlignment="1">
      <alignment horizontal="center" vertical="center" wrapText="1"/>
    </xf>
    <xf numFmtId="0" fontId="18" fillId="0" borderId="18" xfId="0" applyFont="1" applyBorder="1" applyAlignment="1">
      <alignment horizontal="left" vertical="center" wrapText="1"/>
    </xf>
    <xf numFmtId="0" fontId="11" fillId="0" borderId="39" xfId="0" applyFont="1" applyBorder="1" applyAlignment="1">
      <alignment horizontal="left" vertical="center" wrapText="1"/>
    </xf>
    <xf numFmtId="0" fontId="19" fillId="7" borderId="1" xfId="4" applyFont="1" applyFill="1" applyBorder="1" applyAlignment="1">
      <alignment horizontal="left" wrapText="1"/>
    </xf>
    <xf numFmtId="0" fontId="19" fillId="7" borderId="1" xfId="4" applyFont="1" applyFill="1" applyBorder="1" applyAlignment="1">
      <alignment horizontal="center" wrapText="1"/>
    </xf>
    <xf numFmtId="0" fontId="6" fillId="0" borderId="1" xfId="4" applyFont="1" applyBorder="1" applyAlignment="1">
      <alignment wrapText="1"/>
    </xf>
    <xf numFmtId="8" fontId="6" fillId="0" borderId="1" xfId="4" applyNumberFormat="1" applyFont="1" applyBorder="1" applyAlignment="1">
      <alignment wrapText="1"/>
    </xf>
    <xf numFmtId="165" fontId="6" fillId="0" borderId="1" xfId="4" applyNumberFormat="1" applyFont="1" applyBorder="1" applyAlignment="1">
      <alignment horizontal="right" wrapText="1"/>
    </xf>
    <xf numFmtId="0" fontId="6" fillId="0" borderId="1" xfId="4" applyFont="1" applyBorder="1" applyAlignment="1">
      <alignment horizontal="left" wrapText="1"/>
    </xf>
    <xf numFmtId="0" fontId="6" fillId="10" borderId="1" xfId="4" applyFont="1" applyFill="1" applyBorder="1" applyAlignment="1">
      <alignment wrapText="1"/>
    </xf>
    <xf numFmtId="9" fontId="6" fillId="0" borderId="1" xfId="4" applyNumberFormat="1" applyFont="1" applyBorder="1" applyAlignment="1">
      <alignment wrapText="1"/>
    </xf>
    <xf numFmtId="9" fontId="6" fillId="0" borderId="1" xfId="3" applyFont="1" applyBorder="1" applyAlignment="1">
      <alignment wrapText="1"/>
    </xf>
    <xf numFmtId="8" fontId="6" fillId="0" borderId="2" xfId="4" applyNumberFormat="1" applyFont="1" applyBorder="1" applyAlignment="1">
      <alignment wrapText="1"/>
    </xf>
    <xf numFmtId="0" fontId="6" fillId="10" borderId="2" xfId="4" applyFont="1" applyFill="1" applyBorder="1" applyAlignment="1">
      <alignment wrapText="1"/>
    </xf>
    <xf numFmtId="0" fontId="6" fillId="0" borderId="2" xfId="4" applyFont="1" applyBorder="1" applyAlignment="1">
      <alignment wrapText="1"/>
    </xf>
    <xf numFmtId="9" fontId="6" fillId="0" borderId="2" xfId="3" applyFont="1" applyBorder="1" applyAlignment="1">
      <alignment wrapText="1"/>
    </xf>
    <xf numFmtId="0" fontId="19" fillId="0" borderId="14" xfId="4" applyFont="1" applyBorder="1" applyAlignment="1">
      <alignment horizontal="center" wrapText="1"/>
    </xf>
    <xf numFmtId="0" fontId="19" fillId="0" borderId="15" xfId="4" applyFont="1" applyBorder="1" applyAlignment="1">
      <alignment horizontal="center" wrapText="1"/>
    </xf>
    <xf numFmtId="0" fontId="19" fillId="0" borderId="13" xfId="4" applyFont="1" applyBorder="1" applyAlignment="1">
      <alignment horizontal="center" wrapText="1"/>
    </xf>
    <xf numFmtId="165" fontId="6" fillId="0" borderId="13" xfId="4" applyNumberFormat="1" applyFont="1" applyBorder="1" applyAlignment="1">
      <alignment horizontal="right" wrapText="1"/>
    </xf>
    <xf numFmtId="0" fontId="19" fillId="0" borderId="16" xfId="4" applyFont="1" applyBorder="1" applyAlignment="1">
      <alignment horizontal="center" wrapText="1"/>
    </xf>
    <xf numFmtId="0" fontId="19" fillId="0" borderId="17" xfId="4" applyFont="1" applyBorder="1" applyAlignment="1">
      <alignment horizontal="center" wrapText="1"/>
    </xf>
    <xf numFmtId="0" fontId="19" fillId="0" borderId="18" xfId="4" applyFont="1" applyBorder="1" applyAlignment="1">
      <alignment horizontal="center" wrapText="1"/>
    </xf>
    <xf numFmtId="0" fontId="19" fillId="7" borderId="16" xfId="4" applyFont="1" applyFill="1" applyBorder="1" applyAlignment="1">
      <alignment horizontal="center" wrapText="1"/>
    </xf>
    <xf numFmtId="164" fontId="19" fillId="7" borderId="16" xfId="1" applyNumberFormat="1" applyFont="1" applyFill="1" applyBorder="1" applyAlignment="1">
      <alignment horizontal="center" wrapText="1"/>
    </xf>
    <xf numFmtId="168" fontId="19" fillId="7" borderId="16" xfId="2" applyNumberFormat="1" applyFont="1" applyFill="1" applyBorder="1" applyAlignment="1">
      <alignment horizontal="center" wrapText="1"/>
    </xf>
    <xf numFmtId="0" fontId="6" fillId="0" borderId="1" xfId="4" applyFont="1" applyBorder="1" applyAlignment="1">
      <alignment horizontal="left"/>
    </xf>
    <xf numFmtId="0" fontId="2" fillId="0" borderId="0" xfId="0" applyFont="1" applyAlignment="1">
      <alignment wrapText="1"/>
    </xf>
    <xf numFmtId="168" fontId="19" fillId="7" borderId="1" xfId="2" applyNumberFormat="1" applyFont="1" applyFill="1" applyBorder="1" applyAlignment="1">
      <alignment horizontal="center" wrapText="1"/>
    </xf>
    <xf numFmtId="168" fontId="0" fillId="0" borderId="0" xfId="0" applyNumberFormat="1" applyAlignment="1">
      <alignment wrapText="1"/>
    </xf>
    <xf numFmtId="0" fontId="6" fillId="0" borderId="0" xfId="4" applyFont="1" applyAlignment="1">
      <alignment horizontal="left"/>
    </xf>
    <xf numFmtId="168" fontId="19" fillId="7" borderId="13" xfId="2" applyNumberFormat="1" applyFont="1" applyFill="1" applyBorder="1" applyAlignment="1">
      <alignment horizont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0" fillId="0" borderId="9" xfId="0" applyBorder="1" applyAlignment="1">
      <alignment wrapText="1"/>
    </xf>
    <xf numFmtId="0" fontId="18" fillId="0" borderId="29" xfId="0" applyFont="1" applyBorder="1" applyAlignment="1">
      <alignment horizontal="left" vertical="center" wrapText="1"/>
    </xf>
    <xf numFmtId="0" fontId="0" fillId="0" borderId="9" xfId="0" applyBorder="1" applyAlignment="1">
      <alignment horizontal="center" wrapText="1"/>
    </xf>
    <xf numFmtId="0" fontId="10" fillId="0" borderId="9" xfId="0" applyFont="1" applyBorder="1" applyAlignment="1">
      <alignment horizontal="center" wrapText="1"/>
    </xf>
    <xf numFmtId="0" fontId="10" fillId="0" borderId="4" xfId="0" applyFont="1" applyBorder="1" applyAlignment="1">
      <alignment horizontal="center" wrapText="1"/>
    </xf>
    <xf numFmtId="0" fontId="10" fillId="0" borderId="19" xfId="0" applyFont="1" applyBorder="1" applyAlignment="1">
      <alignment horizontal="center" wrapText="1"/>
    </xf>
    <xf numFmtId="2" fontId="0" fillId="0" borderId="1" xfId="0" applyNumberFormat="1" applyBorder="1" applyAlignment="1">
      <alignment wrapText="1"/>
    </xf>
    <xf numFmtId="1" fontId="0" fillId="0" borderId="1" xfId="0" applyNumberFormat="1" applyBorder="1" applyAlignment="1">
      <alignment wrapText="1"/>
    </xf>
    <xf numFmtId="0" fontId="10" fillId="0" borderId="29" xfId="0" applyFont="1" applyBorder="1" applyAlignment="1">
      <alignment horizontal="left" vertical="center" wrapText="1"/>
    </xf>
    <xf numFmtId="0" fontId="3" fillId="0" borderId="15" xfId="0" applyFont="1" applyBorder="1" applyAlignment="1">
      <alignment wrapText="1"/>
    </xf>
    <xf numFmtId="0" fontId="14" fillId="0" borderId="15" xfId="0" applyFont="1" applyBorder="1" applyAlignment="1">
      <alignment wrapText="1"/>
    </xf>
    <xf numFmtId="0" fontId="14" fillId="0" borderId="25" xfId="0" applyFont="1" applyBorder="1" applyAlignment="1">
      <alignment wrapText="1"/>
    </xf>
    <xf numFmtId="0" fontId="3" fillId="0" borderId="49" xfId="0" applyFont="1" applyBorder="1" applyAlignment="1">
      <alignment wrapText="1"/>
    </xf>
    <xf numFmtId="0" fontId="10" fillId="0" borderId="17" xfId="0" applyFont="1" applyBorder="1" applyAlignment="1">
      <alignment horizontal="right" wrapText="1"/>
    </xf>
    <xf numFmtId="0" fontId="10" fillId="0" borderId="30" xfId="0" applyFont="1" applyBorder="1" applyAlignment="1">
      <alignment horizontal="right" wrapText="1"/>
    </xf>
    <xf numFmtId="0" fontId="3" fillId="0" borderId="11" xfId="0" applyFont="1" applyBorder="1" applyAlignment="1">
      <alignment horizontal="left" wrapText="1" indent="1"/>
    </xf>
    <xf numFmtId="0" fontId="21" fillId="0" borderId="0" xfId="0" applyFont="1" applyAlignment="1">
      <alignment horizontal="left" wrapText="1" indent="1"/>
    </xf>
    <xf numFmtId="0" fontId="3" fillId="3" borderId="50" xfId="0" applyFont="1" applyFill="1" applyBorder="1" applyAlignment="1">
      <alignment horizontal="center" wrapText="1"/>
    </xf>
    <xf numFmtId="164" fontId="3" fillId="2" borderId="51" xfId="1" applyNumberFormat="1" applyFont="1" applyFill="1" applyBorder="1" applyAlignment="1">
      <alignment wrapText="1"/>
    </xf>
    <xf numFmtId="0" fontId="0" fillId="4" borderId="50" xfId="0" applyFill="1" applyBorder="1" applyAlignment="1">
      <alignment wrapText="1"/>
    </xf>
    <xf numFmtId="0" fontId="0" fillId="0" borderId="14" xfId="0" applyBorder="1" applyAlignment="1">
      <alignment wrapText="1"/>
    </xf>
    <xf numFmtId="0" fontId="0" fillId="4" borderId="51" xfId="0" applyFill="1"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53" xfId="0" applyBorder="1" applyAlignment="1">
      <alignment wrapText="1"/>
    </xf>
    <xf numFmtId="0" fontId="0" fillId="0" borderId="8" xfId="0" applyBorder="1" applyAlignment="1">
      <alignment wrapText="1"/>
    </xf>
    <xf numFmtId="2" fontId="0" fillId="0" borderId="11" xfId="0" applyNumberFormat="1" applyBorder="1" applyAlignment="1">
      <alignment wrapText="1"/>
    </xf>
    <xf numFmtId="2" fontId="0" fillId="0" borderId="26" xfId="0" applyNumberFormat="1" applyBorder="1" applyAlignment="1">
      <alignment wrapText="1"/>
    </xf>
    <xf numFmtId="0" fontId="3" fillId="0" borderId="0" xfId="0" applyFont="1" applyFill="1" applyBorder="1" applyAlignment="1">
      <alignment wrapText="1"/>
    </xf>
    <xf numFmtId="0" fontId="3" fillId="0" borderId="9" xfId="0" applyFont="1" applyFill="1" applyBorder="1" applyAlignment="1">
      <alignment wrapText="1"/>
    </xf>
    <xf numFmtId="0" fontId="0" fillId="0" borderId="4" xfId="0" applyFill="1" applyBorder="1" applyAlignment="1">
      <alignment wrapText="1"/>
    </xf>
    <xf numFmtId="0" fontId="0" fillId="0" borderId="1" xfId="0" applyFill="1" applyBorder="1" applyAlignment="1">
      <alignment wrapText="1"/>
    </xf>
    <xf numFmtId="0" fontId="0" fillId="0" borderId="9" xfId="0" applyFill="1" applyBorder="1" applyAlignment="1">
      <alignment wrapText="1"/>
    </xf>
    <xf numFmtId="0" fontId="0" fillId="0" borderId="0" xfId="0" applyFill="1" applyAlignment="1">
      <alignment wrapText="1"/>
    </xf>
    <xf numFmtId="0" fontId="2" fillId="11" borderId="0" xfId="0" applyFont="1" applyFill="1" applyAlignment="1">
      <alignment horizontal="center" wrapText="1"/>
    </xf>
    <xf numFmtId="2" fontId="0" fillId="0" borderId="56" xfId="0" applyNumberFormat="1" applyBorder="1" applyAlignment="1">
      <alignment wrapText="1"/>
    </xf>
    <xf numFmtId="2" fontId="0" fillId="0" borderId="57" xfId="0" applyNumberFormat="1" applyBorder="1" applyAlignment="1">
      <alignment wrapText="1"/>
    </xf>
    <xf numFmtId="2" fontId="3" fillId="0" borderId="0" xfId="0" applyNumberFormat="1" applyFont="1" applyBorder="1" applyAlignment="1">
      <alignment wrapText="1"/>
    </xf>
    <xf numFmtId="2" fontId="3" fillId="0" borderId="0" xfId="0" applyNumberFormat="1" applyFont="1" applyFill="1" applyBorder="1" applyAlignment="1">
      <alignment wrapText="1"/>
    </xf>
    <xf numFmtId="2" fontId="3" fillId="0" borderId="0" xfId="1" applyNumberFormat="1" applyFont="1" applyBorder="1" applyAlignment="1">
      <alignment wrapText="1"/>
    </xf>
    <xf numFmtId="2" fontId="0" fillId="0" borderId="0" xfId="0" applyNumberFormat="1" applyBorder="1" applyAlignment="1">
      <alignment wrapText="1"/>
    </xf>
    <xf numFmtId="2" fontId="0" fillId="0" borderId="12" xfId="0" applyNumberFormat="1" applyBorder="1" applyAlignment="1">
      <alignment wrapText="1"/>
    </xf>
    <xf numFmtId="2" fontId="3" fillId="2" borderId="9" xfId="0" applyNumberFormat="1" applyFont="1" applyFill="1" applyBorder="1" applyAlignment="1">
      <alignment wrapText="1"/>
    </xf>
    <xf numFmtId="2" fontId="3" fillId="2" borderId="9" xfId="1" applyNumberFormat="1" applyFont="1" applyFill="1" applyBorder="1" applyAlignment="1">
      <alignment wrapText="1"/>
    </xf>
    <xf numFmtId="2" fontId="3" fillId="2" borderId="51" xfId="1" applyNumberFormat="1" applyFont="1" applyFill="1" applyBorder="1" applyAlignment="1">
      <alignment wrapText="1"/>
    </xf>
    <xf numFmtId="2" fontId="0" fillId="4" borderId="4" xfId="0" applyNumberFormat="1" applyFill="1" applyBorder="1" applyAlignment="1">
      <alignment wrapText="1"/>
    </xf>
    <xf numFmtId="2" fontId="0" fillId="4" borderId="50" xfId="0" applyNumberFormat="1" applyFill="1" applyBorder="1" applyAlignment="1">
      <alignment wrapText="1"/>
    </xf>
    <xf numFmtId="2" fontId="0" fillId="0" borderId="14" xfId="0" applyNumberFormat="1" applyBorder="1" applyAlignment="1">
      <alignment wrapText="1"/>
    </xf>
    <xf numFmtId="2" fontId="0" fillId="4" borderId="9" xfId="0" applyNumberFormat="1" applyFill="1" applyBorder="1" applyAlignment="1">
      <alignment wrapText="1"/>
    </xf>
    <xf numFmtId="2" fontId="0" fillId="4" borderId="51" xfId="0" applyNumberFormat="1" applyFill="1" applyBorder="1" applyAlignment="1">
      <alignment wrapText="1"/>
    </xf>
    <xf numFmtId="2" fontId="0" fillId="0" borderId="44" xfId="0" applyNumberFormat="1" applyBorder="1" applyAlignment="1">
      <alignment wrapText="1"/>
    </xf>
    <xf numFmtId="2" fontId="0" fillId="0" borderId="53" xfId="0" applyNumberFormat="1" applyBorder="1" applyAlignment="1">
      <alignment wrapText="1"/>
    </xf>
    <xf numFmtId="0" fontId="3" fillId="3" borderId="48" xfId="0" applyFont="1" applyFill="1" applyBorder="1" applyAlignment="1">
      <alignment horizontal="center" wrapText="1"/>
    </xf>
    <xf numFmtId="2" fontId="3" fillId="2" borderId="0" xfId="1" applyNumberFormat="1" applyFont="1" applyFill="1" applyBorder="1" applyAlignment="1">
      <alignment wrapText="1"/>
    </xf>
    <xf numFmtId="2" fontId="0" fillId="4" borderId="0" xfId="0" applyNumberFormat="1" applyFill="1" applyBorder="1" applyAlignment="1">
      <alignment wrapText="1"/>
    </xf>
    <xf numFmtId="2" fontId="0" fillId="4" borderId="44" xfId="0" applyNumberFormat="1" applyFill="1" applyBorder="1" applyAlignment="1">
      <alignment wrapText="1"/>
    </xf>
    <xf numFmtId="164" fontId="3" fillId="2" borderId="25" xfId="1" applyNumberFormat="1" applyFont="1" applyFill="1" applyBorder="1" applyAlignment="1">
      <alignment wrapText="1"/>
    </xf>
    <xf numFmtId="0" fontId="0" fillId="4" borderId="17" xfId="0" applyFill="1" applyBorder="1" applyAlignment="1">
      <alignment wrapText="1"/>
    </xf>
    <xf numFmtId="0" fontId="0" fillId="0" borderId="15" xfId="0" applyBorder="1" applyAlignment="1">
      <alignment wrapText="1"/>
    </xf>
    <xf numFmtId="0" fontId="0" fillId="4" borderId="49" xfId="0" applyFill="1" applyBorder="1" applyAlignment="1">
      <alignment wrapText="1"/>
    </xf>
    <xf numFmtId="0" fontId="5" fillId="5" borderId="2" xfId="0" applyFont="1" applyFill="1" applyBorder="1" applyAlignment="1">
      <alignment horizontal="center" vertical="top" wrapText="1"/>
    </xf>
    <xf numFmtId="3" fontId="3" fillId="6" borderId="13" xfId="4" applyNumberFormat="1" applyFont="1" applyFill="1" applyBorder="1" applyAlignment="1">
      <alignment horizontal="right" wrapText="1"/>
    </xf>
    <xf numFmtId="0" fontId="3" fillId="0" borderId="1" xfId="0" applyFont="1" applyBorder="1" applyAlignment="1">
      <alignment horizontal="right" wrapText="1"/>
    </xf>
    <xf numFmtId="3" fontId="3" fillId="0" borderId="15" xfId="4" applyNumberFormat="1" applyFont="1" applyBorder="1" applyAlignment="1">
      <alignment horizontal="right" wrapText="1"/>
    </xf>
    <xf numFmtId="168" fontId="5" fillId="5" borderId="1" xfId="2" applyNumberFormat="1" applyFont="1" applyFill="1" applyBorder="1" applyAlignment="1">
      <alignment horizontal="center" vertical="top" wrapText="1"/>
    </xf>
    <xf numFmtId="0" fontId="3" fillId="5" borderId="0" xfId="0" applyFont="1" applyFill="1" applyAlignment="1">
      <alignment wrapText="1"/>
    </xf>
    <xf numFmtId="167" fontId="3" fillId="0" borderId="1" xfId="0" applyNumberFormat="1" applyFont="1" applyBorder="1" applyAlignment="1">
      <alignment horizontal="right" wrapText="1"/>
    </xf>
    <xf numFmtId="167" fontId="3" fillId="0" borderId="2" xfId="0" applyNumberFormat="1" applyFont="1" applyBorder="1" applyAlignment="1">
      <alignment horizontal="right" wrapText="1"/>
    </xf>
    <xf numFmtId="167" fontId="3" fillId="6" borderId="14" xfId="0" applyNumberFormat="1" applyFont="1" applyFill="1" applyBorder="1" applyAlignment="1">
      <alignment horizontal="right" wrapText="1"/>
    </xf>
    <xf numFmtId="167" fontId="3" fillId="6" borderId="15" xfId="0" applyNumberFormat="1" applyFont="1" applyFill="1" applyBorder="1" applyAlignment="1">
      <alignment horizontal="right" wrapText="1"/>
    </xf>
    <xf numFmtId="3" fontId="3" fillId="6" borderId="15" xfId="0" applyNumberFormat="1" applyFont="1" applyFill="1" applyBorder="1" applyAlignment="1">
      <alignment horizontal="right" wrapText="1"/>
    </xf>
    <xf numFmtId="166" fontId="3" fillId="6" borderId="1" xfId="0" applyNumberFormat="1" applyFont="1" applyFill="1" applyBorder="1" applyAlignment="1">
      <alignment horizontal="right" wrapText="1"/>
    </xf>
    <xf numFmtId="166" fontId="3" fillId="6" borderId="15" xfId="0" applyNumberFormat="1" applyFont="1" applyFill="1" applyBorder="1" applyAlignment="1">
      <alignment horizontal="right" wrapText="1"/>
    </xf>
    <xf numFmtId="167" fontId="3" fillId="0" borderId="19" xfId="0" applyNumberFormat="1" applyFont="1" applyBorder="1" applyAlignment="1">
      <alignment horizontal="right" wrapText="1"/>
    </xf>
    <xf numFmtId="167" fontId="3" fillId="6" borderId="1" xfId="0" applyNumberFormat="1" applyFont="1" applyFill="1" applyBorder="1" applyAlignment="1">
      <alignment horizontal="right" wrapText="1"/>
    </xf>
    <xf numFmtId="3" fontId="3" fillId="6" borderId="1" xfId="0" applyNumberFormat="1" applyFont="1" applyFill="1" applyBorder="1" applyAlignment="1">
      <alignment horizontal="right" wrapText="1"/>
    </xf>
    <xf numFmtId="3" fontId="3" fillId="0" borderId="37" xfId="0" applyNumberFormat="1" applyFont="1" applyBorder="1" applyAlignment="1">
      <alignment horizontal="right" wrapText="1"/>
    </xf>
    <xf numFmtId="0" fontId="6" fillId="0" borderId="0" xfId="0" applyFont="1" applyAlignment="1">
      <alignment wrapText="1"/>
    </xf>
    <xf numFmtId="0" fontId="0" fillId="0" borderId="0" xfId="0" applyAlignment="1">
      <alignment vertical="top" wrapText="1"/>
    </xf>
    <xf numFmtId="4" fontId="6" fillId="0" borderId="0" xfId="0" applyNumberFormat="1" applyFont="1" applyAlignment="1">
      <alignment wrapText="1"/>
    </xf>
    <xf numFmtId="0" fontId="5" fillId="11" borderId="1" xfId="0" applyFont="1" applyFill="1" applyBorder="1" applyAlignment="1">
      <alignment horizontal="center" vertical="top" wrapText="1"/>
    </xf>
    <xf numFmtId="167" fontId="3" fillId="11" borderId="1" xfId="0" applyNumberFormat="1" applyFont="1" applyFill="1" applyBorder="1" applyAlignment="1">
      <alignment horizontal="right" wrapText="1"/>
    </xf>
    <xf numFmtId="167" fontId="3" fillId="11" borderId="2" xfId="0" applyNumberFormat="1" applyFont="1" applyFill="1" applyBorder="1" applyAlignment="1">
      <alignment horizontal="right" wrapText="1"/>
    </xf>
    <xf numFmtId="167" fontId="3" fillId="11" borderId="15" xfId="0" applyNumberFormat="1" applyFont="1" applyFill="1" applyBorder="1" applyAlignment="1">
      <alignment horizontal="right" wrapText="1"/>
    </xf>
    <xf numFmtId="167" fontId="3" fillId="11" borderId="19" xfId="0" applyNumberFormat="1" applyFont="1" applyFill="1" applyBorder="1" applyAlignment="1">
      <alignment horizontal="right" wrapText="1"/>
    </xf>
    <xf numFmtId="0" fontId="5" fillId="12" borderId="1" xfId="0" applyFont="1" applyFill="1" applyBorder="1" applyAlignment="1">
      <alignment horizontal="center" vertical="top" wrapText="1"/>
    </xf>
    <xf numFmtId="0" fontId="6" fillId="11" borderId="0" xfId="0" applyFont="1" applyFill="1" applyAlignment="1">
      <alignment wrapText="1"/>
    </xf>
    <xf numFmtId="0" fontId="0" fillId="11" borderId="0" xfId="0" applyFill="1"/>
    <xf numFmtId="2" fontId="0" fillId="0" borderId="0" xfId="0" applyNumberFormat="1"/>
    <xf numFmtId="3" fontId="0" fillId="0" borderId="0" xfId="0" applyNumberFormat="1"/>
    <xf numFmtId="166" fontId="3" fillId="11" borderId="1" xfId="0" applyNumberFormat="1" applyFont="1" applyFill="1" applyBorder="1" applyAlignment="1">
      <alignment horizontal="right" wrapText="1"/>
    </xf>
    <xf numFmtId="166" fontId="3" fillId="11" borderId="2" xfId="0" applyNumberFormat="1" applyFont="1" applyFill="1" applyBorder="1" applyAlignment="1">
      <alignment horizontal="right" wrapText="1"/>
    </xf>
    <xf numFmtId="166" fontId="3" fillId="11" borderId="15" xfId="0" applyNumberFormat="1" applyFont="1" applyFill="1" applyBorder="1" applyAlignment="1">
      <alignment horizontal="right" wrapText="1"/>
    </xf>
    <xf numFmtId="166" fontId="3" fillId="11" borderId="19" xfId="0" applyNumberFormat="1" applyFont="1" applyFill="1" applyBorder="1" applyAlignment="1">
      <alignment horizontal="right" wrapText="1"/>
    </xf>
    <xf numFmtId="166" fontId="3" fillId="6" borderId="14" xfId="0" applyNumberFormat="1" applyFont="1" applyFill="1" applyBorder="1" applyAlignment="1">
      <alignment horizontal="right" wrapText="1"/>
    </xf>
    <xf numFmtId="0" fontId="5" fillId="5" borderId="23" xfId="0" applyFont="1" applyFill="1" applyBorder="1" applyAlignment="1">
      <alignment horizontal="center" vertical="top" wrapText="1"/>
    </xf>
    <xf numFmtId="1" fontId="0" fillId="0" borderId="0" xfId="0" applyNumberFormat="1" applyBorder="1" applyAlignment="1">
      <alignment wrapText="1"/>
    </xf>
    <xf numFmtId="0" fontId="10" fillId="0" borderId="55" xfId="0" applyFont="1" applyBorder="1" applyAlignment="1">
      <alignment horizontal="center" vertical="center" wrapText="1"/>
    </xf>
    <xf numFmtId="1" fontId="10" fillId="0" borderId="50" xfId="0" applyNumberFormat="1" applyFont="1" applyBorder="1" applyAlignment="1">
      <alignment horizontal="center" vertical="center" wrapText="1"/>
    </xf>
    <xf numFmtId="1" fontId="12" fillId="0" borderId="50" xfId="0" applyNumberFormat="1" applyFont="1" applyBorder="1" applyAlignment="1">
      <alignment horizontal="center" vertical="center" wrapText="1"/>
    </xf>
    <xf numFmtId="1" fontId="12" fillId="0" borderId="51" xfId="0" applyNumberFormat="1" applyFont="1" applyBorder="1" applyAlignment="1">
      <alignment horizontal="center" vertical="center" wrapText="1"/>
    </xf>
    <xf numFmtId="1" fontId="20" fillId="0" borderId="58" xfId="0" applyNumberFormat="1" applyFont="1" applyBorder="1" applyAlignment="1">
      <alignment horizontal="center" vertical="center" wrapText="1"/>
    </xf>
    <xf numFmtId="1" fontId="12" fillId="0" borderId="51" xfId="0" applyNumberFormat="1" applyFont="1" applyBorder="1" applyAlignment="1">
      <alignment horizontal="center" wrapText="1"/>
    </xf>
    <xf numFmtId="1" fontId="12" fillId="0" borderId="50" xfId="0" applyNumberFormat="1" applyFont="1" applyBorder="1" applyAlignment="1">
      <alignment horizontal="center" wrapText="1"/>
    </xf>
    <xf numFmtId="1" fontId="12" fillId="0" borderId="16" xfId="0" applyNumberFormat="1" applyFont="1" applyBorder="1" applyAlignment="1">
      <alignment horizontal="center" vertical="center" wrapText="1"/>
    </xf>
    <xf numFmtId="0" fontId="13" fillId="0" borderId="12" xfId="0" applyFont="1" applyBorder="1" applyAlignment="1">
      <alignment wrapText="1"/>
    </xf>
    <xf numFmtId="0" fontId="3" fillId="0" borderId="27" xfId="0" applyFont="1" applyBorder="1" applyAlignment="1">
      <alignment wrapText="1"/>
    </xf>
    <xf numFmtId="0" fontId="3" fillId="0" borderId="29" xfId="0" applyFont="1" applyBorder="1" applyAlignment="1">
      <alignment wrapText="1"/>
    </xf>
    <xf numFmtId="0" fontId="3" fillId="0" borderId="42" xfId="0" applyFont="1" applyBorder="1" applyAlignment="1">
      <alignment wrapText="1"/>
    </xf>
    <xf numFmtId="0" fontId="0" fillId="0" borderId="59" xfId="0" applyBorder="1" applyAlignment="1">
      <alignment wrapText="1"/>
    </xf>
    <xf numFmtId="0" fontId="0" fillId="0" borderId="42" xfId="0" applyBorder="1" applyAlignment="1">
      <alignment wrapText="1"/>
    </xf>
    <xf numFmtId="1" fontId="10" fillId="0" borderId="60" xfId="0" applyNumberFormat="1" applyFont="1" applyBorder="1" applyAlignment="1">
      <alignment horizontal="center" vertical="center" wrapText="1"/>
    </xf>
    <xf numFmtId="1" fontId="12" fillId="0" borderId="60" xfId="0" applyNumberFormat="1" applyFont="1" applyBorder="1" applyAlignment="1">
      <alignment horizontal="center" vertical="center" wrapText="1"/>
    </xf>
    <xf numFmtId="1" fontId="20" fillId="0" borderId="60" xfId="0" applyNumberFormat="1" applyFont="1" applyBorder="1" applyAlignment="1">
      <alignment horizontal="center" vertical="center" wrapText="1"/>
    </xf>
    <xf numFmtId="1" fontId="12" fillId="0" borderId="60" xfId="0" applyNumberFormat="1" applyFont="1" applyBorder="1" applyAlignment="1">
      <alignment horizontal="center" wrapText="1"/>
    </xf>
    <xf numFmtId="0" fontId="19" fillId="0" borderId="17" xfId="4" applyFont="1" applyBorder="1" applyAlignment="1">
      <alignment horizontal="right" wrapText="1"/>
    </xf>
    <xf numFmtId="9" fontId="19" fillId="0" borderId="17" xfId="4" applyNumberFormat="1" applyFont="1" applyBorder="1" applyAlignment="1">
      <alignment horizontal="right" wrapText="1"/>
    </xf>
    <xf numFmtId="0" fontId="19" fillId="0" borderId="18" xfId="4" applyFont="1" applyBorder="1" applyAlignment="1">
      <alignment horizontal="right" wrapText="1"/>
    </xf>
    <xf numFmtId="3" fontId="3" fillId="13" borderId="1" xfId="0" applyNumberFormat="1" applyFont="1" applyFill="1" applyBorder="1" applyAlignment="1">
      <alignment horizontal="right" wrapText="1"/>
    </xf>
    <xf numFmtId="167" fontId="3" fillId="13" borderId="1" xfId="0" applyNumberFormat="1" applyFont="1" applyFill="1" applyBorder="1" applyAlignment="1">
      <alignment horizontal="right" wrapText="1"/>
    </xf>
    <xf numFmtId="167" fontId="3" fillId="13" borderId="1" xfId="4" applyNumberFormat="1" applyFont="1" applyFill="1" applyBorder="1" applyAlignment="1">
      <alignment horizontal="right" wrapText="1"/>
    </xf>
    <xf numFmtId="3" fontId="3" fillId="13" borderId="1" xfId="4" applyNumberFormat="1" applyFont="1" applyFill="1" applyBorder="1" applyAlignment="1">
      <alignment horizontal="right" wrapText="1"/>
    </xf>
    <xf numFmtId="165" fontId="3" fillId="13" borderId="1" xfId="4" applyNumberFormat="1" applyFont="1" applyFill="1" applyBorder="1" applyAlignment="1">
      <alignment horizontal="right" wrapText="1"/>
    </xf>
    <xf numFmtId="0" fontId="3" fillId="0" borderId="2" xfId="0" applyFont="1" applyBorder="1" applyAlignment="1">
      <alignment wrapText="1"/>
    </xf>
    <xf numFmtId="3" fontId="3" fillId="0" borderId="37" xfId="4" applyNumberFormat="1" applyFont="1" applyBorder="1" applyAlignment="1">
      <alignment horizontal="right" wrapText="1"/>
    </xf>
    <xf numFmtId="3" fontId="3" fillId="0" borderId="25" xfId="4" applyNumberFormat="1" applyFont="1" applyBorder="1" applyAlignment="1">
      <alignment horizontal="right" wrapText="1"/>
    </xf>
    <xf numFmtId="0" fontId="5" fillId="5" borderId="19" xfId="0" applyFont="1" applyFill="1" applyBorder="1" applyAlignment="1">
      <alignment horizontal="center" vertical="top" wrapText="1"/>
    </xf>
    <xf numFmtId="0" fontId="5" fillId="12" borderId="19" xfId="0" applyFont="1" applyFill="1" applyBorder="1" applyAlignment="1">
      <alignment horizontal="center" vertical="top" wrapText="1"/>
    </xf>
    <xf numFmtId="169" fontId="5" fillId="5" borderId="19" xfId="1" applyNumberFormat="1" applyFont="1" applyFill="1" applyBorder="1" applyAlignment="1">
      <alignment horizontal="center" vertical="top" wrapText="1"/>
    </xf>
    <xf numFmtId="168" fontId="5" fillId="5" borderId="19" xfId="2" applyNumberFormat="1" applyFont="1" applyFill="1" applyBorder="1" applyAlignment="1">
      <alignment horizontal="center" vertical="top" wrapText="1"/>
    </xf>
    <xf numFmtId="0" fontId="5" fillId="5" borderId="16" xfId="0" applyFont="1" applyFill="1" applyBorder="1" applyAlignment="1">
      <alignment horizontal="center" vertical="top" wrapText="1"/>
    </xf>
    <xf numFmtId="0" fontId="3" fillId="13" borderId="3" xfId="4" applyFont="1" applyFill="1" applyBorder="1" applyAlignment="1">
      <alignment wrapText="1"/>
    </xf>
    <xf numFmtId="167" fontId="3" fillId="13" borderId="4" xfId="4" applyNumberFormat="1" applyFont="1" applyFill="1" applyBorder="1" applyAlignment="1">
      <alignment horizontal="right" wrapText="1"/>
    </xf>
    <xf numFmtId="3" fontId="3" fillId="13" borderId="4" xfId="0" applyNumberFormat="1" applyFont="1" applyFill="1" applyBorder="1" applyAlignment="1">
      <alignment horizontal="right" wrapText="1"/>
    </xf>
    <xf numFmtId="166" fontId="3" fillId="13" borderId="4" xfId="0" applyNumberFormat="1" applyFont="1" applyFill="1" applyBorder="1" applyAlignment="1">
      <alignment horizontal="right" wrapText="1"/>
    </xf>
    <xf numFmtId="3" fontId="3" fillId="13" borderId="4" xfId="4" applyNumberFormat="1" applyFont="1" applyFill="1" applyBorder="1" applyAlignment="1">
      <alignment horizontal="right" wrapText="1"/>
    </xf>
    <xf numFmtId="165" fontId="3" fillId="13" borderId="4" xfId="4" applyNumberFormat="1" applyFont="1" applyFill="1" applyBorder="1" applyAlignment="1">
      <alignment horizontal="right" wrapText="1"/>
    </xf>
    <xf numFmtId="167" fontId="3" fillId="13" borderId="4" xfId="0" applyNumberFormat="1" applyFont="1" applyFill="1" applyBorder="1" applyAlignment="1">
      <alignment horizontal="right" wrapText="1"/>
    </xf>
    <xf numFmtId="3" fontId="3" fillId="13" borderId="5" xfId="4" applyNumberFormat="1" applyFont="1" applyFill="1" applyBorder="1" applyAlignment="1">
      <alignment horizontal="right" wrapText="1"/>
    </xf>
    <xf numFmtId="0" fontId="3" fillId="13" borderId="6" xfId="4" applyFont="1" applyFill="1" applyBorder="1" applyAlignment="1">
      <alignment wrapText="1"/>
    </xf>
    <xf numFmtId="0" fontId="0" fillId="13" borderId="6" xfId="0" applyFill="1" applyBorder="1"/>
    <xf numFmtId="0" fontId="0" fillId="13" borderId="8" xfId="0" applyFill="1" applyBorder="1" applyAlignment="1">
      <alignment wrapText="1"/>
    </xf>
    <xf numFmtId="3" fontId="3" fillId="13" borderId="9" xfId="4" applyNumberFormat="1" applyFont="1" applyFill="1" applyBorder="1" applyAlignment="1">
      <alignment horizontal="right" wrapText="1"/>
    </xf>
    <xf numFmtId="165" fontId="3" fillId="13" borderId="9" xfId="4" applyNumberFormat="1" applyFont="1" applyFill="1" applyBorder="1" applyAlignment="1">
      <alignment horizontal="right" wrapText="1"/>
    </xf>
    <xf numFmtId="167" fontId="3" fillId="3" borderId="4" xfId="4" applyNumberFormat="1" applyFont="1" applyFill="1" applyBorder="1" applyAlignment="1">
      <alignment horizontal="right" wrapText="1"/>
    </xf>
    <xf numFmtId="167" fontId="3" fillId="3" borderId="1" xfId="4" applyNumberFormat="1" applyFont="1" applyFill="1" applyBorder="1" applyAlignment="1">
      <alignment horizontal="right" wrapText="1"/>
    </xf>
    <xf numFmtId="3" fontId="3" fillId="3" borderId="1" xfId="4" applyNumberFormat="1" applyFont="1" applyFill="1" applyBorder="1" applyAlignment="1">
      <alignment horizontal="right" wrapText="1"/>
    </xf>
    <xf numFmtId="3" fontId="3" fillId="3" borderId="9" xfId="4" applyNumberFormat="1" applyFont="1" applyFill="1" applyBorder="1" applyAlignment="1">
      <alignment horizontal="right" wrapText="1"/>
    </xf>
    <xf numFmtId="3" fontId="3" fillId="3" borderId="4" xfId="4" applyNumberFormat="1" applyFont="1" applyFill="1" applyBorder="1" applyAlignment="1">
      <alignment horizontal="right" wrapText="1"/>
    </xf>
    <xf numFmtId="0" fontId="0" fillId="0" borderId="0" xfId="0" applyBorder="1"/>
    <xf numFmtId="0" fontId="0" fillId="11" borderId="0" xfId="0" applyFill="1" applyBorder="1"/>
    <xf numFmtId="0" fontId="10" fillId="0" borderId="32" xfId="0" applyFont="1" applyBorder="1" applyAlignment="1">
      <alignment horizontal="center" vertical="center" wrapText="1"/>
    </xf>
    <xf numFmtId="1" fontId="0" fillId="0" borderId="0" xfId="0" applyNumberFormat="1" applyAlignment="1">
      <alignment wrapText="1"/>
    </xf>
    <xf numFmtId="4" fontId="3" fillId="0" borderId="1" xfId="0" applyNumberFormat="1" applyFont="1" applyBorder="1" applyAlignment="1">
      <alignment horizontal="right"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3" fontId="3" fillId="3" borderId="1" xfId="0" applyNumberFormat="1" applyFont="1" applyFill="1" applyBorder="1" applyAlignment="1">
      <alignment horizontal="right" wrapText="1"/>
    </xf>
    <xf numFmtId="3" fontId="5" fillId="3" borderId="1" xfId="0" applyNumberFormat="1" applyFont="1" applyFill="1" applyBorder="1" applyAlignment="1">
      <alignment horizontal="right" wrapText="1"/>
    </xf>
    <xf numFmtId="3" fontId="0" fillId="0" borderId="0" xfId="0" applyNumberFormat="1" applyAlignment="1">
      <alignment wrapText="1"/>
    </xf>
    <xf numFmtId="0" fontId="0" fillId="0" borderId="1" xfId="0" applyBorder="1"/>
    <xf numFmtId="0" fontId="0" fillId="0" borderId="23" xfId="0" applyBorder="1"/>
    <xf numFmtId="0" fontId="0" fillId="9" borderId="24" xfId="0" applyFill="1" applyBorder="1"/>
    <xf numFmtId="0" fontId="25" fillId="14" borderId="42" xfId="0" applyFont="1" applyFill="1" applyBorder="1" applyAlignment="1">
      <alignment vertical="center" wrapText="1"/>
    </xf>
    <xf numFmtId="0" fontId="26" fillId="14" borderId="59" xfId="0" applyFont="1" applyFill="1" applyBorder="1" applyAlignment="1">
      <alignment vertical="center" wrapText="1"/>
    </xf>
    <xf numFmtId="0" fontId="25" fillId="0" borderId="61" xfId="0" applyFont="1" applyBorder="1" applyAlignment="1">
      <alignment vertical="center" wrapText="1"/>
    </xf>
    <xf numFmtId="0" fontId="25" fillId="0" borderId="53" xfId="0" applyFont="1" applyBorder="1" applyAlignment="1">
      <alignment horizontal="center" vertical="center" wrapText="1"/>
    </xf>
    <xf numFmtId="17" fontId="25" fillId="0" borderId="53" xfId="0" applyNumberFormat="1" applyFont="1" applyBorder="1" applyAlignment="1">
      <alignment horizontal="center" vertical="center" wrapText="1"/>
    </xf>
    <xf numFmtId="8" fontId="25" fillId="0" borderId="53" xfId="0" applyNumberFormat="1" applyFont="1" applyBorder="1" applyAlignment="1">
      <alignment horizontal="center" vertical="center" wrapText="1"/>
    </xf>
    <xf numFmtId="0" fontId="27" fillId="7" borderId="1" xfId="0" applyFont="1" applyFill="1" applyBorder="1" applyAlignment="1">
      <alignment wrapText="1"/>
    </xf>
    <xf numFmtId="0" fontId="27" fillId="5" borderId="1" xfId="0" applyFont="1" applyFill="1" applyBorder="1" applyAlignment="1">
      <alignment horizontal="center" vertical="top" wrapText="1"/>
    </xf>
    <xf numFmtId="0" fontId="27" fillId="5" borderId="0" xfId="0" applyFont="1" applyFill="1" applyAlignment="1">
      <alignment horizontal="center" vertical="top" wrapText="1"/>
    </xf>
    <xf numFmtId="0" fontId="27" fillId="8" borderId="1" xfId="0" applyFont="1" applyFill="1" applyBorder="1" applyAlignment="1">
      <alignment horizontal="center" vertical="top" wrapText="1"/>
    </xf>
    <xf numFmtId="0" fontId="27" fillId="11" borderId="1" xfId="0" applyFont="1" applyFill="1" applyBorder="1" applyAlignment="1">
      <alignment horizontal="left" vertical="top" wrapText="1"/>
    </xf>
    <xf numFmtId="0" fontId="27" fillId="11" borderId="1" xfId="0" applyFont="1" applyFill="1" applyBorder="1" applyAlignment="1">
      <alignment horizontal="center" vertical="top" wrapText="1"/>
    </xf>
    <xf numFmtId="0" fontId="27" fillId="8" borderId="1" xfId="0" applyFont="1" applyFill="1" applyBorder="1" applyAlignment="1">
      <alignment horizontal="left" vertical="top" wrapText="1"/>
    </xf>
    <xf numFmtId="0" fontId="28" fillId="0" borderId="1" xfId="0" applyFont="1" applyBorder="1" applyAlignment="1">
      <alignment wrapText="1"/>
    </xf>
    <xf numFmtId="3" fontId="28" fillId="0" borderId="1" xfId="0" applyNumberFormat="1" applyFont="1" applyBorder="1" applyAlignment="1">
      <alignment horizontal="right" wrapText="1"/>
    </xf>
    <xf numFmtId="3" fontId="28" fillId="11" borderId="1" xfId="0" applyNumberFormat="1" applyFont="1" applyFill="1" applyBorder="1" applyAlignment="1">
      <alignment horizontal="right" wrapText="1"/>
    </xf>
    <xf numFmtId="166" fontId="28" fillId="0" borderId="1" xfId="0" applyNumberFormat="1" applyFont="1" applyBorder="1" applyAlignment="1">
      <alignment horizontal="right" wrapText="1"/>
    </xf>
    <xf numFmtId="3" fontId="28" fillId="0" borderId="13" xfId="4" applyNumberFormat="1" applyFont="1" applyBorder="1" applyAlignment="1">
      <alignment horizontal="right" wrapText="1"/>
    </xf>
    <xf numFmtId="0" fontId="28" fillId="0" borderId="1" xfId="0" applyFont="1" applyBorder="1" applyAlignment="1">
      <alignment horizontal="left" vertical="center" wrapText="1"/>
    </xf>
    <xf numFmtId="3" fontId="28" fillId="0" borderId="2" xfId="0" applyNumberFormat="1" applyFont="1" applyBorder="1" applyAlignment="1">
      <alignment horizontal="right" wrapText="1"/>
    </xf>
    <xf numFmtId="3" fontId="28" fillId="11" borderId="2" xfId="0" applyNumberFormat="1" applyFont="1" applyFill="1" applyBorder="1" applyAlignment="1">
      <alignment horizontal="right" wrapText="1"/>
    </xf>
    <xf numFmtId="166" fontId="28" fillId="0" borderId="2" xfId="0" applyNumberFormat="1" applyFont="1" applyBorder="1" applyAlignment="1">
      <alignment horizontal="right" wrapText="1"/>
    </xf>
    <xf numFmtId="0" fontId="28" fillId="0" borderId="14" xfId="0" applyFont="1" applyBorder="1" applyAlignment="1">
      <alignment wrapText="1"/>
    </xf>
    <xf numFmtId="3" fontId="28" fillId="2" borderId="14" xfId="0" applyNumberFormat="1" applyFont="1" applyFill="1" applyBorder="1" applyAlignment="1">
      <alignment horizontal="right" wrapText="1"/>
    </xf>
    <xf numFmtId="3" fontId="28" fillId="2" borderId="15" xfId="0" applyNumberFormat="1" applyFont="1" applyFill="1" applyBorder="1" applyAlignment="1">
      <alignment horizontal="right" wrapText="1"/>
    </xf>
    <xf numFmtId="3" fontId="28" fillId="11" borderId="15" xfId="0" applyNumberFormat="1" applyFont="1" applyFill="1" applyBorder="1" applyAlignment="1">
      <alignment horizontal="right" wrapText="1"/>
    </xf>
    <xf numFmtId="166" fontId="28" fillId="2" borderId="15" xfId="0" applyNumberFormat="1" applyFont="1" applyFill="1" applyBorder="1" applyAlignment="1">
      <alignment horizontal="right" wrapText="1"/>
    </xf>
    <xf numFmtId="166" fontId="28" fillId="2" borderId="13" xfId="0" applyNumberFormat="1" applyFont="1" applyFill="1" applyBorder="1" applyAlignment="1">
      <alignment horizontal="right" wrapText="1"/>
    </xf>
    <xf numFmtId="0" fontId="28" fillId="0" borderId="14" xfId="0" applyFont="1" applyBorder="1" applyAlignment="1">
      <alignment horizontal="right" wrapText="1"/>
    </xf>
    <xf numFmtId="3" fontId="28" fillId="2" borderId="16" xfId="0" applyNumberFormat="1" applyFont="1" applyFill="1" applyBorder="1" applyAlignment="1">
      <alignment horizontal="right" wrapText="1"/>
    </xf>
    <xf numFmtId="3" fontId="28" fillId="2" borderId="17" xfId="0" applyNumberFormat="1" applyFont="1" applyFill="1" applyBorder="1" applyAlignment="1">
      <alignment horizontal="right" wrapText="1"/>
    </xf>
    <xf numFmtId="3" fontId="28" fillId="11" borderId="17" xfId="0" applyNumberFormat="1" applyFont="1" applyFill="1" applyBorder="1" applyAlignment="1">
      <alignment horizontal="right" wrapText="1"/>
    </xf>
    <xf numFmtId="166" fontId="28" fillId="2" borderId="18" xfId="0" applyNumberFormat="1" applyFont="1" applyFill="1" applyBorder="1" applyAlignment="1">
      <alignment horizontal="right" wrapText="1"/>
    </xf>
    <xf numFmtId="166" fontId="28" fillId="0" borderId="18" xfId="0" applyNumberFormat="1" applyFont="1" applyBorder="1" applyAlignment="1">
      <alignment horizontal="right" wrapText="1"/>
    </xf>
    <xf numFmtId="3" fontId="28" fillId="0" borderId="19" xfId="0" applyNumberFormat="1" applyFont="1" applyBorder="1" applyAlignment="1">
      <alignment horizontal="right" wrapText="1"/>
    </xf>
    <xf numFmtId="166" fontId="28" fillId="0" borderId="19" xfId="0" applyNumberFormat="1" applyFont="1" applyBorder="1" applyAlignment="1">
      <alignment horizontal="right" wrapText="1"/>
    </xf>
    <xf numFmtId="166" fontId="28" fillId="0" borderId="13" xfId="0" applyNumberFormat="1" applyFont="1" applyBorder="1" applyAlignment="1">
      <alignment horizontal="right" wrapText="1"/>
    </xf>
    <xf numFmtId="3" fontId="28" fillId="11" borderId="19" xfId="0" applyNumberFormat="1" applyFont="1" applyFill="1" applyBorder="1" applyAlignment="1">
      <alignment horizontal="right" wrapText="1"/>
    </xf>
    <xf numFmtId="0" fontId="27" fillId="0" borderId="1" xfId="0" applyFont="1" applyBorder="1" applyAlignment="1">
      <alignment wrapText="1"/>
    </xf>
    <xf numFmtId="3" fontId="27" fillId="0" borderId="1" xfId="0" applyNumberFormat="1" applyFont="1" applyBorder="1" applyAlignment="1">
      <alignment horizontal="right" wrapText="1"/>
    </xf>
    <xf numFmtId="3" fontId="27" fillId="11" borderId="1" xfId="0" applyNumberFormat="1" applyFont="1" applyFill="1" applyBorder="1" applyAlignment="1">
      <alignment horizontal="right" wrapText="1"/>
    </xf>
    <xf numFmtId="166" fontId="27" fillId="0" borderId="1" xfId="0" applyNumberFormat="1" applyFont="1" applyBorder="1" applyAlignment="1">
      <alignment horizontal="right" wrapText="1"/>
    </xf>
    <xf numFmtId="166" fontId="27" fillId="0" borderId="1" xfId="0" quotePrefix="1" applyNumberFormat="1" applyFont="1" applyBorder="1" applyAlignment="1">
      <alignment horizontal="right" wrapText="1"/>
    </xf>
    <xf numFmtId="44" fontId="0" fillId="0" borderId="0" xfId="2" applyFont="1" applyAlignment="1">
      <alignment vertical="top" wrapText="1"/>
    </xf>
    <xf numFmtId="166" fontId="0" fillId="0" borderId="0" xfId="0" applyNumberFormat="1" applyAlignment="1">
      <alignment wrapText="1"/>
    </xf>
    <xf numFmtId="0" fontId="29" fillId="2" borderId="3" xfId="0" applyFont="1" applyFill="1" applyBorder="1" applyAlignment="1">
      <alignment horizontal="center" wrapText="1"/>
    </xf>
    <xf numFmtId="0" fontId="29" fillId="2" borderId="4" xfId="0" applyFont="1" applyFill="1" applyBorder="1" applyAlignment="1">
      <alignment horizontal="center" wrapText="1"/>
    </xf>
    <xf numFmtId="0" fontId="29" fillId="0" borderId="11" xfId="0" applyFont="1" applyBorder="1" applyAlignment="1">
      <alignment wrapText="1"/>
    </xf>
    <xf numFmtId="0" fontId="29" fillId="0" borderId="0" xfId="0" applyFont="1" applyBorder="1" applyAlignment="1">
      <alignment wrapText="1"/>
    </xf>
    <xf numFmtId="164" fontId="29" fillId="0" borderId="0" xfId="1" applyNumberFormat="1" applyFont="1" applyBorder="1" applyAlignment="1">
      <alignment wrapText="1"/>
    </xf>
    <xf numFmtId="44" fontId="29" fillId="0" borderId="0" xfId="2" applyFont="1" applyBorder="1" applyAlignment="1">
      <alignment wrapText="1"/>
    </xf>
    <xf numFmtId="0" fontId="29" fillId="2" borderId="8" xfId="0" applyFont="1" applyFill="1" applyBorder="1" applyAlignment="1">
      <alignment wrapText="1"/>
    </xf>
    <xf numFmtId="0" fontId="29" fillId="2" borderId="9" xfId="0" applyFont="1" applyFill="1" applyBorder="1" applyAlignment="1">
      <alignment wrapText="1"/>
    </xf>
    <xf numFmtId="0" fontId="23" fillId="0" borderId="0" xfId="0" applyFont="1" applyAlignment="1">
      <alignment wrapText="1"/>
    </xf>
    <xf numFmtId="43" fontId="23" fillId="0" borderId="0" xfId="0" applyNumberFormat="1" applyFont="1" applyAlignment="1">
      <alignment wrapText="1"/>
    </xf>
    <xf numFmtId="1" fontId="0" fillId="0" borderId="0" xfId="0" applyNumberFormat="1"/>
    <xf numFmtId="2" fontId="0" fillId="0" borderId="0" xfId="0" applyNumberFormat="1" applyAlignment="1">
      <alignment wrapText="1"/>
    </xf>
    <xf numFmtId="0" fontId="23" fillId="4" borderId="6" xfId="0" applyFont="1" applyFill="1" applyBorder="1" applyAlignment="1">
      <alignment wrapText="1"/>
    </xf>
    <xf numFmtId="0" fontId="23" fillId="4" borderId="1" xfId="0" applyFont="1" applyFill="1" applyBorder="1" applyAlignment="1">
      <alignment wrapText="1"/>
    </xf>
    <xf numFmtId="164" fontId="23" fillId="4" borderId="1" xfId="1" applyNumberFormat="1" applyFont="1" applyFill="1" applyBorder="1" applyAlignment="1">
      <alignment wrapText="1"/>
    </xf>
    <xf numFmtId="44" fontId="23" fillId="4" borderId="1" xfId="2" applyFont="1" applyFill="1" applyBorder="1" applyAlignment="1">
      <alignment wrapText="1"/>
    </xf>
    <xf numFmtId="0" fontId="23" fillId="4" borderId="27" xfId="0" applyFont="1" applyFill="1" applyBorder="1" applyAlignment="1">
      <alignment wrapText="1"/>
    </xf>
    <xf numFmtId="0" fontId="23" fillId="4" borderId="2" xfId="0" applyFont="1" applyFill="1" applyBorder="1" applyAlignment="1">
      <alignment wrapText="1"/>
    </xf>
    <xf numFmtId="164" fontId="23" fillId="4" borderId="2" xfId="1" applyNumberFormat="1" applyFont="1" applyFill="1" applyBorder="1" applyAlignment="1">
      <alignment wrapText="1"/>
    </xf>
    <xf numFmtId="44" fontId="23" fillId="4" borderId="2" xfId="2" applyFont="1" applyFill="1" applyBorder="1" applyAlignment="1">
      <alignment wrapText="1"/>
    </xf>
    <xf numFmtId="0" fontId="30" fillId="4" borderId="0" xfId="0" applyFont="1" applyFill="1" applyAlignment="1">
      <alignment wrapText="1"/>
    </xf>
    <xf numFmtId="0" fontId="31" fillId="0" borderId="0" xfId="0" applyFont="1"/>
    <xf numFmtId="0" fontId="0" fillId="0" borderId="2" xfId="0" applyBorder="1"/>
    <xf numFmtId="0" fontId="0" fillId="0" borderId="14" xfId="0" applyBorder="1"/>
    <xf numFmtId="0" fontId="0" fillId="0" borderId="13" xfId="0" applyBorder="1"/>
    <xf numFmtId="0" fontId="0" fillId="0" borderId="16" xfId="0" applyBorder="1"/>
    <xf numFmtId="0" fontId="0" fillId="3" borderId="1" xfId="0" applyFill="1" applyBorder="1"/>
    <xf numFmtId="0" fontId="0" fillId="0" borderId="41" xfId="0" applyBorder="1"/>
    <xf numFmtId="0" fontId="0" fillId="15" borderId="1" xfId="0" applyFill="1" applyBorder="1"/>
    <xf numFmtId="0" fontId="0" fillId="15" borderId="0" xfId="0" applyFill="1"/>
    <xf numFmtId="164" fontId="30" fillId="4" borderId="0" xfId="0" applyNumberFormat="1" applyFont="1" applyFill="1" applyAlignment="1">
      <alignment wrapText="1"/>
    </xf>
    <xf numFmtId="0" fontId="23" fillId="15" borderId="0" xfId="0" applyFont="1" applyFill="1" applyAlignment="1">
      <alignment wrapText="1"/>
    </xf>
    <xf numFmtId="2" fontId="29" fillId="0" borderId="0" xfId="0" applyNumberFormat="1" applyFont="1" applyFill="1" applyBorder="1" applyAlignment="1">
      <alignment wrapText="1"/>
    </xf>
    <xf numFmtId="0" fontId="23" fillId="0" borderId="0" xfId="0" applyFont="1" applyFill="1" applyAlignment="1">
      <alignment wrapText="1"/>
    </xf>
    <xf numFmtId="1" fontId="23" fillId="0" borderId="0" xfId="0" applyNumberFormat="1" applyFont="1" applyAlignment="1">
      <alignment wrapText="1"/>
    </xf>
    <xf numFmtId="164" fontId="23" fillId="0" borderId="63" xfId="0" applyNumberFormat="1" applyFont="1" applyBorder="1" applyAlignment="1">
      <alignment wrapText="1"/>
    </xf>
    <xf numFmtId="43" fontId="23" fillId="0" borderId="61" xfId="0" applyNumberFormat="1" applyFont="1" applyBorder="1" applyAlignment="1">
      <alignment wrapText="1"/>
    </xf>
    <xf numFmtId="0" fontId="0" fillId="10" borderId="6" xfId="0" applyFill="1" applyBorder="1" applyAlignment="1">
      <alignment wrapText="1"/>
    </xf>
    <xf numFmtId="0" fontId="22" fillId="0" borderId="6" xfId="0" applyFont="1" applyBorder="1" applyAlignment="1">
      <alignment wrapText="1"/>
    </xf>
    <xf numFmtId="0" fontId="22" fillId="10" borderId="6" xfId="0" applyFont="1" applyFill="1" applyBorder="1" applyAlignment="1">
      <alignment wrapText="1"/>
    </xf>
    <xf numFmtId="166" fontId="0" fillId="0" borderId="0" xfId="0" applyNumberFormat="1"/>
    <xf numFmtId="1" fontId="10" fillId="0" borderId="0" xfId="0" applyNumberFormat="1" applyFont="1" applyBorder="1" applyAlignment="1">
      <alignment horizontal="center" vertical="center" wrapText="1"/>
    </xf>
    <xf numFmtId="1" fontId="12" fillId="0" borderId="0" xfId="0" applyNumberFormat="1" applyFont="1" applyBorder="1" applyAlignment="1">
      <alignment horizontal="center" vertical="center" wrapText="1"/>
    </xf>
    <xf numFmtId="4" fontId="0" fillId="0" borderId="0" xfId="0" applyNumberFormat="1"/>
    <xf numFmtId="0" fontId="22" fillId="0" borderId="0" xfId="0" applyFont="1" applyAlignment="1">
      <alignment wrapText="1"/>
    </xf>
    <xf numFmtId="0" fontId="22" fillId="0" borderId="1" xfId="0" applyFont="1" applyBorder="1" applyAlignment="1">
      <alignment wrapText="1"/>
    </xf>
    <xf numFmtId="0" fontId="22" fillId="0" borderId="3" xfId="0" applyFont="1" applyBorder="1" applyAlignment="1">
      <alignment vertical="center" wrapText="1"/>
    </xf>
    <xf numFmtId="0" fontId="0" fillId="0" borderId="4" xfId="0" applyBorder="1" applyAlignment="1">
      <alignment vertical="top" wrapText="1"/>
    </xf>
    <xf numFmtId="0" fontId="0" fillId="0" borderId="5" xfId="0" applyBorder="1" applyAlignment="1">
      <alignment wrapText="1"/>
    </xf>
    <xf numFmtId="0" fontId="33" fillId="0" borderId="6" xfId="0" applyFont="1" applyBorder="1" applyAlignment="1">
      <alignment horizontal="left" wrapText="1" indent="1"/>
    </xf>
    <xf numFmtId="0" fontId="0" fillId="0" borderId="46" xfId="0" applyBorder="1" applyAlignment="1">
      <alignment wrapText="1"/>
    </xf>
    <xf numFmtId="0" fontId="0" fillId="0" borderId="41" xfId="0" applyBorder="1" applyAlignment="1">
      <alignment wrapText="1"/>
    </xf>
    <xf numFmtId="0" fontId="0" fillId="0" borderId="64" xfId="0" applyBorder="1" applyAlignment="1">
      <alignment wrapText="1"/>
    </xf>
    <xf numFmtId="0" fontId="22" fillId="0" borderId="3" xfId="0" applyFont="1" applyBorder="1" applyAlignment="1">
      <alignment wrapText="1"/>
    </xf>
    <xf numFmtId="0" fontId="0" fillId="0" borderId="4" xfId="0" applyBorder="1" applyAlignment="1">
      <alignment wrapText="1"/>
    </xf>
    <xf numFmtId="0" fontId="33" fillId="0" borderId="8" xfId="0" applyFont="1" applyBorder="1" applyAlignment="1">
      <alignment horizontal="left" wrapText="1" indent="1"/>
    </xf>
    <xf numFmtId="0" fontId="0" fillId="0" borderId="3" xfId="0" applyBorder="1" applyAlignment="1">
      <alignment wrapText="1"/>
    </xf>
    <xf numFmtId="0" fontId="22" fillId="0" borderId="7" xfId="0" applyFont="1" applyBorder="1" applyAlignment="1">
      <alignment wrapText="1"/>
    </xf>
    <xf numFmtId="0" fontId="0" fillId="0" borderId="51" xfId="0" applyBorder="1" applyAlignment="1">
      <alignment wrapText="1"/>
    </xf>
    <xf numFmtId="0" fontId="22" fillId="0" borderId="27" xfId="0" applyFont="1" applyBorder="1" applyAlignment="1">
      <alignment horizontal="center" wrapText="1"/>
    </xf>
    <xf numFmtId="0" fontId="0" fillId="0" borderId="2" xfId="0" applyBorder="1" applyAlignment="1">
      <alignment wrapText="1"/>
    </xf>
    <xf numFmtId="0" fontId="0" fillId="0" borderId="27" xfId="0" applyBorder="1" applyAlignment="1">
      <alignment wrapText="1"/>
    </xf>
    <xf numFmtId="0" fontId="22" fillId="0" borderId="4" xfId="0" applyFont="1" applyBorder="1" applyAlignment="1">
      <alignment wrapText="1"/>
    </xf>
    <xf numFmtId="0" fontId="22" fillId="0" borderId="5" xfId="0" applyFont="1" applyBorder="1" applyAlignment="1">
      <alignment wrapText="1"/>
    </xf>
    <xf numFmtId="0" fontId="32" fillId="0" borderId="0" xfId="0" applyFont="1" applyAlignment="1">
      <alignment wrapText="1"/>
    </xf>
    <xf numFmtId="0" fontId="22" fillId="0" borderId="23" xfId="0" applyFont="1" applyBorder="1" applyAlignment="1">
      <alignment wrapText="1"/>
    </xf>
    <xf numFmtId="0" fontId="22" fillId="0" borderId="35" xfId="0" applyFont="1" applyBorder="1" applyAlignment="1">
      <alignment wrapText="1"/>
    </xf>
    <xf numFmtId="0" fontId="22" fillId="0" borderId="24" xfId="0" applyFont="1" applyBorder="1" applyAlignment="1">
      <alignment wrapText="1"/>
    </xf>
    <xf numFmtId="0" fontId="22" fillId="0" borderId="8" xfId="0" applyFont="1" applyBorder="1" applyAlignment="1">
      <alignment wrapText="1"/>
    </xf>
    <xf numFmtId="0" fontId="22" fillId="0" borderId="10" xfId="0" applyFont="1" applyBorder="1" applyAlignment="1">
      <alignment wrapText="1"/>
    </xf>
    <xf numFmtId="1" fontId="35" fillId="0" borderId="1" xfId="0" applyNumberFormat="1" applyFont="1" applyBorder="1" applyAlignment="1">
      <alignment wrapText="1"/>
    </xf>
    <xf numFmtId="0" fontId="35" fillId="0" borderId="0" xfId="0" applyFont="1" applyAlignment="1">
      <alignment wrapText="1"/>
    </xf>
    <xf numFmtId="0" fontId="35" fillId="0" borderId="1" xfId="0" applyFont="1" applyBorder="1" applyAlignment="1">
      <alignment wrapText="1"/>
    </xf>
    <xf numFmtId="1" fontId="35" fillId="0" borderId="0" xfId="0" applyNumberFormat="1" applyFont="1" applyAlignment="1">
      <alignment wrapText="1"/>
    </xf>
    <xf numFmtId="166" fontId="3" fillId="0" borderId="62" xfId="0" applyNumberFormat="1" applyFont="1" applyBorder="1" applyAlignment="1">
      <alignment horizontal="right" wrapText="1"/>
    </xf>
    <xf numFmtId="166" fontId="3" fillId="0" borderId="66" xfId="0" applyNumberFormat="1" applyFont="1" applyBorder="1" applyAlignment="1">
      <alignment horizontal="right" wrapText="1"/>
    </xf>
    <xf numFmtId="0" fontId="3" fillId="0" borderId="35" xfId="0" applyFont="1" applyBorder="1" applyAlignment="1">
      <alignment horizontal="right" wrapText="1"/>
    </xf>
    <xf numFmtId="0" fontId="3" fillId="0" borderId="24" xfId="0" applyFont="1" applyBorder="1" applyAlignment="1">
      <alignment horizontal="right" wrapText="1"/>
    </xf>
    <xf numFmtId="0" fontId="3" fillId="0" borderId="67" xfId="0" applyFont="1" applyBorder="1" applyAlignment="1">
      <alignment horizontal="right" wrapText="1"/>
    </xf>
    <xf numFmtId="166" fontId="3" fillId="0" borderId="68" xfId="0" applyNumberFormat="1" applyFont="1" applyBorder="1" applyAlignment="1">
      <alignment horizontal="right" wrapText="1"/>
    </xf>
    <xf numFmtId="0" fontId="22" fillId="0" borderId="42" xfId="0" applyFont="1" applyBorder="1"/>
    <xf numFmtId="0" fontId="0" fillId="0" borderId="59" xfId="0" applyBorder="1"/>
    <xf numFmtId="167" fontId="3" fillId="16" borderId="1" xfId="0" applyNumberFormat="1" applyFont="1" applyFill="1" applyBorder="1" applyAlignment="1">
      <alignment horizontal="right" wrapText="1"/>
    </xf>
    <xf numFmtId="3" fontId="3" fillId="16" borderId="1" xfId="0" applyNumberFormat="1" applyFont="1" applyFill="1" applyBorder="1" applyAlignment="1">
      <alignment horizontal="right" wrapText="1"/>
    </xf>
    <xf numFmtId="166" fontId="3" fillId="16" borderId="1" xfId="0" applyNumberFormat="1" applyFont="1" applyFill="1" applyBorder="1" applyAlignment="1">
      <alignment horizontal="right" wrapText="1"/>
    </xf>
    <xf numFmtId="167" fontId="3" fillId="16" borderId="19" xfId="0" applyNumberFormat="1" applyFont="1" applyFill="1" applyBorder="1" applyAlignment="1">
      <alignment horizontal="right" wrapText="1"/>
    </xf>
    <xf numFmtId="3" fontId="3" fillId="16" borderId="15" xfId="4" applyNumberFormat="1" applyFont="1" applyFill="1" applyBorder="1" applyAlignment="1">
      <alignment horizontal="right" wrapText="1"/>
    </xf>
    <xf numFmtId="0" fontId="3" fillId="16" borderId="1" xfId="0" applyFont="1" applyFill="1" applyBorder="1" applyAlignment="1">
      <alignment horizontal="right" wrapText="1"/>
    </xf>
    <xf numFmtId="166" fontId="3" fillId="16" borderId="19" xfId="0" applyNumberFormat="1" applyFont="1" applyFill="1" applyBorder="1" applyAlignment="1">
      <alignment horizontal="right" wrapText="1"/>
    </xf>
    <xf numFmtId="0" fontId="17" fillId="0" borderId="1" xfId="0" applyFont="1" applyBorder="1" applyAlignment="1">
      <alignment wrapText="1"/>
    </xf>
    <xf numFmtId="1" fontId="0" fillId="0" borderId="7" xfId="0" applyNumberFormat="1" applyBorder="1" applyAlignment="1">
      <alignment wrapText="1"/>
    </xf>
    <xf numFmtId="1" fontId="0" fillId="0" borderId="9" xfId="0" applyNumberFormat="1" applyBorder="1" applyAlignment="1">
      <alignment wrapText="1"/>
    </xf>
    <xf numFmtId="0" fontId="17" fillId="0" borderId="9" xfId="0" applyFont="1" applyBorder="1" applyAlignment="1">
      <alignment wrapText="1"/>
    </xf>
    <xf numFmtId="1" fontId="0" fillId="0" borderId="10" xfId="0" applyNumberFormat="1" applyBorder="1" applyAlignment="1">
      <alignment wrapText="1"/>
    </xf>
    <xf numFmtId="0" fontId="36" fillId="0" borderId="4" xfId="0" applyFont="1" applyBorder="1" applyAlignment="1">
      <alignment wrapText="1"/>
    </xf>
    <xf numFmtId="168" fontId="0" fillId="0" borderId="0" xfId="2" applyNumberFormat="1" applyFont="1"/>
    <xf numFmtId="0" fontId="0" fillId="0" borderId="70" xfId="0" applyBorder="1"/>
    <xf numFmtId="0" fontId="0" fillId="2" borderId="70" xfId="0" applyFill="1" applyBorder="1"/>
    <xf numFmtId="1" fontId="0" fillId="0" borderId="70" xfId="0" applyNumberFormat="1" applyBorder="1"/>
    <xf numFmtId="1" fontId="0" fillId="0" borderId="70" xfId="0" applyNumberFormat="1" applyBorder="1" applyAlignment="1"/>
    <xf numFmtId="3" fontId="0" fillId="0" borderId="70" xfId="0" applyNumberFormat="1" applyBorder="1"/>
    <xf numFmtId="0" fontId="0" fillId="13" borderId="15" xfId="0" applyFill="1" applyBorder="1"/>
    <xf numFmtId="1" fontId="0" fillId="13" borderId="15" xfId="0" applyNumberFormat="1" applyFill="1" applyBorder="1" applyAlignment="1">
      <alignment wrapText="1"/>
    </xf>
    <xf numFmtId="166" fontId="0" fillId="0" borderId="35" xfId="0" applyNumberFormat="1" applyBorder="1"/>
    <xf numFmtId="0" fontId="5" fillId="5" borderId="2" xfId="0" applyFont="1" applyFill="1" applyBorder="1" applyAlignment="1">
      <alignment horizontal="centerContinuous" wrapText="1"/>
    </xf>
    <xf numFmtId="167" fontId="5" fillId="5" borderId="2" xfId="0" applyNumberFormat="1" applyFont="1" applyFill="1" applyBorder="1" applyAlignment="1">
      <alignment horizontal="centerContinuous" wrapText="1"/>
    </xf>
    <xf numFmtId="0" fontId="3" fillId="0" borderId="19" xfId="0" applyFont="1" applyBorder="1" applyAlignment="1">
      <alignment wrapText="1"/>
    </xf>
    <xf numFmtId="3" fontId="3" fillId="0" borderId="18" xfId="4" applyNumberFormat="1" applyFont="1" applyBorder="1" applyAlignment="1">
      <alignment horizontal="right" wrapText="1"/>
    </xf>
    <xf numFmtId="3" fontId="3" fillId="0" borderId="17" xfId="4" applyNumberFormat="1" applyFont="1" applyBorder="1" applyAlignment="1">
      <alignment horizontal="right" wrapText="1"/>
    </xf>
    <xf numFmtId="166" fontId="0" fillId="0" borderId="67" xfId="0" applyNumberFormat="1" applyBorder="1"/>
    <xf numFmtId="0" fontId="5" fillId="5" borderId="21"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8" borderId="34" xfId="0" applyFont="1" applyFill="1" applyBorder="1" applyAlignment="1">
      <alignment horizontal="center" vertical="top" wrapText="1"/>
    </xf>
    <xf numFmtId="0" fontId="5" fillId="11" borderId="34" xfId="0" applyFont="1" applyFill="1" applyBorder="1" applyAlignment="1">
      <alignment horizontal="center" vertical="top" wrapText="1"/>
    </xf>
    <xf numFmtId="0" fontId="5" fillId="5" borderId="32" xfId="0" applyFont="1" applyFill="1" applyBorder="1" applyAlignment="1">
      <alignment horizontal="center" vertical="top" wrapText="1"/>
    </xf>
    <xf numFmtId="4" fontId="5" fillId="8" borderId="34" xfId="0" applyNumberFormat="1" applyFont="1" applyFill="1" applyBorder="1" applyAlignment="1">
      <alignment horizontal="center" vertical="top" wrapText="1"/>
    </xf>
    <xf numFmtId="0" fontId="5" fillId="12" borderId="34" xfId="0" applyFont="1" applyFill="1" applyBorder="1" applyAlignment="1">
      <alignment horizontal="center" vertical="top" wrapText="1"/>
    </xf>
    <xf numFmtId="4" fontId="5" fillId="5" borderId="34" xfId="0" applyNumberFormat="1" applyFont="1" applyFill="1" applyBorder="1" applyAlignment="1">
      <alignment horizontal="center" vertical="top" wrapText="1"/>
    </xf>
    <xf numFmtId="167" fontId="5" fillId="5" borderId="34" xfId="0" applyNumberFormat="1" applyFont="1" applyFill="1" applyBorder="1" applyAlignment="1">
      <alignment horizontal="center" vertical="top" wrapText="1"/>
    </xf>
    <xf numFmtId="0" fontId="5" fillId="5" borderId="55" xfId="0" applyFont="1" applyFill="1" applyBorder="1" applyAlignment="1">
      <alignment horizontal="center" vertical="top" wrapText="1"/>
    </xf>
    <xf numFmtId="0" fontId="5" fillId="5" borderId="20" xfId="0" applyFont="1" applyFill="1" applyBorder="1" applyAlignment="1">
      <alignment horizontal="center" vertical="top" wrapText="1"/>
    </xf>
    <xf numFmtId="0" fontId="5" fillId="5" borderId="42" xfId="0" applyFont="1" applyFill="1" applyBorder="1" applyAlignment="1">
      <alignment horizontal="center" vertical="top" wrapText="1"/>
    </xf>
    <xf numFmtId="0" fontId="3" fillId="0" borderId="2" xfId="0" applyFont="1" applyBorder="1" applyAlignment="1">
      <alignment horizontal="right" wrapText="1"/>
    </xf>
    <xf numFmtId="0" fontId="0" fillId="0" borderId="72" xfId="0" applyBorder="1"/>
    <xf numFmtId="166" fontId="0" fillId="0" borderId="36" xfId="0" applyNumberFormat="1" applyBorder="1"/>
    <xf numFmtId="0" fontId="3" fillId="16" borderId="19" xfId="0" applyFont="1" applyFill="1" applyBorder="1" applyAlignment="1">
      <alignment horizontal="right" wrapText="1"/>
    </xf>
    <xf numFmtId="3" fontId="3" fillId="16" borderId="19" xfId="0" applyNumberFormat="1" applyFont="1" applyFill="1" applyBorder="1" applyAlignment="1">
      <alignment horizontal="right" wrapText="1"/>
    </xf>
    <xf numFmtId="3" fontId="3" fillId="16" borderId="17" xfId="4" applyNumberFormat="1" applyFont="1" applyFill="1" applyBorder="1" applyAlignment="1">
      <alignment horizontal="right" wrapText="1"/>
    </xf>
    <xf numFmtId="0" fontId="3" fillId="16" borderId="20" xfId="0" applyFont="1" applyFill="1" applyBorder="1" applyAlignment="1">
      <alignment wrapText="1"/>
    </xf>
    <xf numFmtId="167" fontId="3" fillId="16" borderId="34" xfId="0" applyNumberFormat="1" applyFont="1" applyFill="1" applyBorder="1" applyAlignment="1">
      <alignment horizontal="right" wrapText="1"/>
    </xf>
    <xf numFmtId="3" fontId="3" fillId="16" borderId="34" xfId="0" applyNumberFormat="1" applyFont="1" applyFill="1" applyBorder="1" applyAlignment="1">
      <alignment horizontal="right" wrapText="1"/>
    </xf>
    <xf numFmtId="166" fontId="3" fillId="16" borderId="34" xfId="0" applyNumberFormat="1" applyFont="1" applyFill="1" applyBorder="1" applyAlignment="1">
      <alignment horizontal="right" wrapText="1"/>
    </xf>
    <xf numFmtId="3" fontId="3" fillId="16" borderId="33" xfId="4" applyNumberFormat="1" applyFont="1" applyFill="1" applyBorder="1" applyAlignment="1">
      <alignment horizontal="right" wrapText="1"/>
    </xf>
    <xf numFmtId="3" fontId="3" fillId="16" borderId="32" xfId="4" applyNumberFormat="1" applyFont="1" applyFill="1" applyBorder="1" applyAlignment="1">
      <alignment horizontal="right" wrapText="1"/>
    </xf>
    <xf numFmtId="0" fontId="5" fillId="12" borderId="2" xfId="0" applyFont="1" applyFill="1" applyBorder="1" applyAlignment="1">
      <alignment horizontal="center" vertical="top" wrapText="1"/>
    </xf>
    <xf numFmtId="168" fontId="5" fillId="5" borderId="2" xfId="2" applyNumberFormat="1" applyFont="1" applyFill="1" applyBorder="1" applyAlignment="1">
      <alignment horizontal="center" vertical="top" wrapText="1"/>
    </xf>
    <xf numFmtId="3" fontId="5" fillId="5" borderId="2" xfId="0" applyNumberFormat="1" applyFont="1" applyFill="1" applyBorder="1" applyAlignment="1">
      <alignment horizontal="center" vertical="top" wrapText="1"/>
    </xf>
    <xf numFmtId="169" fontId="5" fillId="5" borderId="2" xfId="1" applyNumberFormat="1" applyFont="1" applyFill="1" applyBorder="1" applyAlignment="1">
      <alignment horizontal="center" vertical="top" wrapText="1"/>
    </xf>
    <xf numFmtId="0" fontId="22" fillId="0" borderId="20" xfId="0" applyFont="1" applyBorder="1" applyAlignment="1">
      <alignment wrapText="1"/>
    </xf>
    <xf numFmtId="0" fontId="6" fillId="17" borderId="34" xfId="0" applyFont="1" applyFill="1" applyBorder="1" applyAlignment="1">
      <alignment wrapText="1"/>
    </xf>
    <xf numFmtId="0" fontId="0" fillId="17" borderId="34" xfId="0" applyFill="1" applyBorder="1" applyAlignment="1">
      <alignment wrapText="1"/>
    </xf>
    <xf numFmtId="167" fontId="5" fillId="17" borderId="34" xfId="0" applyNumberFormat="1" applyFont="1" applyFill="1" applyBorder="1" applyAlignment="1">
      <alignment wrapText="1"/>
    </xf>
    <xf numFmtId="44" fontId="5" fillId="17" borderId="34" xfId="2" applyFont="1" applyFill="1" applyBorder="1" applyAlignment="1">
      <alignment wrapText="1"/>
    </xf>
    <xf numFmtId="0" fontId="0" fillId="17" borderId="34" xfId="0" applyFill="1" applyBorder="1"/>
    <xf numFmtId="166" fontId="0" fillId="17" borderId="42" xfId="0" applyNumberFormat="1" applyFill="1" applyBorder="1"/>
    <xf numFmtId="166" fontId="0" fillId="13" borderId="35" xfId="0" applyNumberFormat="1" applyFill="1" applyBorder="1"/>
    <xf numFmtId="166" fontId="0" fillId="16" borderId="42" xfId="0" applyNumberFormat="1" applyFill="1" applyBorder="1"/>
    <xf numFmtId="166" fontId="0" fillId="16" borderId="35" xfId="0" applyNumberFormat="1" applyFill="1" applyBorder="1"/>
    <xf numFmtId="166" fontId="0" fillId="16" borderId="67" xfId="0" applyNumberFormat="1" applyFill="1" applyBorder="1"/>
    <xf numFmtId="43" fontId="5" fillId="5" borderId="19" xfId="0" applyNumberFormat="1" applyFont="1" applyFill="1" applyBorder="1" applyAlignment="1">
      <alignment horizontal="center" vertical="top" wrapText="1"/>
    </xf>
    <xf numFmtId="0" fontId="0" fillId="0" borderId="0" xfId="0" applyNumberFormat="1" applyAlignment="1">
      <alignment wrapText="1"/>
    </xf>
    <xf numFmtId="0" fontId="5" fillId="5" borderId="0" xfId="0" applyNumberFormat="1" applyFont="1" applyFill="1" applyBorder="1" applyAlignment="1">
      <alignment horizontal="center" vertical="top" wrapText="1"/>
    </xf>
    <xf numFmtId="0" fontId="22" fillId="2" borderId="0" xfId="0" applyNumberFormat="1" applyFont="1" applyFill="1" applyAlignment="1">
      <alignment wrapText="1"/>
    </xf>
    <xf numFmtId="0" fontId="0" fillId="16" borderId="0" xfId="0" applyNumberFormat="1" applyFill="1" applyAlignment="1">
      <alignment wrapText="1"/>
    </xf>
    <xf numFmtId="0" fontId="0" fillId="17" borderId="34" xfId="0" applyNumberFormat="1" applyFill="1" applyBorder="1" applyAlignment="1">
      <alignment wrapText="1"/>
    </xf>
    <xf numFmtId="164" fontId="0" fillId="0" borderId="0" xfId="1" applyNumberFormat="1" applyFont="1" applyAlignment="1">
      <alignment wrapText="1"/>
    </xf>
    <xf numFmtId="164" fontId="23" fillId="0" borderId="1" xfId="1" applyNumberFormat="1" applyFont="1" applyFill="1" applyBorder="1" applyAlignment="1">
      <alignment wrapText="1"/>
    </xf>
    <xf numFmtId="164" fontId="23" fillId="0" borderId="2" xfId="1" applyNumberFormat="1" applyFont="1" applyFill="1" applyBorder="1" applyAlignment="1">
      <alignment wrapText="1"/>
    </xf>
    <xf numFmtId="166" fontId="0" fillId="17" borderId="34" xfId="0" applyNumberFormat="1" applyFill="1" applyBorder="1"/>
    <xf numFmtId="0" fontId="23" fillId="4" borderId="8" xfId="0" applyFont="1" applyFill="1" applyBorder="1" applyAlignment="1">
      <alignment wrapText="1"/>
    </xf>
    <xf numFmtId="0" fontId="23" fillId="4" borderId="9" xfId="0" applyFont="1" applyFill="1" applyBorder="1" applyAlignment="1">
      <alignment wrapText="1"/>
    </xf>
    <xf numFmtId="164" fontId="23" fillId="4" borderId="9" xfId="1" applyNumberFormat="1" applyFont="1" applyFill="1" applyBorder="1" applyAlignment="1">
      <alignment wrapText="1"/>
    </xf>
    <xf numFmtId="44" fontId="23" fillId="4" borderId="9" xfId="2" applyFont="1" applyFill="1" applyBorder="1" applyAlignment="1">
      <alignment wrapText="1"/>
    </xf>
    <xf numFmtId="0" fontId="30" fillId="2" borderId="20" xfId="0" applyFont="1" applyFill="1" applyBorder="1" applyAlignment="1">
      <alignment wrapText="1"/>
    </xf>
    <xf numFmtId="0" fontId="30" fillId="2" borderId="32" xfId="0" applyFont="1" applyFill="1" applyBorder="1" applyAlignment="1">
      <alignment wrapText="1"/>
    </xf>
    <xf numFmtId="164" fontId="30" fillId="2" borderId="32" xfId="0" applyNumberFormat="1" applyFont="1" applyFill="1" applyBorder="1" applyAlignment="1">
      <alignment wrapText="1"/>
    </xf>
    <xf numFmtId="44" fontId="30" fillId="2" borderId="32" xfId="0" applyNumberFormat="1" applyFont="1" applyFill="1" applyBorder="1" applyAlignment="1">
      <alignment wrapText="1"/>
    </xf>
    <xf numFmtId="164" fontId="38" fillId="2" borderId="9" xfId="1" applyNumberFormat="1" applyFont="1" applyFill="1" applyBorder="1" applyAlignment="1">
      <alignment wrapText="1"/>
    </xf>
    <xf numFmtId="44" fontId="38" fillId="2" borderId="9" xfId="2" applyFont="1" applyFill="1" applyBorder="1" applyAlignment="1">
      <alignment wrapText="1"/>
    </xf>
    <xf numFmtId="168" fontId="23" fillId="0" borderId="0" xfId="0" applyNumberFormat="1" applyFont="1" applyAlignment="1">
      <alignment wrapText="1"/>
    </xf>
    <xf numFmtId="0" fontId="23" fillId="0" borderId="0" xfId="0" applyNumberFormat="1" applyFont="1" applyAlignment="1">
      <alignment wrapText="1"/>
    </xf>
    <xf numFmtId="170" fontId="23" fillId="15" borderId="0" xfId="0" applyNumberFormat="1" applyFont="1" applyFill="1" applyAlignment="1">
      <alignment wrapText="1"/>
    </xf>
    <xf numFmtId="3" fontId="3" fillId="16" borderId="47" xfId="0" applyNumberFormat="1" applyFont="1" applyFill="1" applyBorder="1" applyAlignment="1">
      <alignment horizontal="right" wrapText="1"/>
    </xf>
    <xf numFmtId="1" fontId="0" fillId="16" borderId="1" xfId="0" applyNumberFormat="1" applyFill="1" applyBorder="1"/>
    <xf numFmtId="1" fontId="0" fillId="0" borderId="6" xfId="0" applyNumberFormat="1" applyBorder="1" applyAlignment="1">
      <alignment wrapText="1"/>
    </xf>
    <xf numFmtId="1" fontId="0" fillId="0" borderId="8" xfId="0" applyNumberFormat="1" applyBorder="1" applyAlignment="1">
      <alignment wrapText="1"/>
    </xf>
    <xf numFmtId="1" fontId="0" fillId="0" borderId="72" xfId="0" applyNumberFormat="1" applyBorder="1"/>
    <xf numFmtId="1" fontId="0" fillId="16" borderId="20" xfId="0" applyNumberFormat="1" applyFill="1" applyBorder="1"/>
    <xf numFmtId="1" fontId="0" fillId="16" borderId="71" xfId="0" applyNumberFormat="1" applyFill="1" applyBorder="1"/>
    <xf numFmtId="1" fontId="0" fillId="16" borderId="70" xfId="0" applyNumberFormat="1" applyFill="1" applyBorder="1"/>
    <xf numFmtId="0" fontId="17" fillId="0" borderId="23" xfId="0" applyFont="1" applyBorder="1" applyAlignment="1">
      <alignment wrapText="1"/>
    </xf>
    <xf numFmtId="0" fontId="17" fillId="0" borderId="35" xfId="0" applyFont="1" applyBorder="1" applyAlignment="1">
      <alignment wrapText="1"/>
    </xf>
    <xf numFmtId="0" fontId="17" fillId="0" borderId="24" xfId="0" applyFont="1" applyBorder="1" applyAlignment="1">
      <alignment wrapText="1"/>
    </xf>
    <xf numFmtId="1" fontId="0" fillId="0" borderId="35" xfId="0" applyNumberFormat="1" applyBorder="1" applyAlignment="1">
      <alignment wrapText="1"/>
    </xf>
    <xf numFmtId="1" fontId="0" fillId="0" borderId="24" xfId="0" applyNumberFormat="1" applyBorder="1" applyAlignment="1">
      <alignment wrapText="1"/>
    </xf>
    <xf numFmtId="1" fontId="0" fillId="16" borderId="0" xfId="0" applyNumberFormat="1" applyFill="1" applyAlignment="1">
      <alignment horizontal="right" wrapText="1"/>
    </xf>
    <xf numFmtId="1" fontId="0" fillId="16" borderId="0" xfId="0" applyNumberFormat="1" applyFill="1" applyAlignment="1">
      <alignment wrapText="1"/>
    </xf>
    <xf numFmtId="166" fontId="39" fillId="0" borderId="36" xfId="0" applyNumberFormat="1" applyFont="1" applyBorder="1"/>
    <xf numFmtId="168" fontId="40" fillId="5" borderId="58" xfId="2" applyNumberFormat="1" applyFont="1" applyFill="1" applyBorder="1" applyAlignment="1">
      <alignment horizontal="center" vertical="top" wrapText="1"/>
    </xf>
    <xf numFmtId="0" fontId="39" fillId="0" borderId="71" xfId="0" applyFont="1" applyBorder="1"/>
    <xf numFmtId="0" fontId="39" fillId="0" borderId="0" xfId="0" applyNumberFormat="1" applyFont="1" applyAlignment="1">
      <alignment wrapText="1"/>
    </xf>
    <xf numFmtId="0" fontId="29" fillId="2" borderId="50" xfId="0" applyFont="1" applyFill="1" applyBorder="1" applyAlignment="1">
      <alignment horizontal="center" wrapText="1"/>
    </xf>
    <xf numFmtId="168" fontId="29" fillId="0" borderId="0" xfId="2" applyNumberFormat="1" applyFont="1" applyBorder="1" applyAlignment="1">
      <alignment wrapText="1"/>
    </xf>
    <xf numFmtId="168" fontId="38" fillId="2" borderId="51" xfId="2" applyNumberFormat="1" applyFont="1" applyFill="1" applyBorder="1" applyAlignment="1">
      <alignment wrapText="1"/>
    </xf>
    <xf numFmtId="168" fontId="23" fillId="4" borderId="14" xfId="2" applyNumberFormat="1" applyFont="1" applyFill="1" applyBorder="1" applyAlignment="1">
      <alignment wrapText="1"/>
    </xf>
    <xf numFmtId="168" fontId="23" fillId="4" borderId="58" xfId="2" applyNumberFormat="1" applyFont="1" applyFill="1" applyBorder="1" applyAlignment="1">
      <alignment wrapText="1"/>
    </xf>
    <xf numFmtId="168" fontId="23" fillId="4" borderId="51" xfId="2" applyNumberFormat="1" applyFont="1" applyFill="1" applyBorder="1" applyAlignment="1">
      <alignment wrapText="1"/>
    </xf>
    <xf numFmtId="168" fontId="30" fillId="2" borderId="32" xfId="0" applyNumberFormat="1" applyFont="1" applyFill="1" applyBorder="1" applyAlignment="1">
      <alignment wrapText="1"/>
    </xf>
    <xf numFmtId="0" fontId="23" fillId="2" borderId="23" xfId="0" applyFont="1" applyFill="1" applyBorder="1" applyAlignment="1">
      <alignment wrapText="1"/>
    </xf>
    <xf numFmtId="43" fontId="23" fillId="0" borderId="35" xfId="0" applyNumberFormat="1" applyFont="1" applyBorder="1" applyAlignment="1">
      <alignment wrapText="1"/>
    </xf>
    <xf numFmtId="43" fontId="23" fillId="2" borderId="35" xfId="0" applyNumberFormat="1" applyFont="1" applyFill="1" applyBorder="1" applyAlignment="1">
      <alignment wrapText="1"/>
    </xf>
    <xf numFmtId="43" fontId="23" fillId="4" borderId="35" xfId="0" applyNumberFormat="1" applyFont="1" applyFill="1" applyBorder="1" applyAlignment="1">
      <alignment wrapText="1"/>
    </xf>
    <xf numFmtId="43" fontId="23" fillId="2" borderId="24" xfId="2" applyNumberFormat="1" applyFont="1" applyFill="1" applyBorder="1" applyAlignment="1">
      <alignment wrapText="1"/>
    </xf>
    <xf numFmtId="2" fontId="5" fillId="5" borderId="0" xfId="0" applyNumberFormat="1" applyFont="1" applyFill="1" applyBorder="1" applyAlignment="1">
      <alignment horizontal="center" vertical="top" wrapText="1"/>
    </xf>
    <xf numFmtId="2" fontId="0" fillId="17" borderId="55" xfId="0" applyNumberFormat="1" applyFill="1" applyBorder="1" applyAlignment="1">
      <alignment wrapText="1"/>
    </xf>
    <xf numFmtId="44" fontId="41" fillId="0" borderId="0" xfId="0" applyNumberFormat="1" applyFont="1" applyAlignment="1">
      <alignment wrapText="1"/>
    </xf>
    <xf numFmtId="2" fontId="41" fillId="0" borderId="0" xfId="0" applyNumberFormat="1" applyFont="1" applyAlignment="1">
      <alignment wrapText="1"/>
    </xf>
    <xf numFmtId="0" fontId="42" fillId="0" borderId="0" xfId="0" applyFont="1" applyAlignment="1">
      <alignment wrapText="1"/>
    </xf>
    <xf numFmtId="44" fontId="42" fillId="0" borderId="0" xfId="2" applyFont="1" applyAlignment="1">
      <alignment wrapText="1"/>
    </xf>
    <xf numFmtId="0" fontId="43" fillId="16" borderId="0" xfId="0" applyFont="1" applyFill="1" applyAlignment="1">
      <alignment wrapText="1"/>
    </xf>
    <xf numFmtId="44" fontId="43" fillId="16" borderId="0" xfId="2" applyFont="1" applyFill="1" applyAlignment="1">
      <alignment wrapText="1"/>
    </xf>
    <xf numFmtId="164" fontId="43" fillId="16" borderId="0" xfId="1" applyNumberFormat="1" applyFont="1" applyFill="1" applyAlignment="1">
      <alignment wrapText="1"/>
    </xf>
    <xf numFmtId="164" fontId="43" fillId="16" borderId="0" xfId="0" applyNumberFormat="1" applyFont="1" applyFill="1" applyAlignment="1">
      <alignment wrapText="1"/>
    </xf>
    <xf numFmtId="44" fontId="43" fillId="0" borderId="0" xfId="2" applyFont="1" applyAlignment="1">
      <alignment wrapText="1"/>
    </xf>
    <xf numFmtId="43" fontId="42" fillId="0" borderId="0" xfId="0" applyNumberFormat="1" applyFont="1" applyAlignment="1">
      <alignment wrapText="1"/>
    </xf>
    <xf numFmtId="0" fontId="44" fillId="5" borderId="27" xfId="0" applyFont="1" applyFill="1" applyBorder="1" applyAlignment="1">
      <alignment horizontal="center" vertical="top" wrapText="1"/>
    </xf>
    <xf numFmtId="0" fontId="44" fillId="5" borderId="2" xfId="0" applyFont="1" applyFill="1" applyBorder="1" applyAlignment="1">
      <alignment horizontal="center" vertical="top" wrapText="1"/>
    </xf>
    <xf numFmtId="4" fontId="44" fillId="8" borderId="2" xfId="0" applyNumberFormat="1" applyFont="1" applyFill="1" applyBorder="1" applyAlignment="1">
      <alignment horizontal="center" vertical="top" wrapText="1"/>
    </xf>
    <xf numFmtId="4" fontId="44" fillId="5" borderId="2" xfId="0" applyNumberFormat="1" applyFont="1" applyFill="1" applyBorder="1" applyAlignment="1">
      <alignment horizontal="center" vertical="top" wrapText="1"/>
    </xf>
    <xf numFmtId="167" fontId="44" fillId="5" borderId="2" xfId="0" applyNumberFormat="1" applyFont="1" applyFill="1" applyBorder="1" applyAlignment="1">
      <alignment horizontal="center" vertical="top" wrapText="1"/>
    </xf>
    <xf numFmtId="0" fontId="44" fillId="5" borderId="28" xfId="0" applyFont="1" applyFill="1" applyBorder="1" applyAlignment="1">
      <alignment horizontal="center" vertical="top" wrapText="1"/>
    </xf>
    <xf numFmtId="43" fontId="45" fillId="0" borderId="6" xfId="1" applyFont="1" applyBorder="1" applyAlignment="1">
      <alignment wrapText="1"/>
    </xf>
    <xf numFmtId="170" fontId="42" fillId="0" borderId="0" xfId="0" applyNumberFormat="1" applyFont="1" applyAlignment="1">
      <alignment wrapText="1"/>
    </xf>
    <xf numFmtId="44" fontId="45" fillId="0" borderId="1" xfId="2" applyFont="1" applyBorder="1" applyAlignment="1">
      <alignment wrapText="1"/>
    </xf>
    <xf numFmtId="43" fontId="45" fillId="0" borderId="1" xfId="1" applyFont="1" applyBorder="1" applyAlignment="1">
      <alignment wrapText="1"/>
    </xf>
    <xf numFmtId="43" fontId="45" fillId="0" borderId="7" xfId="1" applyFont="1" applyBorder="1" applyAlignment="1">
      <alignment wrapText="1"/>
    </xf>
    <xf numFmtId="43" fontId="45" fillId="0" borderId="8" xfId="1" applyFont="1" applyBorder="1" applyAlignment="1">
      <alignment wrapText="1"/>
    </xf>
    <xf numFmtId="43" fontId="45" fillId="0" borderId="9" xfId="1" applyFont="1" applyBorder="1" applyAlignment="1">
      <alignment wrapText="1"/>
    </xf>
    <xf numFmtId="44" fontId="45" fillId="0" borderId="9" xfId="2" applyFont="1" applyBorder="1" applyAlignment="1">
      <alignment wrapText="1"/>
    </xf>
    <xf numFmtId="44" fontId="45" fillId="0" borderId="10" xfId="2" applyFont="1" applyBorder="1" applyAlignment="1">
      <alignment wrapText="1"/>
    </xf>
    <xf numFmtId="2" fontId="42" fillId="0" borderId="5" xfId="0" applyNumberFormat="1" applyFont="1" applyBorder="1" applyAlignment="1">
      <alignment wrapText="1"/>
    </xf>
    <xf numFmtId="0" fontId="42" fillId="0" borderId="6" xfId="0" applyFont="1" applyBorder="1" applyAlignment="1">
      <alignment wrapText="1"/>
    </xf>
    <xf numFmtId="0" fontId="42" fillId="0" borderId="1" xfId="0" applyFont="1" applyBorder="1" applyAlignment="1">
      <alignment wrapText="1"/>
    </xf>
    <xf numFmtId="44" fontId="46" fillId="0" borderId="1" xfId="2" applyFont="1" applyBorder="1" applyAlignment="1">
      <alignment wrapText="1"/>
    </xf>
    <xf numFmtId="0" fontId="46" fillId="0" borderId="7" xfId="0" applyFont="1" applyBorder="1" applyAlignment="1">
      <alignment wrapText="1"/>
    </xf>
    <xf numFmtId="2" fontId="42" fillId="0" borderId="10" xfId="0" applyNumberFormat="1" applyFont="1" applyBorder="1" applyAlignment="1">
      <alignment wrapText="1"/>
    </xf>
    <xf numFmtId="44" fontId="46" fillId="0" borderId="7" xfId="0" applyNumberFormat="1" applyFont="1" applyBorder="1" applyAlignment="1">
      <alignment wrapText="1"/>
    </xf>
    <xf numFmtId="0" fontId="42" fillId="0" borderId="8" xfId="0" applyFont="1" applyBorder="1" applyAlignment="1">
      <alignment wrapText="1"/>
    </xf>
    <xf numFmtId="0" fontId="42" fillId="0" borderId="9" xfId="0" applyFont="1" applyBorder="1" applyAlignment="1">
      <alignment wrapText="1"/>
    </xf>
    <xf numFmtId="44" fontId="46" fillId="0" borderId="9" xfId="2" applyFont="1" applyBorder="1" applyAlignment="1">
      <alignment wrapText="1"/>
    </xf>
    <xf numFmtId="44" fontId="46" fillId="0" borderId="10" xfId="0" applyNumberFormat="1" applyFont="1" applyBorder="1" applyAlignment="1">
      <alignment wrapText="1"/>
    </xf>
    <xf numFmtId="0" fontId="42" fillId="0" borderId="56" xfId="0" applyFont="1" applyBorder="1" applyAlignment="1">
      <alignment wrapText="1"/>
    </xf>
    <xf numFmtId="44" fontId="42" fillId="0" borderId="57" xfId="2" applyFont="1" applyBorder="1" applyAlignment="1">
      <alignment wrapText="1"/>
    </xf>
    <xf numFmtId="44" fontId="46" fillId="0" borderId="0" xfId="2" applyNumberFormat="1" applyFont="1" applyAlignment="1">
      <alignment wrapText="1"/>
    </xf>
    <xf numFmtId="0" fontId="42" fillId="0" borderId="21" xfId="0" applyFont="1" applyBorder="1" applyAlignment="1">
      <alignment vertical="center" wrapText="1"/>
    </xf>
    <xf numFmtId="0" fontId="42" fillId="0" borderId="34" xfId="0" applyFont="1" applyBorder="1" applyAlignment="1">
      <alignment vertical="center" wrapText="1"/>
    </xf>
    <xf numFmtId="0" fontId="42" fillId="0" borderId="34" xfId="0" applyFont="1" applyBorder="1" applyAlignment="1">
      <alignment wrapText="1"/>
    </xf>
    <xf numFmtId="0" fontId="42" fillId="0" borderId="22" xfId="0" applyFont="1" applyBorder="1" applyAlignment="1">
      <alignment vertical="center" wrapText="1"/>
    </xf>
    <xf numFmtId="0" fontId="42" fillId="0" borderId="29" xfId="0" applyFont="1" applyBorder="1" applyAlignment="1">
      <alignment vertical="center" wrapText="1"/>
    </xf>
    <xf numFmtId="44" fontId="47" fillId="0" borderId="19" xfId="2" applyFont="1" applyBorder="1" applyAlignment="1">
      <alignment vertical="center" wrapText="1"/>
    </xf>
    <xf numFmtId="0" fontId="42" fillId="0" borderId="30" xfId="0" applyFont="1" applyBorder="1" applyAlignment="1">
      <alignment wrapText="1"/>
    </xf>
    <xf numFmtId="0" fontId="42" fillId="0" borderId="6" xfId="0" applyFont="1" applyBorder="1" applyAlignment="1">
      <alignment vertical="center" wrapText="1"/>
    </xf>
    <xf numFmtId="44" fontId="47" fillId="0" borderId="1" xfId="2" applyFont="1" applyBorder="1" applyAlignment="1">
      <alignment vertical="center" wrapText="1"/>
    </xf>
    <xf numFmtId="0" fontId="42" fillId="0" borderId="1" xfId="0" applyFont="1" applyBorder="1" applyAlignment="1">
      <alignment vertical="center" wrapText="1"/>
    </xf>
    <xf numFmtId="0" fontId="42" fillId="0" borderId="7" xfId="0" applyFont="1" applyBorder="1" applyAlignment="1">
      <alignment wrapText="1"/>
    </xf>
    <xf numFmtId="0" fontId="42" fillId="0" borderId="8" xfId="0" applyFont="1" applyBorder="1" applyAlignment="1">
      <alignment vertical="center" wrapText="1"/>
    </xf>
    <xf numFmtId="0" fontId="42" fillId="0" borderId="9" xfId="0" applyFont="1" applyBorder="1" applyAlignment="1">
      <alignment vertical="center" wrapText="1"/>
    </xf>
    <xf numFmtId="0" fontId="42" fillId="0" borderId="10" xfId="0" applyFont="1" applyBorder="1" applyAlignment="1">
      <alignment wrapText="1"/>
    </xf>
    <xf numFmtId="44" fontId="42" fillId="0" borderId="19" xfId="0" applyNumberFormat="1" applyFont="1" applyBorder="1" applyAlignment="1">
      <alignment vertical="center" wrapText="1"/>
    </xf>
    <xf numFmtId="44" fontId="42" fillId="0" borderId="9" xfId="0" applyNumberFormat="1" applyFont="1" applyBorder="1" applyAlignment="1">
      <alignment vertical="center" wrapText="1"/>
    </xf>
    <xf numFmtId="0" fontId="22" fillId="0" borderId="50" xfId="0" applyFont="1" applyBorder="1" applyAlignment="1">
      <alignment horizontal="center" wrapText="1"/>
    </xf>
    <xf numFmtId="0" fontId="22" fillId="0" borderId="38" xfId="0" applyFont="1" applyBorder="1" applyAlignment="1">
      <alignment horizontal="center" wrapText="1"/>
    </xf>
    <xf numFmtId="0" fontId="22" fillId="0" borderId="48" xfId="0" applyFont="1" applyBorder="1" applyAlignment="1">
      <alignment horizontal="center" wrapText="1"/>
    </xf>
    <xf numFmtId="0" fontId="22" fillId="0" borderId="65" xfId="0" applyFont="1" applyBorder="1" applyAlignment="1">
      <alignment horizontal="center" wrapText="1"/>
    </xf>
    <xf numFmtId="0" fontId="22" fillId="0" borderId="43" xfId="0" applyFont="1" applyBorder="1" applyAlignment="1">
      <alignment horizontal="center" wrapText="1"/>
    </xf>
    <xf numFmtId="0" fontId="10" fillId="0" borderId="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16" fillId="0" borderId="37" xfId="0" applyFont="1" applyBorder="1" applyAlignment="1">
      <alignment horizontal="left" vertical="center" wrapText="1"/>
    </xf>
    <xf numFmtId="0" fontId="22" fillId="0" borderId="3" xfId="0" applyFont="1" applyBorder="1" applyAlignment="1">
      <alignment horizontal="center" wrapText="1"/>
    </xf>
    <xf numFmtId="1" fontId="12" fillId="0" borderId="54" xfId="0" applyNumberFormat="1" applyFont="1" applyBorder="1" applyAlignment="1">
      <alignment horizontal="center" wrapText="1"/>
    </xf>
    <xf numFmtId="1" fontId="12" fillId="0" borderId="52" xfId="0" applyNumberFormat="1" applyFont="1" applyBorder="1" applyAlignment="1">
      <alignment horizontal="center" wrapText="1"/>
    </xf>
    <xf numFmtId="1" fontId="12" fillId="0" borderId="16" xfId="0" applyNumberFormat="1" applyFont="1" applyBorder="1" applyAlignment="1">
      <alignment horizontal="center" wrapText="1"/>
    </xf>
    <xf numFmtId="0" fontId="10" fillId="0" borderId="47" xfId="0" applyFont="1" applyBorder="1" applyAlignment="1">
      <alignment horizontal="center" wrapText="1"/>
    </xf>
    <xf numFmtId="0" fontId="10" fillId="0" borderId="41" xfId="0" applyFont="1" applyBorder="1" applyAlignment="1">
      <alignment horizontal="center" wrapText="1"/>
    </xf>
    <xf numFmtId="0" fontId="10" fillId="0" borderId="19" xfId="0" applyFont="1" applyBorder="1" applyAlignment="1">
      <alignment horizontal="center" wrapText="1"/>
    </xf>
    <xf numFmtId="0" fontId="10" fillId="0" borderId="23"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2" fillId="0" borderId="3" xfId="0" applyFont="1" applyBorder="1" applyAlignment="1">
      <alignment horizontal="left" vertical="center" wrapText="1"/>
    </xf>
    <xf numFmtId="0" fontId="12" fillId="0" borderId="30"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1" fillId="0" borderId="31" xfId="0" applyFont="1" applyBorder="1" applyAlignment="1">
      <alignment horizontal="left" vertical="center" wrapText="1"/>
    </xf>
    <xf numFmtId="0" fontId="11" fillId="0" borderId="43"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horizontal="left" vertical="center" wrapText="1"/>
    </xf>
    <xf numFmtId="0" fontId="11" fillId="0" borderId="44" xfId="0" applyFont="1" applyBorder="1" applyAlignment="1">
      <alignment horizontal="left" vertical="center" wrapText="1"/>
    </xf>
    <xf numFmtId="0" fontId="10" fillId="0" borderId="2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1" fillId="0" borderId="29" xfId="0" applyFont="1" applyBorder="1" applyAlignment="1">
      <alignment horizontal="left" vertical="center" wrapText="1"/>
    </xf>
    <xf numFmtId="0" fontId="18" fillId="0" borderId="47" xfId="0" applyFont="1" applyBorder="1" applyAlignment="1">
      <alignment horizontal="left" vertical="center" wrapText="1"/>
    </xf>
    <xf numFmtId="0" fontId="18" fillId="0" borderId="41" xfId="0" applyFont="1" applyBorder="1" applyAlignment="1">
      <alignment horizontal="left" vertical="center" wrapText="1"/>
    </xf>
    <xf numFmtId="0" fontId="18" fillId="0" borderId="19" xfId="0" applyFont="1" applyBorder="1" applyAlignment="1">
      <alignment horizontal="left" vertical="center" wrapText="1"/>
    </xf>
    <xf numFmtId="0" fontId="23" fillId="0" borderId="0" xfId="0" applyFont="1" applyAlignment="1">
      <alignment horizontal="center" wrapText="1"/>
    </xf>
    <xf numFmtId="0" fontId="29" fillId="0" borderId="0" xfId="0" applyFont="1" applyAlignment="1">
      <alignment horizontal="center" wrapText="1"/>
    </xf>
    <xf numFmtId="0" fontId="29" fillId="0" borderId="44" xfId="0" applyFont="1" applyBorder="1" applyAlignment="1">
      <alignment horizontal="center" wrapText="1"/>
    </xf>
    <xf numFmtId="0" fontId="0" fillId="0" borderId="42" xfId="0" applyBorder="1" applyAlignment="1">
      <alignment horizontal="center" wrapText="1"/>
    </xf>
    <xf numFmtId="0" fontId="0" fillId="0" borderId="63" xfId="0"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0" fillId="0" borderId="60" xfId="0" applyBorder="1" applyAlignment="1">
      <alignment horizontal="center" wrapText="1"/>
    </xf>
    <xf numFmtId="0" fontId="42" fillId="0" borderId="3" xfId="0" applyFont="1" applyBorder="1" applyAlignment="1">
      <alignment horizontal="center" wrapText="1"/>
    </xf>
    <xf numFmtId="0" fontId="42" fillId="0" borderId="8" xfId="0" applyFont="1" applyBorder="1" applyAlignment="1">
      <alignment horizontal="center" wrapText="1"/>
    </xf>
    <xf numFmtId="0" fontId="44" fillId="5" borderId="69" xfId="0" applyFont="1" applyFill="1" applyBorder="1" applyAlignment="1">
      <alignment horizontal="center" wrapText="1"/>
    </xf>
    <xf numFmtId="0" fontId="44" fillId="5" borderId="48" xfId="0" applyFont="1" applyFill="1" applyBorder="1" applyAlignment="1">
      <alignment horizontal="center" wrapText="1"/>
    </xf>
    <xf numFmtId="0" fontId="44" fillId="5" borderId="65" xfId="0" applyFont="1" applyFill="1" applyBorder="1" applyAlignment="1">
      <alignment horizontal="center" wrapText="1"/>
    </xf>
    <xf numFmtId="0" fontId="44" fillId="5" borderId="70" xfId="0" applyFont="1" applyFill="1" applyBorder="1" applyAlignment="1">
      <alignment horizontal="center" wrapText="1"/>
    </xf>
    <xf numFmtId="0" fontId="44" fillId="5" borderId="15" xfId="0" applyFont="1" applyFill="1" applyBorder="1" applyAlignment="1">
      <alignment horizontal="center" wrapText="1"/>
    </xf>
    <xf numFmtId="0" fontId="44" fillId="5" borderId="62" xfId="0" applyFont="1" applyFill="1" applyBorder="1" applyAlignment="1">
      <alignment horizontal="center" wrapText="1"/>
    </xf>
    <xf numFmtId="0" fontId="42" fillId="0" borderId="45" xfId="0" applyFont="1" applyBorder="1" applyAlignment="1">
      <alignment horizontal="center" wrapText="1"/>
    </xf>
    <xf numFmtId="0" fontId="42" fillId="0" borderId="73" xfId="0" applyFont="1" applyBorder="1" applyAlignment="1">
      <alignment horizontal="center" wrapText="1"/>
    </xf>
    <xf numFmtId="0" fontId="42" fillId="0" borderId="69" xfId="0" applyFont="1" applyBorder="1" applyAlignment="1">
      <alignment horizontal="center" wrapText="1"/>
    </xf>
    <xf numFmtId="0" fontId="42" fillId="0" borderId="48" xfId="0" applyFont="1" applyBorder="1" applyAlignment="1">
      <alignment horizontal="center" wrapText="1"/>
    </xf>
    <xf numFmtId="0" fontId="42" fillId="0" borderId="65" xfId="0" applyFont="1" applyBorder="1" applyAlignment="1">
      <alignment horizontal="center" wrapText="1"/>
    </xf>
    <xf numFmtId="0" fontId="2" fillId="0" borderId="0" xfId="0" applyFont="1" applyAlignment="1">
      <alignment horizontal="center" wrapText="1"/>
    </xf>
    <xf numFmtId="0" fontId="0" fillId="0" borderId="54" xfId="0" applyBorder="1" applyAlignment="1">
      <alignment horizontal="center" wrapText="1"/>
    </xf>
    <xf numFmtId="0" fontId="0" fillId="0" borderId="40" xfId="0" applyBorder="1" applyAlignment="1">
      <alignment horizontal="center" wrapText="1"/>
    </xf>
    <xf numFmtId="0" fontId="0" fillId="0" borderId="55" xfId="0" applyBorder="1" applyAlignment="1">
      <alignment horizontal="center" wrapText="1"/>
    </xf>
    <xf numFmtId="0" fontId="0" fillId="0" borderId="33"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27" fillId="7" borderId="1" xfId="0" applyFont="1" applyFill="1" applyBorder="1" applyAlignment="1">
      <alignment horizontal="center" wrapText="1"/>
    </xf>
    <xf numFmtId="0" fontId="5" fillId="5" borderId="1" xfId="0" applyFont="1" applyFill="1" applyBorder="1" applyAlignment="1">
      <alignment horizontal="center"/>
    </xf>
    <xf numFmtId="0" fontId="5" fillId="7" borderId="1" xfId="0" applyFont="1" applyFill="1" applyBorder="1" applyAlignment="1">
      <alignment horizont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5" fillId="7" borderId="1" xfId="4" applyFont="1" applyFill="1" applyBorder="1" applyAlignment="1">
      <alignment horizontal="center" wrapText="1"/>
    </xf>
    <xf numFmtId="0" fontId="19" fillId="7" borderId="2" xfId="4" applyFont="1" applyFill="1" applyBorder="1" applyAlignment="1">
      <alignment horizontal="center" wrapText="1"/>
    </xf>
    <xf numFmtId="0" fontId="19" fillId="7" borderId="19" xfId="4" applyFont="1" applyFill="1" applyBorder="1" applyAlignment="1">
      <alignment horizontal="center" wrapText="1"/>
    </xf>
    <xf numFmtId="0" fontId="19" fillId="7" borderId="14" xfId="4" applyFont="1" applyFill="1" applyBorder="1" applyAlignment="1">
      <alignment horizontal="center" wrapText="1"/>
    </xf>
    <xf numFmtId="0" fontId="19" fillId="7" borderId="15" xfId="4" applyFont="1" applyFill="1" applyBorder="1" applyAlignment="1">
      <alignment horizontal="center" wrapText="1"/>
    </xf>
    <xf numFmtId="0" fontId="19" fillId="7" borderId="13" xfId="4" applyFont="1" applyFill="1" applyBorder="1" applyAlignment="1">
      <alignment horizontal="center" wrapText="1"/>
    </xf>
    <xf numFmtId="0" fontId="5" fillId="7" borderId="14" xfId="4" applyFont="1" applyFill="1" applyBorder="1" applyAlignment="1">
      <alignment horizontal="left" wrapText="1"/>
    </xf>
    <xf numFmtId="0" fontId="5" fillId="7" borderId="15" xfId="4" applyFont="1" applyFill="1" applyBorder="1" applyAlignment="1">
      <alignment horizontal="left" wrapText="1"/>
    </xf>
    <xf numFmtId="0" fontId="5" fillId="7" borderId="13" xfId="4" applyFont="1" applyFill="1" applyBorder="1" applyAlignment="1">
      <alignment horizontal="left" wrapText="1"/>
    </xf>
    <xf numFmtId="0" fontId="48" fillId="0" borderId="38" xfId="0" applyFont="1" applyBorder="1" applyAlignment="1">
      <alignment horizontal="left" vertical="center" wrapText="1"/>
    </xf>
  </cellXfs>
  <cellStyles count="5">
    <cellStyle name="Comma" xfId="1" builtinId="3"/>
    <cellStyle name="Currency" xfId="2" builtinId="4"/>
    <cellStyle name="Normal" xfId="0" builtinId="0"/>
    <cellStyle name="Normal_1722 Marine SI tables" xfId="4" xr:uid="{667C5840-A20D-4D24-A190-A34B0E20A680}"/>
    <cellStyle name="Percent" xfId="3" builtinId="5"/>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avis_julian_epa_gov/Documents/EPA%20Project%20List%202012/Attorney%20Advisor/ICR/2019%20ICR%20Renewal/2019%20NRSI/NRSI%20Sector%20Worksheet%20and%20Labor%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l2-SI Cert All"/>
      <sheetName val="Tbl3-ABT-All"/>
      <sheetName val="Tbl4-SI PLT"/>
      <sheetName val="Tbl5-SI InUse"/>
      <sheetName val="Tbl6-SEA"/>
      <sheetName val="Sector Production"/>
      <sheetName val="Tbl8-Agency Burden"/>
      <sheetName val="Resp Tally"/>
    </sheetNames>
    <sheetDataSet>
      <sheetData sheetId="0">
        <row r="30">
          <cell r="J30"/>
        </row>
      </sheetData>
      <sheetData sheetId="1"/>
      <sheetData sheetId="2">
        <row r="21">
          <cell r="O21"/>
        </row>
      </sheetData>
      <sheetData sheetId="3">
        <row r="21">
          <cell r="I21"/>
          <cell r="K21"/>
          <cell r="N21"/>
        </row>
        <row r="24">
          <cell r="L24"/>
        </row>
      </sheetData>
      <sheetData sheetId="4">
        <row r="15">
          <cell r="I15"/>
          <cell r="K15"/>
          <cell r="N15"/>
          <cell r="O15"/>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Davis, Julian" id="{0D7B24A6-A767-410D-9CF7-353B80952CC0}" userId="S::davis.julian@epa.gov::9908c2e0-8fa8-4e30-a378-c27294ed42bf" providerId="AD"/>
</personList>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1-04-23T13:02:27.60" personId="{0D7B24A6-A767-410D-9CF7-353B80952CC0}" id="{A5F3A3D6-3B52-4687-803E-2E4592B26152}">
    <text>May not be necessary for our calculation</text>
  </threadedComment>
  <threadedComment ref="A14" dT="2021-04-23T13:03:42.12" personId="{0D7B24A6-A767-410D-9CF7-353B80952CC0}" id="{B1C07BAC-7237-4057-A02D-3DC89C4ECC2D}">
    <text>Voluntary Emissions Recall Reporting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M1" dT="2021-05-05T14:22:52.94" personId="{0D7B24A6-A767-410D-9CF7-353B80952CC0}" id="{B317B92B-CFD7-4C2D-BA9A-36641AC5ACE9}">
    <text>We may not have calculated the number of applications that were carryover. recalculate...</text>
  </threadedComment>
  <threadedComment ref="F4" dT="2021-05-05T17:52:07.48" personId="{0D7B24A6-A767-410D-9CF7-353B80952CC0}" id="{849ACB57-5197-4514-BE46-6B662A6167E5}">
    <text>We are ending a separate category for this column as this activity is now accounted for under the Technician column.</text>
  </threadedComment>
  <threadedComment ref="K5" dT="2021-04-30T19:18:55.44" personId="{0D7B24A6-A767-410D-9CF7-353B80952CC0}" id="{F7C3CC72-A9D4-4C53-B300-998CF8BB4D44}">
    <text>Adjusted by the CPI from the previous 2018 estimate.</text>
  </threadedComment>
  <threadedComment ref="M7" dT="2021-04-30T19:26:44.38" personId="{0D7B24A6-A767-410D-9CF7-353B80952CC0}" id="{0A41E9EB-DC67-4558-944F-A3109D38B08B}">
    <text>The number of manufacturers minus the evaporative component manufacturers. (R7)</text>
  </threadedComment>
  <threadedComment ref="A8" dT="2021-05-07T13:32:42.39" personId="{0D7B24A6-A767-410D-9CF7-353B80952CC0}" id="{A850790A-A1D0-481F-BF73-F8480F49A685}">
    <text>All testing is calculated below for in-house testing and contractor testing.</text>
  </threadedComment>
  <threadedComment ref="K9" dT="2021-04-30T19:20:18.09" personId="{0D7B24A6-A767-410D-9CF7-353B80952CC0}" id="{42BD1206-3B40-492C-8175-BE333DD301CA}">
    <text>Adjusted for 2021 by the CPI. We state the following in the Supporting Statement, "Engine manufacturers that have in-house testing facilities use them for all their certification and compliance testing needs as well as for research and development. The cost of maintaining these laboratories have been estimated at $73,300 per year. This estimate (which appears under the certification program estimates) includes the cost of test fuels, calibration gases and equipment."</text>
  </threadedComment>
  <threadedComment ref="U10" dT="2021-04-30T20:06:06.24" personId="{0D7B24A6-A767-410D-9CF7-353B80952CC0}" id="{BC684558-7A29-4914-8AA8-3354EB6D0FD1}">
    <text>Running change estimation</text>
  </threadedComment>
  <threadedComment ref="J11" dT="2021-05-05T21:33:20.19" personId="{0D7B24A6-A767-410D-9CF7-353B80952CC0}" id="{0BA90EF3-B820-48EE-A184-16CE231034D4}">
    <text>These O&amp;M costs were calculated in the above "Lab Maintenance" cell.</text>
  </threadedComment>
  <threadedComment ref="M11" dT="2021-05-05T20:57:51.22" personId="{0D7B24A6-A767-410D-9CF7-353B80952CC0}" id="{8649D729-E25C-4224-A78A-83AD3AD50347}">
    <text>For testing, these are individual engine families (certificates).</text>
  </threadedComment>
  <threadedComment ref="A18" dT="2021-05-05T21:32:35.54" personId="{0D7B24A6-A767-410D-9CF7-353B80952CC0}" id="{045D2EC5-DA94-4227-BD6B-8DB38E26FE17}">
    <text>This section for testing would be a subset of the above "new" test data for cert, durability, evap.</text>
  </threadedComment>
  <threadedComment ref="K19" dT="2021-05-05T15:48:43.28" personId="{0D7B24A6-A767-410D-9CF7-353B80952CC0}" id="{1F32EE6D-F51E-451B-AC09-82F77DAFCC8C}">
    <text>If the above 79,952.08 for O&amp;M on Lab maintenance, why these estimates for O&amp;M?</text>
  </threadedComment>
  <threadedComment ref="K24" dT="2021-05-06T14:40:54.81" personId="{0D7B24A6-A767-410D-9CF7-353B80952CC0}" id="{F137CF1B-3E8C-4E22-A67F-6C81F1A4515C}">
    <text>This figure represents the average cost for both fuel lines and fuel tanks for certification testing.</text>
  </threadedComment>
  <threadedComment ref="A34" dT="2021-04-30T19:53:01.01" personId="{0D7B24A6-A767-410D-9CF7-353B80952CC0}" id="{5B156BF3-182A-49D4-9D64-F10A2F855D2E}">
    <text>Applies to Small SI manufacutrers only</text>
  </threadedComment>
  <threadedComment ref="K37" dT="2021-05-03T17:41:47.76" personId="{0D7B24A6-A767-410D-9CF7-353B80952CC0}" id="{8AA4E1DF-79A5-43AA-B9F2-2713CB88BC82}">
    <text>For O&amp;M cost for reporting obligations we computed the average cost to maintain a computer system as the cost of labor and repair, in addtion to office and computig supplies per unit. Assesed expenses include $65 labor charge and ~$100 for parts and repair.</text>
  </threadedComment>
  <threadedComment ref="K38" dT="2021-05-03T17:44:41.68" personId="{0D7B24A6-A767-410D-9CF7-353B80952CC0}" id="{513052D9-D0C0-4019-9CB1-F4032D95B23D}">
    <text>O&amp;M cost include test cell maintenance outside that accounted for in certification testing above.</text>
  </threadedComment>
  <threadedComment ref="K40" dT="2021-05-03T17:44:41.68" personId="{0D7B24A6-A767-410D-9CF7-353B80952CC0}" id="{99AA9AC0-3F91-43C9-9874-BB20C0767696}">
    <text>O&amp;M cost include test cell maintenance outside that accounted for in certification testing above.</text>
  </threadedComment>
  <threadedComment ref="B42" dT="2021-05-03T20:30:48.05" personId="{0D7B24A6-A767-410D-9CF7-353B80952CC0}" id="{EBA92681-9D3A-48C3-9EC1-C0E88E74260F}">
    <text>Determine whether a substantial number have exceeded 1068 Part F requirements. File a defect and determine if recall is warranted.</text>
  </threadedComment>
  <threadedComment ref="B43" dT="2021-05-03T20:31:28.77" personId="{0D7B24A6-A767-410D-9CF7-353B80952CC0}" id="{4907CBBD-D748-4360-8A1C-C5544B746B43}">
    <text>Determine a "fix" for the recall condition. Some recalls are for labelling issues only.</text>
  </threadedComment>
  <threadedComment ref="E43" dT="2021-05-03T20:31:58.26" personId="{0D7B24A6-A767-410D-9CF7-353B80952CC0}" id="{F05A0AB2-ECB0-4EA7-BFDE-B2624A0CF57B}">
    <text>Test to conduct proper resolution for a voluntary recall.</text>
  </threadedComment>
  <threadedComment ref="L43" dT="2021-05-03T20:41:36.58" personId="{0D7B24A6-A767-410D-9CF7-353B80952CC0}" id="{FA7FF0B0-ACDB-4234-ACB3-B4DC0A5ECAEB}">
    <text>Recall reports are on a quarterly basis, similar to PLT reporting.</text>
  </threadedComment>
  <threadedComment ref="K47" dT="2021-05-12T19:15:10.51" personId="{0D7B24A6-A767-410D-9CF7-353B80952CC0}" id="{8C93FEED-99D7-4696-B7C5-3E905B0DF7AB}">
    <text>Certification only.</text>
  </threadedComment>
  <threadedComment ref="K48" dT="2021-05-12T19:15:10.51" personId="{0D7B24A6-A767-410D-9CF7-353B80952CC0}" id="{A4071904-6714-4C7C-A36B-BB674A69D2DD}">
    <text>Certification only.</text>
  </threadedComment>
  <threadedComment ref="B66" dT="2021-05-05T15:48:43.28" personId="{0D7B24A6-A767-410D-9CF7-353B80952CC0}" id="{D7FEDBAA-654F-4B26-9DA6-151893E4E771}">
    <text>If the above 79,952.08 for O&amp;M on Lab maintenance, why these estimates for O&amp;M?</text>
  </threadedComment>
</ThreadedComments>
</file>

<file path=xl/threadedComments/threadedComment3.xml><?xml version="1.0" encoding="utf-8"?>
<ThreadedComments xmlns="http://schemas.microsoft.com/office/spreadsheetml/2018/threadedcomments" xmlns:x="http://schemas.openxmlformats.org/spreadsheetml/2006/main">
  <threadedComment ref="N5" dT="2021-04-23T13:02:27.60" personId="{0D7B24A6-A767-410D-9CF7-353B80952CC0}" id="{F3564927-A8B6-4592-A7A3-04AF698004F7}">
    <text>May not be necessary for our calculation</text>
  </threadedComment>
  <threadedComment ref="A19" dT="2021-04-23T13:03:42.12" personId="{0D7B24A6-A767-410D-9CF7-353B80952CC0}" id="{C326D2CA-25F2-4CEF-B50B-A45737C096ED}">
    <text>Voluntary Emissions Recall Reporting</text>
  </threadedComment>
  <threadedComment ref="N26" dT="2021-04-23T13:02:27.60" personId="{0D7B24A6-A767-410D-9CF7-353B80952CC0}" id="{2C3709FF-4C24-4AD8-8220-2A98E185DDFA}">
    <text>May not be necessary for our calculation</text>
  </threadedComment>
  <threadedComment ref="A40" dT="2021-04-23T13:03:42.12" personId="{0D7B24A6-A767-410D-9CF7-353B80952CC0}" id="{28B26308-BE9D-4843-BED6-6C373D40DDAF}">
    <text>Voluntary Emissions Recall Reporting</text>
  </threadedComment>
  <threadedComment ref="N47" dT="2021-04-23T13:02:27.60" personId="{0D7B24A6-A767-410D-9CF7-353B80952CC0}" id="{A94A14AB-FD69-4AB2-B546-F2F146C524D6}">
    <text>May not be necessary for our calculation</text>
  </threadedComment>
  <threadedComment ref="P49" dT="2021-05-04T22:35:50.80" personId="{0D7B24A6-A767-410D-9CF7-353B80952CC0}" id="{E2730F08-37B3-4BEC-9331-04403CE8469E}">
    <text>1048.501(d) In place of the provisions of 40 CFR 1065.405, you may consider emission levels stable without measurement after 50 hours of engine operation.</text>
  </threadedComment>
  <threadedComment ref="A61" dT="2021-04-23T13:03:42.12" personId="{0D7B24A6-A767-410D-9CF7-353B80952CC0}" id="{2E5AE664-A421-4EBF-8105-CC2C06E03C86}">
    <text>Voluntary Emissions Recall Reporting</text>
  </threadedComment>
  <threadedComment ref="N68" dT="2021-04-23T13:02:27.60" personId="{0D7B24A6-A767-410D-9CF7-353B80952CC0}" id="{8F28CAD3-4183-4665-BCC2-C9028C1C48F6}">
    <text>May not be necessary for our calculation</text>
  </threadedComment>
  <threadedComment ref="P70" dT="2021-05-04T22:32:34.51" personId="{0D7B24A6-A767-410D-9CF7-353B80952CC0}" id="{733BD2D2-02BB-4B44-93EC-EC7388350099}">
    <text>1045.501(e) Engine stabilization. Instead of the provisions of 40 CFR 1065.405, you may consider emission levels stable without measurement after 12 hours of engine operation.</text>
  </threadedComment>
  <threadedComment ref="A82" dT="2021-04-23T13:03:42.12" personId="{0D7B24A6-A767-410D-9CF7-353B80952CC0}" id="{72BFBB8D-A9E5-4AD7-8F91-3D2362834923}">
    <text>Voluntary Emissions Recall Reporting</text>
  </threadedComment>
  <threadedComment ref="N89" dT="2021-04-23T13:02:27.60" personId="{0D7B24A6-A767-410D-9CF7-353B80952CC0}" id="{B6061DE6-0BA8-48F5-9653-156CCF521B4A}">
    <text>May not be necessary for our calculation</text>
  </threadedComment>
  <threadedComment ref="A103" dT="2021-04-23T13:03:42.12" personId="{0D7B24A6-A767-410D-9CF7-353B80952CC0}" id="{2BF92AD4-BD19-4AC1-ABA3-DFE724B24A8C}">
    <text>Voluntary Emissions Recall Reporting</text>
  </threadedComment>
  <threadedComment ref="N110" dT="2021-04-23T13:02:27.60" personId="{0D7B24A6-A767-410D-9CF7-353B80952CC0}" id="{F31BDF07-4E5A-4E38-B005-70D6F07C330F}">
    <text>May not be necessary for our calculation</text>
  </threadedComment>
  <threadedComment ref="A123" dT="2021-04-23T13:03:42.12" personId="{0D7B24A6-A767-410D-9CF7-353B80952CC0}" id="{76FC81C9-C6A4-4690-956D-BC0D526B4E66}">
    <text>Voluntary Emissions Recall Reporting</text>
  </threadedComment>
</ThreadedComments>
</file>

<file path=xl/threadedComments/threadedComment4.xml><?xml version="1.0" encoding="utf-8"?>
<ThreadedComments xmlns="http://schemas.microsoft.com/office/spreadsheetml/2018/threadedcomments" xmlns:x="http://schemas.openxmlformats.org/spreadsheetml/2006/main">
  <threadedComment ref="I12" dT="2021-05-03T12:39:53.53" personId="{0D7B24A6-A767-410D-9CF7-353B80952CC0}" id="{451A0C43-AF32-4736-9EBB-3AEC18E58582}">
    <text>We estimate a rate of $83,000 per person per year for SEE support.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A277-88B7-488C-A7EC-7A4E14A71F6A}">
  <dimension ref="A1:C18"/>
  <sheetViews>
    <sheetView topLeftCell="A4" workbookViewId="0">
      <selection activeCell="A16" sqref="A16"/>
    </sheetView>
  </sheetViews>
  <sheetFormatPr defaultColWidth="8.625" defaultRowHeight="14.25" x14ac:dyDescent="0.2"/>
  <cols>
    <col min="1" max="1" width="18.375" style="1" customWidth="1"/>
    <col min="2" max="2" width="43" style="1" customWidth="1"/>
    <col min="3" max="3" width="34.625" style="1" customWidth="1"/>
    <col min="4" max="16384" width="8.625" style="1"/>
  </cols>
  <sheetData>
    <row r="1" spans="1:3" ht="15" thickBot="1" x14ac:dyDescent="0.25"/>
    <row r="2" spans="1:3" ht="213.75" x14ac:dyDescent="0.2">
      <c r="A2" s="378" t="s">
        <v>280</v>
      </c>
      <c r="B2" s="379" t="s">
        <v>267</v>
      </c>
      <c r="C2" s="380" t="s">
        <v>279</v>
      </c>
    </row>
    <row r="3" spans="1:3" x14ac:dyDescent="0.2">
      <c r="A3" s="7"/>
      <c r="B3" s="4" t="s">
        <v>268</v>
      </c>
      <c r="C3" s="8"/>
    </row>
    <row r="4" spans="1:3" x14ac:dyDescent="0.2">
      <c r="A4" s="7"/>
      <c r="B4" s="4" t="s">
        <v>269</v>
      </c>
      <c r="C4" s="8"/>
    </row>
    <row r="5" spans="1:3" ht="15" thickBot="1" x14ac:dyDescent="0.25">
      <c r="A5" s="150"/>
      <c r="B5" s="125" t="s">
        <v>270</v>
      </c>
      <c r="C5" s="79"/>
    </row>
    <row r="6" spans="1:3" ht="15" thickBot="1" x14ac:dyDescent="0.25">
      <c r="A6" s="382"/>
      <c r="B6" s="383"/>
      <c r="C6" s="384"/>
    </row>
    <row r="7" spans="1:3" ht="15" x14ac:dyDescent="0.25">
      <c r="A7" s="385" t="s">
        <v>278</v>
      </c>
      <c r="B7" s="386"/>
      <c r="C7" s="380"/>
    </row>
    <row r="8" spans="1:3" ht="157.5" x14ac:dyDescent="0.25">
      <c r="A8" s="381" t="s">
        <v>148</v>
      </c>
      <c r="B8" s="4" t="s">
        <v>271</v>
      </c>
      <c r="C8" s="8" t="s">
        <v>292</v>
      </c>
    </row>
    <row r="9" spans="1:3" ht="71.25" x14ac:dyDescent="0.2">
      <c r="A9" s="381" t="s">
        <v>272</v>
      </c>
      <c r="B9" s="4" t="s">
        <v>273</v>
      </c>
      <c r="C9" s="8"/>
    </row>
    <row r="10" spans="1:3" ht="71.25" x14ac:dyDescent="0.2">
      <c r="A10" s="381" t="s">
        <v>274</v>
      </c>
      <c r="B10" s="4" t="s">
        <v>275</v>
      </c>
      <c r="C10" s="8"/>
    </row>
    <row r="11" spans="1:3" ht="72" thickBot="1" x14ac:dyDescent="0.25">
      <c r="A11" s="387" t="s">
        <v>276</v>
      </c>
      <c r="B11" s="125" t="s">
        <v>277</v>
      </c>
      <c r="C11" s="79"/>
    </row>
    <row r="12" spans="1:3" ht="15" thickBot="1" x14ac:dyDescent="0.25">
      <c r="A12" s="382"/>
      <c r="B12" s="383"/>
      <c r="C12" s="384"/>
    </row>
    <row r="13" spans="1:3" ht="30" x14ac:dyDescent="0.25">
      <c r="A13" s="385" t="s">
        <v>291</v>
      </c>
      <c r="B13" s="386"/>
      <c r="C13" s="380"/>
    </row>
    <row r="14" spans="1:3" ht="42.75" x14ac:dyDescent="0.2">
      <c r="A14" s="381" t="s">
        <v>287</v>
      </c>
      <c r="B14" s="4" t="s">
        <v>281</v>
      </c>
      <c r="C14" s="8"/>
    </row>
    <row r="15" spans="1:3" ht="114" x14ac:dyDescent="0.2">
      <c r="A15" s="381" t="s">
        <v>282</v>
      </c>
      <c r="B15" s="4" t="s">
        <v>283</v>
      </c>
      <c r="C15" s="8"/>
    </row>
    <row r="16" spans="1:3" ht="114" x14ac:dyDescent="0.2">
      <c r="A16" s="381" t="s">
        <v>284</v>
      </c>
      <c r="B16" s="4" t="s">
        <v>288</v>
      </c>
      <c r="C16" s="8"/>
    </row>
    <row r="17" spans="1:3" ht="57" x14ac:dyDescent="0.2">
      <c r="A17" s="381" t="s">
        <v>285</v>
      </c>
      <c r="B17" s="4" t="s">
        <v>286</v>
      </c>
      <c r="C17" s="8"/>
    </row>
    <row r="18" spans="1:3" ht="114.75" thickBot="1" x14ac:dyDescent="0.25">
      <c r="A18" s="387" t="s">
        <v>289</v>
      </c>
      <c r="B18" s="125" t="s">
        <v>290</v>
      </c>
      <c r="C18" s="79"/>
    </row>
  </sheetData>
  <pageMargins left="0.7" right="0.7" top="0.75" bottom="0.75" header="0.3" footer="0.3"/>
  <pageSetup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1ACD4-7ED4-421A-A235-7E85619AA92B}">
  <dimension ref="A2:P25"/>
  <sheetViews>
    <sheetView zoomScaleNormal="100" workbookViewId="0">
      <selection activeCell="A2" sqref="A2:P21"/>
    </sheetView>
  </sheetViews>
  <sheetFormatPr defaultColWidth="14.375" defaultRowHeight="14.25" x14ac:dyDescent="0.2"/>
  <cols>
    <col min="1" max="1" width="14.375" style="1" customWidth="1"/>
    <col min="2" max="2" width="0.125" style="1" customWidth="1"/>
    <col min="3" max="5" width="14.375" style="1" hidden="1" customWidth="1"/>
    <col min="6" max="6" width="14.25" style="1" hidden="1" customWidth="1"/>
    <col min="7" max="7" width="14.375" style="1" hidden="1" customWidth="1"/>
    <col min="8" max="8" width="0.125" style="1" customWidth="1"/>
    <col min="9" max="16384" width="14.375" style="1"/>
  </cols>
  <sheetData>
    <row r="2" spans="1:16" x14ac:dyDescent="0.2">
      <c r="A2" s="663" t="s">
        <v>69</v>
      </c>
      <c r="B2" s="663"/>
      <c r="C2" s="663"/>
      <c r="D2" s="663"/>
      <c r="E2" s="663"/>
      <c r="F2" s="663"/>
      <c r="G2" s="663"/>
      <c r="H2" s="663"/>
      <c r="I2" s="663"/>
      <c r="J2" s="663"/>
      <c r="K2" s="663"/>
      <c r="L2" s="663"/>
      <c r="M2" s="663"/>
      <c r="N2" s="663"/>
      <c r="O2" s="663"/>
      <c r="P2" s="663"/>
    </row>
    <row r="3" spans="1:16" x14ac:dyDescent="0.2">
      <c r="A3" s="40"/>
      <c r="B3" s="663" t="s">
        <v>70</v>
      </c>
      <c r="C3" s="663"/>
      <c r="D3" s="663"/>
      <c r="E3" s="663"/>
      <c r="F3" s="663"/>
      <c r="G3" s="663"/>
      <c r="H3" s="663"/>
      <c r="I3" s="663"/>
      <c r="J3" s="663"/>
      <c r="K3" s="663"/>
      <c r="L3" s="663"/>
      <c r="M3" s="663"/>
      <c r="N3" s="663" t="s">
        <v>71</v>
      </c>
      <c r="O3" s="663"/>
      <c r="P3" s="663"/>
    </row>
    <row r="4" spans="1:16" ht="229.5" x14ac:dyDescent="0.2">
      <c r="A4" s="40" t="s">
        <v>23</v>
      </c>
      <c r="B4" s="23" t="s">
        <v>169</v>
      </c>
      <c r="C4" s="23" t="s">
        <v>168</v>
      </c>
      <c r="D4" s="23" t="s">
        <v>172</v>
      </c>
      <c r="E4" s="24" t="s">
        <v>171</v>
      </c>
      <c r="F4" s="41" t="s">
        <v>170</v>
      </c>
      <c r="G4" s="279" t="s">
        <v>43</v>
      </c>
      <c r="H4" s="280" t="s">
        <v>44</v>
      </c>
      <c r="I4" s="54" t="s">
        <v>72</v>
      </c>
      <c r="J4" s="54" t="s">
        <v>25</v>
      </c>
      <c r="K4" s="54" t="s">
        <v>26</v>
      </c>
      <c r="L4" s="54" t="s">
        <v>73</v>
      </c>
      <c r="M4" s="54" t="s">
        <v>48</v>
      </c>
      <c r="N4" s="54" t="s">
        <v>28</v>
      </c>
      <c r="O4" s="54" t="s">
        <v>49</v>
      </c>
      <c r="P4" s="54" t="s">
        <v>50</v>
      </c>
    </row>
    <row r="5" spans="1:16" ht="38.25" x14ac:dyDescent="0.2">
      <c r="A5" s="55" t="s">
        <v>51</v>
      </c>
      <c r="B5" s="42">
        <v>7</v>
      </c>
      <c r="C5" s="42">
        <v>1</v>
      </c>
      <c r="D5" s="42">
        <v>1</v>
      </c>
      <c r="E5" s="42">
        <v>0</v>
      </c>
      <c r="F5" s="42">
        <v>0</v>
      </c>
      <c r="G5" s="281">
        <v>0</v>
      </c>
      <c r="H5" s="281">
        <v>0</v>
      </c>
      <c r="I5" s="42">
        <f>SUM(B5:F5)</f>
        <v>9</v>
      </c>
      <c r="J5" s="61">
        <f>(B5*94.86)+(C5*152.31)+(D5*180.08)+(E5*45.97)+(F5*66.8)</f>
        <v>996.41</v>
      </c>
      <c r="K5" s="61">
        <v>0</v>
      </c>
      <c r="L5" s="61">
        <v>0</v>
      </c>
      <c r="M5" s="42">
        <v>1</v>
      </c>
      <c r="N5" s="42">
        <v>7</v>
      </c>
      <c r="O5" s="43">
        <f>I5*M5*N5</f>
        <v>63</v>
      </c>
      <c r="P5" s="61">
        <f>(J5+K5+L5)*M5*N5</f>
        <v>6974.87</v>
      </c>
    </row>
    <row r="6" spans="1:16" x14ac:dyDescent="0.2">
      <c r="A6" s="55" t="s">
        <v>52</v>
      </c>
      <c r="B6" s="42">
        <v>2</v>
      </c>
      <c r="C6" s="42">
        <v>0</v>
      </c>
      <c r="D6" s="42">
        <v>0</v>
      </c>
      <c r="E6" s="42">
        <v>0</v>
      </c>
      <c r="F6" s="42">
        <v>1</v>
      </c>
      <c r="G6" s="281">
        <v>0</v>
      </c>
      <c r="H6" s="281">
        <v>0</v>
      </c>
      <c r="I6" s="42">
        <f t="shared" ref="I6:I19" si="0">SUM(B6:F6)</f>
        <v>3</v>
      </c>
      <c r="J6" s="61">
        <f t="shared" ref="J6:J20" si="1">(B6*94.86)+(C6*152.31)+(D6*180.08)+(E6*45.97)+(F6*66.8)</f>
        <v>256.52</v>
      </c>
      <c r="K6" s="61">
        <v>0</v>
      </c>
      <c r="L6" s="61">
        <v>120</v>
      </c>
      <c r="M6" s="42">
        <v>1</v>
      </c>
      <c r="N6" s="42">
        <v>7</v>
      </c>
      <c r="O6" s="43">
        <f t="shared" ref="O6:O19" si="2">I6*M6*N6</f>
        <v>21</v>
      </c>
      <c r="P6" s="61">
        <f t="shared" ref="P6:P19" si="3">(J6+K6+L6)*M6*N6</f>
        <v>2635.64</v>
      </c>
    </row>
    <row r="7" spans="1:16" x14ac:dyDescent="0.2">
      <c r="A7" s="55" t="s">
        <v>74</v>
      </c>
      <c r="B7" s="42">
        <v>16</v>
      </c>
      <c r="C7" s="42">
        <v>0</v>
      </c>
      <c r="D7" s="42">
        <v>0</v>
      </c>
      <c r="E7" s="42">
        <v>0</v>
      </c>
      <c r="F7" s="42">
        <v>0</v>
      </c>
      <c r="G7" s="281">
        <v>0</v>
      </c>
      <c r="H7" s="281">
        <v>0</v>
      </c>
      <c r="I7" s="42">
        <f t="shared" si="0"/>
        <v>16</v>
      </c>
      <c r="J7" s="61">
        <f t="shared" si="1"/>
        <v>1517.76</v>
      </c>
      <c r="K7" s="61">
        <v>0</v>
      </c>
      <c r="L7" s="61">
        <v>20</v>
      </c>
      <c r="M7" s="42">
        <v>1</v>
      </c>
      <c r="N7" s="42">
        <v>7</v>
      </c>
      <c r="O7" s="43">
        <f t="shared" si="2"/>
        <v>112</v>
      </c>
      <c r="P7" s="61">
        <f t="shared" si="3"/>
        <v>10764.32</v>
      </c>
    </row>
    <row r="8" spans="1:16" x14ac:dyDescent="0.2">
      <c r="A8" s="55" t="s">
        <v>75</v>
      </c>
      <c r="B8" s="42">
        <v>2</v>
      </c>
      <c r="C8" s="42">
        <v>1</v>
      </c>
      <c r="D8" s="42">
        <v>0</v>
      </c>
      <c r="E8" s="42">
        <v>2</v>
      </c>
      <c r="F8" s="42">
        <v>0</v>
      </c>
      <c r="G8" s="281">
        <v>0</v>
      </c>
      <c r="H8" s="281">
        <v>0</v>
      </c>
      <c r="I8" s="42">
        <f t="shared" si="0"/>
        <v>5</v>
      </c>
      <c r="J8" s="61">
        <f t="shared" si="1"/>
        <v>433.96999999999997</v>
      </c>
      <c r="K8" s="61">
        <v>0</v>
      </c>
      <c r="L8" s="61">
        <v>100</v>
      </c>
      <c r="M8" s="278">
        <f>11/7</f>
        <v>1.5714285714285714</v>
      </c>
      <c r="N8" s="42">
        <v>7</v>
      </c>
      <c r="O8" s="43">
        <f t="shared" si="2"/>
        <v>55</v>
      </c>
      <c r="P8" s="61">
        <f t="shared" si="3"/>
        <v>5873.67</v>
      </c>
    </row>
    <row r="9" spans="1:16" x14ac:dyDescent="0.2">
      <c r="A9" s="55" t="s">
        <v>76</v>
      </c>
      <c r="B9" s="42">
        <v>1</v>
      </c>
      <c r="C9" s="42">
        <v>0</v>
      </c>
      <c r="D9" s="42">
        <v>0</v>
      </c>
      <c r="E9" s="42">
        <v>0</v>
      </c>
      <c r="F9" s="42">
        <v>0</v>
      </c>
      <c r="G9" s="281">
        <v>0</v>
      </c>
      <c r="H9" s="281">
        <v>0</v>
      </c>
      <c r="I9" s="42">
        <f t="shared" si="0"/>
        <v>1</v>
      </c>
      <c r="J9" s="61">
        <f t="shared" si="1"/>
        <v>94.86</v>
      </c>
      <c r="K9" s="61">
        <v>0</v>
      </c>
      <c r="L9" s="61">
        <v>200</v>
      </c>
      <c r="M9" s="278">
        <f>11/7</f>
        <v>1.5714285714285714</v>
      </c>
      <c r="N9" s="42">
        <v>7</v>
      </c>
      <c r="O9" s="43">
        <f t="shared" si="2"/>
        <v>11</v>
      </c>
      <c r="P9" s="61">
        <f t="shared" si="3"/>
        <v>3243.46</v>
      </c>
    </row>
    <row r="10" spans="1:16" ht="25.5" x14ac:dyDescent="0.2">
      <c r="A10" s="55" t="s">
        <v>77</v>
      </c>
      <c r="B10" s="42">
        <v>1</v>
      </c>
      <c r="C10" s="42">
        <v>0</v>
      </c>
      <c r="D10" s="42">
        <v>0</v>
      </c>
      <c r="E10" s="42">
        <v>0</v>
      </c>
      <c r="F10" s="42">
        <v>3</v>
      </c>
      <c r="G10" s="281">
        <v>0</v>
      </c>
      <c r="H10" s="281">
        <v>0</v>
      </c>
      <c r="I10" s="42">
        <f t="shared" si="0"/>
        <v>4</v>
      </c>
      <c r="J10" s="61">
        <f t="shared" si="1"/>
        <v>295.26</v>
      </c>
      <c r="K10" s="61">
        <v>0</v>
      </c>
      <c r="L10" s="61">
        <v>210</v>
      </c>
      <c r="M10" s="278">
        <f t="shared" ref="M10:M11" si="4">11/7</f>
        <v>1.5714285714285714</v>
      </c>
      <c r="N10" s="42">
        <v>7</v>
      </c>
      <c r="O10" s="43">
        <f t="shared" si="2"/>
        <v>44</v>
      </c>
      <c r="P10" s="61">
        <f t="shared" si="3"/>
        <v>5557.8600000000006</v>
      </c>
    </row>
    <row r="11" spans="1:16" x14ac:dyDescent="0.2">
      <c r="A11" s="56" t="s">
        <v>78</v>
      </c>
      <c r="B11" s="42">
        <v>8</v>
      </c>
      <c r="C11" s="42">
        <v>0</v>
      </c>
      <c r="D11" s="42">
        <v>0</v>
      </c>
      <c r="E11" s="42">
        <v>0</v>
      </c>
      <c r="F11" s="42">
        <v>38</v>
      </c>
      <c r="G11" s="281">
        <v>0</v>
      </c>
      <c r="H11" s="281">
        <v>0</v>
      </c>
      <c r="I11" s="42">
        <f t="shared" si="0"/>
        <v>46</v>
      </c>
      <c r="J11" s="61">
        <f t="shared" si="1"/>
        <v>3297.28</v>
      </c>
      <c r="K11" s="61">
        <v>0</v>
      </c>
      <c r="L11" s="61">
        <v>900</v>
      </c>
      <c r="M11" s="278">
        <f t="shared" si="4"/>
        <v>1.5714285714285714</v>
      </c>
      <c r="N11" s="42">
        <v>7</v>
      </c>
      <c r="O11" s="43">
        <f t="shared" si="2"/>
        <v>505.99999999999994</v>
      </c>
      <c r="P11" s="61">
        <f t="shared" si="3"/>
        <v>46170.080000000009</v>
      </c>
    </row>
    <row r="12" spans="1:16" ht="25.5" x14ac:dyDescent="0.2">
      <c r="A12" s="56" t="s">
        <v>63</v>
      </c>
      <c r="B12" s="42">
        <v>2</v>
      </c>
      <c r="C12" s="42">
        <v>1</v>
      </c>
      <c r="D12" s="42">
        <v>2</v>
      </c>
      <c r="E12" s="42">
        <v>2</v>
      </c>
      <c r="F12" s="42">
        <v>0</v>
      </c>
      <c r="G12" s="281">
        <v>0</v>
      </c>
      <c r="H12" s="281">
        <v>0</v>
      </c>
      <c r="I12" s="42">
        <f t="shared" si="0"/>
        <v>7</v>
      </c>
      <c r="J12" s="61">
        <f t="shared" si="1"/>
        <v>794.13000000000011</v>
      </c>
      <c r="K12" s="61">
        <v>0</v>
      </c>
      <c r="L12" s="61">
        <v>25</v>
      </c>
      <c r="M12" s="42">
        <v>0</v>
      </c>
      <c r="N12" s="42">
        <v>0</v>
      </c>
      <c r="O12" s="43">
        <f t="shared" si="2"/>
        <v>0</v>
      </c>
      <c r="P12" s="61">
        <f t="shared" si="3"/>
        <v>0</v>
      </c>
    </row>
    <row r="13" spans="1:16" ht="25.5" x14ac:dyDescent="0.2">
      <c r="A13" s="57" t="s">
        <v>79</v>
      </c>
      <c r="B13" s="62"/>
      <c r="C13" s="62"/>
      <c r="D13" s="62"/>
      <c r="E13" s="62"/>
      <c r="F13" s="62"/>
      <c r="G13" s="281"/>
      <c r="H13" s="281"/>
      <c r="I13" s="42">
        <f t="shared" si="0"/>
        <v>0</v>
      </c>
      <c r="J13" s="61">
        <f t="shared" si="1"/>
        <v>0</v>
      </c>
      <c r="K13" s="63"/>
      <c r="L13" s="63"/>
      <c r="M13" s="62"/>
      <c r="N13" s="62"/>
      <c r="O13" s="58"/>
      <c r="P13" s="63"/>
    </row>
    <row r="14" spans="1:16" x14ac:dyDescent="0.2">
      <c r="A14" s="46" t="s">
        <v>60</v>
      </c>
      <c r="B14" s="62"/>
      <c r="C14" s="62"/>
      <c r="D14" s="62"/>
      <c r="E14" s="62"/>
      <c r="F14" s="62"/>
      <c r="G14" s="281"/>
      <c r="H14" s="281"/>
      <c r="I14" s="42">
        <f t="shared" si="0"/>
        <v>0</v>
      </c>
      <c r="J14" s="61">
        <f t="shared" si="1"/>
        <v>0</v>
      </c>
      <c r="K14" s="63"/>
      <c r="L14" s="64">
        <f>17000/3</f>
        <v>5666.666666666667</v>
      </c>
      <c r="M14" s="42">
        <v>0</v>
      </c>
      <c r="N14" s="42">
        <v>0</v>
      </c>
      <c r="O14" s="43">
        <f t="shared" si="2"/>
        <v>0</v>
      </c>
      <c r="P14" s="61">
        <f>(J14+K14+L14)*M14*N14</f>
        <v>0</v>
      </c>
    </row>
    <row r="15" spans="1:16" x14ac:dyDescent="0.2">
      <c r="A15" s="46" t="s">
        <v>61</v>
      </c>
      <c r="B15" s="62"/>
      <c r="C15" s="62"/>
      <c r="D15" s="62"/>
      <c r="E15" s="62"/>
      <c r="F15" s="62"/>
      <c r="G15" s="281"/>
      <c r="H15" s="281"/>
      <c r="I15" s="42">
        <f t="shared" si="0"/>
        <v>0</v>
      </c>
      <c r="J15" s="61">
        <f t="shared" si="1"/>
        <v>0</v>
      </c>
      <c r="K15" s="63"/>
      <c r="L15" s="65">
        <f>35510/3</f>
        <v>11836.666666666666</v>
      </c>
      <c r="M15" s="42">
        <v>0</v>
      </c>
      <c r="N15" s="42">
        <v>0</v>
      </c>
      <c r="O15" s="43">
        <f t="shared" si="2"/>
        <v>0</v>
      </c>
      <c r="P15" s="61">
        <f>(J15+K15+L15)*M15*N15</f>
        <v>0</v>
      </c>
    </row>
    <row r="16" spans="1:16" x14ac:dyDescent="0.2">
      <c r="A16" s="46" t="s">
        <v>62</v>
      </c>
      <c r="B16" s="62"/>
      <c r="C16" s="62"/>
      <c r="D16" s="62"/>
      <c r="E16" s="62"/>
      <c r="F16" s="62"/>
      <c r="G16" s="281"/>
      <c r="H16" s="281"/>
      <c r="I16" s="42">
        <f t="shared" si="0"/>
        <v>0</v>
      </c>
      <c r="J16" s="61">
        <f t="shared" si="1"/>
        <v>0</v>
      </c>
      <c r="K16" s="63"/>
      <c r="L16" s="65">
        <f>45000/3</f>
        <v>15000</v>
      </c>
      <c r="M16" s="278">
        <f>11/7</f>
        <v>1.5714285714285714</v>
      </c>
      <c r="N16" s="42">
        <v>7</v>
      </c>
      <c r="O16" s="43">
        <f t="shared" si="2"/>
        <v>0</v>
      </c>
      <c r="P16" s="61">
        <f>(J16+K16+L16)*M16*N16</f>
        <v>165000</v>
      </c>
    </row>
    <row r="17" spans="1:16" ht="25.5" x14ac:dyDescent="0.2">
      <c r="A17" s="55" t="s">
        <v>80</v>
      </c>
      <c r="B17" s="42">
        <v>22</v>
      </c>
      <c r="C17" s="42">
        <v>0</v>
      </c>
      <c r="D17" s="42">
        <v>0</v>
      </c>
      <c r="E17" s="42">
        <v>5</v>
      </c>
      <c r="F17" s="42">
        <v>2</v>
      </c>
      <c r="G17" s="281">
        <v>0</v>
      </c>
      <c r="H17" s="281">
        <v>0</v>
      </c>
      <c r="I17" s="42">
        <f t="shared" si="0"/>
        <v>29</v>
      </c>
      <c r="J17" s="61">
        <f t="shared" si="1"/>
        <v>2450.37</v>
      </c>
      <c r="K17" s="61">
        <v>0</v>
      </c>
      <c r="L17" s="61">
        <v>10</v>
      </c>
      <c r="M17" s="278">
        <f t="shared" ref="M17:M19" si="5">11/7</f>
        <v>1.5714285714285714</v>
      </c>
      <c r="N17" s="42">
        <v>7</v>
      </c>
      <c r="O17" s="43">
        <f t="shared" si="2"/>
        <v>319</v>
      </c>
      <c r="P17" s="61">
        <f t="shared" si="3"/>
        <v>27064.07</v>
      </c>
    </row>
    <row r="18" spans="1:16" ht="25.5" x14ac:dyDescent="0.2">
      <c r="A18" s="55" t="s">
        <v>81</v>
      </c>
      <c r="B18" s="42">
        <v>18</v>
      </c>
      <c r="C18" s="42">
        <v>1</v>
      </c>
      <c r="D18" s="42">
        <v>1</v>
      </c>
      <c r="E18" s="42">
        <v>1</v>
      </c>
      <c r="F18" s="42">
        <v>0</v>
      </c>
      <c r="G18" s="281">
        <v>0</v>
      </c>
      <c r="H18" s="281">
        <v>0</v>
      </c>
      <c r="I18" s="42">
        <f t="shared" si="0"/>
        <v>21</v>
      </c>
      <c r="J18" s="61">
        <f t="shared" si="1"/>
        <v>2085.8399999999997</v>
      </c>
      <c r="K18" s="61">
        <v>0</v>
      </c>
      <c r="L18" s="61">
        <v>15</v>
      </c>
      <c r="M18" s="278">
        <f t="shared" si="5"/>
        <v>1.5714285714285714</v>
      </c>
      <c r="N18" s="42">
        <v>7</v>
      </c>
      <c r="O18" s="43">
        <f t="shared" si="2"/>
        <v>231</v>
      </c>
      <c r="P18" s="61">
        <f t="shared" si="3"/>
        <v>23109.239999999994</v>
      </c>
    </row>
    <row r="19" spans="1:16" ht="25.5" x14ac:dyDescent="0.2">
      <c r="A19" s="55" t="s">
        <v>65</v>
      </c>
      <c r="B19" s="42">
        <v>8</v>
      </c>
      <c r="C19" s="42">
        <v>0</v>
      </c>
      <c r="D19" s="42">
        <v>0</v>
      </c>
      <c r="E19" s="42">
        <v>1</v>
      </c>
      <c r="F19" s="42">
        <v>0</v>
      </c>
      <c r="G19" s="281">
        <v>0</v>
      </c>
      <c r="H19" s="281">
        <v>0</v>
      </c>
      <c r="I19" s="42">
        <f t="shared" si="0"/>
        <v>9</v>
      </c>
      <c r="J19" s="61">
        <f t="shared" si="1"/>
        <v>804.85</v>
      </c>
      <c r="K19" s="61">
        <v>0</v>
      </c>
      <c r="L19" s="61">
        <v>5</v>
      </c>
      <c r="M19" s="278">
        <f t="shared" si="5"/>
        <v>1.5714285714285714</v>
      </c>
      <c r="N19" s="42">
        <v>7</v>
      </c>
      <c r="O19" s="43">
        <f t="shared" si="2"/>
        <v>99</v>
      </c>
      <c r="P19" s="61">
        <f t="shared" si="3"/>
        <v>8908.35</v>
      </c>
    </row>
    <row r="20" spans="1:16" ht="25.5" x14ac:dyDescent="0.2">
      <c r="A20" s="59" t="s">
        <v>66</v>
      </c>
      <c r="B20" s="48">
        <f>SUM(B5:B19)</f>
        <v>87</v>
      </c>
      <c r="C20" s="48">
        <f t="shared" ref="C20:F20" si="6">SUM(C5:C19)</f>
        <v>4</v>
      </c>
      <c r="D20" s="48">
        <f t="shared" si="6"/>
        <v>4</v>
      </c>
      <c r="E20" s="48">
        <f t="shared" si="6"/>
        <v>11</v>
      </c>
      <c r="F20" s="48">
        <f t="shared" si="6"/>
        <v>44</v>
      </c>
      <c r="G20" s="282">
        <v>0</v>
      </c>
      <c r="H20" s="282">
        <v>0</v>
      </c>
      <c r="I20" s="48">
        <f>SUM(I5:I19)</f>
        <v>150</v>
      </c>
      <c r="J20" s="61">
        <f t="shared" si="1"/>
        <v>13027.25</v>
      </c>
      <c r="K20" s="66">
        <v>0</v>
      </c>
      <c r="L20" s="66" t="s">
        <v>67</v>
      </c>
      <c r="M20" s="48" t="s">
        <v>67</v>
      </c>
      <c r="N20" s="48" t="s">
        <v>37</v>
      </c>
      <c r="O20" s="48" t="s">
        <v>37</v>
      </c>
      <c r="P20" s="66" t="s">
        <v>37</v>
      </c>
    </row>
    <row r="21" spans="1:16" ht="38.25" x14ac:dyDescent="0.2">
      <c r="A21" s="59" t="s">
        <v>38</v>
      </c>
      <c r="B21" s="48" t="s">
        <v>37</v>
      </c>
      <c r="C21" s="48" t="s">
        <v>37</v>
      </c>
      <c r="D21" s="48" t="s">
        <v>37</v>
      </c>
      <c r="E21" s="48" t="s">
        <v>37</v>
      </c>
      <c r="F21" s="48" t="s">
        <v>37</v>
      </c>
      <c r="G21" s="282" t="s">
        <v>37</v>
      </c>
      <c r="H21" s="282" t="s">
        <v>37</v>
      </c>
      <c r="I21" s="66">
        <f>SUMPRODUCT(I5:I19, N5:N19, M5:M19)</f>
        <v>1461</v>
      </c>
      <c r="J21" s="66">
        <f>SUMPRODUCT(J5:J19, M5:M19, N5:N19)</f>
        <v>123481.56</v>
      </c>
      <c r="K21" s="66">
        <v>0</v>
      </c>
      <c r="L21" s="66">
        <f>SUMPRODUCT(L5:L19, M5:M19, N5:N19)</f>
        <v>181820</v>
      </c>
      <c r="M21" s="48" t="s">
        <v>37</v>
      </c>
      <c r="N21" s="48">
        <v>7</v>
      </c>
      <c r="O21" s="60">
        <f>SUM(O5:O19)</f>
        <v>1461</v>
      </c>
      <c r="P21" s="66">
        <f>SUM(P5:P19)</f>
        <v>305301.56</v>
      </c>
    </row>
    <row r="23" spans="1:16" ht="15" thickBot="1" x14ac:dyDescent="0.25"/>
    <row r="24" spans="1:16" ht="199.5" x14ac:dyDescent="0.2">
      <c r="A24" s="67" t="s">
        <v>82</v>
      </c>
      <c r="B24" s="1" t="s">
        <v>169</v>
      </c>
      <c r="C24" s="1" t="s">
        <v>168</v>
      </c>
      <c r="D24" s="1" t="s">
        <v>172</v>
      </c>
      <c r="E24" s="1" t="s">
        <v>170</v>
      </c>
      <c r="F24" s="1" t="s">
        <v>44</v>
      </c>
      <c r="G24" s="1" t="s">
        <v>171</v>
      </c>
    </row>
    <row r="25" spans="1:16" ht="15" thickBot="1" x14ac:dyDescent="0.25">
      <c r="A25" s="68"/>
      <c r="H25" s="283">
        <f>SUM(B20:F20)</f>
        <v>150</v>
      </c>
    </row>
  </sheetData>
  <mergeCells count="3">
    <mergeCell ref="A2:P2"/>
    <mergeCell ref="B3:M3"/>
    <mergeCell ref="N3:P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3A85-D678-4600-BA23-C34E9E48FBC0}">
  <dimension ref="A2:P33"/>
  <sheetViews>
    <sheetView zoomScale="120" zoomScaleNormal="120" workbookViewId="0">
      <selection activeCell="A2" sqref="A2:P15"/>
    </sheetView>
  </sheetViews>
  <sheetFormatPr defaultColWidth="14.25" defaultRowHeight="14.25" x14ac:dyDescent="0.2"/>
  <cols>
    <col min="1" max="1" width="14.25" style="1" customWidth="1"/>
    <col min="2" max="2" width="0.125" style="1" customWidth="1"/>
    <col min="3" max="8" width="14.25" style="1" hidden="1" customWidth="1"/>
    <col min="9" max="16384" width="14.25" style="1"/>
  </cols>
  <sheetData>
    <row r="2" spans="1:16" x14ac:dyDescent="0.2">
      <c r="A2" s="663" t="s">
        <v>83</v>
      </c>
      <c r="B2" s="663"/>
      <c r="C2" s="663"/>
      <c r="D2" s="663"/>
      <c r="E2" s="663"/>
      <c r="F2" s="663"/>
      <c r="G2" s="663"/>
      <c r="H2" s="663"/>
      <c r="I2" s="663"/>
      <c r="J2" s="663"/>
      <c r="K2" s="663"/>
      <c r="L2" s="663"/>
      <c r="M2" s="663"/>
      <c r="N2" s="663"/>
      <c r="O2" s="663"/>
      <c r="P2" s="663"/>
    </row>
    <row r="3" spans="1:16" x14ac:dyDescent="0.2">
      <c r="A3" s="40"/>
      <c r="B3" s="663" t="s">
        <v>21</v>
      </c>
      <c r="C3" s="663"/>
      <c r="D3" s="663"/>
      <c r="E3" s="663"/>
      <c r="F3" s="663"/>
      <c r="G3" s="663"/>
      <c r="H3" s="663"/>
      <c r="I3" s="663"/>
      <c r="J3" s="663"/>
      <c r="K3" s="663"/>
      <c r="L3" s="663"/>
      <c r="M3" s="663"/>
      <c r="N3" s="663" t="s">
        <v>22</v>
      </c>
      <c r="O3" s="663"/>
      <c r="P3" s="663"/>
    </row>
    <row r="4" spans="1:16" ht="216.75" x14ac:dyDescent="0.2">
      <c r="A4" s="40" t="s">
        <v>23</v>
      </c>
      <c r="B4" s="23" t="s">
        <v>214</v>
      </c>
      <c r="C4" s="23" t="s">
        <v>215</v>
      </c>
      <c r="D4" s="23" t="s">
        <v>216</v>
      </c>
      <c r="E4" s="24" t="s">
        <v>217</v>
      </c>
      <c r="F4" s="41" t="s">
        <v>218</v>
      </c>
      <c r="G4" s="279" t="s">
        <v>43</v>
      </c>
      <c r="H4" s="280" t="s">
        <v>44</v>
      </c>
      <c r="I4" s="69" t="s">
        <v>84</v>
      </c>
      <c r="J4" s="70" t="s">
        <v>25</v>
      </c>
      <c r="K4" s="69" t="s">
        <v>26</v>
      </c>
      <c r="L4" s="70" t="s">
        <v>73</v>
      </c>
      <c r="M4" s="69" t="s">
        <v>48</v>
      </c>
      <c r="N4" s="69" t="s">
        <v>85</v>
      </c>
      <c r="O4" s="71" t="s">
        <v>49</v>
      </c>
      <c r="P4" s="69" t="s">
        <v>50</v>
      </c>
    </row>
    <row r="5" spans="1:16" ht="25.5" x14ac:dyDescent="0.2">
      <c r="A5" s="55" t="s">
        <v>86</v>
      </c>
      <c r="B5" s="42">
        <v>20</v>
      </c>
      <c r="C5" s="42">
        <v>10</v>
      </c>
      <c r="D5" s="42">
        <v>2</v>
      </c>
      <c r="E5" s="42">
        <v>5</v>
      </c>
      <c r="F5" s="42">
        <v>0</v>
      </c>
      <c r="G5" s="281">
        <v>0</v>
      </c>
      <c r="H5" s="281">
        <v>0</v>
      </c>
      <c r="I5" s="42">
        <f>B5+C5+D5+E5+F5+G5+H5</f>
        <v>37</v>
      </c>
      <c r="J5" s="61">
        <f>(B5*94.86)+(C5*152.31)+(D5*180.08)+(E5*45.97)+(F5*66.8)</f>
        <v>4010.31</v>
      </c>
      <c r="K5" s="61">
        <v>0</v>
      </c>
      <c r="L5" s="61">
        <v>0</v>
      </c>
      <c r="M5" s="42">
        <v>1</v>
      </c>
      <c r="N5" s="42">
        <v>2</v>
      </c>
      <c r="O5" s="42">
        <f t="shared" ref="O5:O13" si="0">I5*M5*N5</f>
        <v>74</v>
      </c>
      <c r="P5" s="61">
        <f>(J5+K5+L5)*M5*N5</f>
        <v>8020.62</v>
      </c>
    </row>
    <row r="6" spans="1:16" ht="38.25" x14ac:dyDescent="0.2">
      <c r="A6" s="55" t="s">
        <v>51</v>
      </c>
      <c r="B6" s="42">
        <v>7</v>
      </c>
      <c r="C6" s="42">
        <v>1</v>
      </c>
      <c r="D6" s="42">
        <v>1</v>
      </c>
      <c r="E6" s="42">
        <v>0</v>
      </c>
      <c r="F6" s="42">
        <v>0</v>
      </c>
      <c r="G6" s="281">
        <v>0</v>
      </c>
      <c r="H6" s="281">
        <v>0</v>
      </c>
      <c r="I6" s="42">
        <f t="shared" ref="I6:I13" si="1">B6+C6+D6+E6+F6+G6+H6</f>
        <v>9</v>
      </c>
      <c r="J6" s="61">
        <f t="shared" ref="J6:J14" si="2">(B6*94.86)+(C6*152.31)+(D6*180.08)+(E6*45.97)+(F6*66.8)</f>
        <v>996.41</v>
      </c>
      <c r="K6" s="61">
        <v>0</v>
      </c>
      <c r="L6" s="61">
        <v>0</v>
      </c>
      <c r="M6" s="42">
        <v>1</v>
      </c>
      <c r="N6" s="42">
        <v>2</v>
      </c>
      <c r="O6" s="42">
        <f t="shared" si="0"/>
        <v>18</v>
      </c>
      <c r="P6" s="61">
        <f t="shared" ref="P6:P13" si="3">(J6+K6+L6)*M6*N6</f>
        <v>1992.82</v>
      </c>
    </row>
    <row r="7" spans="1:16" x14ac:dyDescent="0.2">
      <c r="A7" s="55" t="s">
        <v>52</v>
      </c>
      <c r="B7" s="42">
        <v>3</v>
      </c>
      <c r="C7" s="42">
        <v>1</v>
      </c>
      <c r="D7" s="42">
        <v>0</v>
      </c>
      <c r="E7" s="42">
        <v>0</v>
      </c>
      <c r="F7" s="42">
        <v>1</v>
      </c>
      <c r="G7" s="281">
        <v>0</v>
      </c>
      <c r="H7" s="281">
        <v>0</v>
      </c>
      <c r="I7" s="42">
        <f t="shared" si="1"/>
        <v>5</v>
      </c>
      <c r="J7" s="61">
        <f t="shared" si="2"/>
        <v>503.69</v>
      </c>
      <c r="K7" s="61">
        <v>0</v>
      </c>
      <c r="L7" s="61">
        <v>32</v>
      </c>
      <c r="M7" s="42">
        <v>1</v>
      </c>
      <c r="N7" s="42">
        <v>2</v>
      </c>
      <c r="O7" s="42">
        <f t="shared" si="0"/>
        <v>10</v>
      </c>
      <c r="P7" s="61">
        <f t="shared" si="3"/>
        <v>1071.3800000000001</v>
      </c>
    </row>
    <row r="8" spans="1:16" x14ac:dyDescent="0.2">
      <c r="A8" s="55" t="s">
        <v>74</v>
      </c>
      <c r="B8" s="42">
        <v>16</v>
      </c>
      <c r="C8" s="42">
        <v>0</v>
      </c>
      <c r="D8" s="42">
        <v>0</v>
      </c>
      <c r="E8" s="42">
        <v>0</v>
      </c>
      <c r="F8" s="42">
        <v>0</v>
      </c>
      <c r="G8" s="281">
        <v>0</v>
      </c>
      <c r="H8" s="281">
        <v>0</v>
      </c>
      <c r="I8" s="42">
        <f t="shared" si="1"/>
        <v>16</v>
      </c>
      <c r="J8" s="61">
        <f t="shared" si="2"/>
        <v>1517.76</v>
      </c>
      <c r="K8" s="61">
        <v>0</v>
      </c>
      <c r="L8" s="61">
        <v>32</v>
      </c>
      <c r="M8" s="42">
        <v>1</v>
      </c>
      <c r="N8" s="42">
        <v>2</v>
      </c>
      <c r="O8" s="42">
        <f t="shared" si="0"/>
        <v>32</v>
      </c>
      <c r="P8" s="61">
        <f t="shared" si="3"/>
        <v>3099.52</v>
      </c>
    </row>
    <row r="9" spans="1:16" x14ac:dyDescent="0.2">
      <c r="A9" s="55" t="s">
        <v>78</v>
      </c>
      <c r="B9" s="42">
        <v>8</v>
      </c>
      <c r="C9" s="42">
        <v>0</v>
      </c>
      <c r="D9" s="42">
        <v>0</v>
      </c>
      <c r="E9" s="42">
        <v>0</v>
      </c>
      <c r="F9" s="42">
        <v>38</v>
      </c>
      <c r="G9" s="281">
        <v>0</v>
      </c>
      <c r="H9" s="281">
        <v>0</v>
      </c>
      <c r="I9" s="42">
        <f t="shared" si="1"/>
        <v>46</v>
      </c>
      <c r="J9" s="61">
        <f t="shared" si="2"/>
        <v>3297.28</v>
      </c>
      <c r="K9" s="61">
        <v>0</v>
      </c>
      <c r="L9" s="61">
        <v>200</v>
      </c>
      <c r="M9" s="42">
        <v>1</v>
      </c>
      <c r="N9" s="42">
        <v>2</v>
      </c>
      <c r="O9" s="42">
        <f t="shared" si="0"/>
        <v>92</v>
      </c>
      <c r="P9" s="61">
        <f t="shared" si="3"/>
        <v>6994.56</v>
      </c>
    </row>
    <row r="10" spans="1:16" ht="25.5" x14ac:dyDescent="0.2">
      <c r="A10" s="55" t="s">
        <v>87</v>
      </c>
      <c r="B10" s="42">
        <v>0</v>
      </c>
      <c r="C10" s="42">
        <v>0</v>
      </c>
      <c r="D10" s="42">
        <v>0</v>
      </c>
      <c r="E10" s="42">
        <v>0</v>
      </c>
      <c r="F10" s="42">
        <v>0</v>
      </c>
      <c r="G10" s="281">
        <v>0</v>
      </c>
      <c r="H10" s="281">
        <v>0</v>
      </c>
      <c r="I10" s="42">
        <f t="shared" si="1"/>
        <v>0</v>
      </c>
      <c r="J10" s="61">
        <f t="shared" si="2"/>
        <v>0</v>
      </c>
      <c r="K10" s="61">
        <v>0</v>
      </c>
      <c r="L10" s="61">
        <v>20000</v>
      </c>
      <c r="M10" s="42">
        <v>1</v>
      </c>
      <c r="N10" s="42">
        <v>0</v>
      </c>
      <c r="O10" s="42">
        <f t="shared" si="0"/>
        <v>0</v>
      </c>
      <c r="P10" s="61">
        <f t="shared" si="3"/>
        <v>0</v>
      </c>
    </row>
    <row r="11" spans="1:16" ht="25.5" x14ac:dyDescent="0.2">
      <c r="A11" s="55" t="s">
        <v>80</v>
      </c>
      <c r="B11" s="42">
        <v>22</v>
      </c>
      <c r="C11" s="42">
        <v>0</v>
      </c>
      <c r="D11" s="42">
        <v>0</v>
      </c>
      <c r="E11" s="42">
        <v>5</v>
      </c>
      <c r="F11" s="42">
        <v>2</v>
      </c>
      <c r="G11" s="281">
        <v>0</v>
      </c>
      <c r="H11" s="281">
        <v>0</v>
      </c>
      <c r="I11" s="42">
        <f t="shared" si="1"/>
        <v>29</v>
      </c>
      <c r="J11" s="61">
        <f t="shared" si="2"/>
        <v>2450.37</v>
      </c>
      <c r="K11" s="61">
        <v>0</v>
      </c>
      <c r="L11" s="61">
        <v>1</v>
      </c>
      <c r="M11" s="42">
        <v>1</v>
      </c>
      <c r="N11" s="42">
        <v>2</v>
      </c>
      <c r="O11" s="42">
        <f t="shared" si="0"/>
        <v>58</v>
      </c>
      <c r="P11" s="61">
        <f t="shared" si="3"/>
        <v>4902.74</v>
      </c>
    </row>
    <row r="12" spans="1:16" ht="25.5" x14ac:dyDescent="0.2">
      <c r="A12" s="55" t="s">
        <v>81</v>
      </c>
      <c r="B12" s="42">
        <v>18</v>
      </c>
      <c r="C12" s="42">
        <v>1</v>
      </c>
      <c r="D12" s="42">
        <v>1</v>
      </c>
      <c r="E12" s="42">
        <v>1</v>
      </c>
      <c r="F12" s="42">
        <v>0</v>
      </c>
      <c r="G12" s="281">
        <v>0</v>
      </c>
      <c r="H12" s="281">
        <v>0</v>
      </c>
      <c r="I12" s="42">
        <f t="shared" si="1"/>
        <v>21</v>
      </c>
      <c r="J12" s="61">
        <f t="shared" si="2"/>
        <v>2085.8399999999997</v>
      </c>
      <c r="K12" s="61">
        <v>0</v>
      </c>
      <c r="L12" s="61">
        <v>3</v>
      </c>
      <c r="M12" s="42">
        <v>1</v>
      </c>
      <c r="N12" s="42">
        <v>2</v>
      </c>
      <c r="O12" s="42">
        <f t="shared" si="0"/>
        <v>42</v>
      </c>
      <c r="P12" s="61">
        <f t="shared" si="3"/>
        <v>4177.6799999999994</v>
      </c>
    </row>
    <row r="13" spans="1:16" ht="25.5" x14ac:dyDescent="0.2">
      <c r="A13" s="55" t="s">
        <v>65</v>
      </c>
      <c r="B13" s="42">
        <v>8</v>
      </c>
      <c r="C13" s="42">
        <v>0</v>
      </c>
      <c r="D13" s="42">
        <v>0</v>
      </c>
      <c r="E13" s="42">
        <v>1</v>
      </c>
      <c r="F13" s="42">
        <v>0</v>
      </c>
      <c r="G13" s="281">
        <v>0</v>
      </c>
      <c r="H13" s="281">
        <v>0</v>
      </c>
      <c r="I13" s="42">
        <f t="shared" si="1"/>
        <v>9</v>
      </c>
      <c r="J13" s="61">
        <f t="shared" si="2"/>
        <v>804.85</v>
      </c>
      <c r="K13" s="61">
        <v>0</v>
      </c>
      <c r="L13" s="61">
        <v>1</v>
      </c>
      <c r="M13" s="42">
        <v>1</v>
      </c>
      <c r="N13" s="42">
        <v>2</v>
      </c>
      <c r="O13" s="42">
        <f t="shared" si="0"/>
        <v>18</v>
      </c>
      <c r="P13" s="61">
        <f t="shared" si="3"/>
        <v>1611.7</v>
      </c>
    </row>
    <row r="14" spans="1:16" ht="25.5" x14ac:dyDescent="0.2">
      <c r="A14" s="72" t="s">
        <v>66</v>
      </c>
      <c r="B14" s="73">
        <f>SUM(B5:B13)</f>
        <v>102</v>
      </c>
      <c r="C14" s="73">
        <f t="shared" ref="C14:H14" si="4">SUM(C5:C13)</f>
        <v>13</v>
      </c>
      <c r="D14" s="73">
        <f t="shared" si="4"/>
        <v>4</v>
      </c>
      <c r="E14" s="73">
        <f t="shared" si="4"/>
        <v>12</v>
      </c>
      <c r="F14" s="73">
        <f t="shared" si="4"/>
        <v>41</v>
      </c>
      <c r="G14" s="282">
        <f t="shared" si="4"/>
        <v>0</v>
      </c>
      <c r="H14" s="282">
        <f t="shared" si="4"/>
        <v>0</v>
      </c>
      <c r="I14" s="73">
        <f>SUM(I5:I13)</f>
        <v>172</v>
      </c>
      <c r="J14" s="74">
        <f t="shared" si="2"/>
        <v>15666.509999999998</v>
      </c>
      <c r="K14" s="74">
        <v>0</v>
      </c>
      <c r="L14" s="74" t="s">
        <v>67</v>
      </c>
      <c r="M14" s="73" t="s">
        <v>67</v>
      </c>
      <c r="N14" s="73" t="s">
        <v>37</v>
      </c>
      <c r="O14" s="73" t="s">
        <v>37</v>
      </c>
      <c r="P14" s="74" t="s">
        <v>37</v>
      </c>
    </row>
    <row r="15" spans="1:16" ht="38.25" x14ac:dyDescent="0.2">
      <c r="A15" s="75" t="s">
        <v>38</v>
      </c>
      <c r="B15" s="73" t="s">
        <v>37</v>
      </c>
      <c r="C15" s="73" t="s">
        <v>37</v>
      </c>
      <c r="D15" s="73" t="s">
        <v>37</v>
      </c>
      <c r="E15" s="73" t="s">
        <v>37</v>
      </c>
      <c r="F15" s="73" t="s">
        <v>37</v>
      </c>
      <c r="G15" s="73" t="s">
        <v>37</v>
      </c>
      <c r="H15" s="73" t="s">
        <v>37</v>
      </c>
      <c r="I15" s="73" t="s">
        <v>37</v>
      </c>
      <c r="J15" s="74">
        <f>SUMPRODUCT(J3:J13,M3:M13,N3:N13)</f>
        <v>31333.02</v>
      </c>
      <c r="K15" s="74">
        <v>0</v>
      </c>
      <c r="L15" s="74">
        <f>SUMPRODUCT(L5:L13,M5:M13,N5:N13)</f>
        <v>538</v>
      </c>
      <c r="M15" s="73" t="s">
        <v>37</v>
      </c>
      <c r="N15" s="73">
        <v>5</v>
      </c>
      <c r="O15" s="73">
        <f>SUM(O5:O13)</f>
        <v>344</v>
      </c>
      <c r="P15" s="74">
        <f>SUM(P5:P13)</f>
        <v>31871.02</v>
      </c>
    </row>
    <row r="16" spans="1:16" x14ac:dyDescent="0.2">
      <c r="A16" s="665" t="s">
        <v>88</v>
      </c>
      <c r="B16" s="665"/>
      <c r="C16" s="665"/>
      <c r="D16" s="665"/>
      <c r="E16" s="665"/>
      <c r="F16" s="665"/>
      <c r="G16" s="665"/>
      <c r="H16" s="665"/>
      <c r="I16" s="665"/>
      <c r="J16" s="665"/>
      <c r="K16" s="665"/>
      <c r="L16" s="665"/>
      <c r="M16" s="665"/>
      <c r="N16" s="665"/>
      <c r="O16" s="665"/>
      <c r="P16" s="665"/>
    </row>
    <row r="17" spans="1:16" x14ac:dyDescent="0.2">
      <c r="A17" s="664" t="s">
        <v>89</v>
      </c>
      <c r="B17" s="664"/>
      <c r="C17" s="664"/>
      <c r="D17" s="664"/>
      <c r="E17" s="664"/>
      <c r="F17" s="664"/>
      <c r="G17" s="664"/>
      <c r="H17" s="664"/>
      <c r="I17" s="664"/>
      <c r="J17" s="664"/>
      <c r="K17" s="664"/>
      <c r="L17" s="664"/>
      <c r="M17" s="664"/>
      <c r="N17" s="664"/>
      <c r="O17" s="664"/>
      <c r="P17" s="664"/>
    </row>
    <row r="18" spans="1:16" x14ac:dyDescent="0.2">
      <c r="A18" s="664" t="s">
        <v>90</v>
      </c>
      <c r="B18" s="664"/>
      <c r="C18" s="664"/>
      <c r="D18" s="664"/>
      <c r="E18" s="664"/>
      <c r="F18" s="664"/>
      <c r="G18" s="664"/>
      <c r="H18" s="664"/>
      <c r="I18" s="664"/>
      <c r="J18" s="664"/>
      <c r="K18" s="664"/>
      <c r="L18" s="664"/>
      <c r="M18" s="664"/>
      <c r="N18" s="664"/>
      <c r="O18" s="664"/>
      <c r="P18" s="664"/>
    </row>
    <row r="19" spans="1:16" x14ac:dyDescent="0.2">
      <c r="A19" s="664" t="s">
        <v>91</v>
      </c>
      <c r="B19" s="664"/>
      <c r="C19" s="664"/>
      <c r="D19" s="664"/>
      <c r="E19" s="664"/>
      <c r="F19" s="664"/>
      <c r="G19" s="664"/>
      <c r="H19" s="664"/>
      <c r="I19" s="664"/>
      <c r="J19" s="664"/>
      <c r="K19" s="664"/>
      <c r="L19" s="664"/>
      <c r="M19" s="664"/>
      <c r="N19" s="664"/>
      <c r="O19" s="664"/>
      <c r="P19" s="664"/>
    </row>
    <row r="20" spans="1:16" x14ac:dyDescent="0.2">
      <c r="A20" s="664" t="s">
        <v>92</v>
      </c>
      <c r="B20" s="664"/>
      <c r="C20" s="664"/>
      <c r="D20" s="664"/>
      <c r="E20" s="664"/>
      <c r="F20" s="664"/>
      <c r="G20" s="664"/>
      <c r="H20" s="664"/>
      <c r="I20" s="664"/>
      <c r="J20" s="664"/>
      <c r="K20" s="664"/>
      <c r="L20" s="664"/>
      <c r="M20" s="664"/>
      <c r="N20" s="664"/>
      <c r="O20" s="664"/>
      <c r="P20" s="664"/>
    </row>
    <row r="23" spans="1:16" ht="15" thickBot="1" x14ac:dyDescent="0.25"/>
    <row r="24" spans="1:16" ht="14.45" customHeight="1" thickBot="1" x14ac:dyDescent="0.25">
      <c r="A24" s="637" t="s">
        <v>168</v>
      </c>
    </row>
    <row r="25" spans="1:16" ht="15" thickBot="1" x14ac:dyDescent="0.25">
      <c r="A25" s="637"/>
    </row>
    <row r="26" spans="1:16" ht="15" thickBot="1" x14ac:dyDescent="0.25">
      <c r="A26" s="636" t="s">
        <v>169</v>
      </c>
    </row>
    <row r="27" spans="1:16" ht="15" thickBot="1" x14ac:dyDescent="0.25">
      <c r="A27" s="636"/>
    </row>
    <row r="28" spans="1:16" ht="15" thickBot="1" x14ac:dyDescent="0.25">
      <c r="A28" s="636" t="s">
        <v>170</v>
      </c>
    </row>
    <row r="29" spans="1:16" ht="15" thickBot="1" x14ac:dyDescent="0.25">
      <c r="A29" s="636"/>
    </row>
    <row r="30" spans="1:16" ht="15" thickBot="1" x14ac:dyDescent="0.25">
      <c r="A30" s="636" t="s">
        <v>171</v>
      </c>
    </row>
    <row r="31" spans="1:16" ht="15" thickBot="1" x14ac:dyDescent="0.25">
      <c r="A31" s="636"/>
    </row>
    <row r="32" spans="1:16" ht="15" thickBot="1" x14ac:dyDescent="0.25">
      <c r="A32" s="637" t="s">
        <v>172</v>
      </c>
    </row>
    <row r="33" spans="1:1" ht="15" thickBot="1" x14ac:dyDescent="0.25">
      <c r="A33" s="636"/>
    </row>
  </sheetData>
  <mergeCells count="13">
    <mergeCell ref="A24:A25"/>
    <mergeCell ref="A26:A27"/>
    <mergeCell ref="A28:A29"/>
    <mergeCell ref="A30:A31"/>
    <mergeCell ref="A32:A33"/>
    <mergeCell ref="A19:P19"/>
    <mergeCell ref="A20:P20"/>
    <mergeCell ref="A2:P2"/>
    <mergeCell ref="B3:M3"/>
    <mergeCell ref="N3:P3"/>
    <mergeCell ref="A16:P16"/>
    <mergeCell ref="A17:P17"/>
    <mergeCell ref="A18:P18"/>
  </mergeCells>
  <pageMargins left="0.7" right="0.7" top="0.75" bottom="0.75" header="0.3" footer="0.3"/>
  <pageSetup orientation="portrait" horizontalDpi="200" verticalDpi="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FFC6-9C7B-47FB-BF3B-F1BE2789E6B4}">
  <dimension ref="A2:L26"/>
  <sheetViews>
    <sheetView workbookViewId="0">
      <selection activeCell="C10" sqref="C10:D10"/>
    </sheetView>
  </sheetViews>
  <sheetFormatPr defaultColWidth="10.125" defaultRowHeight="14.25" x14ac:dyDescent="0.2"/>
  <sheetData>
    <row r="2" spans="1:9" x14ac:dyDescent="0.2">
      <c r="A2" s="666" t="s">
        <v>109</v>
      </c>
      <c r="B2" s="666"/>
      <c r="C2" s="666"/>
      <c r="D2" s="666"/>
      <c r="E2" s="666"/>
      <c r="F2" s="666"/>
      <c r="G2" s="666"/>
      <c r="H2" s="666"/>
      <c r="I2" s="666"/>
    </row>
    <row r="3" spans="1:9" x14ac:dyDescent="0.2">
      <c r="A3" s="667" t="s">
        <v>110</v>
      </c>
      <c r="B3" s="666" t="s">
        <v>111</v>
      </c>
      <c r="C3" s="666"/>
      <c r="D3" s="666"/>
      <c r="E3" s="666"/>
      <c r="F3" s="666"/>
      <c r="G3" s="666"/>
      <c r="H3" s="666"/>
      <c r="I3" s="666"/>
    </row>
    <row r="4" spans="1:9" ht="33.75" x14ac:dyDescent="0.2">
      <c r="A4" s="668"/>
      <c r="B4" s="94" t="s">
        <v>112</v>
      </c>
      <c r="C4" s="94" t="s">
        <v>113</v>
      </c>
      <c r="D4" s="94" t="s">
        <v>114</v>
      </c>
      <c r="E4" s="94" t="s">
        <v>115</v>
      </c>
      <c r="F4" s="94" t="s">
        <v>116</v>
      </c>
      <c r="G4" s="94" t="s">
        <v>117</v>
      </c>
      <c r="H4" s="95" t="s">
        <v>118</v>
      </c>
      <c r="I4" s="95" t="s">
        <v>119</v>
      </c>
    </row>
    <row r="5" spans="1:9" x14ac:dyDescent="0.2">
      <c r="A5" s="96"/>
      <c r="B5" s="97"/>
      <c r="C5" s="96"/>
      <c r="D5" s="96"/>
      <c r="E5" s="96"/>
      <c r="F5" s="96"/>
      <c r="G5" s="96"/>
      <c r="H5" s="96"/>
      <c r="I5" s="98"/>
    </row>
    <row r="6" spans="1:9" x14ac:dyDescent="0.2">
      <c r="A6" s="99" t="s">
        <v>120</v>
      </c>
      <c r="B6" s="97" t="s">
        <v>121</v>
      </c>
      <c r="C6" s="97">
        <f>118042/F6</f>
        <v>56.750961538461539</v>
      </c>
      <c r="D6" s="97">
        <f t="shared" ref="D6:D11" si="0">C6*1.6</f>
        <v>90.80153846153847</v>
      </c>
      <c r="E6" s="100">
        <v>10</v>
      </c>
      <c r="F6" s="96">
        <f t="shared" ref="F6:F11" si="1">80*26</f>
        <v>2080</v>
      </c>
      <c r="G6" s="101">
        <v>1</v>
      </c>
      <c r="H6" s="96">
        <f t="shared" ref="H6:H11" si="2">E6*(F6*G6)</f>
        <v>20800</v>
      </c>
      <c r="I6" s="98">
        <f t="shared" ref="I6:I11" si="3">D6*E6*(F6*G6)</f>
        <v>1888672.0000000002</v>
      </c>
    </row>
    <row r="7" spans="1:9" x14ac:dyDescent="0.2">
      <c r="A7" s="99" t="s">
        <v>203</v>
      </c>
      <c r="B7" s="97" t="s">
        <v>121</v>
      </c>
      <c r="C7" s="97">
        <f>118042/F7</f>
        <v>56.750961538461539</v>
      </c>
      <c r="D7" s="97">
        <f t="shared" si="0"/>
        <v>90.80153846153847</v>
      </c>
      <c r="E7" s="100">
        <v>1</v>
      </c>
      <c r="F7" s="96">
        <f t="shared" si="1"/>
        <v>2080</v>
      </c>
      <c r="G7" s="102">
        <v>0.3</v>
      </c>
      <c r="H7" s="96">
        <f t="shared" si="2"/>
        <v>624</v>
      </c>
      <c r="I7" s="98">
        <f t="shared" si="3"/>
        <v>56660.160000000003</v>
      </c>
    </row>
    <row r="8" spans="1:9" x14ac:dyDescent="0.2">
      <c r="A8" s="99" t="s">
        <v>122</v>
      </c>
      <c r="B8" s="97" t="s">
        <v>123</v>
      </c>
      <c r="C8" s="97">
        <f>121415/F8</f>
        <v>58.372596153846153</v>
      </c>
      <c r="D8" s="97">
        <f t="shared" si="0"/>
        <v>93.396153846153851</v>
      </c>
      <c r="E8" s="100">
        <v>1</v>
      </c>
      <c r="F8" s="96">
        <f t="shared" si="1"/>
        <v>2080</v>
      </c>
      <c r="G8" s="102">
        <v>0.2</v>
      </c>
      <c r="H8" s="96">
        <f t="shared" si="2"/>
        <v>416</v>
      </c>
      <c r="I8" s="98">
        <f t="shared" si="3"/>
        <v>38852.800000000003</v>
      </c>
    </row>
    <row r="9" spans="1:9" x14ac:dyDescent="0.2">
      <c r="A9" s="99" t="s">
        <v>124</v>
      </c>
      <c r="B9" s="97" t="s">
        <v>125</v>
      </c>
      <c r="C9" s="97">
        <v>66.72</v>
      </c>
      <c r="D9" s="97">
        <f t="shared" si="0"/>
        <v>106.75200000000001</v>
      </c>
      <c r="E9" s="100">
        <v>1</v>
      </c>
      <c r="F9" s="96">
        <f t="shared" si="1"/>
        <v>2080</v>
      </c>
      <c r="G9" s="102">
        <v>1</v>
      </c>
      <c r="H9" s="96">
        <f t="shared" si="2"/>
        <v>2080</v>
      </c>
      <c r="I9" s="98">
        <f t="shared" si="3"/>
        <v>222044.16000000003</v>
      </c>
    </row>
    <row r="10" spans="1:9" x14ac:dyDescent="0.2">
      <c r="A10" s="99" t="s">
        <v>126</v>
      </c>
      <c r="B10" s="97" t="s">
        <v>127</v>
      </c>
      <c r="C10" s="97">
        <f>172500/F10</f>
        <v>82.932692307692307</v>
      </c>
      <c r="D10" s="97">
        <f t="shared" si="0"/>
        <v>132.69230769230771</v>
      </c>
      <c r="E10" s="100">
        <v>1</v>
      </c>
      <c r="F10" s="96">
        <f t="shared" si="1"/>
        <v>2080</v>
      </c>
      <c r="G10" s="102">
        <v>0.15</v>
      </c>
      <c r="H10" s="96">
        <f t="shared" si="2"/>
        <v>312</v>
      </c>
      <c r="I10" s="98">
        <f t="shared" si="3"/>
        <v>41400.000000000007</v>
      </c>
    </row>
    <row r="11" spans="1:9" x14ac:dyDescent="0.2">
      <c r="A11" s="99" t="s">
        <v>128</v>
      </c>
      <c r="B11" s="103" t="s">
        <v>121</v>
      </c>
      <c r="C11" s="97">
        <f>118042/F11</f>
        <v>56.750961538461539</v>
      </c>
      <c r="D11" s="97">
        <f t="shared" si="0"/>
        <v>90.80153846153847</v>
      </c>
      <c r="E11" s="104">
        <v>5</v>
      </c>
      <c r="F11" s="105">
        <f t="shared" si="1"/>
        <v>2080</v>
      </c>
      <c r="G11" s="106">
        <v>0.3</v>
      </c>
      <c r="H11" s="105">
        <f t="shared" si="2"/>
        <v>3120</v>
      </c>
      <c r="I11" s="98">
        <f t="shared" si="3"/>
        <v>283300.80000000005</v>
      </c>
    </row>
    <row r="12" spans="1:9" x14ac:dyDescent="0.2">
      <c r="A12" s="99" t="s">
        <v>129</v>
      </c>
      <c r="B12" s="111"/>
      <c r="C12" s="112"/>
      <c r="D12" s="112"/>
      <c r="E12" s="240">
        <v>6</v>
      </c>
      <c r="F12" s="240">
        <v>2080</v>
      </c>
      <c r="G12" s="241">
        <v>1</v>
      </c>
      <c r="H12" s="242">
        <f>F12*E12</f>
        <v>12480</v>
      </c>
      <c r="I12" s="110">
        <f>83000*5</f>
        <v>415000</v>
      </c>
    </row>
    <row r="13" spans="1:9" x14ac:dyDescent="0.2">
      <c r="A13" s="114" t="s">
        <v>130</v>
      </c>
      <c r="B13" s="669"/>
      <c r="C13" s="670"/>
      <c r="D13" s="671"/>
      <c r="E13" s="114">
        <f>SUM(E5:E12)</f>
        <v>25</v>
      </c>
      <c r="F13" s="114" t="s">
        <v>37</v>
      </c>
      <c r="G13" s="114" t="s">
        <v>37</v>
      </c>
      <c r="H13" s="115">
        <f>SUM(H5:H12)</f>
        <v>39832</v>
      </c>
      <c r="I13" s="116">
        <f>SUM(I5:I12)</f>
        <v>2945929.92</v>
      </c>
    </row>
    <row r="14" spans="1:9" x14ac:dyDescent="0.2">
      <c r="A14" s="1"/>
      <c r="B14" s="1"/>
      <c r="C14" s="1"/>
      <c r="D14" s="1"/>
      <c r="E14" s="1"/>
      <c r="F14" s="1"/>
      <c r="G14" s="1"/>
      <c r="H14" s="1"/>
      <c r="I14" s="1"/>
    </row>
    <row r="15" spans="1:9" x14ac:dyDescent="0.2">
      <c r="A15" s="672" t="s">
        <v>131</v>
      </c>
      <c r="B15" s="673"/>
      <c r="C15" s="673"/>
      <c r="D15" s="673"/>
      <c r="E15" s="673"/>
      <c r="F15" s="673"/>
      <c r="G15" s="673"/>
      <c r="H15" s="673"/>
      <c r="I15" s="674"/>
    </row>
    <row r="16" spans="1:9" x14ac:dyDescent="0.2">
      <c r="A16" s="117" t="s">
        <v>132</v>
      </c>
      <c r="B16" s="107"/>
      <c r="C16" s="108"/>
      <c r="D16" s="108"/>
      <c r="E16" s="108"/>
      <c r="F16" s="108"/>
      <c r="G16" s="108"/>
      <c r="H16" s="109"/>
      <c r="I16" s="110">
        <v>200000</v>
      </c>
    </row>
    <row r="17" spans="1:12" x14ac:dyDescent="0.2">
      <c r="A17" s="99" t="s">
        <v>133</v>
      </c>
      <c r="B17" s="107"/>
      <c r="C17" s="108"/>
      <c r="D17" s="108"/>
      <c r="E17" s="108"/>
      <c r="F17" s="108"/>
      <c r="G17" s="108"/>
      <c r="H17" s="109"/>
      <c r="I17" s="110">
        <v>20000</v>
      </c>
    </row>
    <row r="18" spans="1:12" x14ac:dyDescent="0.2">
      <c r="A18" s="99" t="s">
        <v>129</v>
      </c>
      <c r="B18" s="107"/>
      <c r="C18" s="108"/>
      <c r="D18" s="108"/>
      <c r="E18" s="108"/>
      <c r="F18" s="108"/>
      <c r="G18" s="108"/>
      <c r="H18" s="109"/>
      <c r="I18" s="110">
        <v>177066</v>
      </c>
    </row>
    <row r="19" spans="1:12" ht="33.75" x14ac:dyDescent="0.2">
      <c r="A19" s="99" t="s">
        <v>134</v>
      </c>
      <c r="B19" s="111"/>
      <c r="C19" s="112"/>
      <c r="D19" s="112"/>
      <c r="E19" s="112"/>
      <c r="F19" s="112"/>
      <c r="G19" s="112"/>
      <c r="H19" s="113"/>
      <c r="I19" s="110">
        <v>83000</v>
      </c>
    </row>
    <row r="20" spans="1:12" ht="33.75" x14ac:dyDescent="0.2">
      <c r="A20" s="99" t="s">
        <v>135</v>
      </c>
      <c r="B20" s="111"/>
      <c r="C20" s="112"/>
      <c r="D20" s="112"/>
      <c r="E20" s="112"/>
      <c r="F20" s="112"/>
      <c r="G20" s="112"/>
      <c r="H20" s="113"/>
      <c r="I20" s="110">
        <v>200000</v>
      </c>
    </row>
    <row r="21" spans="1:12" ht="15" x14ac:dyDescent="0.2">
      <c r="A21" s="118"/>
      <c r="B21" s="118"/>
      <c r="C21" s="118"/>
      <c r="D21" s="1"/>
      <c r="E21" s="1"/>
      <c r="F21" s="1"/>
      <c r="G21" s="1"/>
      <c r="H21" s="95" t="s">
        <v>136</v>
      </c>
      <c r="I21" s="119">
        <f>SUM(I16:I20)</f>
        <v>680066</v>
      </c>
    </row>
    <row r="22" spans="1:12" x14ac:dyDescent="0.2">
      <c r="A22" s="1"/>
      <c r="B22" s="1"/>
      <c r="C22" s="1"/>
      <c r="D22" s="1"/>
      <c r="E22" s="1"/>
      <c r="F22" s="1"/>
      <c r="G22" s="1"/>
      <c r="H22" s="1"/>
      <c r="I22" s="120"/>
    </row>
    <row r="23" spans="1:12" x14ac:dyDescent="0.2">
      <c r="A23" s="1"/>
      <c r="B23" s="1"/>
      <c r="C23" s="1"/>
      <c r="D23" s="1"/>
      <c r="E23" s="1"/>
      <c r="F23" s="121"/>
      <c r="G23" s="1"/>
      <c r="H23" s="95" t="s">
        <v>137</v>
      </c>
      <c r="I23" s="122">
        <f>I13+I21</f>
        <v>3625995.92</v>
      </c>
    </row>
    <row r="26" spans="1:12" x14ac:dyDescent="0.2">
      <c r="L26" s="214"/>
    </row>
  </sheetData>
  <mergeCells count="5">
    <mergeCell ref="A2:I2"/>
    <mergeCell ref="A3:A4"/>
    <mergeCell ref="B3:I3"/>
    <mergeCell ref="B13:D13"/>
    <mergeCell ref="A15:I15"/>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6C02-9329-4E5E-8B65-0B25CDEBD114}">
  <dimension ref="A2:B4"/>
  <sheetViews>
    <sheetView workbookViewId="0">
      <selection activeCell="B2" sqref="B2"/>
    </sheetView>
  </sheetViews>
  <sheetFormatPr defaultColWidth="8.625" defaultRowHeight="14.25" x14ac:dyDescent="0.2"/>
  <cols>
    <col min="1" max="1" width="19.625" style="1" customWidth="1"/>
    <col min="2" max="2" width="130.375" style="1" customWidth="1"/>
    <col min="3" max="3" width="25.875" style="1" customWidth="1"/>
    <col min="4" max="16384" width="8.625" style="1"/>
  </cols>
  <sheetData>
    <row r="2" spans="1:2" ht="409.5" x14ac:dyDescent="0.2">
      <c r="A2" s="1" t="s">
        <v>263</v>
      </c>
      <c r="B2" s="1" t="s">
        <v>264</v>
      </c>
    </row>
    <row r="4" spans="1:2" ht="409.5" x14ac:dyDescent="0.2">
      <c r="A4" s="1" t="s">
        <v>265</v>
      </c>
      <c r="B4" s="1"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7B31-A2BB-4EEB-8170-874741BC03D2}">
  <dimension ref="A1:T90"/>
  <sheetViews>
    <sheetView topLeftCell="A67" zoomScaleNormal="100" workbookViewId="0">
      <selection activeCell="B11" sqref="B11:B13"/>
    </sheetView>
  </sheetViews>
  <sheetFormatPr defaultColWidth="23" defaultRowHeight="32.1" customHeight="1" x14ac:dyDescent="0.2"/>
  <cols>
    <col min="1" max="1" width="24.875" style="1" bestFit="1" customWidth="1"/>
    <col min="2" max="2" width="66.375" style="1" customWidth="1"/>
    <col min="3" max="3" width="11.25" style="82" bestFit="1" customWidth="1"/>
    <col min="4" max="7" width="7.375" style="1" bestFit="1" customWidth="1"/>
    <col min="8" max="8" width="15.625" style="1" bestFit="1" customWidth="1"/>
    <col min="9" max="10" width="15.625" style="1" customWidth="1"/>
    <col min="11" max="11" width="23" style="1"/>
    <col min="12" max="12" width="22.25" style="1" bestFit="1" customWidth="1"/>
    <col min="13" max="13" width="10.625" style="1" customWidth="1"/>
    <col min="14" max="14" width="11" style="1" customWidth="1"/>
    <col min="15" max="16384" width="23" style="1"/>
  </cols>
  <sheetData>
    <row r="1" spans="1:17" ht="32.1" customHeight="1" thickBot="1" x14ac:dyDescent="0.25"/>
    <row r="2" spans="1:17" ht="47.45" customHeight="1" thickBot="1" x14ac:dyDescent="0.25">
      <c r="A2" s="617" t="s">
        <v>107</v>
      </c>
      <c r="B2" s="618"/>
      <c r="C2" s="619"/>
      <c r="D2" s="83" t="s">
        <v>93</v>
      </c>
      <c r="E2" s="83" t="s">
        <v>99</v>
      </c>
      <c r="F2" s="83" t="s">
        <v>100</v>
      </c>
      <c r="G2" s="83" t="s">
        <v>101</v>
      </c>
      <c r="H2" s="222" t="s">
        <v>108</v>
      </c>
      <c r="I2" s="276" t="s">
        <v>260</v>
      </c>
      <c r="J2" s="235" t="s">
        <v>9</v>
      </c>
      <c r="K2" s="234" t="s">
        <v>201</v>
      </c>
      <c r="L2" s="597" t="s">
        <v>102</v>
      </c>
      <c r="M2" s="598"/>
      <c r="N2" s="599"/>
      <c r="O2" s="1" t="s">
        <v>211</v>
      </c>
      <c r="P2" s="1" t="s">
        <v>262</v>
      </c>
    </row>
    <row r="3" spans="1:17" ht="32.1" customHeight="1" thickBot="1" x14ac:dyDescent="0.3">
      <c r="A3" s="610" t="s">
        <v>94</v>
      </c>
      <c r="B3" s="600" t="s">
        <v>95</v>
      </c>
      <c r="C3" s="86" t="s">
        <v>104</v>
      </c>
      <c r="D3" s="87">
        <v>107</v>
      </c>
      <c r="E3" s="87">
        <v>105</v>
      </c>
      <c r="F3" s="87">
        <v>103</v>
      </c>
      <c r="G3" s="87">
        <v>100</v>
      </c>
      <c r="H3" s="223">
        <f>SUM(D3:G3)/4</f>
        <v>103.75</v>
      </c>
      <c r="I3" s="373"/>
      <c r="J3" s="236">
        <v>59</v>
      </c>
      <c r="K3" s="148">
        <v>14</v>
      </c>
      <c r="L3" s="133" t="s">
        <v>143</v>
      </c>
      <c r="M3" s="138">
        <v>182</v>
      </c>
      <c r="N3" s="139">
        <v>349</v>
      </c>
      <c r="Q3" s="343">
        <f>2132.75/430</f>
        <v>4.9598837209302324</v>
      </c>
    </row>
    <row r="4" spans="1:17" ht="32.1" customHeight="1" thickBot="1" x14ac:dyDescent="0.25">
      <c r="A4" s="611"/>
      <c r="B4" s="601"/>
      <c r="C4" s="88" t="s">
        <v>105</v>
      </c>
      <c r="D4" s="89">
        <v>972</v>
      </c>
      <c r="E4" s="89">
        <v>1006</v>
      </c>
      <c r="F4" s="89">
        <v>1076</v>
      </c>
      <c r="G4" s="89">
        <v>993</v>
      </c>
      <c r="H4" s="223">
        <f>SUM(D4:G4)/4</f>
        <v>1011.75</v>
      </c>
      <c r="I4" s="373">
        <f>H4*0.72</f>
        <v>728.45999999999992</v>
      </c>
      <c r="J4" s="236">
        <v>567</v>
      </c>
      <c r="K4" s="148"/>
      <c r="L4" s="231" t="s">
        <v>144</v>
      </c>
      <c r="M4" s="134">
        <v>63</v>
      </c>
      <c r="N4" s="8">
        <v>77</v>
      </c>
      <c r="P4" s="277">
        <f>H4-I4</f>
        <v>283.29000000000008</v>
      </c>
      <c r="Q4" s="1">
        <f>H4*0.28</f>
        <v>283.29000000000002</v>
      </c>
    </row>
    <row r="5" spans="1:17" ht="32.1" customHeight="1" thickBot="1" x14ac:dyDescent="0.25">
      <c r="A5" s="611"/>
      <c r="B5" s="600" t="s">
        <v>138</v>
      </c>
      <c r="C5" s="86" t="s">
        <v>104</v>
      </c>
      <c r="D5" s="87">
        <v>23</v>
      </c>
      <c r="E5" s="87">
        <v>22</v>
      </c>
      <c r="F5" s="87" t="s">
        <v>294</v>
      </c>
      <c r="G5" s="87" t="s">
        <v>295</v>
      </c>
      <c r="H5" s="223">
        <f>SUM(23+22+19+21)/4</f>
        <v>21.25</v>
      </c>
      <c r="I5" s="373">
        <f>(23+22+19+21)/4</f>
        <v>21.25</v>
      </c>
      <c r="J5" s="236">
        <v>9</v>
      </c>
      <c r="K5" s="147">
        <v>7</v>
      </c>
      <c r="L5" s="233"/>
      <c r="M5" s="134"/>
      <c r="N5" s="8"/>
      <c r="O5" s="1">
        <v>7</v>
      </c>
      <c r="P5" s="277"/>
      <c r="Q5" s="1">
        <v>461</v>
      </c>
    </row>
    <row r="6" spans="1:17" ht="32.1" customHeight="1" thickBot="1" x14ac:dyDescent="0.25">
      <c r="A6" s="611"/>
      <c r="B6" s="601"/>
      <c r="C6" s="88" t="s">
        <v>105</v>
      </c>
      <c r="D6" s="89">
        <v>178</v>
      </c>
      <c r="E6" s="89">
        <v>175</v>
      </c>
      <c r="F6" s="89" t="s">
        <v>296</v>
      </c>
      <c r="G6" s="89" t="s">
        <v>297</v>
      </c>
      <c r="H6" s="223">
        <f>(178+175+163+163)/4</f>
        <v>169.75</v>
      </c>
      <c r="I6" s="373">
        <f>H6-43</f>
        <v>126.75</v>
      </c>
      <c r="J6" s="236">
        <v>80</v>
      </c>
      <c r="K6" s="148"/>
      <c r="L6" s="232" t="s">
        <v>145</v>
      </c>
      <c r="M6" s="134">
        <v>2</v>
      </c>
      <c r="N6" s="8">
        <v>3</v>
      </c>
      <c r="O6" s="1">
        <v>11</v>
      </c>
      <c r="P6" s="277">
        <f t="shared" ref="P6:P16" si="0">H6-I6</f>
        <v>43</v>
      </c>
      <c r="Q6" s="1">
        <f>(461+672)/2</f>
        <v>566.5</v>
      </c>
    </row>
    <row r="7" spans="1:17" ht="32.1" customHeight="1" x14ac:dyDescent="0.2">
      <c r="A7" s="611"/>
      <c r="B7" s="600" t="s">
        <v>96</v>
      </c>
      <c r="C7" s="86" t="s">
        <v>104</v>
      </c>
      <c r="D7" s="87">
        <v>37</v>
      </c>
      <c r="E7" s="87">
        <v>36</v>
      </c>
      <c r="F7" s="87">
        <v>35</v>
      </c>
      <c r="G7" s="87">
        <v>36</v>
      </c>
      <c r="H7" s="224">
        <f t="shared" ref="H7:H10" si="1">SUM(D7:G7)/4</f>
        <v>36</v>
      </c>
      <c r="I7" s="373"/>
      <c r="J7" s="237">
        <v>21</v>
      </c>
      <c r="K7" s="148"/>
      <c r="L7" s="76" t="s">
        <v>146</v>
      </c>
      <c r="M7" s="134">
        <v>20</v>
      </c>
      <c r="N7" s="8">
        <v>32</v>
      </c>
      <c r="P7" s="277"/>
      <c r="Q7" s="1">
        <v>672</v>
      </c>
    </row>
    <row r="8" spans="1:17" ht="32.1" customHeight="1" thickBot="1" x14ac:dyDescent="0.25">
      <c r="A8" s="611"/>
      <c r="B8" s="601"/>
      <c r="C8" s="88" t="s">
        <v>105</v>
      </c>
      <c r="D8" s="89">
        <v>226</v>
      </c>
      <c r="E8" s="89">
        <v>231</v>
      </c>
      <c r="F8" s="89">
        <v>220</v>
      </c>
      <c r="G8" s="89">
        <v>244</v>
      </c>
      <c r="H8" s="225">
        <f t="shared" si="1"/>
        <v>230.25</v>
      </c>
      <c r="I8" s="373">
        <f t="shared" ref="I8:I18" si="2">H8*0.72</f>
        <v>165.78</v>
      </c>
      <c r="J8" s="237">
        <v>60</v>
      </c>
      <c r="K8" s="148"/>
      <c r="L8" s="76" t="s">
        <v>61</v>
      </c>
      <c r="M8" s="134">
        <v>0</v>
      </c>
      <c r="N8" s="8">
        <v>0</v>
      </c>
      <c r="P8" s="277">
        <f t="shared" si="0"/>
        <v>64.47</v>
      </c>
    </row>
    <row r="9" spans="1:17" ht="32.1" customHeight="1" x14ac:dyDescent="0.2">
      <c r="A9" s="611"/>
      <c r="B9" s="675" t="s">
        <v>103</v>
      </c>
      <c r="C9" s="86" t="s">
        <v>104</v>
      </c>
      <c r="D9" s="87">
        <v>137</v>
      </c>
      <c r="E9" s="87">
        <v>140</v>
      </c>
      <c r="F9" s="87">
        <v>145</v>
      </c>
      <c r="G9" s="87">
        <v>143</v>
      </c>
      <c r="H9" s="224">
        <f t="shared" si="1"/>
        <v>141.25</v>
      </c>
      <c r="I9" s="373">
        <f>H9*0.28</f>
        <v>39.550000000000004</v>
      </c>
      <c r="J9" s="237">
        <v>0</v>
      </c>
      <c r="K9" s="148"/>
      <c r="L9" s="76"/>
      <c r="M9" s="134"/>
      <c r="N9" s="8"/>
      <c r="P9" s="277"/>
    </row>
    <row r="10" spans="1:17" ht="32.1" customHeight="1" thickBot="1" x14ac:dyDescent="0.25">
      <c r="A10" s="612"/>
      <c r="B10" s="602"/>
      <c r="C10" s="90" t="s">
        <v>105</v>
      </c>
      <c r="D10" s="91">
        <v>396</v>
      </c>
      <c r="E10" s="91">
        <v>416</v>
      </c>
      <c r="F10" s="91">
        <v>415</v>
      </c>
      <c r="G10" s="91">
        <v>408</v>
      </c>
      <c r="H10" s="226">
        <f t="shared" si="1"/>
        <v>408.75</v>
      </c>
      <c r="I10" s="373">
        <f t="shared" si="2"/>
        <v>294.3</v>
      </c>
      <c r="J10" s="238">
        <v>0</v>
      </c>
      <c r="K10" s="148"/>
      <c r="L10" s="76"/>
      <c r="M10" s="134"/>
      <c r="N10" s="8"/>
      <c r="P10" s="277">
        <f t="shared" si="0"/>
        <v>114.44999999999999</v>
      </c>
    </row>
    <row r="11" spans="1:17" ht="15" x14ac:dyDescent="0.25">
      <c r="A11" s="610" t="s">
        <v>97</v>
      </c>
      <c r="B11" s="627" t="s">
        <v>142</v>
      </c>
      <c r="C11" s="630" t="s">
        <v>104</v>
      </c>
      <c r="D11" s="607">
        <v>109</v>
      </c>
      <c r="E11" s="607">
        <v>111</v>
      </c>
      <c r="F11" s="607">
        <v>100</v>
      </c>
      <c r="G11" s="607">
        <v>107</v>
      </c>
      <c r="H11" s="604">
        <f>SUM(D11:G13)/4</f>
        <v>106.75</v>
      </c>
      <c r="I11" s="373"/>
      <c r="J11" s="239"/>
      <c r="K11" s="148"/>
      <c r="L11" s="76"/>
      <c r="M11" s="134"/>
      <c r="N11" s="8"/>
      <c r="P11" s="277"/>
    </row>
    <row r="12" spans="1:17" ht="15.75" x14ac:dyDescent="0.25">
      <c r="A12" s="611"/>
      <c r="B12" s="628"/>
      <c r="C12" s="631"/>
      <c r="D12" s="608"/>
      <c r="E12" s="608"/>
      <c r="F12" s="608"/>
      <c r="G12" s="608"/>
      <c r="H12" s="605"/>
      <c r="I12" s="373">
        <f t="shared" si="2"/>
        <v>0</v>
      </c>
      <c r="J12" s="239">
        <v>6</v>
      </c>
      <c r="K12" s="230">
        <v>2</v>
      </c>
      <c r="L12" s="77"/>
      <c r="M12" s="135"/>
      <c r="N12" s="8"/>
      <c r="P12" s="277">
        <f t="shared" si="0"/>
        <v>0</v>
      </c>
    </row>
    <row r="13" spans="1:17" ht="15.75" x14ac:dyDescent="0.25">
      <c r="A13" s="611"/>
      <c r="B13" s="629"/>
      <c r="C13" s="632"/>
      <c r="D13" s="609"/>
      <c r="E13" s="609"/>
      <c r="F13" s="609"/>
      <c r="G13" s="609"/>
      <c r="H13" s="606"/>
      <c r="I13" s="373">
        <f t="shared" si="2"/>
        <v>0</v>
      </c>
      <c r="J13" s="239"/>
      <c r="K13" s="230"/>
      <c r="L13" s="77"/>
      <c r="M13" s="135"/>
      <c r="N13" s="8"/>
      <c r="P13" s="277">
        <f t="shared" si="0"/>
        <v>0</v>
      </c>
    </row>
    <row r="14" spans="1:17" ht="24.75" thickBot="1" x14ac:dyDescent="0.3">
      <c r="A14" s="626"/>
      <c r="B14" s="93"/>
      <c r="C14" s="88" t="s">
        <v>106</v>
      </c>
      <c r="D14" s="128">
        <v>281</v>
      </c>
      <c r="E14" s="128">
        <v>270</v>
      </c>
      <c r="F14" s="128">
        <v>254</v>
      </c>
      <c r="G14" s="128">
        <v>262</v>
      </c>
      <c r="H14" s="227">
        <f>SUM(D14:G14)/4</f>
        <v>266.75</v>
      </c>
      <c r="I14" s="373">
        <f t="shared" si="2"/>
        <v>192.06</v>
      </c>
      <c r="J14" s="239">
        <v>27</v>
      </c>
      <c r="K14" s="230"/>
      <c r="L14" s="80"/>
      <c r="M14" s="136"/>
      <c r="N14" s="81"/>
      <c r="P14" s="277">
        <f t="shared" si="0"/>
        <v>74.69</v>
      </c>
    </row>
    <row r="15" spans="1:17" ht="32.1" customHeight="1" x14ac:dyDescent="0.25">
      <c r="A15" s="620" t="s">
        <v>139</v>
      </c>
      <c r="B15" s="621"/>
      <c r="C15" s="123" t="s">
        <v>104</v>
      </c>
      <c r="D15" s="129">
        <v>15</v>
      </c>
      <c r="E15" s="129">
        <v>14</v>
      </c>
      <c r="F15" s="129">
        <v>13</v>
      </c>
      <c r="G15" s="129">
        <v>10</v>
      </c>
      <c r="H15" s="228">
        <f>SUM(D15:G15)/4</f>
        <v>13</v>
      </c>
      <c r="I15" s="373"/>
      <c r="J15" s="239">
        <v>0</v>
      </c>
      <c r="K15" s="230"/>
      <c r="L15" s="80"/>
      <c r="M15" s="136"/>
      <c r="N15" s="81"/>
      <c r="P15" s="277"/>
    </row>
    <row r="16" spans="1:17" ht="32.1" customHeight="1" thickBot="1" x14ac:dyDescent="0.3">
      <c r="A16" s="622"/>
      <c r="B16" s="623"/>
      <c r="C16" s="124" t="s">
        <v>105</v>
      </c>
      <c r="D16" s="128">
        <v>36</v>
      </c>
      <c r="E16" s="128">
        <v>28</v>
      </c>
      <c r="F16" s="128">
        <v>29</v>
      </c>
      <c r="G16" s="128">
        <v>22</v>
      </c>
      <c r="H16" s="227">
        <f>SUM(D16:G16)/4</f>
        <v>28.75</v>
      </c>
      <c r="I16" s="373">
        <f t="shared" si="2"/>
        <v>20.7</v>
      </c>
      <c r="J16" s="239">
        <v>0</v>
      </c>
      <c r="K16" s="230"/>
      <c r="L16" s="80"/>
      <c r="M16" s="136"/>
      <c r="N16" s="81"/>
      <c r="P16" s="277">
        <f t="shared" si="0"/>
        <v>8.0500000000000007</v>
      </c>
    </row>
    <row r="17" spans="1:16" ht="32.1" customHeight="1" thickBot="1" x14ac:dyDescent="0.3">
      <c r="A17" s="622"/>
      <c r="B17" s="623"/>
      <c r="C17" s="126" t="s">
        <v>140</v>
      </c>
      <c r="D17" s="130">
        <v>7</v>
      </c>
      <c r="E17" s="130">
        <v>9</v>
      </c>
      <c r="F17" s="130">
        <v>8</v>
      </c>
      <c r="G17" s="130">
        <v>7</v>
      </c>
      <c r="H17" s="227">
        <f>SUM(D17:G17)/4</f>
        <v>7.75</v>
      </c>
      <c r="I17" s="373"/>
      <c r="J17" s="239">
        <v>0</v>
      </c>
      <c r="K17" s="230"/>
      <c r="L17" s="80"/>
      <c r="M17" s="136"/>
      <c r="N17" s="81"/>
      <c r="P17" s="277"/>
    </row>
    <row r="18" spans="1:16" ht="32.1" customHeight="1" thickBot="1" x14ac:dyDescent="0.3">
      <c r="A18" s="624"/>
      <c r="B18" s="625"/>
      <c r="C18" s="124" t="s">
        <v>141</v>
      </c>
      <c r="D18" s="127">
        <v>16</v>
      </c>
      <c r="E18" s="127">
        <v>15</v>
      </c>
      <c r="F18" s="127">
        <v>13</v>
      </c>
      <c r="G18" s="127">
        <v>23</v>
      </c>
      <c r="H18" s="227">
        <f>SUM(D18:G18)/4</f>
        <v>16.75</v>
      </c>
      <c r="I18" s="373">
        <f t="shared" si="2"/>
        <v>12.059999999999999</v>
      </c>
      <c r="J18" s="239">
        <v>0</v>
      </c>
      <c r="K18" s="230"/>
      <c r="L18" s="80"/>
      <c r="M18" s="136"/>
      <c r="N18" s="81"/>
      <c r="P18" s="277">
        <f>H18-I18</f>
        <v>4.6900000000000013</v>
      </c>
    </row>
    <row r="19" spans="1:16" ht="32.1" customHeight="1" thickBot="1" x14ac:dyDescent="0.25">
      <c r="A19" s="613" t="s">
        <v>98</v>
      </c>
      <c r="B19" s="614"/>
      <c r="C19" s="92" t="s">
        <v>104</v>
      </c>
      <c r="D19" s="85"/>
      <c r="E19" s="85"/>
      <c r="F19" s="85"/>
      <c r="G19" s="85"/>
      <c r="H19" s="229">
        <f>H3+H5+H7+H9+H11+H15+H17</f>
        <v>429.75</v>
      </c>
      <c r="I19" s="374"/>
      <c r="J19" s="221">
        <f>J3+J5+J7+J12</f>
        <v>95</v>
      </c>
      <c r="K19" s="149">
        <v>23</v>
      </c>
      <c r="L19" s="78" t="s">
        <v>36</v>
      </c>
      <c r="M19" s="137"/>
      <c r="N19" s="79">
        <f>SUM(N4:N13)</f>
        <v>112</v>
      </c>
      <c r="P19" s="1">
        <f>SUM(P3:P18)</f>
        <v>592.6400000000001</v>
      </c>
    </row>
    <row r="20" spans="1:16" ht="32.1" customHeight="1" thickBot="1" x14ac:dyDescent="0.25">
      <c r="A20" s="615"/>
      <c r="B20" s="616"/>
      <c r="C20" s="84" t="s">
        <v>105</v>
      </c>
      <c r="D20" s="4"/>
      <c r="E20" s="4"/>
      <c r="F20" s="4"/>
      <c r="G20" s="4"/>
      <c r="H20" s="132">
        <f>H4+H6+H8+H10+H14+H16+H18</f>
        <v>2132.75</v>
      </c>
      <c r="I20" s="221">
        <f>SUM(I3:I18)</f>
        <v>1600.9099999999999</v>
      </c>
      <c r="J20" s="277">
        <f>J4+J6+J8+J10+J14+J16+J18</f>
        <v>734</v>
      </c>
      <c r="K20" s="1">
        <f>K3+K5+K12</f>
        <v>23</v>
      </c>
      <c r="L20" s="3"/>
      <c r="M20" s="3"/>
    </row>
    <row r="21" spans="1:16" ht="73.5" customHeight="1" x14ac:dyDescent="0.2">
      <c r="F21" s="1" t="s">
        <v>298</v>
      </c>
      <c r="L21" s="3"/>
      <c r="M21" s="3"/>
    </row>
    <row r="22" spans="1:16" ht="32.1" customHeight="1" thickBot="1" x14ac:dyDescent="0.25"/>
    <row r="23" spans="1:16" ht="32.1" customHeight="1" x14ac:dyDescent="0.3">
      <c r="A23" s="353" t="s">
        <v>238</v>
      </c>
      <c r="B23"/>
      <c r="C23"/>
      <c r="D23"/>
      <c r="E23"/>
      <c r="I23" s="385" t="s">
        <v>60</v>
      </c>
      <c r="J23" s="592" t="s">
        <v>309</v>
      </c>
      <c r="K23" s="593"/>
      <c r="L23" s="394"/>
      <c r="M23" s="592" t="s">
        <v>305</v>
      </c>
      <c r="N23" s="594"/>
      <c r="O23" s="595"/>
    </row>
    <row r="24" spans="1:16" ht="32.1" customHeight="1" x14ac:dyDescent="0.2">
      <c r="A24" s="354"/>
      <c r="B24" s="355" t="s">
        <v>239</v>
      </c>
      <c r="C24" s="356"/>
      <c r="D24" s="355" t="s">
        <v>240</v>
      </c>
      <c r="E24" s="356"/>
      <c r="I24" s="7" t="s">
        <v>299</v>
      </c>
      <c r="J24" s="4" t="s">
        <v>300</v>
      </c>
      <c r="K24" s="4" t="s">
        <v>301</v>
      </c>
      <c r="L24" s="4"/>
      <c r="M24" s="4" t="s">
        <v>302</v>
      </c>
      <c r="N24" s="4" t="s">
        <v>300</v>
      </c>
      <c r="O24" s="8" t="s">
        <v>301</v>
      </c>
    </row>
    <row r="25" spans="1:16" ht="32.1" customHeight="1" x14ac:dyDescent="0.2">
      <c r="A25" s="357" t="s">
        <v>241</v>
      </c>
      <c r="B25" s="284">
        <v>2019</v>
      </c>
      <c r="C25" s="360">
        <v>2020</v>
      </c>
      <c r="D25" s="284">
        <v>2019</v>
      </c>
      <c r="E25" s="360">
        <v>2020</v>
      </c>
      <c r="I25" s="7">
        <v>2010</v>
      </c>
      <c r="J25" s="4">
        <v>1</v>
      </c>
      <c r="K25" s="4">
        <v>1</v>
      </c>
      <c r="L25" s="4"/>
      <c r="M25" s="4"/>
      <c r="N25" s="4"/>
      <c r="O25" s="8"/>
    </row>
    <row r="26" spans="1:16" ht="32.1" customHeight="1" x14ac:dyDescent="0.2">
      <c r="A26" s="284" t="s">
        <v>242</v>
      </c>
      <c r="B26" s="284">
        <v>2</v>
      </c>
      <c r="C26" s="360">
        <v>1</v>
      </c>
      <c r="D26" s="284">
        <v>0</v>
      </c>
      <c r="E26" s="360">
        <v>0</v>
      </c>
      <c r="I26" s="7">
        <v>2011</v>
      </c>
      <c r="J26" s="4">
        <v>71</v>
      </c>
      <c r="K26" s="4">
        <v>300</v>
      </c>
      <c r="L26" s="4"/>
      <c r="M26" s="4"/>
      <c r="N26" s="4"/>
      <c r="O26" s="8"/>
    </row>
    <row r="27" spans="1:16" ht="32.1" customHeight="1" x14ac:dyDescent="0.2">
      <c r="A27" s="284" t="s">
        <v>243</v>
      </c>
      <c r="B27" s="284">
        <v>10</v>
      </c>
      <c r="C27" s="360">
        <v>0</v>
      </c>
      <c r="D27" s="284">
        <v>0</v>
      </c>
      <c r="E27" s="360">
        <v>0</v>
      </c>
      <c r="I27" s="7">
        <v>2012</v>
      </c>
      <c r="J27" s="4">
        <v>83</v>
      </c>
      <c r="K27" s="4">
        <v>296</v>
      </c>
      <c r="L27" s="4"/>
      <c r="M27" s="4"/>
      <c r="N27" s="4"/>
      <c r="O27" s="8"/>
    </row>
    <row r="28" spans="1:16" ht="32.1" customHeight="1" x14ac:dyDescent="0.2">
      <c r="A28" s="284" t="s">
        <v>244</v>
      </c>
      <c r="B28" s="284">
        <v>1</v>
      </c>
      <c r="C28" s="360">
        <v>1</v>
      </c>
      <c r="D28" s="284">
        <v>2</v>
      </c>
      <c r="E28" s="360">
        <v>0</v>
      </c>
      <c r="I28" s="7">
        <v>2013</v>
      </c>
      <c r="J28" s="4">
        <v>52</v>
      </c>
      <c r="K28" s="4">
        <v>187</v>
      </c>
      <c r="L28" s="4"/>
      <c r="M28" s="4"/>
      <c r="N28" s="4"/>
      <c r="O28" s="8"/>
    </row>
    <row r="29" spans="1:16" ht="32.1" customHeight="1" x14ac:dyDescent="0.2">
      <c r="A29" s="284" t="s">
        <v>245</v>
      </c>
      <c r="B29" s="284">
        <v>1</v>
      </c>
      <c r="C29" s="360">
        <v>1</v>
      </c>
      <c r="D29" s="284">
        <v>1</v>
      </c>
      <c r="E29" s="360">
        <v>0</v>
      </c>
      <c r="I29" s="7">
        <v>2014</v>
      </c>
      <c r="J29" s="4">
        <v>60</v>
      </c>
      <c r="K29" s="4">
        <v>181</v>
      </c>
      <c r="L29" s="4"/>
      <c r="M29" s="4"/>
      <c r="N29" s="4"/>
      <c r="O29" s="8"/>
    </row>
    <row r="30" spans="1:16" ht="32.1" customHeight="1" x14ac:dyDescent="0.2">
      <c r="A30" s="358" t="s">
        <v>246</v>
      </c>
      <c r="B30" s="358">
        <v>3</v>
      </c>
      <c r="C30" s="360">
        <v>8</v>
      </c>
      <c r="D30" s="358">
        <v>3</v>
      </c>
      <c r="E30" s="360">
        <v>2</v>
      </c>
      <c r="I30" s="7">
        <v>2015</v>
      </c>
      <c r="J30" s="4">
        <v>54</v>
      </c>
      <c r="K30" s="4">
        <v>169</v>
      </c>
      <c r="L30" s="4"/>
      <c r="M30" s="4"/>
      <c r="N30" s="4"/>
      <c r="O30" s="8"/>
    </row>
    <row r="31" spans="1:16" ht="32.1" customHeight="1" x14ac:dyDescent="0.2">
      <c r="A31" s="284" t="s">
        <v>247</v>
      </c>
      <c r="B31" s="284">
        <v>4</v>
      </c>
      <c r="C31" s="360">
        <v>2</v>
      </c>
      <c r="D31" s="284">
        <v>2</v>
      </c>
      <c r="E31" s="360">
        <v>1</v>
      </c>
      <c r="I31" s="7">
        <v>2016</v>
      </c>
      <c r="J31" s="4">
        <v>55</v>
      </c>
      <c r="K31" s="4">
        <v>186</v>
      </c>
      <c r="L31" s="4"/>
      <c r="M31" s="4"/>
      <c r="N31" s="4"/>
      <c r="O31" s="8"/>
    </row>
    <row r="32" spans="1:16" ht="32.1" customHeight="1" x14ac:dyDescent="0.2">
      <c r="A32" s="284" t="s">
        <v>248</v>
      </c>
      <c r="B32" s="284">
        <v>0</v>
      </c>
      <c r="C32" s="360">
        <v>0</v>
      </c>
      <c r="D32" s="284">
        <v>0</v>
      </c>
      <c r="E32" s="360">
        <v>0</v>
      </c>
      <c r="I32" s="7">
        <v>2017</v>
      </c>
      <c r="J32" s="4">
        <v>53</v>
      </c>
      <c r="K32" s="4">
        <v>150</v>
      </c>
      <c r="L32" s="4"/>
      <c r="M32" s="4"/>
      <c r="N32" s="4"/>
      <c r="O32" s="8"/>
    </row>
    <row r="33" spans="1:16" ht="32.1" customHeight="1" x14ac:dyDescent="0.2">
      <c r="A33" s="284" t="s">
        <v>249</v>
      </c>
      <c r="B33" s="284">
        <v>3</v>
      </c>
      <c r="C33" s="360">
        <v>1</v>
      </c>
      <c r="D33" s="284">
        <v>0</v>
      </c>
      <c r="E33" s="360">
        <v>0</v>
      </c>
      <c r="I33" s="7">
        <v>2018</v>
      </c>
      <c r="J33" s="4">
        <v>53</v>
      </c>
      <c r="K33" s="4">
        <v>207</v>
      </c>
      <c r="L33" s="4"/>
      <c r="M33" s="4"/>
      <c r="N33" s="4"/>
      <c r="O33" s="8"/>
    </row>
    <row r="34" spans="1:16" ht="32.1" customHeight="1" x14ac:dyDescent="0.25">
      <c r="A34" s="284" t="s">
        <v>250</v>
      </c>
      <c r="B34" s="284">
        <v>3</v>
      </c>
      <c r="C34" s="360">
        <v>7</v>
      </c>
      <c r="D34" s="284">
        <v>1</v>
      </c>
      <c r="E34" s="360">
        <v>3</v>
      </c>
      <c r="I34" s="370">
        <v>2019</v>
      </c>
      <c r="J34" s="377">
        <v>55</v>
      </c>
      <c r="K34" s="377">
        <v>350</v>
      </c>
      <c r="L34" s="402">
        <f>(J34+J35)/(2)</f>
        <v>59.5</v>
      </c>
      <c r="M34" s="377"/>
      <c r="N34" s="377">
        <v>48</v>
      </c>
      <c r="O34" s="389">
        <v>726</v>
      </c>
      <c r="P34" s="403">
        <f>(N34+N35)/2</f>
        <v>42</v>
      </c>
    </row>
    <row r="35" spans="1:16" ht="32.1" customHeight="1" thickBot="1" x14ac:dyDescent="0.3">
      <c r="A35" s="284" t="s">
        <v>251</v>
      </c>
      <c r="B35" s="284">
        <v>0</v>
      </c>
      <c r="C35" s="360">
        <v>1</v>
      </c>
      <c r="D35" s="284">
        <v>0</v>
      </c>
      <c r="E35" s="360">
        <v>0</v>
      </c>
      <c r="I35" s="370">
        <v>2020</v>
      </c>
      <c r="J35" s="377">
        <v>64</v>
      </c>
      <c r="K35" s="377">
        <v>459</v>
      </c>
      <c r="L35" s="402">
        <f>(K34+K35)/(2)</f>
        <v>404.5</v>
      </c>
      <c r="M35" s="377"/>
      <c r="N35" s="377">
        <v>36</v>
      </c>
      <c r="O35" s="389">
        <v>534</v>
      </c>
      <c r="P35" s="403">
        <f>(O34+O35)/2</f>
        <v>630</v>
      </c>
    </row>
    <row r="36" spans="1:16" ht="32.1" customHeight="1" thickBot="1" x14ac:dyDescent="0.3">
      <c r="A36" s="359" t="s">
        <v>252</v>
      </c>
      <c r="B36">
        <f>SUM(B26:B35)</f>
        <v>27</v>
      </c>
      <c r="C36" s="361">
        <f t="shared" ref="C36:E36" si="3">SUM(C26:C35)</f>
        <v>22</v>
      </c>
      <c r="D36">
        <f t="shared" si="3"/>
        <v>9</v>
      </c>
      <c r="E36" s="361">
        <f t="shared" si="3"/>
        <v>6</v>
      </c>
      <c r="G36" s="603" t="s">
        <v>254</v>
      </c>
      <c r="H36" s="592"/>
      <c r="I36" s="391">
        <v>2021</v>
      </c>
      <c r="J36" s="392">
        <v>38</v>
      </c>
      <c r="K36" s="392">
        <v>108</v>
      </c>
      <c r="L36" s="392"/>
      <c r="M36" s="392"/>
      <c r="N36" s="392"/>
      <c r="O36" s="81"/>
    </row>
    <row r="37" spans="1:16" ht="32.1" customHeight="1" thickBot="1" x14ac:dyDescent="0.3">
      <c r="A37" s="359" t="s">
        <v>253</v>
      </c>
      <c r="B37">
        <f>B26+B27+B28+B29+B31+B32+B33+B34+B35</f>
        <v>24</v>
      </c>
      <c r="C37" s="361">
        <v>14</v>
      </c>
      <c r="D37">
        <v>6</v>
      </c>
      <c r="E37" s="361">
        <v>4</v>
      </c>
      <c r="G37" s="150">
        <f>(B37+C37)/2</f>
        <v>19</v>
      </c>
      <c r="H37" s="390">
        <f>(D37+E37)/2</f>
        <v>5</v>
      </c>
      <c r="I37" s="385" t="s">
        <v>303</v>
      </c>
      <c r="J37" s="386" t="s">
        <v>300</v>
      </c>
      <c r="K37" s="386" t="s">
        <v>301</v>
      </c>
      <c r="L37" s="386"/>
      <c r="M37" s="386" t="s">
        <v>302</v>
      </c>
      <c r="N37" s="386" t="s">
        <v>300</v>
      </c>
      <c r="O37" s="380" t="s">
        <v>301</v>
      </c>
    </row>
    <row r="38" spans="1:16" ht="32.1" customHeight="1" x14ac:dyDescent="0.2">
      <c r="I38" s="7">
        <v>2011</v>
      </c>
      <c r="J38" s="4">
        <v>8</v>
      </c>
      <c r="K38" s="4">
        <v>13</v>
      </c>
      <c r="L38" s="4"/>
      <c r="M38" s="4"/>
      <c r="N38" s="4"/>
      <c r="O38" s="8"/>
    </row>
    <row r="39" spans="1:16" ht="32.1" customHeight="1" x14ac:dyDescent="0.2">
      <c r="A39" s="1" t="s">
        <v>329</v>
      </c>
      <c r="B39" s="277">
        <f>L34+L46+L58+L66+L71</f>
        <v>177.5</v>
      </c>
      <c r="I39" s="7">
        <v>2012</v>
      </c>
      <c r="J39" s="4">
        <v>14</v>
      </c>
      <c r="K39" s="4">
        <v>26</v>
      </c>
      <c r="L39" s="4"/>
      <c r="M39" s="4"/>
      <c r="N39" s="4"/>
      <c r="O39" s="8"/>
    </row>
    <row r="40" spans="1:16" ht="32.1" customHeight="1" thickBot="1" x14ac:dyDescent="0.25">
      <c r="I40" s="7">
        <v>2013</v>
      </c>
      <c r="J40" s="4">
        <v>13</v>
      </c>
      <c r="K40" s="4">
        <v>44</v>
      </c>
      <c r="L40" s="4"/>
      <c r="M40" s="4"/>
      <c r="N40" s="4"/>
      <c r="O40" s="8"/>
    </row>
    <row r="41" spans="1:16" ht="32.1" customHeight="1" x14ac:dyDescent="0.25">
      <c r="A41" s="385" t="s">
        <v>332</v>
      </c>
      <c r="B41" s="394" t="s">
        <v>333</v>
      </c>
      <c r="C41" s="426"/>
      <c r="D41" s="395" t="s">
        <v>334</v>
      </c>
      <c r="I41" s="7">
        <v>2014</v>
      </c>
      <c r="J41" s="4">
        <v>16</v>
      </c>
      <c r="K41" s="4">
        <v>22</v>
      </c>
      <c r="L41" s="4"/>
      <c r="M41" s="4"/>
      <c r="N41" s="4"/>
      <c r="O41" s="8"/>
    </row>
    <row r="42" spans="1:16" ht="32.1" customHeight="1" x14ac:dyDescent="0.2">
      <c r="A42" s="506">
        <f>H4-I4</f>
        <v>283.29000000000008</v>
      </c>
      <c r="B42" s="132">
        <f>A42*0.56</f>
        <v>158.64240000000007</v>
      </c>
      <c r="C42" s="421" t="s">
        <v>60</v>
      </c>
      <c r="D42" s="422">
        <f>A42-B42</f>
        <v>124.64760000000001</v>
      </c>
      <c r="E42" s="277">
        <v>41.520503952569172</v>
      </c>
      <c r="I42" s="7">
        <v>2015</v>
      </c>
      <c r="J42" s="4">
        <v>16</v>
      </c>
      <c r="K42" s="4">
        <v>35</v>
      </c>
      <c r="L42" s="4"/>
      <c r="M42" s="4"/>
      <c r="N42" s="4"/>
      <c r="O42" s="8"/>
    </row>
    <row r="43" spans="1:16" ht="32.1" customHeight="1" x14ac:dyDescent="0.2">
      <c r="A43" s="506">
        <f>H8-I8</f>
        <v>64.47</v>
      </c>
      <c r="B43" s="132">
        <f t="shared" ref="B43:B48" si="4">A43*0.56</f>
        <v>36.103200000000001</v>
      </c>
      <c r="C43" s="421" t="s">
        <v>61</v>
      </c>
      <c r="D43" s="422">
        <f t="shared" ref="D43:D48" si="5">A43-B43</f>
        <v>28.366799999999998</v>
      </c>
      <c r="E43" s="277">
        <v>4.0695652173913039</v>
      </c>
      <c r="I43" s="7">
        <v>2016</v>
      </c>
      <c r="J43" s="4">
        <v>7</v>
      </c>
      <c r="K43" s="4">
        <v>16</v>
      </c>
      <c r="L43" s="4"/>
      <c r="M43" s="4"/>
      <c r="N43" s="4"/>
      <c r="O43" s="8"/>
    </row>
    <row r="44" spans="1:16" ht="32.1" customHeight="1" x14ac:dyDescent="0.2">
      <c r="A44" s="506">
        <f>H14-I14</f>
        <v>74.69</v>
      </c>
      <c r="B44" s="132">
        <f t="shared" si="4"/>
        <v>41.8264</v>
      </c>
      <c r="C44" s="421" t="s">
        <v>183</v>
      </c>
      <c r="D44" s="422">
        <f t="shared" si="5"/>
        <v>32.863599999999998</v>
      </c>
      <c r="E44" s="277">
        <v>30.385767790262168</v>
      </c>
      <c r="I44" s="7">
        <v>2017</v>
      </c>
      <c r="J44" s="4">
        <v>13</v>
      </c>
      <c r="K44" s="4">
        <v>27</v>
      </c>
      <c r="L44" s="4"/>
      <c r="M44" s="4"/>
      <c r="N44" s="4"/>
      <c r="O44" s="8"/>
    </row>
    <row r="45" spans="1:16" ht="32.1" customHeight="1" x14ac:dyDescent="0.2">
      <c r="A45" s="506">
        <f>H6-I6</f>
        <v>43</v>
      </c>
      <c r="B45" s="132">
        <f t="shared" si="4"/>
        <v>24.080000000000002</v>
      </c>
      <c r="C45" s="421" t="s">
        <v>184</v>
      </c>
      <c r="D45" s="422">
        <f t="shared" si="5"/>
        <v>18.919999999999998</v>
      </c>
      <c r="E45" s="277">
        <v>2.8455882352941178</v>
      </c>
      <c r="I45" s="7">
        <v>2018</v>
      </c>
      <c r="J45" s="4">
        <v>8</v>
      </c>
      <c r="K45" s="4">
        <v>26</v>
      </c>
      <c r="L45" s="4"/>
      <c r="M45" s="4"/>
      <c r="N45" s="4"/>
      <c r="O45" s="8"/>
    </row>
    <row r="46" spans="1:16" ht="32.1" customHeight="1" x14ac:dyDescent="0.25">
      <c r="A46" s="506">
        <f>H16-I16</f>
        <v>8.0500000000000007</v>
      </c>
      <c r="B46" s="132">
        <v>4</v>
      </c>
      <c r="C46" s="421" t="s">
        <v>199</v>
      </c>
      <c r="D46" s="422">
        <f t="shared" si="5"/>
        <v>4.0500000000000007</v>
      </c>
      <c r="E46" s="277">
        <v>4.4827586206896557</v>
      </c>
      <c r="I46" s="370">
        <v>2019</v>
      </c>
      <c r="J46" s="377">
        <v>11</v>
      </c>
      <c r="K46" s="377">
        <v>27</v>
      </c>
      <c r="L46" s="404">
        <f>(J46+J47)/2</f>
        <v>12</v>
      </c>
      <c r="M46" s="377"/>
      <c r="N46" s="377">
        <v>8</v>
      </c>
      <c r="O46" s="389">
        <v>136</v>
      </c>
      <c r="P46" s="403">
        <f>(N46+N47)/2</f>
        <v>8</v>
      </c>
    </row>
    <row r="47" spans="1:16" ht="32.1" customHeight="1" x14ac:dyDescent="0.25">
      <c r="A47" s="506">
        <f>H18-I18</f>
        <v>4.6900000000000013</v>
      </c>
      <c r="B47" s="132">
        <f t="shared" si="4"/>
        <v>2.6264000000000012</v>
      </c>
      <c r="C47" s="421" t="s">
        <v>331</v>
      </c>
      <c r="D47" s="422">
        <f t="shared" si="5"/>
        <v>2.0636000000000001</v>
      </c>
      <c r="E47" s="277">
        <v>2.2794117647058822</v>
      </c>
      <c r="I47" s="370">
        <v>2020</v>
      </c>
      <c r="J47" s="377">
        <v>13</v>
      </c>
      <c r="K47" s="377">
        <v>59</v>
      </c>
      <c r="L47" s="404">
        <f>(K46+K47)/2</f>
        <v>43</v>
      </c>
      <c r="M47" s="377"/>
      <c r="N47" s="377">
        <v>8</v>
      </c>
      <c r="O47" s="389">
        <v>104</v>
      </c>
      <c r="P47" s="403">
        <f>(O46+O47)/2</f>
        <v>120</v>
      </c>
    </row>
    <row r="48" spans="1:16" ht="32.1" customHeight="1" thickBot="1" x14ac:dyDescent="0.25">
      <c r="A48" s="507">
        <f>H10-I10</f>
        <v>114.44999999999999</v>
      </c>
      <c r="B48" s="423">
        <f t="shared" si="4"/>
        <v>64.091999999999999</v>
      </c>
      <c r="C48" s="424" t="s">
        <v>185</v>
      </c>
      <c r="D48" s="425">
        <f t="shared" si="5"/>
        <v>50.35799999999999</v>
      </c>
      <c r="E48" s="277">
        <v>39.37041564792176</v>
      </c>
      <c r="I48" s="393">
        <v>2021</v>
      </c>
      <c r="J48" s="392">
        <v>8</v>
      </c>
      <c r="K48" s="392">
        <v>10</v>
      </c>
      <c r="L48" s="392"/>
      <c r="M48" s="392"/>
      <c r="N48" s="392"/>
      <c r="O48" s="81"/>
    </row>
    <row r="49" spans="1:16" ht="32.1" customHeight="1" thickBot="1" x14ac:dyDescent="0.25">
      <c r="A49" s="1">
        <f>SUM(A42:A48)</f>
        <v>592.6400000000001</v>
      </c>
      <c r="B49" s="277">
        <f>SUM(B42:B48)</f>
        <v>331.37040000000007</v>
      </c>
      <c r="D49" s="277">
        <f>SUM(D42:D48)</f>
        <v>261.26960000000003</v>
      </c>
      <c r="E49" s="277">
        <f>B49+D49</f>
        <v>592.6400000000001</v>
      </c>
      <c r="H49" s="1" t="s">
        <v>308</v>
      </c>
      <c r="I49" s="388" t="s">
        <v>304</v>
      </c>
      <c r="J49" s="386" t="s">
        <v>300</v>
      </c>
      <c r="K49" s="386" t="s">
        <v>301</v>
      </c>
      <c r="L49" s="386"/>
      <c r="M49" s="386" t="s">
        <v>305</v>
      </c>
      <c r="N49" s="386" t="s">
        <v>306</v>
      </c>
      <c r="O49" s="380" t="s">
        <v>307</v>
      </c>
    </row>
    <row r="50" spans="1:16" ht="32.1" customHeight="1" x14ac:dyDescent="0.2">
      <c r="A50" s="67" t="s">
        <v>345</v>
      </c>
      <c r="B50" s="67" t="s">
        <v>343</v>
      </c>
      <c r="C50" s="512"/>
      <c r="D50" s="388" t="s">
        <v>340</v>
      </c>
      <c r="E50" s="386"/>
      <c r="F50" s="380"/>
      <c r="I50" s="7">
        <v>2011</v>
      </c>
      <c r="J50" s="4">
        <v>7</v>
      </c>
      <c r="K50" s="4">
        <v>10</v>
      </c>
      <c r="L50" s="4"/>
      <c r="M50" s="4"/>
      <c r="N50" s="4"/>
      <c r="O50" s="8"/>
    </row>
    <row r="51" spans="1:16" ht="32.1" customHeight="1" x14ac:dyDescent="0.2">
      <c r="A51" s="515">
        <v>283.29000000000008</v>
      </c>
      <c r="B51" s="515">
        <v>158.64240000000007</v>
      </c>
      <c r="C51" s="513" t="s">
        <v>60</v>
      </c>
      <c r="D51" s="506">
        <v>124.64760000000001</v>
      </c>
      <c r="E51" s="132">
        <v>0.27993083003952579</v>
      </c>
      <c r="F51" s="422">
        <v>29.042823616600799</v>
      </c>
      <c r="I51" s="7">
        <v>2012</v>
      </c>
      <c r="J51" s="4">
        <v>9</v>
      </c>
      <c r="K51" s="4">
        <v>28</v>
      </c>
      <c r="L51" s="4"/>
      <c r="M51" s="4"/>
      <c r="N51" s="4"/>
      <c r="O51" s="8"/>
    </row>
    <row r="52" spans="1:16" ht="32.1" customHeight="1" x14ac:dyDescent="0.2">
      <c r="A52" s="515">
        <v>64.47</v>
      </c>
      <c r="B52" s="515">
        <v>36.103200000000001</v>
      </c>
      <c r="C52" s="513" t="s">
        <v>61</v>
      </c>
      <c r="D52" s="506">
        <v>28.366799999999998</v>
      </c>
      <c r="E52" s="132">
        <v>0.11304347826086956</v>
      </c>
      <c r="F52" s="422">
        <v>4.0695652173913039</v>
      </c>
      <c r="I52" s="7">
        <v>2013</v>
      </c>
      <c r="J52" s="4">
        <v>12</v>
      </c>
      <c r="K52" s="4">
        <v>26</v>
      </c>
      <c r="L52" s="4"/>
      <c r="M52" s="4"/>
      <c r="N52" s="4"/>
      <c r="O52" s="8"/>
    </row>
    <row r="53" spans="1:16" ht="32.1" customHeight="1" x14ac:dyDescent="0.2">
      <c r="A53" s="515">
        <v>74.69</v>
      </c>
      <c r="B53" s="515">
        <v>41.8264</v>
      </c>
      <c r="C53" s="513" t="s">
        <v>183</v>
      </c>
      <c r="D53" s="506">
        <v>32.863599999999998</v>
      </c>
      <c r="E53" s="132">
        <v>0.27973782771535577</v>
      </c>
      <c r="F53" s="422">
        <v>29.862013108614228</v>
      </c>
      <c r="I53" s="7">
        <v>2014</v>
      </c>
      <c r="J53" s="4">
        <v>15</v>
      </c>
      <c r="K53" s="4">
        <v>41</v>
      </c>
      <c r="L53" s="4"/>
      <c r="M53" s="4"/>
      <c r="N53" s="4"/>
      <c r="O53" s="8"/>
    </row>
    <row r="54" spans="1:16" ht="32.1" customHeight="1" x14ac:dyDescent="0.2">
      <c r="A54" s="515">
        <v>43</v>
      </c>
      <c r="B54" s="515">
        <v>24.080000000000002</v>
      </c>
      <c r="C54" s="513" t="s">
        <v>184</v>
      </c>
      <c r="D54" s="506">
        <v>18.919999999999998</v>
      </c>
      <c r="E54" s="132">
        <v>0.25294117647058822</v>
      </c>
      <c r="F54" s="422">
        <v>2.8455882352941178</v>
      </c>
      <c r="I54" s="7">
        <v>2015</v>
      </c>
      <c r="J54" s="4">
        <v>17</v>
      </c>
      <c r="K54" s="4">
        <v>29</v>
      </c>
      <c r="L54" s="4"/>
      <c r="M54" s="4"/>
      <c r="N54" s="4"/>
      <c r="O54" s="8"/>
    </row>
    <row r="55" spans="1:16" ht="32.1" customHeight="1" x14ac:dyDescent="0.2">
      <c r="A55" s="515">
        <v>8.0500000000000007</v>
      </c>
      <c r="B55" s="515">
        <v>4.5080000000000009</v>
      </c>
      <c r="C55" s="513" t="s">
        <v>199</v>
      </c>
      <c r="D55" s="506">
        <v>3.5419999999999998</v>
      </c>
      <c r="E55" s="132">
        <v>0.27758620689655172</v>
      </c>
      <c r="F55" s="422">
        <v>3.6086206896551722</v>
      </c>
      <c r="I55" s="7">
        <v>2016</v>
      </c>
      <c r="J55" s="4">
        <v>16</v>
      </c>
      <c r="K55" s="4">
        <v>31</v>
      </c>
      <c r="L55" s="4"/>
      <c r="M55" s="4"/>
      <c r="N55" s="4"/>
      <c r="O55" s="8"/>
    </row>
    <row r="56" spans="1:16" ht="32.1" customHeight="1" x14ac:dyDescent="0.2">
      <c r="A56" s="515">
        <v>4.6900000000000013</v>
      </c>
      <c r="B56" s="515">
        <v>2.6264000000000012</v>
      </c>
      <c r="C56" s="513" t="s">
        <v>331</v>
      </c>
      <c r="D56" s="506">
        <v>2.0636000000000001</v>
      </c>
      <c r="E56" s="132">
        <v>0.27588235294117652</v>
      </c>
      <c r="F56" s="422">
        <v>2.1380882352941182</v>
      </c>
      <c r="I56" s="7">
        <v>2017</v>
      </c>
      <c r="J56" s="4">
        <v>15</v>
      </c>
      <c r="K56" s="4">
        <v>36</v>
      </c>
      <c r="L56" s="4"/>
      <c r="M56" s="4"/>
      <c r="N56" s="4"/>
      <c r="O56" s="8"/>
    </row>
    <row r="57" spans="1:16" ht="32.1" customHeight="1" x14ac:dyDescent="0.2">
      <c r="A57" s="515">
        <v>114.44999999999999</v>
      </c>
      <c r="B57" s="515">
        <v>64.091999999999999</v>
      </c>
      <c r="C57" s="513" t="s">
        <v>185</v>
      </c>
      <c r="D57" s="506">
        <v>50.35799999999999</v>
      </c>
      <c r="E57" s="132">
        <v>0.27982885085574571</v>
      </c>
      <c r="F57" s="422">
        <v>39.525825183374081</v>
      </c>
      <c r="I57" s="7">
        <v>2018</v>
      </c>
      <c r="J57" s="4">
        <v>8</v>
      </c>
      <c r="K57" s="4">
        <v>23</v>
      </c>
      <c r="L57" s="4"/>
      <c r="M57" s="4"/>
      <c r="N57" s="4"/>
      <c r="O57" s="8"/>
    </row>
    <row r="58" spans="1:16" ht="32.1" customHeight="1" x14ac:dyDescent="0.25">
      <c r="A58" s="515" t="s">
        <v>344</v>
      </c>
      <c r="B58" s="515" t="s">
        <v>342</v>
      </c>
      <c r="C58" s="513"/>
      <c r="D58" s="506" t="s">
        <v>341</v>
      </c>
      <c r="E58" s="132"/>
      <c r="F58" s="422"/>
      <c r="I58" s="7">
        <v>2019</v>
      </c>
      <c r="J58" s="377">
        <v>14</v>
      </c>
      <c r="K58" s="377">
        <v>21</v>
      </c>
      <c r="L58" s="402">
        <f>(J58+J59)/2</f>
        <v>13.5</v>
      </c>
      <c r="M58" s="377"/>
      <c r="N58" s="377">
        <v>21</v>
      </c>
      <c r="O58" s="389">
        <v>199</v>
      </c>
      <c r="P58" s="403">
        <f>(N58+N59)/2</f>
        <v>22</v>
      </c>
    </row>
    <row r="59" spans="1:16" ht="32.1" customHeight="1" x14ac:dyDescent="0.25">
      <c r="A59" s="515">
        <v>29.042823616600799</v>
      </c>
      <c r="B59" s="515">
        <v>16.263981225296448</v>
      </c>
      <c r="C59" s="513" t="s">
        <v>60</v>
      </c>
      <c r="D59" s="506">
        <v>12.77884239130435</v>
      </c>
      <c r="E59" s="132"/>
      <c r="F59" s="422"/>
      <c r="I59" s="7">
        <v>2020</v>
      </c>
      <c r="J59" s="377">
        <v>13</v>
      </c>
      <c r="K59" s="377">
        <v>31</v>
      </c>
      <c r="L59" s="404">
        <f>(K58+K59)/2</f>
        <v>26</v>
      </c>
      <c r="M59" s="377"/>
      <c r="N59" s="377">
        <v>23</v>
      </c>
      <c r="O59" s="389">
        <v>213</v>
      </c>
      <c r="P59" s="403">
        <f>(O58+O59)/2</f>
        <v>206</v>
      </c>
    </row>
    <row r="60" spans="1:16" ht="32.1" customHeight="1" thickBot="1" x14ac:dyDescent="0.25">
      <c r="A60" s="515">
        <v>10</v>
      </c>
      <c r="B60" s="515">
        <v>6</v>
      </c>
      <c r="C60" s="513" t="s">
        <v>61</v>
      </c>
      <c r="D60" s="506">
        <v>4</v>
      </c>
      <c r="E60" s="132"/>
      <c r="F60" s="422"/>
      <c r="I60" s="393">
        <v>2021</v>
      </c>
      <c r="J60" s="392">
        <v>11</v>
      </c>
      <c r="K60" s="392">
        <v>16</v>
      </c>
      <c r="L60" s="392"/>
      <c r="M60" s="392"/>
      <c r="N60" s="392"/>
      <c r="O60" s="81"/>
    </row>
    <row r="61" spans="1:16" ht="32.1" customHeight="1" x14ac:dyDescent="0.2">
      <c r="A61" s="515">
        <v>29.862013108614228</v>
      </c>
      <c r="B61" s="515">
        <v>16.722727340823965</v>
      </c>
      <c r="C61" s="513" t="s">
        <v>183</v>
      </c>
      <c r="D61" s="506">
        <v>13.139285767790261</v>
      </c>
      <c r="E61" s="132"/>
      <c r="F61" s="422"/>
      <c r="H61" s="1" t="s">
        <v>326</v>
      </c>
      <c r="I61" s="388" t="s">
        <v>304</v>
      </c>
      <c r="J61" s="386" t="s">
        <v>300</v>
      </c>
      <c r="K61" s="386" t="s">
        <v>301</v>
      </c>
      <c r="L61" s="386"/>
      <c r="M61" s="386" t="s">
        <v>305</v>
      </c>
      <c r="N61" s="386" t="s">
        <v>300</v>
      </c>
      <c r="O61" s="380" t="s">
        <v>301</v>
      </c>
    </row>
    <row r="62" spans="1:16" ht="32.1" customHeight="1" x14ac:dyDescent="0.2">
      <c r="A62" s="515">
        <v>2.8455882352941178</v>
      </c>
      <c r="B62" s="515">
        <v>3</v>
      </c>
      <c r="C62" s="513" t="s">
        <v>184</v>
      </c>
      <c r="D62" s="506">
        <v>2</v>
      </c>
      <c r="E62" s="132"/>
      <c r="F62" s="422"/>
      <c r="I62" s="7">
        <v>2015</v>
      </c>
      <c r="J62" s="4">
        <v>1</v>
      </c>
      <c r="K62" s="4">
        <v>2</v>
      </c>
      <c r="L62" s="4"/>
      <c r="M62" s="4"/>
      <c r="N62" s="4"/>
      <c r="O62" s="8"/>
    </row>
    <row r="63" spans="1:16" ht="32.1" customHeight="1" x14ac:dyDescent="0.2">
      <c r="A63" s="515">
        <v>3.6086206896551722</v>
      </c>
      <c r="B63" s="515">
        <v>2.020827586206897</v>
      </c>
      <c r="C63" s="513" t="s">
        <v>199</v>
      </c>
      <c r="D63" s="506">
        <v>1.5877931034482755</v>
      </c>
      <c r="E63" s="132"/>
      <c r="F63" s="422"/>
      <c r="I63" s="7">
        <v>2016</v>
      </c>
      <c r="J63" s="4">
        <v>10</v>
      </c>
      <c r="K63" s="4">
        <v>22</v>
      </c>
      <c r="L63" s="4"/>
      <c r="M63" s="4"/>
      <c r="N63" s="4"/>
      <c r="O63" s="8"/>
    </row>
    <row r="64" spans="1:16" ht="32.1" customHeight="1" x14ac:dyDescent="0.2">
      <c r="A64" s="515">
        <v>2.1380882352941182</v>
      </c>
      <c r="B64" s="515">
        <v>1.1973294117647064</v>
      </c>
      <c r="C64" s="513" t="s">
        <v>331</v>
      </c>
      <c r="D64" s="506">
        <v>0.94075882352941176</v>
      </c>
      <c r="E64" s="132"/>
      <c r="F64" s="422"/>
      <c r="I64" s="7">
        <v>2017</v>
      </c>
      <c r="J64" s="4">
        <v>14</v>
      </c>
      <c r="K64" s="4">
        <v>25</v>
      </c>
      <c r="L64" s="4"/>
      <c r="M64" s="4"/>
      <c r="N64" s="4"/>
      <c r="O64" s="8"/>
    </row>
    <row r="65" spans="1:20" ht="32.1" customHeight="1" thickBot="1" x14ac:dyDescent="0.25">
      <c r="A65" s="516">
        <v>39.525825183374081</v>
      </c>
      <c r="B65" s="516">
        <v>22.134462102689486</v>
      </c>
      <c r="C65" s="514" t="s">
        <v>185</v>
      </c>
      <c r="D65" s="507">
        <v>17.391363080684595</v>
      </c>
      <c r="E65" s="423"/>
      <c r="F65" s="425"/>
      <c r="I65" s="7">
        <v>2018</v>
      </c>
      <c r="J65" s="4">
        <v>7</v>
      </c>
      <c r="K65" s="4">
        <v>11</v>
      </c>
      <c r="L65" s="4"/>
      <c r="M65" s="4"/>
      <c r="N65" s="4"/>
      <c r="O65" s="8"/>
    </row>
    <row r="66" spans="1:20" ht="32.1" customHeight="1" x14ac:dyDescent="0.25">
      <c r="I66" s="370">
        <v>2019</v>
      </c>
      <c r="J66" s="377">
        <v>5</v>
      </c>
      <c r="K66" s="377">
        <v>9</v>
      </c>
      <c r="L66" s="402">
        <f>(J66+J67)/2</f>
        <v>6.5</v>
      </c>
      <c r="M66" s="377"/>
      <c r="N66" s="377">
        <v>8</v>
      </c>
      <c r="O66" s="389">
        <v>20</v>
      </c>
      <c r="P66" s="403">
        <f>(N66+N67)/2</f>
        <v>5</v>
      </c>
    </row>
    <row r="67" spans="1:20" ht="32.1" customHeight="1" x14ac:dyDescent="0.25">
      <c r="I67" s="370">
        <v>2020</v>
      </c>
      <c r="J67" s="377">
        <v>8</v>
      </c>
      <c r="K67" s="377">
        <v>11</v>
      </c>
      <c r="L67" s="404">
        <f>(K66+K67)/2</f>
        <v>10</v>
      </c>
      <c r="M67" s="377"/>
      <c r="N67" s="377">
        <v>2</v>
      </c>
      <c r="O67" s="389">
        <v>11</v>
      </c>
      <c r="P67" s="405">
        <f>(O66+O67)/2</f>
        <v>15.5</v>
      </c>
    </row>
    <row r="68" spans="1:20" ht="32.1" customHeight="1" thickBot="1" x14ac:dyDescent="0.25">
      <c r="I68" s="150">
        <v>2021</v>
      </c>
      <c r="J68" s="125">
        <v>3</v>
      </c>
      <c r="K68" s="125">
        <v>4</v>
      </c>
      <c r="L68" s="125"/>
      <c r="M68" s="125"/>
      <c r="N68" s="125"/>
      <c r="O68" s="79"/>
    </row>
    <row r="69" spans="1:20" ht="32.1" customHeight="1" thickBot="1" x14ac:dyDescent="0.3">
      <c r="H69" s="376" t="s">
        <v>312</v>
      </c>
      <c r="I69" s="376">
        <v>2019</v>
      </c>
      <c r="J69" s="376"/>
      <c r="K69" s="376"/>
      <c r="L69" s="596" t="s">
        <v>36</v>
      </c>
      <c r="M69" s="596"/>
      <c r="N69" s="1" t="s">
        <v>322</v>
      </c>
      <c r="Q69" s="376">
        <v>2019</v>
      </c>
      <c r="R69" s="376"/>
    </row>
    <row r="70" spans="1:20" ht="32.1" customHeight="1" x14ac:dyDescent="0.25">
      <c r="J70" s="1" t="s">
        <v>310</v>
      </c>
      <c r="K70" s="1" t="s">
        <v>311</v>
      </c>
      <c r="L70" s="385" t="s">
        <v>324</v>
      </c>
      <c r="M70" s="395" t="s">
        <v>323</v>
      </c>
      <c r="N70" s="1" t="s">
        <v>310</v>
      </c>
      <c r="O70" s="1" t="s">
        <v>311</v>
      </c>
      <c r="P70" s="397" t="s">
        <v>325</v>
      </c>
      <c r="Q70" s="1" t="s">
        <v>310</v>
      </c>
      <c r="R70" s="1" t="s">
        <v>311</v>
      </c>
    </row>
    <row r="71" spans="1:20" ht="32.1" customHeight="1" thickBot="1" x14ac:dyDescent="0.3">
      <c r="H71" s="1" t="s">
        <v>313</v>
      </c>
      <c r="J71" s="1">
        <v>17</v>
      </c>
      <c r="K71" s="1">
        <v>24</v>
      </c>
      <c r="L71" s="400">
        <f>SUM(J71:J79)</f>
        <v>86</v>
      </c>
      <c r="M71" s="401">
        <f>SUM(K71:K79)</f>
        <v>76</v>
      </c>
      <c r="N71" s="1">
        <f>Q71-J71</f>
        <v>1</v>
      </c>
      <c r="O71" s="1">
        <f>R71-K71</f>
        <v>31</v>
      </c>
      <c r="P71" s="398">
        <f>SUM(N71:N79)</f>
        <v>14</v>
      </c>
      <c r="Q71" s="1">
        <v>18</v>
      </c>
      <c r="R71" s="1">
        <v>55</v>
      </c>
      <c r="S71" s="1">
        <f>SUM(Q71:Q79)</f>
        <v>100</v>
      </c>
      <c r="T71" s="1">
        <f>SUM(R71:R79)</f>
        <v>254</v>
      </c>
    </row>
    <row r="72" spans="1:20" ht="32.1" customHeight="1" thickBot="1" x14ac:dyDescent="0.3">
      <c r="H72" s="1" t="s">
        <v>314</v>
      </c>
      <c r="J72" s="1">
        <v>11</v>
      </c>
      <c r="K72" s="1">
        <v>6</v>
      </c>
      <c r="N72" s="1">
        <f t="shared" ref="N72:N90" si="6">Q72-J72</f>
        <v>1</v>
      </c>
      <c r="O72" s="1">
        <f t="shared" ref="O72:O90" si="7">R72-K72</f>
        <v>16</v>
      </c>
      <c r="P72" s="399">
        <f>SUM(O71:O80)</f>
        <v>178</v>
      </c>
      <c r="Q72" s="1">
        <v>12</v>
      </c>
      <c r="R72" s="1">
        <v>22</v>
      </c>
    </row>
    <row r="73" spans="1:20" ht="32.1" customHeight="1" x14ac:dyDescent="0.2">
      <c r="H73" s="1" t="s">
        <v>315</v>
      </c>
      <c r="J73" s="396">
        <v>12</v>
      </c>
      <c r="K73" s="1">
        <v>8</v>
      </c>
      <c r="N73" s="1">
        <f t="shared" si="6"/>
        <v>-4</v>
      </c>
      <c r="O73" s="1">
        <f t="shared" si="7"/>
        <v>8</v>
      </c>
      <c r="Q73" s="1">
        <v>8</v>
      </c>
      <c r="R73" s="1">
        <v>16</v>
      </c>
    </row>
    <row r="74" spans="1:20" ht="32.1" customHeight="1" x14ac:dyDescent="0.2">
      <c r="H74" s="1" t="s">
        <v>316</v>
      </c>
      <c r="J74" s="1">
        <v>18</v>
      </c>
      <c r="K74" s="1">
        <v>12</v>
      </c>
      <c r="N74" s="1">
        <f t="shared" si="6"/>
        <v>8</v>
      </c>
      <c r="O74" s="1">
        <f t="shared" si="7"/>
        <v>62</v>
      </c>
      <c r="Q74" s="1">
        <v>26</v>
      </c>
      <c r="R74" s="1">
        <v>74</v>
      </c>
    </row>
    <row r="75" spans="1:20" ht="32.1" customHeight="1" x14ac:dyDescent="0.2">
      <c r="H75" s="1" t="s">
        <v>317</v>
      </c>
      <c r="J75" s="1">
        <v>13</v>
      </c>
      <c r="K75" s="1">
        <v>14</v>
      </c>
      <c r="N75" s="1">
        <f t="shared" si="6"/>
        <v>6</v>
      </c>
      <c r="O75" s="1">
        <f t="shared" si="7"/>
        <v>31</v>
      </c>
      <c r="Q75" s="1">
        <v>19</v>
      </c>
      <c r="R75" s="1">
        <v>45</v>
      </c>
    </row>
    <row r="76" spans="1:20" ht="32.1" customHeight="1" x14ac:dyDescent="0.2">
      <c r="H76" s="1" t="s">
        <v>318</v>
      </c>
      <c r="J76" s="1">
        <v>14</v>
      </c>
      <c r="K76" s="1">
        <v>12</v>
      </c>
      <c r="N76" s="1">
        <f t="shared" si="6"/>
        <v>3</v>
      </c>
      <c r="O76" s="1">
        <f t="shared" si="7"/>
        <v>30</v>
      </c>
      <c r="Q76" s="1">
        <v>17</v>
      </c>
      <c r="R76" s="1">
        <v>42</v>
      </c>
    </row>
    <row r="77" spans="1:20" ht="32.1" customHeight="1" x14ac:dyDescent="0.2">
      <c r="H77" s="1" t="s">
        <v>319</v>
      </c>
      <c r="J77" s="396">
        <v>1</v>
      </c>
      <c r="K77" s="1">
        <v>0</v>
      </c>
      <c r="N77" s="1">
        <f t="shared" si="6"/>
        <v>-1</v>
      </c>
      <c r="O77" s="1">
        <f t="shared" si="7"/>
        <v>0</v>
      </c>
      <c r="Q77" s="1">
        <v>0</v>
      </c>
      <c r="R77" s="1">
        <v>0</v>
      </c>
    </row>
    <row r="78" spans="1:20" ht="32.1" customHeight="1" x14ac:dyDescent="0.2">
      <c r="H78" s="1" t="s">
        <v>320</v>
      </c>
      <c r="J78" s="1">
        <v>0</v>
      </c>
      <c r="K78" s="1">
        <v>0</v>
      </c>
      <c r="N78" s="1">
        <f t="shared" si="6"/>
        <v>0</v>
      </c>
      <c r="O78" s="1">
        <f t="shared" si="7"/>
        <v>0</v>
      </c>
      <c r="Q78" s="1">
        <v>0</v>
      </c>
      <c r="R78" s="1">
        <v>0</v>
      </c>
    </row>
    <row r="79" spans="1:20" ht="32.1" customHeight="1" x14ac:dyDescent="0.2">
      <c r="H79" s="1" t="s">
        <v>321</v>
      </c>
      <c r="J79" s="1">
        <v>0</v>
      </c>
      <c r="K79" s="1">
        <v>0</v>
      </c>
      <c r="N79" s="1">
        <f t="shared" si="6"/>
        <v>0</v>
      </c>
      <c r="O79" s="1">
        <f t="shared" si="7"/>
        <v>0</v>
      </c>
      <c r="Q79" s="1">
        <v>0</v>
      </c>
      <c r="R79" s="1">
        <v>0</v>
      </c>
    </row>
    <row r="80" spans="1:20" ht="32.1" customHeight="1" x14ac:dyDescent="0.25">
      <c r="I80" s="376">
        <v>2020</v>
      </c>
      <c r="J80" s="376"/>
      <c r="K80" s="376"/>
      <c r="L80" s="376"/>
      <c r="O80" s="1">
        <f t="shared" si="7"/>
        <v>0</v>
      </c>
      <c r="Q80" s="376">
        <v>2020</v>
      </c>
    </row>
    <row r="81" spans="8:20" ht="32.1" customHeight="1" x14ac:dyDescent="0.2">
      <c r="J81" s="1" t="s">
        <v>310</v>
      </c>
      <c r="K81" s="1" t="s">
        <v>311</v>
      </c>
      <c r="Q81" s="1" t="s">
        <v>310</v>
      </c>
      <c r="R81" s="1" t="s">
        <v>311</v>
      </c>
    </row>
    <row r="82" spans="8:20" ht="32.1" customHeight="1" x14ac:dyDescent="0.2">
      <c r="H82" s="1" t="s">
        <v>313</v>
      </c>
      <c r="J82" s="1">
        <v>8</v>
      </c>
      <c r="K82" s="1">
        <v>14</v>
      </c>
      <c r="N82" s="1">
        <f t="shared" si="6"/>
        <v>9</v>
      </c>
      <c r="O82" s="1">
        <f t="shared" si="7"/>
        <v>45</v>
      </c>
      <c r="Q82" s="1">
        <v>17</v>
      </c>
      <c r="R82" s="1">
        <v>59</v>
      </c>
      <c r="S82" s="1">
        <f>SUM(Q82:Q90)</f>
        <v>107</v>
      </c>
      <c r="T82" s="1">
        <f>SUM(R82:R90)</f>
        <v>262</v>
      </c>
    </row>
    <row r="83" spans="8:20" ht="32.1" customHeight="1" x14ac:dyDescent="0.2">
      <c r="H83" s="1" t="s">
        <v>314</v>
      </c>
      <c r="J83" s="1">
        <v>10</v>
      </c>
      <c r="K83" s="1">
        <v>3</v>
      </c>
      <c r="N83" s="1">
        <f t="shared" si="6"/>
        <v>1</v>
      </c>
      <c r="O83" s="1">
        <f t="shared" si="7"/>
        <v>20</v>
      </c>
      <c r="Q83" s="1">
        <v>11</v>
      </c>
      <c r="R83" s="1">
        <v>23</v>
      </c>
    </row>
    <row r="84" spans="8:20" ht="32.1" customHeight="1" x14ac:dyDescent="0.2">
      <c r="H84" s="1" t="s">
        <v>315</v>
      </c>
      <c r="J84" s="1">
        <v>8</v>
      </c>
      <c r="K84" s="1">
        <v>5</v>
      </c>
      <c r="N84" s="1">
        <f t="shared" si="6"/>
        <v>0</v>
      </c>
      <c r="O84" s="1">
        <f t="shared" si="7"/>
        <v>13</v>
      </c>
      <c r="Q84" s="1">
        <v>8</v>
      </c>
      <c r="R84" s="1">
        <v>18</v>
      </c>
    </row>
    <row r="85" spans="8:20" ht="32.1" customHeight="1" x14ac:dyDescent="0.2">
      <c r="H85" s="1" t="s">
        <v>316</v>
      </c>
      <c r="J85" s="1">
        <v>22</v>
      </c>
      <c r="K85" s="1">
        <v>18</v>
      </c>
      <c r="N85" s="1">
        <f t="shared" si="6"/>
        <v>6</v>
      </c>
      <c r="O85" s="1">
        <f t="shared" si="7"/>
        <v>58</v>
      </c>
      <c r="Q85" s="1">
        <v>28</v>
      </c>
      <c r="R85" s="1">
        <v>76</v>
      </c>
    </row>
    <row r="86" spans="8:20" ht="32.1" customHeight="1" x14ac:dyDescent="0.2">
      <c r="H86" s="1" t="s">
        <v>317</v>
      </c>
      <c r="J86" s="1">
        <v>11</v>
      </c>
      <c r="K86" s="1">
        <v>11</v>
      </c>
      <c r="N86" s="1">
        <f t="shared" si="6"/>
        <v>13</v>
      </c>
      <c r="O86" s="1">
        <f t="shared" si="7"/>
        <v>31</v>
      </c>
      <c r="Q86" s="1">
        <v>24</v>
      </c>
      <c r="R86" s="1">
        <v>42</v>
      </c>
    </row>
    <row r="87" spans="8:20" ht="32.1" customHeight="1" x14ac:dyDescent="0.2">
      <c r="H87" s="1" t="s">
        <v>318</v>
      </c>
      <c r="J87" s="1">
        <v>15</v>
      </c>
      <c r="K87" s="1">
        <v>9</v>
      </c>
      <c r="N87" s="1">
        <f t="shared" si="6"/>
        <v>4</v>
      </c>
      <c r="O87" s="1">
        <f t="shared" si="7"/>
        <v>35</v>
      </c>
      <c r="Q87" s="1">
        <v>19</v>
      </c>
      <c r="R87" s="1">
        <v>44</v>
      </c>
    </row>
    <row r="88" spans="8:20" ht="32.1" customHeight="1" x14ac:dyDescent="0.2">
      <c r="H88" s="1" t="s">
        <v>319</v>
      </c>
      <c r="J88" s="1">
        <v>0</v>
      </c>
      <c r="K88" s="1">
        <v>0</v>
      </c>
      <c r="N88" s="1">
        <f t="shared" si="6"/>
        <v>0</v>
      </c>
      <c r="O88" s="1">
        <f t="shared" si="7"/>
        <v>0</v>
      </c>
      <c r="Q88" s="1">
        <v>0</v>
      </c>
      <c r="R88" s="1">
        <v>0</v>
      </c>
    </row>
    <row r="89" spans="8:20" ht="32.1" customHeight="1" x14ac:dyDescent="0.2">
      <c r="H89" s="1" t="s">
        <v>320</v>
      </c>
      <c r="J89" s="1">
        <v>0</v>
      </c>
      <c r="K89" s="1">
        <v>0</v>
      </c>
      <c r="N89" s="1">
        <f t="shared" si="6"/>
        <v>0</v>
      </c>
      <c r="O89" s="1">
        <f t="shared" si="7"/>
        <v>0</v>
      </c>
      <c r="Q89" s="1">
        <v>0</v>
      </c>
      <c r="R89" s="1">
        <v>0</v>
      </c>
    </row>
    <row r="90" spans="8:20" ht="32.1" customHeight="1" x14ac:dyDescent="0.2">
      <c r="H90" s="1" t="s">
        <v>321</v>
      </c>
      <c r="J90" s="1">
        <v>0</v>
      </c>
      <c r="K90" s="1">
        <v>0</v>
      </c>
      <c r="N90" s="1">
        <f t="shared" si="6"/>
        <v>0</v>
      </c>
      <c r="O90" s="1">
        <f t="shared" si="7"/>
        <v>0</v>
      </c>
      <c r="Q90" s="1">
        <v>0</v>
      </c>
      <c r="R90" s="1">
        <v>0</v>
      </c>
    </row>
  </sheetData>
  <mergeCells count="21">
    <mergeCell ref="A3:A10"/>
    <mergeCell ref="A19:B20"/>
    <mergeCell ref="A2:C2"/>
    <mergeCell ref="A15:B18"/>
    <mergeCell ref="A11:A14"/>
    <mergeCell ref="B11:B13"/>
    <mergeCell ref="C11:C13"/>
    <mergeCell ref="J23:K23"/>
    <mergeCell ref="M23:O23"/>
    <mergeCell ref="L69:M69"/>
    <mergeCell ref="L2:N2"/>
    <mergeCell ref="B3:B4"/>
    <mergeCell ref="B5:B6"/>
    <mergeCell ref="B7:B8"/>
    <mergeCell ref="B9:B10"/>
    <mergeCell ref="G36:H36"/>
    <mergeCell ref="H11:H13"/>
    <mergeCell ref="D11:D13"/>
    <mergeCell ref="E11:E13"/>
    <mergeCell ref="F11:F13"/>
    <mergeCell ref="G11:G13"/>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B2DAE-7D54-44D9-B0B7-4D96D383959F}">
  <dimension ref="A1:J22"/>
  <sheetViews>
    <sheetView topLeftCell="D16" zoomScale="140" zoomScaleNormal="140" workbookViewId="0">
      <selection activeCell="A14" sqref="A14:I15"/>
    </sheetView>
  </sheetViews>
  <sheetFormatPr defaultColWidth="16.125" defaultRowHeight="14.25" x14ac:dyDescent="0.2"/>
  <cols>
    <col min="1" max="2" width="16.125" style="340"/>
    <col min="3" max="3" width="16.125" style="365"/>
    <col min="4" max="16384" width="16.125" style="340"/>
  </cols>
  <sheetData>
    <row r="1" spans="1:10" ht="23.45" customHeight="1" x14ac:dyDescent="0.2">
      <c r="A1" s="633" t="s">
        <v>19</v>
      </c>
      <c r="B1" s="633"/>
      <c r="C1" s="633"/>
      <c r="D1" s="633"/>
      <c r="E1" s="633"/>
      <c r="F1" s="633"/>
      <c r="G1" s="633"/>
      <c r="H1" s="633"/>
    </row>
    <row r="3" spans="1:10" x14ac:dyDescent="0.2">
      <c r="A3" s="634" t="s">
        <v>0</v>
      </c>
      <c r="B3" s="634"/>
      <c r="C3" s="634"/>
      <c r="D3" s="634"/>
      <c r="E3" s="634"/>
      <c r="F3" s="634"/>
      <c r="G3" s="634"/>
      <c r="H3" s="634"/>
      <c r="I3" s="634"/>
    </row>
    <row r="4" spans="1:10" ht="14.1" customHeight="1" x14ac:dyDescent="0.2">
      <c r="A4" s="634" t="s">
        <v>1</v>
      </c>
      <c r="B4" s="634"/>
      <c r="C4" s="634"/>
      <c r="D4" s="634"/>
      <c r="E4" s="634"/>
      <c r="F4" s="634"/>
      <c r="G4" s="634"/>
      <c r="H4" s="634"/>
      <c r="I4" s="634"/>
    </row>
    <row r="5" spans="1:10" ht="15" thickBot="1" x14ac:dyDescent="0.25">
      <c r="A5" s="635"/>
      <c r="B5" s="635"/>
      <c r="C5" s="635"/>
      <c r="D5" s="635"/>
      <c r="E5" s="635"/>
      <c r="F5" s="635"/>
      <c r="G5" s="635"/>
      <c r="H5" s="635"/>
      <c r="I5" s="635"/>
    </row>
    <row r="6" spans="1:10" ht="42.75" x14ac:dyDescent="0.2">
      <c r="A6" s="332" t="s">
        <v>2</v>
      </c>
      <c r="B6" s="333" t="s">
        <v>3</v>
      </c>
      <c r="C6" s="333" t="s">
        <v>11</v>
      </c>
      <c r="D6" s="333" t="s">
        <v>255</v>
      </c>
      <c r="E6" s="333" t="s">
        <v>5</v>
      </c>
      <c r="F6" s="333" t="s">
        <v>6</v>
      </c>
      <c r="G6" s="333" t="s">
        <v>7</v>
      </c>
      <c r="H6" s="523" t="s">
        <v>8</v>
      </c>
      <c r="I6" s="530" t="s">
        <v>237</v>
      </c>
    </row>
    <row r="7" spans="1:10" ht="42.75" x14ac:dyDescent="0.2">
      <c r="A7" s="334" t="s">
        <v>236</v>
      </c>
      <c r="B7" s="335">
        <v>430</v>
      </c>
      <c r="C7" s="364">
        <f>2113/430</f>
        <v>4.9139534883720932</v>
      </c>
      <c r="D7" s="336">
        <v>591102.54898175446</v>
      </c>
      <c r="E7" s="337">
        <v>52822946.642580368</v>
      </c>
      <c r="F7" s="336">
        <v>0</v>
      </c>
      <c r="G7" s="337">
        <v>26947438.887466669</v>
      </c>
      <c r="H7" s="524">
        <v>82000579.676396117</v>
      </c>
      <c r="I7" s="531">
        <f>B7*C7</f>
        <v>2113</v>
      </c>
    </row>
    <row r="8" spans="1:10" ht="15.75" thickBot="1" x14ac:dyDescent="0.3">
      <c r="A8" s="338" t="s">
        <v>10</v>
      </c>
      <c r="B8" s="339"/>
      <c r="C8" s="339"/>
      <c r="D8" s="499">
        <f>SUM(D7:D7)</f>
        <v>591102.54898175446</v>
      </c>
      <c r="E8" s="500">
        <f>SUM(E7:E7)</f>
        <v>52822946.642580368</v>
      </c>
      <c r="F8" s="499">
        <f>SUM(F7:F7)</f>
        <v>0</v>
      </c>
      <c r="G8" s="500">
        <f>SUM(G7:G7)</f>
        <v>26947438.887466669</v>
      </c>
      <c r="H8" s="525">
        <f>SUM(H7:H7)</f>
        <v>82000579.676396117</v>
      </c>
      <c r="I8" s="532">
        <f t="shared" ref="I8:I16" si="0">B8*C8</f>
        <v>0</v>
      </c>
    </row>
    <row r="9" spans="1:10" ht="42.75" x14ac:dyDescent="0.2">
      <c r="A9" s="344" t="s">
        <v>195</v>
      </c>
      <c r="B9" s="345">
        <v>430</v>
      </c>
      <c r="C9" s="488">
        <v>1</v>
      </c>
      <c r="D9" s="346">
        <v>6450</v>
      </c>
      <c r="E9" s="347">
        <v>631721.6</v>
      </c>
      <c r="F9" s="345"/>
      <c r="G9" s="347">
        <v>72240</v>
      </c>
      <c r="H9" s="526">
        <v>703961.59999999998</v>
      </c>
      <c r="I9" s="533">
        <f t="shared" si="0"/>
        <v>430</v>
      </c>
    </row>
    <row r="10" spans="1:10" ht="42.75" x14ac:dyDescent="0.2">
      <c r="A10" s="344" t="s">
        <v>204</v>
      </c>
      <c r="B10" s="345">
        <v>95</v>
      </c>
      <c r="C10" s="488">
        <v>7.7263157894736842</v>
      </c>
      <c r="D10" s="346">
        <v>153406</v>
      </c>
      <c r="E10" s="347">
        <v>13606855.300000001</v>
      </c>
      <c r="F10" s="345"/>
      <c r="G10" s="347">
        <v>292405.85831062665</v>
      </c>
      <c r="H10" s="526">
        <v>15866075.299999999</v>
      </c>
      <c r="I10" s="533">
        <f t="shared" si="0"/>
        <v>734</v>
      </c>
    </row>
    <row r="11" spans="1:10" x14ac:dyDescent="0.2">
      <c r="A11" s="344" t="s">
        <v>205</v>
      </c>
      <c r="B11" s="345">
        <v>23</v>
      </c>
      <c r="C11" s="488">
        <v>1</v>
      </c>
      <c r="D11" s="346">
        <v>1495</v>
      </c>
      <c r="E11" s="347">
        <v>153584.79999999999</v>
      </c>
      <c r="F11" s="345"/>
      <c r="G11" s="347">
        <v>3864</v>
      </c>
      <c r="H11" s="526">
        <v>157448.79999999999</v>
      </c>
      <c r="I11" s="533">
        <f t="shared" si="0"/>
        <v>23</v>
      </c>
    </row>
    <row r="12" spans="1:10" ht="28.5" x14ac:dyDescent="0.2">
      <c r="A12" s="344" t="s">
        <v>212</v>
      </c>
      <c r="B12" s="345">
        <v>7</v>
      </c>
      <c r="C12" s="488">
        <v>1.57</v>
      </c>
      <c r="D12" s="346">
        <v>2154.04</v>
      </c>
      <c r="E12" s="347">
        <v>163153.14399999997</v>
      </c>
      <c r="F12" s="345"/>
      <c r="G12" s="347">
        <v>21545.694822888279</v>
      </c>
      <c r="H12" s="526">
        <v>196979.8848719346</v>
      </c>
      <c r="I12" s="533">
        <f t="shared" si="0"/>
        <v>10.99</v>
      </c>
    </row>
    <row r="13" spans="1:10" ht="28.5" x14ac:dyDescent="0.2">
      <c r="A13" s="344" t="s">
        <v>213</v>
      </c>
      <c r="B13" s="345">
        <v>2</v>
      </c>
      <c r="C13" s="488">
        <v>1</v>
      </c>
      <c r="D13" s="346">
        <v>344</v>
      </c>
      <c r="E13" s="347">
        <v>31333.019999999997</v>
      </c>
      <c r="F13" s="345"/>
      <c r="G13" s="347">
        <v>6155.912806539508</v>
      </c>
      <c r="H13" s="526">
        <v>37488.932806539502</v>
      </c>
      <c r="I13" s="533">
        <f t="shared" si="0"/>
        <v>2</v>
      </c>
    </row>
    <row r="14" spans="1:10" ht="28.5" x14ac:dyDescent="0.2">
      <c r="A14" s="344" t="s">
        <v>206</v>
      </c>
      <c r="B14" s="345">
        <v>19</v>
      </c>
      <c r="C14" s="488">
        <v>1</v>
      </c>
      <c r="D14" s="346">
        <v>266</v>
      </c>
      <c r="E14" s="347">
        <v>28268.769999999997</v>
      </c>
      <c r="F14" s="345"/>
      <c r="G14" s="347">
        <v>3192</v>
      </c>
      <c r="H14" s="526">
        <v>31460.769999999997</v>
      </c>
      <c r="I14" s="533">
        <f t="shared" si="0"/>
        <v>19</v>
      </c>
    </row>
    <row r="15" spans="1:10" ht="28.5" x14ac:dyDescent="0.2">
      <c r="A15" s="348" t="s">
        <v>207</v>
      </c>
      <c r="B15" s="349">
        <v>5</v>
      </c>
      <c r="C15" s="489">
        <v>4</v>
      </c>
      <c r="D15" s="350">
        <v>480</v>
      </c>
      <c r="E15" s="351">
        <v>43116.6</v>
      </c>
      <c r="F15" s="349"/>
      <c r="G15" s="351">
        <v>840</v>
      </c>
      <c r="H15" s="527">
        <v>46476.6</v>
      </c>
      <c r="I15" s="533">
        <f t="shared" si="0"/>
        <v>20</v>
      </c>
    </row>
    <row r="16" spans="1:10" s="352" customFormat="1" ht="44.25" thickBot="1" x14ac:dyDescent="0.3">
      <c r="A16" s="491" t="s">
        <v>208</v>
      </c>
      <c r="B16" s="492">
        <v>430</v>
      </c>
      <c r="C16" s="493">
        <v>1</v>
      </c>
      <c r="D16" s="493">
        <v>3440</v>
      </c>
      <c r="E16" s="494">
        <v>354578</v>
      </c>
      <c r="F16" s="492"/>
      <c r="G16" s="494">
        <v>72240</v>
      </c>
      <c r="H16" s="528">
        <v>426818</v>
      </c>
      <c r="I16" s="533">
        <f t="shared" si="0"/>
        <v>430</v>
      </c>
      <c r="J16" s="362">
        <f>D16/B16</f>
        <v>8</v>
      </c>
    </row>
    <row r="17" spans="1:10" ht="45.75" thickBot="1" x14ac:dyDescent="0.3">
      <c r="A17" s="495" t="s">
        <v>256</v>
      </c>
      <c r="B17" s="496">
        <v>430</v>
      </c>
      <c r="C17" s="496"/>
      <c r="D17" s="497">
        <f>SUM(D9:D15)</f>
        <v>164595.04</v>
      </c>
      <c r="E17" s="498">
        <f>SUM(E9:E15)</f>
        <v>14658033.233999999</v>
      </c>
      <c r="F17" s="496"/>
      <c r="G17" s="498">
        <f>SUM(G9:G15)</f>
        <v>400243.46594005445</v>
      </c>
      <c r="H17" s="529">
        <f>SUM(H9:H15)</f>
        <v>17039891.887678474</v>
      </c>
      <c r="I17" s="534">
        <f>SUM(I9:I16)</f>
        <v>1668.99</v>
      </c>
      <c r="J17" s="341"/>
    </row>
    <row r="18" spans="1:10" x14ac:dyDescent="0.2">
      <c r="I18" s="502">
        <f>SUM(I7:I17)</f>
        <v>5450.98</v>
      </c>
    </row>
    <row r="19" spans="1:10" s="363" customFormat="1" x14ac:dyDescent="0.2">
      <c r="I19" s="503">
        <f>I18/430</f>
        <v>12.676697674418604</v>
      </c>
    </row>
    <row r="20" spans="1:10" ht="15" thickBot="1" x14ac:dyDescent="0.25">
      <c r="D20" s="366">
        <f>D16/(B16*C16)</f>
        <v>8</v>
      </c>
      <c r="H20" s="501">
        <f>H8+H17</f>
        <v>99040471.564074591</v>
      </c>
    </row>
    <row r="21" spans="1:10" x14ac:dyDescent="0.2">
      <c r="D21" s="367">
        <f>D16-281351</f>
        <v>-277911</v>
      </c>
    </row>
    <row r="22" spans="1:10" ht="15" thickBot="1" x14ac:dyDescent="0.25">
      <c r="D22" s="368">
        <f>D16/B16</f>
        <v>8</v>
      </c>
    </row>
  </sheetData>
  <mergeCells count="3">
    <mergeCell ref="A1:H1"/>
    <mergeCell ref="A4:I5"/>
    <mergeCell ref="A3:I3"/>
  </mergeCells>
  <pageMargins left="0.7" right="0.7" top="0.75" bottom="0.75" header="0.3" footer="0.3"/>
  <pageSetup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1595-577B-44A8-96FE-29C9FA28063A}">
  <dimension ref="A1:X72"/>
  <sheetViews>
    <sheetView tabSelected="1" topLeftCell="A16" zoomScale="98" zoomScaleNormal="98" workbookViewId="0">
      <pane xSplit="1" topLeftCell="B1" activePane="topRight" state="frozen"/>
      <selection pane="topRight" activeCell="T42" sqref="T42:T43"/>
    </sheetView>
  </sheetViews>
  <sheetFormatPr defaultRowHeight="14.25" x14ac:dyDescent="0.2"/>
  <cols>
    <col min="1" max="1" width="29.5" customWidth="1"/>
    <col min="2" max="5" width="11.625" customWidth="1"/>
    <col min="6" max="6" width="11.625" style="212" customWidth="1"/>
    <col min="7" max="7" width="12.625" customWidth="1"/>
    <col min="8" max="8" width="11.625" customWidth="1"/>
    <col min="9" max="9" width="16.125" customWidth="1"/>
    <col min="10" max="10" width="16.875" customWidth="1"/>
    <col min="11" max="14" width="11.625" customWidth="1"/>
    <col min="15" max="15" width="18.875" customWidth="1"/>
    <col min="16" max="16" width="16.125" customWidth="1"/>
    <col min="17" max="17" width="13.875" customWidth="1"/>
    <col min="18" max="18" width="13.875" style="482" customWidth="1"/>
    <col min="19" max="19" width="13.875" style="343" customWidth="1"/>
    <col min="20" max="20" width="16.125" customWidth="1"/>
    <col min="21" max="21" width="13.625" bestFit="1" customWidth="1"/>
    <col min="24" max="24" width="9.875" bestFit="1" customWidth="1"/>
  </cols>
  <sheetData>
    <row r="1" spans="1:24" x14ac:dyDescent="0.2"/>
    <row r="2" spans="1:24" x14ac:dyDescent="0.2">
      <c r="A2" s="638" t="s">
        <v>174</v>
      </c>
      <c r="B2" s="638"/>
      <c r="C2" s="638"/>
      <c r="D2" s="638"/>
      <c r="E2" s="638"/>
      <c r="F2" s="638"/>
      <c r="G2" s="638"/>
      <c r="H2" s="638"/>
      <c r="I2" s="638"/>
      <c r="J2" s="638"/>
      <c r="K2" s="638"/>
      <c r="L2" s="638"/>
      <c r="M2" s="638"/>
      <c r="N2" s="638"/>
      <c r="O2" s="638"/>
    </row>
    <row r="3" spans="1:24" ht="15" thickBot="1" x14ac:dyDescent="0.25">
      <c r="A3" s="190"/>
      <c r="B3" s="639" t="s">
        <v>21</v>
      </c>
      <c r="C3" s="639"/>
      <c r="D3" s="639"/>
      <c r="E3" s="639"/>
      <c r="F3" s="639"/>
      <c r="G3" s="639"/>
      <c r="H3" s="639"/>
      <c r="I3" s="639"/>
      <c r="J3" s="639"/>
      <c r="K3" s="639"/>
      <c r="L3" s="639"/>
      <c r="M3" s="436" t="s">
        <v>22</v>
      </c>
      <c r="N3" s="437"/>
      <c r="O3" s="436"/>
    </row>
    <row r="4" spans="1:24" ht="39" thickBot="1" x14ac:dyDescent="0.25">
      <c r="A4" s="442" t="s">
        <v>23</v>
      </c>
      <c r="B4" s="443" t="s">
        <v>169</v>
      </c>
      <c r="C4" s="443" t="s">
        <v>168</v>
      </c>
      <c r="D4" s="443" t="s">
        <v>172</v>
      </c>
      <c r="E4" s="444" t="s">
        <v>170</v>
      </c>
      <c r="F4" s="445" t="s">
        <v>44</v>
      </c>
      <c r="G4" s="446" t="s">
        <v>171</v>
      </c>
      <c r="H4" s="443" t="s">
        <v>45</v>
      </c>
      <c r="I4" s="447" t="s">
        <v>175</v>
      </c>
      <c r="J4" s="448" t="s">
        <v>26</v>
      </c>
      <c r="K4" s="449" t="s">
        <v>176</v>
      </c>
      <c r="L4" s="443" t="s">
        <v>177</v>
      </c>
      <c r="M4" s="443" t="s">
        <v>261</v>
      </c>
      <c r="N4" s="450" t="s">
        <v>29</v>
      </c>
      <c r="O4" s="451" t="s">
        <v>30</v>
      </c>
      <c r="P4" s="452" t="s">
        <v>209</v>
      </c>
      <c r="Q4" s="453" t="s">
        <v>258</v>
      </c>
      <c r="R4" s="483" t="s">
        <v>339</v>
      </c>
      <c r="S4" s="535"/>
      <c r="T4" s="220" t="s">
        <v>336</v>
      </c>
    </row>
    <row r="5" spans="1:24" ht="26.25" x14ac:dyDescent="0.25">
      <c r="A5" s="438" t="s">
        <v>178</v>
      </c>
      <c r="B5" s="198">
        <v>18</v>
      </c>
      <c r="C5" s="198">
        <v>9</v>
      </c>
      <c r="D5" s="198">
        <v>10</v>
      </c>
      <c r="E5" s="198">
        <v>4</v>
      </c>
      <c r="F5" s="209">
        <v>0</v>
      </c>
      <c r="G5" s="198">
        <v>1</v>
      </c>
      <c r="H5" s="47">
        <f>SUM(B5:G5)</f>
        <v>42</v>
      </c>
      <c r="I5" s="51">
        <f>(B5*94.86)+(C5*152.31)+(D5*180.08)+(E5*66.8)+(F5*0)+(G5*45.97)</f>
        <v>5192.24</v>
      </c>
      <c r="J5" s="218">
        <v>0</v>
      </c>
      <c r="K5" s="51">
        <v>16.36</v>
      </c>
      <c r="L5" s="198">
        <v>1</v>
      </c>
      <c r="M5" s="47">
        <v>430</v>
      </c>
      <c r="N5" s="439">
        <f>H5*L5*M5</f>
        <v>18060</v>
      </c>
      <c r="O5" s="440">
        <f>(I5+J5+K5)*L5*M5</f>
        <v>2239697.9999999995</v>
      </c>
      <c r="P5" s="521">
        <v>2133</v>
      </c>
      <c r="Q5" s="441">
        <f>K5*M5</f>
        <v>7034.8</v>
      </c>
      <c r="R5" s="522">
        <f>M5*L5</f>
        <v>430</v>
      </c>
      <c r="S5" s="343">
        <f>M5*L5</f>
        <v>430</v>
      </c>
      <c r="T5" s="435">
        <f>(I5)*L5*M5</f>
        <v>2232663.1999999997</v>
      </c>
    </row>
    <row r="6" spans="1:24" x14ac:dyDescent="0.2">
      <c r="A6" s="26" t="s">
        <v>179</v>
      </c>
      <c r="B6" s="191">
        <v>15</v>
      </c>
      <c r="C6" s="191">
        <v>3</v>
      </c>
      <c r="D6" s="191">
        <v>1</v>
      </c>
      <c r="E6" s="191">
        <v>0</v>
      </c>
      <c r="F6" s="206">
        <v>0</v>
      </c>
      <c r="G6" s="191">
        <v>1</v>
      </c>
      <c r="H6" s="42">
        <f>SUM(B6:G6)</f>
        <v>20</v>
      </c>
      <c r="I6" s="49">
        <f t="shared" ref="I6:I44" si="0">(B6*94.86)+(C6*152.31)+(D6*180.08)+(E6*66.8)+(F6*0)+(G6*45.97)</f>
        <v>2105.88</v>
      </c>
      <c r="J6" s="215">
        <v>0</v>
      </c>
      <c r="K6" s="49">
        <v>0</v>
      </c>
      <c r="L6" s="191">
        <v>1</v>
      </c>
      <c r="M6" s="42">
        <v>430</v>
      </c>
      <c r="N6" s="43">
        <f t="shared" ref="N6:N44" si="1">H6*L6*M6</f>
        <v>8600</v>
      </c>
      <c r="O6" s="188">
        <f>(I6+J6+K6)*L6*M6</f>
        <v>905528.4</v>
      </c>
      <c r="P6" s="428"/>
      <c r="Q6" s="435">
        <f t="shared" ref="Q6:Q17" si="2">K6*M6</f>
        <v>0</v>
      </c>
      <c r="R6" s="482">
        <f t="shared" ref="R6:R9" si="3">M6*L6</f>
        <v>430</v>
      </c>
      <c r="S6" s="343">
        <f t="shared" ref="S6:S44" si="4">M6*L6</f>
        <v>430</v>
      </c>
      <c r="T6" s="435">
        <f t="shared" ref="T6:T44" si="5">(I6)*L6*M6</f>
        <v>905528.4</v>
      </c>
    </row>
    <row r="7" spans="1:24" x14ac:dyDescent="0.2">
      <c r="A7" s="26" t="s">
        <v>180</v>
      </c>
      <c r="B7" s="191">
        <v>12</v>
      </c>
      <c r="C7" s="191">
        <v>5</v>
      </c>
      <c r="D7" s="191">
        <v>0</v>
      </c>
      <c r="E7" s="191">
        <v>38</v>
      </c>
      <c r="F7" s="206">
        <v>0</v>
      </c>
      <c r="G7" s="191">
        <v>3</v>
      </c>
      <c r="H7" s="42">
        <f>SUM(B7:G7)</f>
        <v>58</v>
      </c>
      <c r="I7" s="49">
        <f t="shared" si="0"/>
        <v>4576.18</v>
      </c>
      <c r="J7" s="215">
        <v>0</v>
      </c>
      <c r="K7" s="49">
        <v>0</v>
      </c>
      <c r="L7" s="191">
        <f>P7/M7</f>
        <v>5.9653979238754324</v>
      </c>
      <c r="M7" s="42">
        <v>289</v>
      </c>
      <c r="N7" s="43">
        <f t="shared" si="1"/>
        <v>99992</v>
      </c>
      <c r="O7" s="188">
        <f>(I7+J7+K7)*L7*M7</f>
        <v>7889334.3200000003</v>
      </c>
      <c r="P7" s="428">
        <f>2133-409</f>
        <v>1724</v>
      </c>
      <c r="Q7" s="435">
        <f t="shared" si="2"/>
        <v>0</v>
      </c>
      <c r="R7" s="482">
        <f t="shared" si="3"/>
        <v>1724</v>
      </c>
      <c r="S7" s="343">
        <f t="shared" si="4"/>
        <v>1724</v>
      </c>
      <c r="T7" s="435">
        <f t="shared" si="5"/>
        <v>7889334.3200000003</v>
      </c>
    </row>
    <row r="8" spans="1:24" ht="25.5" x14ac:dyDescent="0.2">
      <c r="A8" s="26" t="s">
        <v>198</v>
      </c>
      <c r="B8" s="191">
        <v>30</v>
      </c>
      <c r="C8" s="191">
        <v>14</v>
      </c>
      <c r="D8" s="191">
        <v>0</v>
      </c>
      <c r="E8" s="191">
        <v>22</v>
      </c>
      <c r="F8" s="206">
        <v>0</v>
      </c>
      <c r="G8" s="191">
        <v>14</v>
      </c>
      <c r="H8" s="42">
        <f>SUM(B8:G8)</f>
        <v>80</v>
      </c>
      <c r="I8" s="49">
        <f t="shared" si="0"/>
        <v>7091.32</v>
      </c>
      <c r="J8" s="215">
        <v>0</v>
      </c>
      <c r="K8" s="49">
        <v>0</v>
      </c>
      <c r="L8" s="191">
        <f>2133/430</f>
        <v>4.9604651162790701</v>
      </c>
      <c r="M8" s="42">
        <v>430</v>
      </c>
      <c r="N8" s="43">
        <f t="shared" si="1"/>
        <v>170640.00000000003</v>
      </c>
      <c r="O8" s="188">
        <f>(I8+J8+K8)*L8*M8</f>
        <v>15125785.560000001</v>
      </c>
      <c r="P8" s="428"/>
      <c r="Q8" s="435">
        <f t="shared" si="2"/>
        <v>0</v>
      </c>
      <c r="R8" s="482">
        <f t="shared" si="3"/>
        <v>2133</v>
      </c>
      <c r="S8" s="343">
        <f t="shared" si="4"/>
        <v>2133</v>
      </c>
      <c r="T8" s="435">
        <f t="shared" si="5"/>
        <v>15125785.560000001</v>
      </c>
      <c r="U8">
        <f>2556/1661</f>
        <v>1.538832028898254</v>
      </c>
      <c r="V8">
        <v>1661</v>
      </c>
      <c r="X8">
        <f>2132.75*0.35</f>
        <v>746.46249999999998</v>
      </c>
    </row>
    <row r="9" spans="1:24" x14ac:dyDescent="0.2">
      <c r="A9" s="26" t="s">
        <v>181</v>
      </c>
      <c r="B9" s="192">
        <v>200</v>
      </c>
      <c r="C9" s="192">
        <v>150</v>
      </c>
      <c r="D9" s="192">
        <v>0</v>
      </c>
      <c r="E9" s="192">
        <v>400</v>
      </c>
      <c r="F9" s="207">
        <v>0</v>
      </c>
      <c r="G9" s="192">
        <v>0</v>
      </c>
      <c r="H9" s="42">
        <f>SUM(B9:G9)</f>
        <v>750</v>
      </c>
      <c r="I9" s="49">
        <f t="shared" si="0"/>
        <v>68538.5</v>
      </c>
      <c r="J9" s="216">
        <v>0</v>
      </c>
      <c r="K9" s="50">
        <v>79952.08</v>
      </c>
      <c r="L9" s="192">
        <v>1</v>
      </c>
      <c r="M9" s="44">
        <v>298.76</v>
      </c>
      <c r="N9" s="43">
        <f t="shared" si="1"/>
        <v>224070</v>
      </c>
      <c r="O9" s="188">
        <f>(I9+J9+K9)*L9*M9</f>
        <v>44363045.680800006</v>
      </c>
      <c r="P9" s="428"/>
      <c r="Q9" s="435">
        <f t="shared" si="2"/>
        <v>23886483.4208</v>
      </c>
      <c r="R9" s="482">
        <f t="shared" si="3"/>
        <v>298.76</v>
      </c>
      <c r="S9" s="343">
        <f t="shared" si="4"/>
        <v>298.76</v>
      </c>
      <c r="T9" s="435">
        <f t="shared" si="5"/>
        <v>20476562.259999998</v>
      </c>
      <c r="U9" s="213">
        <f>1661/2556</f>
        <v>0.64984350547730829</v>
      </c>
      <c r="V9">
        <f>2133*0.65</f>
        <v>1386.45</v>
      </c>
    </row>
    <row r="10" spans="1:24" ht="30" x14ac:dyDescent="0.25">
      <c r="A10" s="45" t="s">
        <v>182</v>
      </c>
      <c r="B10" s="193"/>
      <c r="C10" s="194"/>
      <c r="D10" s="194"/>
      <c r="E10" s="194"/>
      <c r="F10" s="208"/>
      <c r="G10" s="194"/>
      <c r="H10" s="195"/>
      <c r="I10" s="49"/>
      <c r="J10" s="217"/>
      <c r="K10" s="197"/>
      <c r="L10" s="194"/>
      <c r="M10" s="195"/>
      <c r="N10" s="186"/>
      <c r="O10" s="197"/>
      <c r="P10" s="429"/>
      <c r="Q10" s="435">
        <f t="shared" si="2"/>
        <v>0</v>
      </c>
      <c r="R10" s="484" t="s">
        <v>293</v>
      </c>
      <c r="S10" s="343">
        <f t="shared" si="4"/>
        <v>0</v>
      </c>
      <c r="T10" s="435"/>
      <c r="U10">
        <f>430*0.65</f>
        <v>279.5</v>
      </c>
    </row>
    <row r="11" spans="1:24" x14ac:dyDescent="0.2">
      <c r="A11" s="187" t="s">
        <v>60</v>
      </c>
      <c r="B11" s="198">
        <v>10</v>
      </c>
      <c r="C11" s="198">
        <v>4</v>
      </c>
      <c r="D11" s="198">
        <v>1</v>
      </c>
      <c r="E11" s="198">
        <v>20</v>
      </c>
      <c r="F11" s="209">
        <v>0</v>
      </c>
      <c r="G11" s="198">
        <v>2</v>
      </c>
      <c r="H11" s="42">
        <f t="shared" ref="H11:H28" si="6">SUM(B11:G11)</f>
        <v>37</v>
      </c>
      <c r="I11" s="49">
        <f t="shared" si="0"/>
        <v>3165.86</v>
      </c>
      <c r="J11" s="218">
        <v>0</v>
      </c>
      <c r="K11" s="284"/>
      <c r="L11" s="198">
        <f>P11/M11</f>
        <v>9.7542168674698786</v>
      </c>
      <c r="M11" s="47">
        <v>12.77884239130435</v>
      </c>
      <c r="N11" s="43">
        <f t="shared" si="1"/>
        <v>4611.9612000000006</v>
      </c>
      <c r="O11" s="188">
        <f>(I11+J11+K19)*L11*M11</f>
        <v>1100953.2509360001</v>
      </c>
      <c r="P11" s="430">
        <v>124.64760000000001</v>
      </c>
      <c r="Q11" s="435">
        <f t="shared" si="2"/>
        <v>0</v>
      </c>
      <c r="R11" s="277">
        <f>M11*L11</f>
        <v>124.64760000000001</v>
      </c>
      <c r="S11" s="343">
        <f t="shared" si="4"/>
        <v>124.64760000000001</v>
      </c>
      <c r="T11" s="435">
        <f t="shared" si="5"/>
        <v>394616.850936</v>
      </c>
      <c r="U11" s="375"/>
    </row>
    <row r="12" spans="1:24" x14ac:dyDescent="0.2">
      <c r="A12" s="187" t="s">
        <v>61</v>
      </c>
      <c r="B12" s="191">
        <v>10</v>
      </c>
      <c r="C12" s="191">
        <v>4</v>
      </c>
      <c r="D12" s="191">
        <v>1</v>
      </c>
      <c r="E12" s="191">
        <v>60</v>
      </c>
      <c r="F12" s="206"/>
      <c r="G12" s="191">
        <v>2</v>
      </c>
      <c r="H12" s="42">
        <f t="shared" si="6"/>
        <v>77</v>
      </c>
      <c r="I12" s="49">
        <f t="shared" si="0"/>
        <v>5837.86</v>
      </c>
      <c r="J12" s="215"/>
      <c r="K12" s="284"/>
      <c r="L12" s="198">
        <f t="shared" ref="L12:L17" si="7">P12/M12</f>
        <v>7.0916999999999994</v>
      </c>
      <c r="M12" s="42">
        <v>4</v>
      </c>
      <c r="N12" s="43">
        <f t="shared" si="1"/>
        <v>2184.2435999999998</v>
      </c>
      <c r="O12" s="188">
        <f>(I12+J12+K20)*L12*M12</f>
        <v>591103.40704800002</v>
      </c>
      <c r="P12" s="431">
        <v>28.366799999999998</v>
      </c>
      <c r="Q12" s="435">
        <f t="shared" si="2"/>
        <v>0</v>
      </c>
      <c r="R12" s="277">
        <f t="shared" ref="R12:R17" si="8">M12*L12</f>
        <v>28.366799999999998</v>
      </c>
      <c r="S12" s="343">
        <f t="shared" si="4"/>
        <v>28.366799999999998</v>
      </c>
      <c r="T12" s="435">
        <f t="shared" si="5"/>
        <v>165601.40704799996</v>
      </c>
    </row>
    <row r="13" spans="1:24" x14ac:dyDescent="0.2">
      <c r="A13" s="187" t="s">
        <v>183</v>
      </c>
      <c r="B13" s="191">
        <v>50</v>
      </c>
      <c r="C13" s="191">
        <v>4</v>
      </c>
      <c r="D13" s="191">
        <v>0</v>
      </c>
      <c r="E13" s="191">
        <v>80</v>
      </c>
      <c r="F13" s="206">
        <v>0</v>
      </c>
      <c r="G13" s="191"/>
      <c r="H13" s="42">
        <f t="shared" si="6"/>
        <v>134</v>
      </c>
      <c r="I13" s="49">
        <f t="shared" si="0"/>
        <v>10696.24</v>
      </c>
      <c r="J13" s="215">
        <v>0</v>
      </c>
      <c r="K13" s="284"/>
      <c r="L13" s="198">
        <f t="shared" si="7"/>
        <v>2.5011709601873537</v>
      </c>
      <c r="M13" s="42">
        <v>13.139285767790261</v>
      </c>
      <c r="N13" s="43">
        <f t="shared" si="1"/>
        <v>4403.7223999999997</v>
      </c>
      <c r="O13" s="188">
        <f>(I13+J13+K21)*L13*M13</f>
        <v>592516.68619733339</v>
      </c>
      <c r="P13" s="431">
        <v>32.863599999999998</v>
      </c>
      <c r="Q13" s="435">
        <f t="shared" si="2"/>
        <v>0</v>
      </c>
      <c r="R13" s="277">
        <f t="shared" si="8"/>
        <v>32.863599999999998</v>
      </c>
      <c r="S13" s="343">
        <f t="shared" si="4"/>
        <v>32.863599999999998</v>
      </c>
      <c r="T13" s="435">
        <f t="shared" si="5"/>
        <v>351516.95286399999</v>
      </c>
    </row>
    <row r="14" spans="1:24" x14ac:dyDescent="0.2">
      <c r="A14" s="187" t="s">
        <v>184</v>
      </c>
      <c r="B14" s="191">
        <v>10</v>
      </c>
      <c r="C14" s="191">
        <v>4</v>
      </c>
      <c r="D14" s="191">
        <v>1</v>
      </c>
      <c r="E14" s="191">
        <v>20</v>
      </c>
      <c r="F14" s="206">
        <v>0</v>
      </c>
      <c r="G14" s="191">
        <v>2</v>
      </c>
      <c r="H14" s="42">
        <f t="shared" si="6"/>
        <v>37</v>
      </c>
      <c r="I14" s="49">
        <f t="shared" si="0"/>
        <v>3165.86</v>
      </c>
      <c r="J14" s="215">
        <v>0</v>
      </c>
      <c r="K14" s="284"/>
      <c r="L14" s="198">
        <f t="shared" si="7"/>
        <v>9.4599999999999991</v>
      </c>
      <c r="M14" s="42">
        <v>2</v>
      </c>
      <c r="N14" s="43">
        <f t="shared" si="1"/>
        <v>700.04</v>
      </c>
      <c r="O14" s="188">
        <f>(I14+J14+K22)*L14*M14</f>
        <v>343698.07120000001</v>
      </c>
      <c r="P14" s="431">
        <v>18.919999999999998</v>
      </c>
      <c r="Q14" s="435">
        <f t="shared" si="2"/>
        <v>0</v>
      </c>
      <c r="R14" s="277">
        <f t="shared" si="8"/>
        <v>18.919999999999998</v>
      </c>
      <c r="S14" s="343">
        <f t="shared" si="4"/>
        <v>18.919999999999998</v>
      </c>
      <c r="T14" s="435">
        <f t="shared" si="5"/>
        <v>59898.071199999998</v>
      </c>
    </row>
    <row r="15" spans="1:24" x14ac:dyDescent="0.2">
      <c r="A15" s="187" t="s">
        <v>199</v>
      </c>
      <c r="B15" s="191">
        <v>10</v>
      </c>
      <c r="C15" s="191">
        <v>4</v>
      </c>
      <c r="D15" s="191">
        <v>1</v>
      </c>
      <c r="E15" s="191">
        <v>20</v>
      </c>
      <c r="F15" s="206"/>
      <c r="G15" s="191">
        <v>2</v>
      </c>
      <c r="H15" s="42">
        <f t="shared" si="6"/>
        <v>37</v>
      </c>
      <c r="I15" s="49">
        <f t="shared" si="0"/>
        <v>3165.86</v>
      </c>
      <c r="J15" s="215">
        <v>0</v>
      </c>
      <c r="K15" s="284"/>
      <c r="L15" s="198">
        <f t="shared" si="7"/>
        <v>2.5507101594058126</v>
      </c>
      <c r="M15" s="42">
        <v>1.5877931034482755</v>
      </c>
      <c r="N15" s="43"/>
      <c r="O15" s="188"/>
      <c r="P15" s="430">
        <v>4.0500000000000007</v>
      </c>
      <c r="Q15" s="435">
        <f t="shared" si="2"/>
        <v>0</v>
      </c>
      <c r="R15" s="277">
        <f t="shared" si="8"/>
        <v>4.0500000000000007</v>
      </c>
      <c r="S15" s="343">
        <f t="shared" si="4"/>
        <v>4.0500000000000007</v>
      </c>
      <c r="T15" s="435">
        <f t="shared" si="5"/>
        <v>12821.733000000002</v>
      </c>
    </row>
    <row r="16" spans="1:24" x14ac:dyDescent="0.2">
      <c r="A16" s="187" t="s">
        <v>331</v>
      </c>
      <c r="B16" s="191">
        <v>10</v>
      </c>
      <c r="C16" s="191">
        <v>4</v>
      </c>
      <c r="D16" s="191">
        <v>1</v>
      </c>
      <c r="E16" s="191">
        <v>20</v>
      </c>
      <c r="F16" s="206"/>
      <c r="G16" s="191">
        <v>2</v>
      </c>
      <c r="H16" s="42">
        <f t="shared" si="6"/>
        <v>37</v>
      </c>
      <c r="I16" s="49">
        <f t="shared" si="0"/>
        <v>3165.86</v>
      </c>
      <c r="J16" s="215">
        <v>0</v>
      </c>
      <c r="K16" s="284"/>
      <c r="L16" s="198">
        <f t="shared" si="7"/>
        <v>2.1935483870967745</v>
      </c>
      <c r="M16" s="42">
        <v>0.94075882352941176</v>
      </c>
      <c r="N16" s="43"/>
      <c r="O16" s="188"/>
      <c r="P16" s="431">
        <v>2.0636000000000001</v>
      </c>
      <c r="Q16" s="435">
        <f t="shared" si="2"/>
        <v>0</v>
      </c>
      <c r="R16" s="277">
        <f t="shared" si="8"/>
        <v>2.0636000000000001</v>
      </c>
      <c r="S16" s="343">
        <f t="shared" si="4"/>
        <v>2.0636000000000001</v>
      </c>
      <c r="T16" s="435">
        <f t="shared" si="5"/>
        <v>6533.0686960000012</v>
      </c>
    </row>
    <row r="17" spans="1:24" ht="15" thickBot="1" x14ac:dyDescent="0.25">
      <c r="A17" s="454" t="s">
        <v>185</v>
      </c>
      <c r="B17" s="192">
        <v>10</v>
      </c>
      <c r="C17" s="192">
        <v>4</v>
      </c>
      <c r="D17" s="192">
        <v>1</v>
      </c>
      <c r="E17" s="192">
        <v>20</v>
      </c>
      <c r="F17" s="207">
        <v>0</v>
      </c>
      <c r="G17" s="192">
        <v>2</v>
      </c>
      <c r="H17" s="44">
        <f t="shared" si="6"/>
        <v>37</v>
      </c>
      <c r="I17" s="50">
        <f t="shared" si="0"/>
        <v>3165.86</v>
      </c>
      <c r="J17" s="216">
        <v>0</v>
      </c>
      <c r="K17" s="354"/>
      <c r="L17" s="198">
        <f t="shared" si="7"/>
        <v>2.8955752212389378</v>
      </c>
      <c r="M17" s="44">
        <v>17.391363080684595</v>
      </c>
      <c r="N17" s="249">
        <f t="shared" si="1"/>
        <v>1863.2459999999996</v>
      </c>
      <c r="O17" s="250">
        <f>(I17+J17+K25)*L17*M17</f>
        <v>587469.37788000004</v>
      </c>
      <c r="P17" s="508">
        <v>50.35799999999999</v>
      </c>
      <c r="Q17" s="456">
        <f t="shared" si="2"/>
        <v>0</v>
      </c>
      <c r="R17" s="277">
        <f t="shared" si="8"/>
        <v>50.35799999999999</v>
      </c>
      <c r="S17" s="343">
        <f t="shared" si="4"/>
        <v>50.35799999999999</v>
      </c>
      <c r="T17" s="435">
        <f t="shared" si="5"/>
        <v>159426.37787999999</v>
      </c>
      <c r="U17" s="372">
        <f>SUM(T7:T17)</f>
        <v>44642096.601624005</v>
      </c>
      <c r="X17" s="342">
        <f>SUM(P11:P17)</f>
        <v>261.26960000000003</v>
      </c>
    </row>
    <row r="18" spans="1:24" ht="51.75" thickBot="1" x14ac:dyDescent="0.25">
      <c r="A18" s="460" t="s">
        <v>328</v>
      </c>
      <c r="B18" s="461"/>
      <c r="C18" s="461"/>
      <c r="D18" s="461"/>
      <c r="E18" s="461"/>
      <c r="F18" s="461"/>
      <c r="G18" s="461"/>
      <c r="H18" s="462"/>
      <c r="I18" s="463"/>
      <c r="J18" s="463"/>
      <c r="K18" s="463" t="s">
        <v>330</v>
      </c>
      <c r="L18" s="461"/>
      <c r="M18" s="504"/>
      <c r="N18" s="464"/>
      <c r="O18" s="465"/>
      <c r="P18" s="509"/>
      <c r="Q18" s="478"/>
      <c r="R18" s="485"/>
      <c r="S18" s="343">
        <f t="shared" si="4"/>
        <v>0</v>
      </c>
      <c r="T18" s="479"/>
      <c r="X18" s="342"/>
    </row>
    <row r="19" spans="1:24" x14ac:dyDescent="0.2">
      <c r="A19" s="457" t="s">
        <v>60</v>
      </c>
      <c r="B19" s="417"/>
      <c r="C19" s="417"/>
      <c r="D19" s="417"/>
      <c r="E19" s="417"/>
      <c r="F19" s="417"/>
      <c r="G19" s="417"/>
      <c r="H19" s="458"/>
      <c r="I19" s="420"/>
      <c r="J19" s="420"/>
      <c r="K19" s="420">
        <f>17000/3</f>
        <v>5666.666666666667</v>
      </c>
      <c r="L19" s="417">
        <f>P19/M19</f>
        <v>9.7542168674698804</v>
      </c>
      <c r="M19" s="505">
        <v>16.263981225296448</v>
      </c>
      <c r="N19" s="458"/>
      <c r="O19" s="459"/>
      <c r="P19" s="510">
        <v>158.64240000000007</v>
      </c>
      <c r="Q19" s="480">
        <f>K19*(M19*L19)</f>
        <v>898973.60000000044</v>
      </c>
      <c r="R19" s="485">
        <f t="shared" ref="R19:R25" si="9">N19*L19</f>
        <v>0</v>
      </c>
      <c r="S19" s="343">
        <f t="shared" si="4"/>
        <v>158.64240000000007</v>
      </c>
      <c r="T19" s="479">
        <f t="shared" ref="T19:T25" si="10">(I19)*L19*N19</f>
        <v>0</v>
      </c>
      <c r="X19" s="342"/>
    </row>
    <row r="20" spans="1:24" x14ac:dyDescent="0.2">
      <c r="A20" s="419" t="s">
        <v>61</v>
      </c>
      <c r="B20" s="414"/>
      <c r="C20" s="414"/>
      <c r="D20" s="414"/>
      <c r="E20" s="414"/>
      <c r="F20" s="414"/>
      <c r="G20" s="414"/>
      <c r="H20" s="415"/>
      <c r="I20" s="416"/>
      <c r="J20" s="416"/>
      <c r="K20" s="416">
        <f>45000/3</f>
        <v>15000</v>
      </c>
      <c r="L20" s="417">
        <f t="shared" ref="L20:L25" si="11">P20/M20</f>
        <v>6.0171999999999999</v>
      </c>
      <c r="M20" s="505">
        <v>6</v>
      </c>
      <c r="N20" s="415"/>
      <c r="O20" s="418"/>
      <c r="P20" s="511">
        <v>36.103200000000001</v>
      </c>
      <c r="Q20" s="480">
        <f t="shared" ref="Q20:Q44" si="12">K20*(M20*L20)</f>
        <v>541548</v>
      </c>
      <c r="R20" s="485">
        <f t="shared" si="9"/>
        <v>0</v>
      </c>
      <c r="S20" s="343">
        <f t="shared" si="4"/>
        <v>36.103200000000001</v>
      </c>
      <c r="T20" s="479">
        <f t="shared" si="10"/>
        <v>0</v>
      </c>
      <c r="X20" s="342"/>
    </row>
    <row r="21" spans="1:24" x14ac:dyDescent="0.2">
      <c r="A21" s="419" t="s">
        <v>183</v>
      </c>
      <c r="B21" s="414"/>
      <c r="C21" s="414"/>
      <c r="D21" s="414"/>
      <c r="E21" s="414"/>
      <c r="F21" s="414"/>
      <c r="G21" s="414"/>
      <c r="H21" s="415"/>
      <c r="I21" s="416"/>
      <c r="J21" s="416"/>
      <c r="K21" s="416">
        <f>22000/3</f>
        <v>7333.333333333333</v>
      </c>
      <c r="L21" s="417">
        <f t="shared" si="11"/>
        <v>2.5011709601873542</v>
      </c>
      <c r="M21" s="505">
        <v>16.722727340823965</v>
      </c>
      <c r="N21" s="415"/>
      <c r="O21" s="418"/>
      <c r="P21" s="511">
        <v>41.8264</v>
      </c>
      <c r="Q21" s="480">
        <f t="shared" si="12"/>
        <v>306726.93333333329</v>
      </c>
      <c r="R21" s="485">
        <f t="shared" si="9"/>
        <v>0</v>
      </c>
      <c r="S21" s="343">
        <f t="shared" si="4"/>
        <v>41.8264</v>
      </c>
      <c r="T21" s="479">
        <f t="shared" si="10"/>
        <v>0</v>
      </c>
      <c r="X21" s="342"/>
    </row>
    <row r="22" spans="1:24" x14ac:dyDescent="0.2">
      <c r="A22" s="419" t="s">
        <v>184</v>
      </c>
      <c r="B22" s="414"/>
      <c r="C22" s="414"/>
      <c r="D22" s="414"/>
      <c r="E22" s="414"/>
      <c r="F22" s="414"/>
      <c r="G22" s="414"/>
      <c r="H22" s="415"/>
      <c r="I22" s="416"/>
      <c r="J22" s="416"/>
      <c r="K22" s="416">
        <f>45000/3</f>
        <v>15000</v>
      </c>
      <c r="L22" s="417">
        <f t="shared" si="11"/>
        <v>8.0266666666666673</v>
      </c>
      <c r="M22" s="505">
        <v>3</v>
      </c>
      <c r="N22" s="415"/>
      <c r="O22" s="418"/>
      <c r="P22" s="511">
        <v>24.080000000000002</v>
      </c>
      <c r="Q22" s="480">
        <f t="shared" si="12"/>
        <v>361200</v>
      </c>
      <c r="R22" s="485">
        <f t="shared" si="9"/>
        <v>0</v>
      </c>
      <c r="S22" s="343">
        <f t="shared" si="4"/>
        <v>24.080000000000002</v>
      </c>
      <c r="T22" s="479">
        <f t="shared" si="10"/>
        <v>0</v>
      </c>
      <c r="X22" s="342"/>
    </row>
    <row r="23" spans="1:24" x14ac:dyDescent="0.2">
      <c r="A23" s="419" t="s">
        <v>199</v>
      </c>
      <c r="B23" s="414"/>
      <c r="C23" s="414"/>
      <c r="D23" s="414"/>
      <c r="E23" s="414"/>
      <c r="F23" s="414"/>
      <c r="G23" s="414"/>
      <c r="H23" s="415"/>
      <c r="I23" s="416"/>
      <c r="J23" s="416"/>
      <c r="K23" s="416">
        <f>45000/3</f>
        <v>15000</v>
      </c>
      <c r="L23" s="417">
        <f t="shared" si="11"/>
        <v>1.979387072554774</v>
      </c>
      <c r="M23" s="505">
        <v>2.020827586206897</v>
      </c>
      <c r="N23" s="415"/>
      <c r="O23" s="418"/>
      <c r="P23" s="511">
        <v>4</v>
      </c>
      <c r="Q23" s="480">
        <f t="shared" si="12"/>
        <v>60000</v>
      </c>
      <c r="R23" s="485">
        <f t="shared" si="9"/>
        <v>0</v>
      </c>
      <c r="S23" s="343">
        <f t="shared" si="4"/>
        <v>4</v>
      </c>
      <c r="T23" s="479">
        <f t="shared" si="10"/>
        <v>0</v>
      </c>
      <c r="X23" s="342"/>
    </row>
    <row r="24" spans="1:24" x14ac:dyDescent="0.2">
      <c r="A24" s="419" t="s">
        <v>331</v>
      </c>
      <c r="B24" s="414"/>
      <c r="C24" s="414"/>
      <c r="D24" s="414"/>
      <c r="E24" s="414"/>
      <c r="F24" s="414"/>
      <c r="G24" s="414"/>
      <c r="H24" s="415"/>
      <c r="I24" s="416"/>
      <c r="J24" s="416"/>
      <c r="K24" s="416">
        <f>(10000+7000)/2</f>
        <v>8500</v>
      </c>
      <c r="L24" s="417">
        <f t="shared" si="11"/>
        <v>2.193548387096774</v>
      </c>
      <c r="M24" s="505">
        <v>1.1973294117647064</v>
      </c>
      <c r="N24" s="415"/>
      <c r="O24" s="418"/>
      <c r="P24" s="511">
        <v>2.6264000000000012</v>
      </c>
      <c r="Q24" s="480">
        <f t="shared" si="12"/>
        <v>22324.400000000009</v>
      </c>
      <c r="R24" s="485">
        <f t="shared" si="9"/>
        <v>0</v>
      </c>
      <c r="S24" s="343">
        <f t="shared" si="4"/>
        <v>2.6264000000000012</v>
      </c>
      <c r="T24" s="479">
        <f t="shared" si="10"/>
        <v>0</v>
      </c>
      <c r="X24" s="342"/>
    </row>
    <row r="25" spans="1:24" x14ac:dyDescent="0.2">
      <c r="A25" s="419" t="s">
        <v>185</v>
      </c>
      <c r="B25" s="414"/>
      <c r="C25" s="414"/>
      <c r="D25" s="414"/>
      <c r="E25" s="414"/>
      <c r="F25" s="414"/>
      <c r="G25" s="414"/>
      <c r="H25" s="415"/>
      <c r="I25" s="416"/>
      <c r="J25" s="416"/>
      <c r="K25" s="416">
        <f>(10000+7000)/2</f>
        <v>8500</v>
      </c>
      <c r="L25" s="417">
        <f t="shared" si="11"/>
        <v>2.8955752212389378</v>
      </c>
      <c r="M25" s="505">
        <v>22.134462102689486</v>
      </c>
      <c r="N25" s="415"/>
      <c r="O25" s="418"/>
      <c r="P25" s="511">
        <v>64.091999999999999</v>
      </c>
      <c r="Q25" s="480">
        <f t="shared" si="12"/>
        <v>544782</v>
      </c>
      <c r="R25" s="485">
        <f t="shared" si="9"/>
        <v>0</v>
      </c>
      <c r="S25" s="343">
        <f t="shared" si="4"/>
        <v>64.091999999999999</v>
      </c>
      <c r="T25" s="479">
        <f t="shared" si="10"/>
        <v>0</v>
      </c>
      <c r="X25" s="342"/>
    </row>
    <row r="26" spans="1:24" x14ac:dyDescent="0.2">
      <c r="A26" s="26" t="s">
        <v>186</v>
      </c>
      <c r="B26" s="191">
        <v>6</v>
      </c>
      <c r="C26" s="191">
        <v>4</v>
      </c>
      <c r="D26" s="191">
        <v>1</v>
      </c>
      <c r="E26" s="191">
        <v>0</v>
      </c>
      <c r="F26" s="206">
        <v>0</v>
      </c>
      <c r="G26" s="191">
        <v>1</v>
      </c>
      <c r="H26" s="42">
        <f t="shared" si="6"/>
        <v>12</v>
      </c>
      <c r="I26" s="49">
        <f t="shared" si="0"/>
        <v>1404.45</v>
      </c>
      <c r="J26" s="215">
        <v>0</v>
      </c>
      <c r="K26" s="49">
        <v>0</v>
      </c>
      <c r="L26" s="191">
        <v>2.9</v>
      </c>
      <c r="M26" s="42">
        <f>SUM(M11:M17)</f>
        <v>51.838043166756904</v>
      </c>
      <c r="N26" s="43">
        <f t="shared" si="1"/>
        <v>1803.9639022031402</v>
      </c>
      <c r="O26" s="188">
        <f t="shared" ref="O26:O29" si="13">(I26+J26+K26)*L26*M26</f>
        <v>211131.42520410003</v>
      </c>
      <c r="P26" s="428"/>
      <c r="Q26" s="480">
        <f t="shared" si="12"/>
        <v>0</v>
      </c>
      <c r="R26" s="517">
        <f t="shared" ref="R26:R44" si="14">M26*L26</f>
        <v>150.33032518359502</v>
      </c>
      <c r="S26" s="343">
        <f t="shared" si="4"/>
        <v>150.33032518359502</v>
      </c>
      <c r="T26" s="435">
        <f t="shared" si="5"/>
        <v>211131.42520410003</v>
      </c>
    </row>
    <row r="27" spans="1:24" ht="25.5" x14ac:dyDescent="0.2">
      <c r="A27" s="26" t="s">
        <v>235</v>
      </c>
      <c r="B27" s="191">
        <v>2</v>
      </c>
      <c r="C27" s="191">
        <v>0.5</v>
      </c>
      <c r="D27" s="191">
        <v>1</v>
      </c>
      <c r="E27" s="191">
        <v>0</v>
      </c>
      <c r="F27" s="206">
        <v>0</v>
      </c>
      <c r="G27" s="191">
        <v>1</v>
      </c>
      <c r="H27" s="42">
        <f t="shared" si="6"/>
        <v>4.5</v>
      </c>
      <c r="I27" s="49">
        <f t="shared" si="0"/>
        <v>491.92500000000007</v>
      </c>
      <c r="J27" s="215">
        <v>0</v>
      </c>
      <c r="K27" s="49">
        <v>6</v>
      </c>
      <c r="L27" s="191">
        <f>P27/M27</f>
        <v>11.093071847946222</v>
      </c>
      <c r="M27" s="42">
        <f>SUM(M19:M25)</f>
        <v>67.3393276667815</v>
      </c>
      <c r="N27" s="43">
        <f t="shared" si="1"/>
        <v>3361.5</v>
      </c>
      <c r="O27" s="188">
        <f t="shared" si="13"/>
        <v>371949.97500000003</v>
      </c>
      <c r="P27" s="432">
        <v>747</v>
      </c>
      <c r="Q27" s="480">
        <f t="shared" si="12"/>
        <v>4482</v>
      </c>
      <c r="R27" s="518">
        <f t="shared" si="14"/>
        <v>747</v>
      </c>
      <c r="S27" s="343">
        <f t="shared" si="4"/>
        <v>747</v>
      </c>
      <c r="T27" s="435">
        <f t="shared" si="5"/>
        <v>367467.97500000009</v>
      </c>
    </row>
    <row r="28" spans="1:24" ht="25.5" x14ac:dyDescent="0.2">
      <c r="A28" s="26" t="s">
        <v>187</v>
      </c>
      <c r="B28" s="192">
        <v>1</v>
      </c>
      <c r="C28" s="192">
        <v>0.5</v>
      </c>
      <c r="D28" s="192">
        <v>0</v>
      </c>
      <c r="E28" s="192">
        <v>0</v>
      </c>
      <c r="F28" s="207">
        <v>0</v>
      </c>
      <c r="G28" s="192">
        <v>2</v>
      </c>
      <c r="H28" s="42">
        <f t="shared" si="6"/>
        <v>3.5</v>
      </c>
      <c r="I28" s="49">
        <f t="shared" si="0"/>
        <v>262.95499999999998</v>
      </c>
      <c r="J28" s="216">
        <v>0</v>
      </c>
      <c r="K28" s="50">
        <v>3</v>
      </c>
      <c r="L28" s="192">
        <f>P28/M28</f>
        <v>3.8217543443103774</v>
      </c>
      <c r="M28" s="44">
        <f>430-M27</f>
        <v>362.66067233321849</v>
      </c>
      <c r="N28" s="43">
        <f t="shared" si="1"/>
        <v>4851</v>
      </c>
      <c r="O28" s="188">
        <f t="shared" si="13"/>
        <v>368613.63</v>
      </c>
      <c r="P28" s="428">
        <v>1386</v>
      </c>
      <c r="Q28" s="480">
        <f t="shared" si="12"/>
        <v>4158</v>
      </c>
      <c r="R28" s="518">
        <f t="shared" si="14"/>
        <v>1386</v>
      </c>
      <c r="S28" s="343">
        <f t="shared" si="4"/>
        <v>1386</v>
      </c>
      <c r="T28" s="435">
        <f t="shared" si="5"/>
        <v>364455.63</v>
      </c>
    </row>
    <row r="29" spans="1:24" x14ac:dyDescent="0.2">
      <c r="A29" s="45" t="s">
        <v>188</v>
      </c>
      <c r="B29" s="192">
        <v>0.5</v>
      </c>
      <c r="C29" s="192">
        <v>0.5</v>
      </c>
      <c r="D29" s="192">
        <v>0</v>
      </c>
      <c r="E29" s="192">
        <v>0</v>
      </c>
      <c r="F29" s="207">
        <v>0</v>
      </c>
      <c r="G29" s="192">
        <v>0.5</v>
      </c>
      <c r="H29" s="44">
        <v>3</v>
      </c>
      <c r="I29" s="49">
        <f t="shared" si="0"/>
        <v>146.57</v>
      </c>
      <c r="J29" s="216">
        <v>0</v>
      </c>
      <c r="K29" s="50">
        <v>1</v>
      </c>
      <c r="L29" s="192">
        <v>5.3</v>
      </c>
      <c r="M29" s="42">
        <v>430</v>
      </c>
      <c r="N29" s="43">
        <f t="shared" si="1"/>
        <v>6836.9999999999991</v>
      </c>
      <c r="O29" s="188">
        <f t="shared" si="13"/>
        <v>336312.02999999997</v>
      </c>
      <c r="P29" s="428"/>
      <c r="Q29" s="480">
        <f t="shared" si="12"/>
        <v>2279</v>
      </c>
      <c r="R29" s="518">
        <f t="shared" si="14"/>
        <v>2279</v>
      </c>
      <c r="S29" s="343">
        <f t="shared" si="4"/>
        <v>2279</v>
      </c>
      <c r="T29" s="435">
        <f t="shared" si="5"/>
        <v>334033.02999999997</v>
      </c>
    </row>
    <row r="30" spans="1:24" x14ac:dyDescent="0.2">
      <c r="A30" s="45" t="s">
        <v>189</v>
      </c>
      <c r="B30" s="199"/>
      <c r="C30" s="199"/>
      <c r="D30" s="199"/>
      <c r="E30" s="199"/>
      <c r="F30" s="206"/>
      <c r="G30" s="199"/>
      <c r="H30" s="200"/>
      <c r="I30" s="49"/>
      <c r="J30" s="215"/>
      <c r="K30" s="196"/>
      <c r="L30" s="199"/>
      <c r="M30" s="200"/>
      <c r="N30" s="186"/>
      <c r="O30" s="219"/>
      <c r="P30" s="428"/>
      <c r="Q30" s="480">
        <f t="shared" si="12"/>
        <v>0</v>
      </c>
      <c r="R30" s="518">
        <f t="shared" si="14"/>
        <v>0</v>
      </c>
      <c r="S30" s="343">
        <f t="shared" si="4"/>
        <v>0</v>
      </c>
      <c r="T30" s="435">
        <f t="shared" si="5"/>
        <v>0</v>
      </c>
    </row>
    <row r="31" spans="1:24" x14ac:dyDescent="0.2">
      <c r="A31" s="187" t="s">
        <v>190</v>
      </c>
      <c r="B31" s="198">
        <v>0</v>
      </c>
      <c r="C31" s="198">
        <v>0</v>
      </c>
      <c r="D31" s="198">
        <v>0</v>
      </c>
      <c r="E31" s="198">
        <v>0</v>
      </c>
      <c r="F31" s="209">
        <v>0</v>
      </c>
      <c r="G31" s="198">
        <v>0</v>
      </c>
      <c r="H31" s="42">
        <f t="shared" ref="H31:H44" si="15">SUM(B31:G31)</f>
        <v>0</v>
      </c>
      <c r="I31" s="49">
        <f t="shared" si="0"/>
        <v>0</v>
      </c>
      <c r="J31" s="218">
        <v>0</v>
      </c>
      <c r="K31" s="51">
        <v>397</v>
      </c>
      <c r="L31" s="198">
        <f>408/M31</f>
        <v>2.8936170212765959</v>
      </c>
      <c r="M31" s="47">
        <v>141</v>
      </c>
      <c r="N31" s="43">
        <f t="shared" si="1"/>
        <v>0</v>
      </c>
      <c r="O31" s="188">
        <f t="shared" ref="O31:O44" si="16">(I31+J31+K31)*L31*M31</f>
        <v>161976.00000000003</v>
      </c>
      <c r="P31" s="428"/>
      <c r="Q31" s="480">
        <f t="shared" si="12"/>
        <v>161976</v>
      </c>
      <c r="R31" s="518">
        <f t="shared" si="14"/>
        <v>408</v>
      </c>
      <c r="S31" s="343">
        <f t="shared" si="4"/>
        <v>408</v>
      </c>
      <c r="T31" s="435">
        <f t="shared" si="5"/>
        <v>0</v>
      </c>
      <c r="X31" s="214">
        <f>SUM(M11:M14)</f>
        <v>31.918128159094614</v>
      </c>
    </row>
    <row r="32" spans="1:24" x14ac:dyDescent="0.2">
      <c r="A32" s="187" t="s">
        <v>191</v>
      </c>
      <c r="B32" s="191">
        <v>0</v>
      </c>
      <c r="C32" s="191">
        <v>0</v>
      </c>
      <c r="D32" s="191">
        <v>0</v>
      </c>
      <c r="E32" s="191">
        <v>0</v>
      </c>
      <c r="F32" s="206">
        <v>0</v>
      </c>
      <c r="G32" s="191">
        <v>0</v>
      </c>
      <c r="H32" s="42">
        <f t="shared" si="15"/>
        <v>0</v>
      </c>
      <c r="I32" s="49">
        <f t="shared" si="0"/>
        <v>0</v>
      </c>
      <c r="J32" s="215">
        <v>0</v>
      </c>
      <c r="K32" s="49">
        <v>563</v>
      </c>
      <c r="L32" s="191">
        <f>P7/M32</f>
        <v>5.9653979238754324</v>
      </c>
      <c r="M32" s="42">
        <v>289</v>
      </c>
      <c r="N32" s="43">
        <f t="shared" si="1"/>
        <v>0</v>
      </c>
      <c r="O32" s="188">
        <f t="shared" si="16"/>
        <v>970611.99999999988</v>
      </c>
      <c r="P32" s="428"/>
      <c r="Q32" s="480">
        <f t="shared" si="12"/>
        <v>970612</v>
      </c>
      <c r="R32" s="518">
        <f t="shared" si="14"/>
        <v>1724</v>
      </c>
      <c r="S32" s="343">
        <f t="shared" si="4"/>
        <v>1724</v>
      </c>
      <c r="T32" s="435">
        <f t="shared" si="5"/>
        <v>0</v>
      </c>
      <c r="X32">
        <f>430-141</f>
        <v>289</v>
      </c>
    </row>
    <row r="33" spans="1:24" x14ac:dyDescent="0.2">
      <c r="A33" s="57" t="s">
        <v>192</v>
      </c>
      <c r="B33" s="191">
        <v>1</v>
      </c>
      <c r="C33" s="191">
        <v>1</v>
      </c>
      <c r="D33" s="191">
        <v>0.5</v>
      </c>
      <c r="E33" s="191">
        <v>0</v>
      </c>
      <c r="F33" s="206">
        <v>0</v>
      </c>
      <c r="G33" s="191">
        <v>1</v>
      </c>
      <c r="H33" s="42">
        <f t="shared" si="15"/>
        <v>3.5</v>
      </c>
      <c r="I33" s="49">
        <f t="shared" si="0"/>
        <v>383.18000000000006</v>
      </c>
      <c r="J33" s="215">
        <v>0</v>
      </c>
      <c r="K33" s="49">
        <v>20</v>
      </c>
      <c r="L33" s="191">
        <f>409/76</f>
        <v>5.3815789473684212</v>
      </c>
      <c r="M33" s="201">
        <v>71</v>
      </c>
      <c r="N33" s="43">
        <f t="shared" si="1"/>
        <v>1337.3223684210525</v>
      </c>
      <c r="O33" s="188">
        <f t="shared" si="16"/>
        <v>154051.89500000002</v>
      </c>
      <c r="P33" s="428"/>
      <c r="Q33" s="480">
        <f t="shared" si="12"/>
        <v>7641.8421052631584</v>
      </c>
      <c r="R33" s="518">
        <f t="shared" si="14"/>
        <v>382.09210526315792</v>
      </c>
      <c r="S33" s="343">
        <f t="shared" si="4"/>
        <v>382.09210526315792</v>
      </c>
      <c r="T33" s="435">
        <f t="shared" si="5"/>
        <v>146410.05289473687</v>
      </c>
    </row>
    <row r="34" spans="1:24" x14ac:dyDescent="0.2">
      <c r="A34" s="57" t="s">
        <v>193</v>
      </c>
      <c r="B34" s="191">
        <v>2</v>
      </c>
      <c r="C34" s="191">
        <v>0.5</v>
      </c>
      <c r="D34" s="191">
        <v>0.5</v>
      </c>
      <c r="E34" s="191">
        <v>0</v>
      </c>
      <c r="F34" s="206">
        <v>0</v>
      </c>
      <c r="G34" s="191">
        <v>1</v>
      </c>
      <c r="H34" s="42">
        <f t="shared" si="15"/>
        <v>4</v>
      </c>
      <c r="I34" s="49">
        <f t="shared" si="0"/>
        <v>401.88499999999999</v>
      </c>
      <c r="J34" s="215">
        <v>0</v>
      </c>
      <c r="K34" s="49">
        <v>2</v>
      </c>
      <c r="L34" s="191">
        <v>1</v>
      </c>
      <c r="M34" s="201">
        <v>20</v>
      </c>
      <c r="N34" s="43">
        <f t="shared" si="1"/>
        <v>80</v>
      </c>
      <c r="O34" s="188">
        <f t="shared" si="16"/>
        <v>8077.7</v>
      </c>
      <c r="P34" s="428"/>
      <c r="Q34" s="480">
        <f t="shared" si="12"/>
        <v>40</v>
      </c>
      <c r="R34" s="518">
        <f t="shared" si="14"/>
        <v>20</v>
      </c>
      <c r="S34" s="343">
        <f t="shared" si="4"/>
        <v>20</v>
      </c>
      <c r="T34" s="435">
        <f t="shared" si="5"/>
        <v>8037.7</v>
      </c>
    </row>
    <row r="35" spans="1:24" ht="25.5" x14ac:dyDescent="0.2">
      <c r="A35" s="26" t="s">
        <v>194</v>
      </c>
      <c r="B35" s="191">
        <v>3</v>
      </c>
      <c r="C35" s="191">
        <v>2</v>
      </c>
      <c r="D35" s="191">
        <v>1</v>
      </c>
      <c r="E35" s="191">
        <v>3</v>
      </c>
      <c r="F35" s="206">
        <v>0</v>
      </c>
      <c r="G35" s="191">
        <v>2</v>
      </c>
      <c r="H35" s="42">
        <f t="shared" si="15"/>
        <v>11</v>
      </c>
      <c r="I35" s="49">
        <f t="shared" si="0"/>
        <v>1061.6200000000001</v>
      </c>
      <c r="J35" s="215">
        <v>0</v>
      </c>
      <c r="K35" s="49">
        <v>6</v>
      </c>
      <c r="L35" s="191">
        <v>3.9</v>
      </c>
      <c r="M35" s="42">
        <v>280</v>
      </c>
      <c r="N35" s="43">
        <f t="shared" si="1"/>
        <v>12012</v>
      </c>
      <c r="O35" s="188">
        <f t="shared" si="16"/>
        <v>1165841.0400000003</v>
      </c>
      <c r="P35" s="428"/>
      <c r="Q35" s="480">
        <f t="shared" si="12"/>
        <v>6552</v>
      </c>
      <c r="R35" s="518">
        <f t="shared" si="14"/>
        <v>1092</v>
      </c>
      <c r="S35" s="343">
        <f t="shared" si="4"/>
        <v>1092</v>
      </c>
      <c r="T35" s="435">
        <f t="shared" si="5"/>
        <v>1159289.04</v>
      </c>
    </row>
    <row r="36" spans="1:24" ht="15" thickBot="1" x14ac:dyDescent="0.25">
      <c r="A36" s="248" t="s">
        <v>65</v>
      </c>
      <c r="B36" s="192">
        <v>3</v>
      </c>
      <c r="C36" s="192">
        <v>1</v>
      </c>
      <c r="D36" s="192">
        <v>1</v>
      </c>
      <c r="E36" s="192">
        <v>0</v>
      </c>
      <c r="F36" s="207">
        <v>0</v>
      </c>
      <c r="G36" s="192">
        <v>7</v>
      </c>
      <c r="H36" s="44">
        <f t="shared" si="15"/>
        <v>12</v>
      </c>
      <c r="I36" s="50">
        <f t="shared" si="0"/>
        <v>938.76</v>
      </c>
      <c r="J36" s="216">
        <v>0</v>
      </c>
      <c r="K36" s="50">
        <v>6</v>
      </c>
      <c r="L36" s="192">
        <v>1</v>
      </c>
      <c r="M36" s="44">
        <v>430</v>
      </c>
      <c r="N36" s="249">
        <f t="shared" si="1"/>
        <v>5160</v>
      </c>
      <c r="O36" s="250">
        <f t="shared" si="16"/>
        <v>406246.8</v>
      </c>
      <c r="P36" s="428"/>
      <c r="Q36" s="480">
        <f t="shared" si="12"/>
        <v>2580</v>
      </c>
      <c r="R36" s="518">
        <f t="shared" si="14"/>
        <v>430</v>
      </c>
      <c r="S36" s="343">
        <f t="shared" si="4"/>
        <v>430</v>
      </c>
      <c r="T36" s="435">
        <f t="shared" si="5"/>
        <v>403666.8</v>
      </c>
    </row>
    <row r="37" spans="1:24" ht="26.25" thickBot="1" x14ac:dyDescent="0.25">
      <c r="A37" s="256" t="s">
        <v>195</v>
      </c>
      <c r="B37" s="257">
        <v>8</v>
      </c>
      <c r="C37" s="257">
        <v>2</v>
      </c>
      <c r="D37" s="257">
        <v>1</v>
      </c>
      <c r="E37" s="257">
        <v>2</v>
      </c>
      <c r="F37" s="269">
        <v>0</v>
      </c>
      <c r="G37" s="257">
        <v>2</v>
      </c>
      <c r="H37" s="258">
        <f t="shared" si="15"/>
        <v>15</v>
      </c>
      <c r="I37" s="259">
        <f t="shared" si="0"/>
        <v>1469.12</v>
      </c>
      <c r="J37" s="273">
        <v>0</v>
      </c>
      <c r="K37" s="261">
        <v>168</v>
      </c>
      <c r="L37" s="262">
        <v>1</v>
      </c>
      <c r="M37" s="258">
        <v>430</v>
      </c>
      <c r="N37" s="260">
        <f t="shared" si="1"/>
        <v>6450</v>
      </c>
      <c r="O37" s="263">
        <f t="shared" si="16"/>
        <v>703961.59999999998</v>
      </c>
      <c r="P37" s="433"/>
      <c r="Q37" s="480">
        <f t="shared" si="12"/>
        <v>72240</v>
      </c>
      <c r="R37" s="485">
        <f t="shared" si="14"/>
        <v>430</v>
      </c>
      <c r="S37" s="343">
        <f t="shared" si="4"/>
        <v>430</v>
      </c>
      <c r="T37" s="477">
        <f t="shared" si="5"/>
        <v>631721.6</v>
      </c>
    </row>
    <row r="38" spans="1:24" ht="15" thickBot="1" x14ac:dyDescent="0.25">
      <c r="A38" s="264" t="s">
        <v>204</v>
      </c>
      <c r="B38" s="245">
        <v>101</v>
      </c>
      <c r="C38" s="245">
        <v>8</v>
      </c>
      <c r="D38" s="245">
        <v>11</v>
      </c>
      <c r="E38" s="245">
        <v>80</v>
      </c>
      <c r="F38" s="270"/>
      <c r="G38" s="245">
        <v>9</v>
      </c>
      <c r="H38" s="258">
        <f t="shared" si="15"/>
        <v>209</v>
      </c>
      <c r="I38" s="259">
        <f t="shared" si="0"/>
        <v>18537.95</v>
      </c>
      <c r="J38" s="271"/>
      <c r="K38" s="247">
        <v>3077.956403269754</v>
      </c>
      <c r="L38" s="244">
        <f>X38/M38</f>
        <v>7.7263157894736842</v>
      </c>
      <c r="M38" s="243">
        <v>95</v>
      </c>
      <c r="N38" s="260">
        <f t="shared" si="1"/>
        <v>153406</v>
      </c>
      <c r="O38" s="263">
        <f>(I38+J38+K38)*(L38*M38)</f>
        <v>15866075.299999999</v>
      </c>
      <c r="P38" s="433">
        <v>734</v>
      </c>
      <c r="Q38" s="480">
        <f t="shared" si="12"/>
        <v>2259219.9999999995</v>
      </c>
      <c r="R38" s="485">
        <f t="shared" si="14"/>
        <v>734</v>
      </c>
      <c r="S38" s="343">
        <f t="shared" si="4"/>
        <v>734</v>
      </c>
      <c r="T38" s="477">
        <f t="shared" si="5"/>
        <v>13606855.300000001</v>
      </c>
      <c r="X38" s="1">
        <v>734</v>
      </c>
    </row>
    <row r="39" spans="1:24" ht="15" thickBot="1" x14ac:dyDescent="0.25">
      <c r="A39" s="264" t="s">
        <v>205</v>
      </c>
      <c r="B39" s="245">
        <v>40</v>
      </c>
      <c r="C39" s="245">
        <v>10</v>
      </c>
      <c r="D39" s="245">
        <v>5</v>
      </c>
      <c r="E39" s="245">
        <v>0</v>
      </c>
      <c r="F39" s="270"/>
      <c r="G39" s="245">
        <v>10</v>
      </c>
      <c r="H39" s="258">
        <f t="shared" si="15"/>
        <v>65</v>
      </c>
      <c r="I39" s="259">
        <f t="shared" si="0"/>
        <v>6677.5999999999995</v>
      </c>
      <c r="J39" s="271"/>
      <c r="K39" s="247">
        <v>168</v>
      </c>
      <c r="L39" s="244">
        <v>1</v>
      </c>
      <c r="M39" s="243">
        <v>23</v>
      </c>
      <c r="N39" s="260">
        <f t="shared" si="1"/>
        <v>1495</v>
      </c>
      <c r="O39" s="263">
        <f t="shared" si="16"/>
        <v>157448.79999999999</v>
      </c>
      <c r="P39" s="433"/>
      <c r="Q39" s="480">
        <f t="shared" si="12"/>
        <v>3864</v>
      </c>
      <c r="R39" s="485">
        <f t="shared" si="14"/>
        <v>23</v>
      </c>
      <c r="S39" s="343">
        <f t="shared" si="4"/>
        <v>23</v>
      </c>
      <c r="T39" s="477">
        <f t="shared" si="5"/>
        <v>153584.79999999999</v>
      </c>
    </row>
    <row r="40" spans="1:24" ht="15" thickBot="1" x14ac:dyDescent="0.25">
      <c r="A40" s="264" t="s">
        <v>212</v>
      </c>
      <c r="B40" s="245">
        <v>95</v>
      </c>
      <c r="C40" s="245">
        <v>4</v>
      </c>
      <c r="D40" s="245">
        <v>4</v>
      </c>
      <c r="E40" s="245">
        <v>11</v>
      </c>
      <c r="F40" s="270"/>
      <c r="G40" s="245">
        <v>82</v>
      </c>
      <c r="H40" s="258">
        <f t="shared" si="15"/>
        <v>196</v>
      </c>
      <c r="I40" s="259">
        <f t="shared" si="0"/>
        <v>14845.599999999999</v>
      </c>
      <c r="J40" s="271"/>
      <c r="K40" s="247">
        <v>3077.956403269754</v>
      </c>
      <c r="L40" s="244">
        <v>1.57</v>
      </c>
      <c r="M40" s="243">
        <v>7</v>
      </c>
      <c r="N40" s="260">
        <f t="shared" si="1"/>
        <v>2154.04</v>
      </c>
      <c r="O40" s="263">
        <f t="shared" si="16"/>
        <v>196979.8848719346</v>
      </c>
      <c r="P40" s="433"/>
      <c r="Q40" s="480">
        <f t="shared" si="12"/>
        <v>33826.740871934599</v>
      </c>
      <c r="R40" s="485">
        <f t="shared" si="14"/>
        <v>10.99</v>
      </c>
      <c r="S40" s="343">
        <f t="shared" si="4"/>
        <v>10.99</v>
      </c>
      <c r="T40" s="477">
        <f t="shared" si="5"/>
        <v>163153.14399999997</v>
      </c>
    </row>
    <row r="41" spans="1:24" ht="15" thickBot="1" x14ac:dyDescent="0.25">
      <c r="A41" s="264" t="s">
        <v>213</v>
      </c>
      <c r="B41" s="245">
        <v>102</v>
      </c>
      <c r="C41" s="245">
        <v>13</v>
      </c>
      <c r="D41" s="245">
        <v>4</v>
      </c>
      <c r="E41" s="245">
        <v>41</v>
      </c>
      <c r="F41" s="270"/>
      <c r="G41" s="245">
        <v>12</v>
      </c>
      <c r="H41" s="258">
        <f t="shared" si="15"/>
        <v>172</v>
      </c>
      <c r="I41" s="259">
        <f t="shared" si="0"/>
        <v>15666.509999999998</v>
      </c>
      <c r="J41" s="271"/>
      <c r="K41" s="247">
        <v>3077.956403269754</v>
      </c>
      <c r="L41" s="244">
        <v>1</v>
      </c>
      <c r="M41" s="243">
        <v>2</v>
      </c>
      <c r="N41" s="260">
        <f t="shared" si="1"/>
        <v>344</v>
      </c>
      <c r="O41" s="263">
        <f t="shared" si="16"/>
        <v>37488.932806539502</v>
      </c>
      <c r="P41" s="433"/>
      <c r="Q41" s="480">
        <f t="shared" si="12"/>
        <v>6155.912806539508</v>
      </c>
      <c r="R41" s="485">
        <f t="shared" si="14"/>
        <v>2</v>
      </c>
      <c r="S41" s="343">
        <f t="shared" si="4"/>
        <v>2</v>
      </c>
      <c r="T41" s="477">
        <f t="shared" si="5"/>
        <v>31333.019999999997</v>
      </c>
    </row>
    <row r="42" spans="1:24" ht="15" thickBot="1" x14ac:dyDescent="0.25">
      <c r="A42" s="264" t="s">
        <v>206</v>
      </c>
      <c r="B42" s="245">
        <v>8</v>
      </c>
      <c r="C42" s="245">
        <v>3</v>
      </c>
      <c r="D42" s="245">
        <v>1</v>
      </c>
      <c r="E42" s="245">
        <v>0</v>
      </c>
      <c r="F42" s="270"/>
      <c r="G42" s="245">
        <v>2</v>
      </c>
      <c r="H42" s="258">
        <f t="shared" si="15"/>
        <v>14</v>
      </c>
      <c r="I42" s="259">
        <f t="shared" si="0"/>
        <v>1487.83</v>
      </c>
      <c r="J42" s="271"/>
      <c r="K42" s="247">
        <v>168</v>
      </c>
      <c r="L42" s="244">
        <v>1</v>
      </c>
      <c r="M42" s="243">
        <v>19</v>
      </c>
      <c r="N42" s="260">
        <f t="shared" si="1"/>
        <v>266</v>
      </c>
      <c r="O42" s="263">
        <f t="shared" si="16"/>
        <v>31460.769999999997</v>
      </c>
      <c r="P42" s="433">
        <v>19</v>
      </c>
      <c r="Q42" s="480">
        <f t="shared" si="12"/>
        <v>3192</v>
      </c>
      <c r="R42" s="485">
        <f t="shared" si="14"/>
        <v>19</v>
      </c>
      <c r="S42" s="343">
        <f t="shared" si="4"/>
        <v>19</v>
      </c>
      <c r="T42" s="477">
        <f t="shared" si="5"/>
        <v>28268.769999999997</v>
      </c>
    </row>
    <row r="43" spans="1:24" ht="15" thickBot="1" x14ac:dyDescent="0.25">
      <c r="A43" s="265" t="s">
        <v>207</v>
      </c>
      <c r="B43" s="246">
        <v>8</v>
      </c>
      <c r="C43" s="246">
        <v>3</v>
      </c>
      <c r="D43" s="246">
        <v>1</v>
      </c>
      <c r="E43" s="246">
        <v>10</v>
      </c>
      <c r="F43" s="271"/>
      <c r="G43" s="246">
        <v>2</v>
      </c>
      <c r="H43" s="258">
        <f t="shared" si="15"/>
        <v>24</v>
      </c>
      <c r="I43" s="259">
        <f t="shared" si="0"/>
        <v>2155.83</v>
      </c>
      <c r="J43" s="271"/>
      <c r="K43" s="247">
        <v>168</v>
      </c>
      <c r="L43" s="246">
        <v>4</v>
      </c>
      <c r="M43" s="246">
        <v>5</v>
      </c>
      <c r="N43" s="260">
        <f t="shared" si="1"/>
        <v>480</v>
      </c>
      <c r="O43" s="263">
        <f t="shared" si="16"/>
        <v>46476.6</v>
      </c>
      <c r="P43" s="433">
        <v>5</v>
      </c>
      <c r="Q43" s="480">
        <f t="shared" si="12"/>
        <v>3360</v>
      </c>
      <c r="R43" s="485">
        <f t="shared" si="14"/>
        <v>20</v>
      </c>
      <c r="S43" s="343">
        <f t="shared" si="4"/>
        <v>20</v>
      </c>
      <c r="T43" s="477">
        <f t="shared" si="5"/>
        <v>43116.6</v>
      </c>
      <c r="X43" s="372">
        <f>Q43+Q42+T43+T42</f>
        <v>77937.37</v>
      </c>
    </row>
    <row r="44" spans="1:24" s="1" customFormat="1" ht="29.25" thickBot="1" x14ac:dyDescent="0.25">
      <c r="A44" s="266" t="s">
        <v>208</v>
      </c>
      <c r="B44" s="267">
        <v>4</v>
      </c>
      <c r="C44" s="267">
        <v>1</v>
      </c>
      <c r="D44" s="267">
        <v>1</v>
      </c>
      <c r="E44" s="267">
        <v>1</v>
      </c>
      <c r="F44" s="272">
        <v>0</v>
      </c>
      <c r="G44" s="267">
        <v>1</v>
      </c>
      <c r="H44" s="258">
        <f t="shared" si="15"/>
        <v>8</v>
      </c>
      <c r="I44" s="259">
        <f t="shared" si="0"/>
        <v>824.6</v>
      </c>
      <c r="J44" s="272"/>
      <c r="K44" s="268">
        <v>168</v>
      </c>
      <c r="L44" s="267">
        <v>1</v>
      </c>
      <c r="M44" s="267">
        <v>430</v>
      </c>
      <c r="N44" s="260">
        <f t="shared" si="1"/>
        <v>3440</v>
      </c>
      <c r="O44" s="263">
        <f t="shared" si="16"/>
        <v>426818</v>
      </c>
      <c r="P44" s="434">
        <f>SUM(P11:P17)</f>
        <v>261.26960000000003</v>
      </c>
      <c r="Q44" s="480">
        <f t="shared" si="12"/>
        <v>72240</v>
      </c>
      <c r="R44" s="485">
        <f t="shared" si="14"/>
        <v>430</v>
      </c>
      <c r="S44" s="343">
        <f t="shared" si="4"/>
        <v>430</v>
      </c>
      <c r="T44" s="477">
        <f t="shared" si="5"/>
        <v>354578</v>
      </c>
    </row>
    <row r="45" spans="1:24" x14ac:dyDescent="0.2">
      <c r="A45" s="251" t="s">
        <v>196</v>
      </c>
      <c r="B45" s="251">
        <f t="shared" ref="B45:I45" si="17">SUM(B5:B37)</f>
        <v>411.5</v>
      </c>
      <c r="C45" s="251">
        <f t="shared" si="17"/>
        <v>221</v>
      </c>
      <c r="D45" s="251">
        <f t="shared" si="17"/>
        <v>23</v>
      </c>
      <c r="E45" s="251">
        <f t="shared" si="17"/>
        <v>709</v>
      </c>
      <c r="F45" s="252">
        <f t="shared" si="17"/>
        <v>0</v>
      </c>
      <c r="G45" s="251">
        <f t="shared" si="17"/>
        <v>48.5</v>
      </c>
      <c r="H45" s="253">
        <f t="shared" si="17"/>
        <v>1414.5</v>
      </c>
      <c r="I45" s="254">
        <f t="shared" si="17"/>
        <v>126427.98499999999</v>
      </c>
      <c r="J45" s="252">
        <v>0</v>
      </c>
      <c r="K45" s="251" t="s">
        <v>67</v>
      </c>
      <c r="L45" s="251" t="s">
        <v>67</v>
      </c>
      <c r="M45" s="251" t="s">
        <v>37</v>
      </c>
      <c r="N45" s="481">
        <f>N46/430</f>
        <v>1717.6814871409867</v>
      </c>
      <c r="O45" s="255" t="s">
        <v>37</v>
      </c>
      <c r="P45" s="428"/>
      <c r="Q45" s="435">
        <f>27423224.36/430</f>
        <v>63774.94037209302</v>
      </c>
      <c r="R45" s="343"/>
      <c r="S45" s="343">
        <f>SUM(S5:S44)/430</f>
        <v>36.967005652201749</v>
      </c>
      <c r="T45" s="435">
        <f>SUM(T5:T44)/430</f>
        <v>152993.93276447171</v>
      </c>
    </row>
    <row r="46" spans="1:24" ht="16.5" thickBot="1" x14ac:dyDescent="0.3">
      <c r="A46" s="23" t="s">
        <v>38</v>
      </c>
      <c r="B46" s="23" t="s">
        <v>37</v>
      </c>
      <c r="C46" s="23" t="s">
        <v>37</v>
      </c>
      <c r="D46" s="23" t="s">
        <v>37</v>
      </c>
      <c r="E46" s="23" t="s">
        <v>37</v>
      </c>
      <c r="F46" s="210" t="s">
        <v>37</v>
      </c>
      <c r="G46" s="23" t="s">
        <v>37</v>
      </c>
      <c r="H46" s="23" t="s">
        <v>37</v>
      </c>
      <c r="I46" s="189">
        <f>SUMPRODUCT(I5:I37, L5:L37, M5:M37)</f>
        <v>51406501.454722837</v>
      </c>
      <c r="J46" s="466">
        <v>0</v>
      </c>
      <c r="L46" s="185" t="s">
        <v>67</v>
      </c>
      <c r="M46" s="468">
        <f>SUM(M11:M17)</f>
        <v>51.838043166756904</v>
      </c>
      <c r="N46" s="469">
        <f>SUM(N5:N44)</f>
        <v>738603.0394706243</v>
      </c>
      <c r="O46" s="520">
        <f>SUM(O5:O44)</f>
        <v>95360655.136943892</v>
      </c>
      <c r="P46" s="455"/>
      <c r="Q46" s="519">
        <f>SUM(Q5:Q44)</f>
        <v>30243492.649917074</v>
      </c>
      <c r="R46" s="487">
        <f>SUM(R5:R45)</f>
        <v>15564.442030446753</v>
      </c>
      <c r="T46" s="519">
        <f>SUM(T5:T45)</f>
        <v>65940385.021487311</v>
      </c>
    </row>
    <row r="47" spans="1:24" ht="30.75" thickBot="1" x14ac:dyDescent="0.3">
      <c r="A47" s="202" t="s">
        <v>39</v>
      </c>
      <c r="B47" s="202"/>
      <c r="C47" s="203"/>
      <c r="D47" s="203"/>
      <c r="E47" s="202"/>
      <c r="F47" s="211"/>
      <c r="G47" s="202"/>
      <c r="H47" s="1"/>
      <c r="I47" s="330">
        <f>SUM(I5:I36)</f>
        <v>124958.86499999999</v>
      </c>
      <c r="J47" s="470" t="s">
        <v>335</v>
      </c>
      <c r="K47" s="467">
        <f>SUMPRODUCT(K5:K36, L5:L36, M5:M36)</f>
        <v>27789393.996238597</v>
      </c>
      <c r="L47" s="471"/>
      <c r="M47" s="472"/>
      <c r="N47" s="473">
        <f>SUM(N5:N36)</f>
        <v>570567.99947062426</v>
      </c>
      <c r="O47" s="474">
        <f>SUM(O5:O36)</f>
        <v>77893945.249265447</v>
      </c>
      <c r="P47" s="475"/>
      <c r="Q47" s="490">
        <f>SUM(Q5:Q36)</f>
        <v>27789393.996238597</v>
      </c>
      <c r="R47" s="486"/>
      <c r="S47" s="536"/>
      <c r="T47" s="476">
        <f>SUM(T5:T36)</f>
        <v>50774779.854722835</v>
      </c>
    </row>
    <row r="48" spans="1:24" x14ac:dyDescent="0.2">
      <c r="A48" s="202" t="s">
        <v>197</v>
      </c>
      <c r="B48" s="202"/>
      <c r="C48" s="1"/>
      <c r="D48" s="203"/>
      <c r="E48" s="202"/>
      <c r="F48" s="211"/>
      <c r="G48" s="202"/>
      <c r="H48" s="204"/>
      <c r="I48" s="202"/>
      <c r="J48" s="202"/>
      <c r="K48" s="467">
        <f>SUMPRODUCT(K37:K44, L37:L44, M37:M44)</f>
        <v>2454098.6536784731</v>
      </c>
      <c r="L48" s="202"/>
      <c r="M48" s="1"/>
      <c r="N48" s="283">
        <f>SUM(N37:N44)</f>
        <v>168035.04</v>
      </c>
      <c r="O48" s="537">
        <f>O46/430</f>
        <v>221768.96543475325</v>
      </c>
      <c r="Q48" s="372">
        <f>SUM(Q37:Q44)</f>
        <v>2454098.6536784736</v>
      </c>
      <c r="R48" s="538">
        <f>N46/R46</f>
        <v>47.454514464815922</v>
      </c>
    </row>
    <row r="49" spans="1:16" x14ac:dyDescent="0.2">
      <c r="P49" s="427"/>
    </row>
    <row r="51" spans="1:16" ht="15" thickBot="1" x14ac:dyDescent="0.25"/>
    <row r="52" spans="1:16" x14ac:dyDescent="0.2">
      <c r="A52" s="285" t="s">
        <v>219</v>
      </c>
    </row>
    <row r="53" spans="1:16" ht="15" thickBot="1" x14ac:dyDescent="0.25">
      <c r="A53" s="286" t="s">
        <v>220</v>
      </c>
      <c r="B53" s="274"/>
      <c r="C53" s="274"/>
      <c r="D53" s="274"/>
      <c r="E53" s="274"/>
      <c r="F53" s="275"/>
      <c r="G53" s="274"/>
      <c r="H53" s="274"/>
      <c r="I53" s="274"/>
      <c r="J53" s="274"/>
      <c r="K53" s="274"/>
    </row>
    <row r="54" spans="1:16" ht="15" thickBot="1" x14ac:dyDescent="0.25">
      <c r="A54" s="640" t="s">
        <v>168</v>
      </c>
      <c r="B54" s="147"/>
      <c r="C54" s="147"/>
      <c r="D54" s="147"/>
      <c r="E54" s="147"/>
      <c r="F54" s="147"/>
      <c r="G54" s="147"/>
      <c r="H54" s="147"/>
      <c r="I54" s="147"/>
      <c r="J54" s="147"/>
      <c r="K54" s="147"/>
    </row>
    <row r="55" spans="1:16" ht="15" thickBot="1" x14ac:dyDescent="0.25">
      <c r="A55" s="637"/>
      <c r="B55" s="274"/>
      <c r="C55" s="274"/>
      <c r="D55" s="274"/>
      <c r="E55" s="274"/>
      <c r="F55" s="275"/>
      <c r="G55" s="274"/>
      <c r="H55" s="274"/>
      <c r="I55" s="274"/>
      <c r="J55" s="274"/>
      <c r="K55" s="274"/>
    </row>
    <row r="56" spans="1:16" ht="15" thickBot="1" x14ac:dyDescent="0.25">
      <c r="A56" s="636" t="s">
        <v>169</v>
      </c>
    </row>
    <row r="57" spans="1:16" ht="15" thickBot="1" x14ac:dyDescent="0.25">
      <c r="A57" s="636"/>
    </row>
    <row r="58" spans="1:16" ht="15" thickBot="1" x14ac:dyDescent="0.25">
      <c r="A58" s="636" t="s">
        <v>170</v>
      </c>
    </row>
    <row r="59" spans="1:16" ht="15" thickBot="1" x14ac:dyDescent="0.25">
      <c r="A59" s="636"/>
    </row>
    <row r="60" spans="1:16" ht="15" thickBot="1" x14ac:dyDescent="0.25">
      <c r="A60" s="636" t="s">
        <v>171</v>
      </c>
    </row>
    <row r="61" spans="1:16" ht="15" thickBot="1" x14ac:dyDescent="0.25">
      <c r="A61" s="636"/>
    </row>
    <row r="62" spans="1:16" ht="15" thickBot="1" x14ac:dyDescent="0.25">
      <c r="A62" s="637" t="s">
        <v>172</v>
      </c>
    </row>
    <row r="63" spans="1:16" ht="15" thickBot="1" x14ac:dyDescent="0.25">
      <c r="A63" s="636"/>
    </row>
    <row r="64" spans="1:16" ht="15" thickBot="1" x14ac:dyDescent="0.25"/>
    <row r="65" spans="1:2" ht="15.75" thickBot="1" x14ac:dyDescent="0.3">
      <c r="A65" s="412" t="s">
        <v>327</v>
      </c>
      <c r="B65" s="413"/>
    </row>
    <row r="66" spans="1:2" x14ac:dyDescent="0.2">
      <c r="A66" s="410" t="s">
        <v>60</v>
      </c>
      <c r="B66" s="411">
        <f>17000/3</f>
        <v>5666.666666666667</v>
      </c>
    </row>
    <row r="67" spans="1:2" x14ac:dyDescent="0.2">
      <c r="A67" s="408" t="s">
        <v>61</v>
      </c>
      <c r="B67" s="406">
        <f>35510/3</f>
        <v>11836.666666666666</v>
      </c>
    </row>
    <row r="68" spans="1:2" x14ac:dyDescent="0.2">
      <c r="A68" s="408" t="s">
        <v>183</v>
      </c>
      <c r="B68" s="406">
        <f>22000/3</f>
        <v>7333.333333333333</v>
      </c>
    </row>
    <row r="69" spans="1:2" x14ac:dyDescent="0.2">
      <c r="A69" s="408" t="s">
        <v>184</v>
      </c>
      <c r="B69" s="406">
        <f>45000/3</f>
        <v>15000</v>
      </c>
    </row>
    <row r="70" spans="1:2" x14ac:dyDescent="0.2">
      <c r="A70" s="408" t="s">
        <v>199</v>
      </c>
      <c r="B70" s="406">
        <f>45000/3</f>
        <v>15000</v>
      </c>
    </row>
    <row r="71" spans="1:2" x14ac:dyDescent="0.2">
      <c r="A71" s="408" t="s">
        <v>200</v>
      </c>
      <c r="B71" s="406">
        <f>1000/3</f>
        <v>333.33333333333331</v>
      </c>
    </row>
    <row r="72" spans="1:2" ht="15" thickBot="1" x14ac:dyDescent="0.25">
      <c r="A72" s="409" t="s">
        <v>185</v>
      </c>
      <c r="B72" s="407">
        <f>1000/3</f>
        <v>333.33333333333331</v>
      </c>
    </row>
  </sheetData>
  <mergeCells count="7">
    <mergeCell ref="A56:A57"/>
    <mergeCell ref="A58:A59"/>
    <mergeCell ref="A60:A61"/>
    <mergeCell ref="A62:A63"/>
    <mergeCell ref="A2:O2"/>
    <mergeCell ref="B3:L3"/>
    <mergeCell ref="A54:A55"/>
  </mergeCells>
  <phoneticPr fontId="37" type="noConversion"/>
  <pageMargins left="0.7" right="0.7" top="0.75" bottom="0.75" header="0.3" footer="0.3"/>
  <pageSetup orientation="portrait" horizontalDpi="200" verticalDpi="200" r:id="rId1"/>
  <ignoredErrors>
    <ignoredError sqref="K21 O38"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C86D-46BE-47BA-AB94-B19B13322C33}">
  <dimension ref="A1:E7"/>
  <sheetViews>
    <sheetView workbookViewId="0">
      <selection activeCell="A2" sqref="A2:D7"/>
    </sheetView>
  </sheetViews>
  <sheetFormatPr defaultRowHeight="14.25" x14ac:dyDescent="0.2"/>
  <cols>
    <col min="1" max="4" width="17.375" style="1" customWidth="1"/>
  </cols>
  <sheetData>
    <row r="1" spans="1:5" ht="15" thickBot="1" x14ac:dyDescent="0.25">
      <c r="A1" s="1" t="s">
        <v>234</v>
      </c>
    </row>
    <row r="2" spans="1:5" ht="32.25" thickBot="1" x14ac:dyDescent="0.25">
      <c r="A2" s="287" t="s">
        <v>221</v>
      </c>
      <c r="B2" s="288" t="s">
        <v>222</v>
      </c>
      <c r="C2" s="288" t="s">
        <v>223</v>
      </c>
      <c r="D2" s="288" t="s">
        <v>224</v>
      </c>
    </row>
    <row r="3" spans="1:5" ht="32.25" thickBot="1" x14ac:dyDescent="0.25">
      <c r="A3" s="289" t="s">
        <v>225</v>
      </c>
      <c r="B3" s="290" t="s">
        <v>226</v>
      </c>
      <c r="C3" s="292">
        <v>-45.17</v>
      </c>
      <c r="D3" s="292">
        <f>C3*2.1</f>
        <v>-94.857000000000014</v>
      </c>
      <c r="E3">
        <f>45.17*2.1</f>
        <v>94.857000000000014</v>
      </c>
    </row>
    <row r="4" spans="1:5" ht="32.25" thickBot="1" x14ac:dyDescent="0.25">
      <c r="A4" s="289" t="s">
        <v>227</v>
      </c>
      <c r="B4" s="291">
        <v>2608503</v>
      </c>
      <c r="C4" s="292">
        <v>-72.53</v>
      </c>
      <c r="D4" s="292">
        <f t="shared" ref="D4:D7" si="0">C4*2.1</f>
        <v>-152.31300000000002</v>
      </c>
      <c r="E4">
        <f>72.53*2.1</f>
        <v>152.31300000000002</v>
      </c>
    </row>
    <row r="5" spans="1:5" ht="16.5" thickBot="1" x14ac:dyDescent="0.25">
      <c r="A5" s="289" t="s">
        <v>228</v>
      </c>
      <c r="B5" s="290" t="s">
        <v>229</v>
      </c>
      <c r="C5" s="292">
        <v>-85.75</v>
      </c>
      <c r="D5" s="292">
        <f t="shared" si="0"/>
        <v>-180.07500000000002</v>
      </c>
    </row>
    <row r="6" spans="1:5" ht="48" thickBot="1" x14ac:dyDescent="0.25">
      <c r="A6" s="289" t="s">
        <v>230</v>
      </c>
      <c r="B6" s="290" t="s">
        <v>231</v>
      </c>
      <c r="C6" s="292">
        <v>-21.89</v>
      </c>
      <c r="D6" s="292">
        <f t="shared" si="0"/>
        <v>-45.969000000000001</v>
      </c>
    </row>
    <row r="7" spans="1:5" ht="48" thickBot="1" x14ac:dyDescent="0.25">
      <c r="A7" s="289" t="s">
        <v>232</v>
      </c>
      <c r="B7" s="290" t="s">
        <v>233</v>
      </c>
      <c r="C7" s="292">
        <v>-31.81</v>
      </c>
      <c r="D7" s="292">
        <f t="shared" si="0"/>
        <v>-66.801000000000002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3F2F-BC98-49FC-88B6-25AA8AD33FD7}">
  <dimension ref="A1:T39"/>
  <sheetViews>
    <sheetView workbookViewId="0">
      <selection activeCell="A32" sqref="A32:E39"/>
    </sheetView>
  </sheetViews>
  <sheetFormatPr defaultColWidth="18.625" defaultRowHeight="15" x14ac:dyDescent="0.25"/>
  <cols>
    <col min="1" max="1" width="18.875" style="539" customWidth="1"/>
    <col min="2" max="2" width="11.875" style="539" customWidth="1"/>
    <col min="3" max="3" width="15.875" style="539" customWidth="1"/>
    <col min="4" max="4" width="16.75" style="539" customWidth="1"/>
    <col min="5" max="5" width="14.375" style="539" customWidth="1"/>
    <col min="6" max="8" width="11.875" style="539" customWidth="1"/>
    <col min="9" max="9" width="18.875" style="539" customWidth="1"/>
    <col min="10" max="10" width="9.625" style="539" customWidth="1"/>
    <col min="11" max="11" width="13.75" style="539" customWidth="1"/>
    <col min="12" max="14" width="9.625" style="539" customWidth="1"/>
    <col min="15" max="15" width="17.125" style="539" customWidth="1"/>
    <col min="16" max="16" width="9.625" style="539" customWidth="1"/>
    <col min="17" max="17" width="18.375" style="539" customWidth="1"/>
    <col min="18" max="19" width="9.625" style="539" customWidth="1"/>
    <col min="20" max="20" width="15.875" style="539" customWidth="1"/>
    <col min="21" max="16384" width="18.625" style="539"/>
  </cols>
  <sheetData>
    <row r="1" spans="1:20" ht="60" x14ac:dyDescent="0.25">
      <c r="A1" s="539" t="s">
        <v>23</v>
      </c>
      <c r="B1" s="539" t="s">
        <v>169</v>
      </c>
      <c r="C1" s="539" t="s">
        <v>168</v>
      </c>
      <c r="D1" s="539" t="s">
        <v>172</v>
      </c>
      <c r="E1" s="539" t="s">
        <v>170</v>
      </c>
      <c r="F1" s="539" t="s">
        <v>44</v>
      </c>
      <c r="G1" s="539" t="s">
        <v>171</v>
      </c>
      <c r="H1" s="539" t="s">
        <v>45</v>
      </c>
      <c r="I1" s="539" t="s">
        <v>175</v>
      </c>
      <c r="J1" s="539" t="s">
        <v>26</v>
      </c>
      <c r="K1" s="539" t="s">
        <v>176</v>
      </c>
      <c r="L1" s="539" t="s">
        <v>177</v>
      </c>
      <c r="M1" s="539" t="s">
        <v>261</v>
      </c>
      <c r="N1" s="539" t="s">
        <v>29</v>
      </c>
      <c r="O1" s="539" t="s">
        <v>30</v>
      </c>
      <c r="P1" s="539" t="s">
        <v>209</v>
      </c>
      <c r="Q1" s="539" t="s">
        <v>258</v>
      </c>
      <c r="R1" s="539" t="s">
        <v>237</v>
      </c>
      <c r="T1" s="539" t="s">
        <v>336</v>
      </c>
    </row>
    <row r="2" spans="1:20" ht="45" x14ac:dyDescent="0.25">
      <c r="A2" s="539" t="s">
        <v>195</v>
      </c>
      <c r="B2" s="539">
        <v>8</v>
      </c>
      <c r="C2" s="539">
        <v>2</v>
      </c>
      <c r="D2" s="539">
        <v>1</v>
      </c>
      <c r="E2" s="539">
        <v>2</v>
      </c>
      <c r="F2" s="539">
        <v>0</v>
      </c>
      <c r="G2" s="539">
        <v>2</v>
      </c>
      <c r="H2" s="539">
        <v>15</v>
      </c>
      <c r="I2" s="539">
        <v>1469.12</v>
      </c>
      <c r="J2" s="539">
        <v>0</v>
      </c>
      <c r="K2" s="539">
        <v>168</v>
      </c>
      <c r="L2" s="539">
        <v>1</v>
      </c>
      <c r="M2" s="539">
        <v>430</v>
      </c>
      <c r="N2" s="539">
        <v>6450</v>
      </c>
      <c r="O2" s="539">
        <v>703961.59999999998</v>
      </c>
      <c r="Q2" s="539">
        <v>72240</v>
      </c>
      <c r="R2" s="539">
        <f>M2*L2</f>
        <v>430</v>
      </c>
      <c r="T2" s="540">
        <v>631721.6</v>
      </c>
    </row>
    <row r="3" spans="1:20" ht="30" x14ac:dyDescent="0.25">
      <c r="A3" s="539" t="s">
        <v>204</v>
      </c>
      <c r="B3" s="539">
        <v>101</v>
      </c>
      <c r="C3" s="539">
        <v>8</v>
      </c>
      <c r="D3" s="539">
        <v>11</v>
      </c>
      <c r="E3" s="539">
        <v>80</v>
      </c>
      <c r="G3" s="539">
        <v>9</v>
      </c>
      <c r="H3" s="539">
        <v>209</v>
      </c>
      <c r="I3" s="539">
        <v>18537.95</v>
      </c>
      <c r="K3" s="539">
        <v>3077.956403269754</v>
      </c>
      <c r="L3" s="539">
        <v>7.7263157894736842</v>
      </c>
      <c r="M3" s="539">
        <v>95</v>
      </c>
      <c r="N3" s="539">
        <v>153406</v>
      </c>
      <c r="O3" s="539">
        <v>15866075.299999999</v>
      </c>
      <c r="P3" s="539">
        <v>734</v>
      </c>
      <c r="Q3" s="539">
        <v>292405.85831062665</v>
      </c>
      <c r="R3" s="539">
        <f t="shared" ref="R3:R9" si="0">M3*L3</f>
        <v>734</v>
      </c>
      <c r="T3" s="540">
        <v>13606855.300000001</v>
      </c>
    </row>
    <row r="4" spans="1:20" x14ac:dyDescent="0.25">
      <c r="A4" s="539" t="s">
        <v>205</v>
      </c>
      <c r="B4" s="539">
        <v>40</v>
      </c>
      <c r="C4" s="539">
        <v>10</v>
      </c>
      <c r="D4" s="539">
        <v>5</v>
      </c>
      <c r="E4" s="539">
        <v>0</v>
      </c>
      <c r="G4" s="539">
        <v>10</v>
      </c>
      <c r="H4" s="539">
        <v>65</v>
      </c>
      <c r="I4" s="539">
        <v>6677.5999999999995</v>
      </c>
      <c r="K4" s="539">
        <v>168</v>
      </c>
      <c r="L4" s="539">
        <v>1</v>
      </c>
      <c r="M4" s="539">
        <v>23</v>
      </c>
      <c r="N4" s="539">
        <v>1495</v>
      </c>
      <c r="O4" s="539">
        <v>157448.79999999999</v>
      </c>
      <c r="Q4" s="539">
        <v>3864</v>
      </c>
      <c r="R4" s="539">
        <f t="shared" si="0"/>
        <v>23</v>
      </c>
      <c r="T4" s="540">
        <v>153584.79999999999</v>
      </c>
    </row>
    <row r="5" spans="1:20" ht="30" x14ac:dyDescent="0.25">
      <c r="A5" s="539" t="s">
        <v>212</v>
      </c>
      <c r="B5" s="539">
        <v>95</v>
      </c>
      <c r="C5" s="539">
        <v>4</v>
      </c>
      <c r="D5" s="539">
        <v>4</v>
      </c>
      <c r="E5" s="539">
        <v>11</v>
      </c>
      <c r="G5" s="539">
        <v>82</v>
      </c>
      <c r="H5" s="539">
        <v>196</v>
      </c>
      <c r="I5" s="539">
        <v>14845.599999999999</v>
      </c>
      <c r="K5" s="539">
        <v>3077.956403269754</v>
      </c>
      <c r="L5" s="539">
        <v>1.57</v>
      </c>
      <c r="M5" s="539">
        <v>7</v>
      </c>
      <c r="N5" s="539">
        <v>2154.04</v>
      </c>
      <c r="O5" s="539">
        <v>196979.8848719346</v>
      </c>
      <c r="Q5" s="539">
        <v>21545.694822888279</v>
      </c>
      <c r="R5" s="539">
        <f t="shared" si="0"/>
        <v>10.99</v>
      </c>
      <c r="T5" s="540">
        <v>163153.14399999997</v>
      </c>
    </row>
    <row r="6" spans="1:20" ht="30" x14ac:dyDescent="0.25">
      <c r="A6" s="539" t="s">
        <v>213</v>
      </c>
      <c r="B6" s="539">
        <v>102</v>
      </c>
      <c r="C6" s="539">
        <v>13</v>
      </c>
      <c r="D6" s="539">
        <v>4</v>
      </c>
      <c r="E6" s="539">
        <v>41</v>
      </c>
      <c r="G6" s="539">
        <v>12</v>
      </c>
      <c r="H6" s="539">
        <v>172</v>
      </c>
      <c r="I6" s="539">
        <v>15666.509999999998</v>
      </c>
      <c r="K6" s="539">
        <v>3077.956403269754</v>
      </c>
      <c r="L6" s="539">
        <v>1</v>
      </c>
      <c r="M6" s="539">
        <v>2</v>
      </c>
      <c r="N6" s="539">
        <v>344</v>
      </c>
      <c r="O6" s="539">
        <v>37488.932806539502</v>
      </c>
      <c r="Q6" s="539">
        <v>6155.912806539508</v>
      </c>
      <c r="R6" s="539">
        <f t="shared" si="0"/>
        <v>2</v>
      </c>
      <c r="T6" s="540">
        <v>31333.019999999997</v>
      </c>
    </row>
    <row r="7" spans="1:20" ht="30" x14ac:dyDescent="0.25">
      <c r="A7" s="539" t="s">
        <v>206</v>
      </c>
      <c r="B7" s="539">
        <v>8</v>
      </c>
      <c r="C7" s="539">
        <v>3</v>
      </c>
      <c r="D7" s="539">
        <v>1</v>
      </c>
      <c r="E7" s="539">
        <v>0</v>
      </c>
      <c r="G7" s="539">
        <v>2</v>
      </c>
      <c r="H7" s="539">
        <v>14</v>
      </c>
      <c r="I7" s="539">
        <v>1487.83</v>
      </c>
      <c r="K7" s="539">
        <v>168</v>
      </c>
      <c r="L7" s="539">
        <v>1</v>
      </c>
      <c r="M7" s="539">
        <v>19</v>
      </c>
      <c r="N7" s="539">
        <v>266</v>
      </c>
      <c r="O7" s="539">
        <v>31460.769999999997</v>
      </c>
      <c r="P7" s="539">
        <v>19</v>
      </c>
      <c r="Q7" s="539">
        <v>3192</v>
      </c>
      <c r="R7" s="539">
        <f t="shared" si="0"/>
        <v>19</v>
      </c>
      <c r="T7" s="540">
        <v>28268.769999999997</v>
      </c>
    </row>
    <row r="8" spans="1:20" ht="30" x14ac:dyDescent="0.25">
      <c r="A8" s="539" t="s">
        <v>207</v>
      </c>
      <c r="B8" s="539">
        <v>8</v>
      </c>
      <c r="C8" s="539">
        <v>3</v>
      </c>
      <c r="D8" s="539">
        <v>1</v>
      </c>
      <c r="E8" s="539">
        <v>10</v>
      </c>
      <c r="G8" s="539">
        <v>2</v>
      </c>
      <c r="H8" s="539">
        <v>24</v>
      </c>
      <c r="I8" s="539">
        <v>2155.83</v>
      </c>
      <c r="K8" s="539">
        <v>168</v>
      </c>
      <c r="L8" s="539">
        <v>4</v>
      </c>
      <c r="M8" s="539">
        <v>5</v>
      </c>
      <c r="N8" s="539">
        <v>480</v>
      </c>
      <c r="O8" s="539">
        <v>46476.6</v>
      </c>
      <c r="P8" s="539">
        <v>5</v>
      </c>
      <c r="Q8" s="539">
        <v>840</v>
      </c>
      <c r="R8" s="539">
        <f t="shared" si="0"/>
        <v>20</v>
      </c>
      <c r="T8" s="540">
        <v>43116.6</v>
      </c>
    </row>
    <row r="9" spans="1:20" ht="45" x14ac:dyDescent="0.25">
      <c r="A9" s="539" t="s">
        <v>208</v>
      </c>
      <c r="B9" s="539">
        <v>4</v>
      </c>
      <c r="C9" s="539">
        <v>1</v>
      </c>
      <c r="D9" s="539">
        <v>1</v>
      </c>
      <c r="E9" s="539">
        <v>1</v>
      </c>
      <c r="F9" s="539">
        <v>0</v>
      </c>
      <c r="G9" s="539">
        <v>1</v>
      </c>
      <c r="H9" s="539">
        <v>8</v>
      </c>
      <c r="I9" s="539">
        <v>824.6</v>
      </c>
      <c r="K9" s="539">
        <v>168</v>
      </c>
      <c r="L9" s="539">
        <v>4.9604651162790701</v>
      </c>
      <c r="M9" s="539">
        <v>430</v>
      </c>
      <c r="N9" s="539">
        <v>17064</v>
      </c>
      <c r="O9" s="539">
        <v>2117215.8000000003</v>
      </c>
      <c r="P9" s="539">
        <v>2133</v>
      </c>
      <c r="Q9" s="539">
        <v>72240</v>
      </c>
      <c r="R9" s="539">
        <f t="shared" si="0"/>
        <v>2133</v>
      </c>
      <c r="T9" s="540">
        <v>1758871.8</v>
      </c>
    </row>
    <row r="10" spans="1:20" x14ac:dyDescent="0.25">
      <c r="A10" s="541" t="s">
        <v>337</v>
      </c>
      <c r="B10" s="541">
        <f>SUM(B2:B9)</f>
        <v>366</v>
      </c>
      <c r="C10" s="541">
        <f t="shared" ref="C10:T10" si="1">SUM(C2:C9)</f>
        <v>44</v>
      </c>
      <c r="D10" s="541">
        <f t="shared" si="1"/>
        <v>28</v>
      </c>
      <c r="E10" s="541">
        <f t="shared" si="1"/>
        <v>145</v>
      </c>
      <c r="F10" s="541">
        <f t="shared" si="1"/>
        <v>0</v>
      </c>
      <c r="G10" s="541">
        <f t="shared" si="1"/>
        <v>120</v>
      </c>
      <c r="H10" s="541">
        <f t="shared" si="1"/>
        <v>703</v>
      </c>
      <c r="I10" s="542">
        <f t="shared" si="1"/>
        <v>61665.04</v>
      </c>
      <c r="J10" s="541">
        <f t="shared" si="1"/>
        <v>0</v>
      </c>
      <c r="K10" s="542" t="s">
        <v>338</v>
      </c>
      <c r="L10" s="541" t="s">
        <v>338</v>
      </c>
      <c r="M10" s="543">
        <f t="shared" si="1"/>
        <v>1011</v>
      </c>
      <c r="N10" s="543">
        <f t="shared" si="1"/>
        <v>181659.04</v>
      </c>
      <c r="O10" s="542">
        <f t="shared" si="1"/>
        <v>19157107.687678475</v>
      </c>
      <c r="P10" s="541">
        <f t="shared" si="1"/>
        <v>2891</v>
      </c>
      <c r="Q10" s="542">
        <f t="shared" si="1"/>
        <v>472483.46594005445</v>
      </c>
      <c r="R10" s="541">
        <f t="shared" si="1"/>
        <v>3371.99</v>
      </c>
      <c r="S10" s="544">
        <f>N10/R10</f>
        <v>53.872947428669725</v>
      </c>
      <c r="T10" s="542">
        <f t="shared" si="1"/>
        <v>16416905.034</v>
      </c>
    </row>
    <row r="11" spans="1:20" x14ac:dyDescent="0.25">
      <c r="I11" s="545"/>
      <c r="N11" s="546">
        <f>(N10)/2133</f>
        <v>85.16598218471637</v>
      </c>
    </row>
    <row r="12" spans="1:20" ht="15.75" thickBot="1" x14ac:dyDescent="0.3">
      <c r="N12" s="546"/>
    </row>
    <row r="13" spans="1:20" ht="14.1" customHeight="1" x14ac:dyDescent="0.25">
      <c r="A13" s="643" t="s">
        <v>346</v>
      </c>
      <c r="B13" s="644"/>
      <c r="C13" s="644"/>
      <c r="D13" s="644"/>
      <c r="E13" s="644"/>
      <c r="F13" s="644"/>
      <c r="G13" s="644"/>
      <c r="H13" s="644"/>
      <c r="I13" s="645"/>
    </row>
    <row r="14" spans="1:20" ht="14.1" customHeight="1" x14ac:dyDescent="0.25">
      <c r="A14" s="646" t="s">
        <v>21</v>
      </c>
      <c r="B14" s="647"/>
      <c r="C14" s="647"/>
      <c r="D14" s="647" t="s">
        <v>22</v>
      </c>
      <c r="E14" s="647"/>
      <c r="F14" s="647"/>
      <c r="G14" s="647"/>
      <c r="H14" s="647"/>
      <c r="I14" s="648"/>
    </row>
    <row r="15" spans="1:20" ht="25.5" x14ac:dyDescent="0.25">
      <c r="A15" s="547" t="s">
        <v>23</v>
      </c>
      <c r="B15" s="548" t="s">
        <v>45</v>
      </c>
      <c r="C15" s="549" t="s">
        <v>175</v>
      </c>
      <c r="D15" s="548" t="s">
        <v>26</v>
      </c>
      <c r="E15" s="550" t="s">
        <v>176</v>
      </c>
      <c r="F15" s="548" t="s">
        <v>177</v>
      </c>
      <c r="G15" s="548" t="s">
        <v>28</v>
      </c>
      <c r="H15" s="551" t="s">
        <v>29</v>
      </c>
      <c r="I15" s="552" t="s">
        <v>30</v>
      </c>
    </row>
    <row r="16" spans="1:20" ht="15.75" x14ac:dyDescent="0.25">
      <c r="A16" s="553" t="s">
        <v>196</v>
      </c>
      <c r="B16" s="554">
        <f>H17/G17</f>
        <v>1326.9023243502891</v>
      </c>
      <c r="C16" s="555">
        <f>C17/G17</f>
        <v>290.60201162790696</v>
      </c>
      <c r="D16" s="556">
        <v>0</v>
      </c>
      <c r="E16" s="556" t="s">
        <v>67</v>
      </c>
      <c r="F16" s="556" t="s">
        <v>67</v>
      </c>
      <c r="G16" s="556" t="s">
        <v>37</v>
      </c>
      <c r="H16" s="556" t="s">
        <v>37</v>
      </c>
      <c r="I16" s="557" t="s">
        <v>37</v>
      </c>
    </row>
    <row r="17" spans="1:9" ht="16.5" thickBot="1" x14ac:dyDescent="0.3">
      <c r="A17" s="558" t="s">
        <v>38</v>
      </c>
      <c r="B17" s="559" t="s">
        <v>37</v>
      </c>
      <c r="C17" s="560">
        <f>SUM('All Certification and Reporting'!I5:I36)</f>
        <v>124958.86499999999</v>
      </c>
      <c r="D17" s="559">
        <v>0</v>
      </c>
      <c r="E17" s="560">
        <f>SUM('All Certification and Reporting'!Q5:Q36)</f>
        <v>27789393.996238597</v>
      </c>
      <c r="F17" s="559" t="s">
        <v>67</v>
      </c>
      <c r="G17" s="559">
        <v>430</v>
      </c>
      <c r="H17" s="556">
        <f>SUM('All Certification and Reporting'!N5:N36)</f>
        <v>570567.99947062426</v>
      </c>
      <c r="I17" s="561">
        <f>SUM('All Certification and Reporting'!T5:T36)</f>
        <v>50774779.854722835</v>
      </c>
    </row>
    <row r="19" spans="1:9" ht="15.75" thickBot="1" x14ac:dyDescent="0.3"/>
    <row r="20" spans="1:9" ht="42" customHeight="1" thickBot="1" x14ac:dyDescent="0.3">
      <c r="A20" s="649" t="s">
        <v>348</v>
      </c>
      <c r="B20" s="650"/>
      <c r="D20" s="651" t="s">
        <v>351</v>
      </c>
      <c r="E20" s="652"/>
      <c r="F20" s="652"/>
      <c r="G20" s="653"/>
    </row>
    <row r="21" spans="1:9" x14ac:dyDescent="0.25">
      <c r="A21" s="641" t="s">
        <v>347</v>
      </c>
      <c r="B21" s="562">
        <v>6533.0686960000012</v>
      </c>
      <c r="D21" s="563">
        <v>1695.11</v>
      </c>
      <c r="E21" s="564" t="s">
        <v>352</v>
      </c>
      <c r="F21" s="565">
        <v>12510151.637</v>
      </c>
      <c r="G21" s="566"/>
    </row>
    <row r="22" spans="1:9" ht="15.75" thickBot="1" x14ac:dyDescent="0.3">
      <c r="A22" s="642"/>
      <c r="B22" s="567">
        <v>159426.37787999999</v>
      </c>
      <c r="D22" s="563"/>
      <c r="E22" s="564" t="s">
        <v>353</v>
      </c>
      <c r="F22" s="565">
        <v>5455650.7133333329</v>
      </c>
      <c r="G22" s="568">
        <f>F21+F22</f>
        <v>17965802.350333333</v>
      </c>
    </row>
    <row r="23" spans="1:9" x14ac:dyDescent="0.25">
      <c r="A23" s="641" t="s">
        <v>149</v>
      </c>
      <c r="B23" s="562">
        <v>22324.400000000009</v>
      </c>
      <c r="D23" s="563">
        <v>1695.14</v>
      </c>
      <c r="E23" s="564" t="s">
        <v>352</v>
      </c>
      <c r="F23" s="565">
        <v>44642096.601624005</v>
      </c>
      <c r="G23" s="566"/>
    </row>
    <row r="24" spans="1:9" ht="15.75" thickBot="1" x14ac:dyDescent="0.3">
      <c r="A24" s="642"/>
      <c r="B24" s="567">
        <v>544782</v>
      </c>
      <c r="D24" s="569"/>
      <c r="E24" s="570" t="s">
        <v>353</v>
      </c>
      <c r="F24" s="571">
        <v>211131.42520410003</v>
      </c>
      <c r="G24" s="572">
        <f>F23+F24</f>
        <v>44853228.026828103</v>
      </c>
    </row>
    <row r="25" spans="1:9" ht="15.75" thickBot="1" x14ac:dyDescent="0.3">
      <c r="A25" s="573" t="s">
        <v>36</v>
      </c>
      <c r="B25" s="574">
        <f>SUM(B21:B24)</f>
        <v>733065.84657599998</v>
      </c>
    </row>
    <row r="27" spans="1:9" x14ac:dyDescent="0.25">
      <c r="A27" s="539" t="s">
        <v>349</v>
      </c>
      <c r="B27" s="539" t="s">
        <v>350</v>
      </c>
      <c r="E27" s="539">
        <v>28268.769999999997</v>
      </c>
    </row>
    <row r="28" spans="1:9" x14ac:dyDescent="0.25">
      <c r="A28" s="575">
        <v>3465956.0780000002</v>
      </c>
      <c r="B28" s="575">
        <v>15012611.233999999</v>
      </c>
      <c r="E28" s="539">
        <v>43116.6</v>
      </c>
      <c r="F28" s="539">
        <f>E27+E28</f>
        <v>71385.37</v>
      </c>
    </row>
    <row r="31" spans="1:9" ht="15.75" thickBot="1" x14ac:dyDescent="0.3"/>
    <row r="32" spans="1:9" ht="15.75" thickBot="1" x14ac:dyDescent="0.3">
      <c r="A32" s="576" t="s">
        <v>354</v>
      </c>
      <c r="B32" s="577">
        <v>1695.11</v>
      </c>
      <c r="C32" s="577">
        <v>1695.14</v>
      </c>
      <c r="D32" s="578" t="s">
        <v>361</v>
      </c>
      <c r="E32" s="579" t="s">
        <v>355</v>
      </c>
    </row>
    <row r="33" spans="1:5" x14ac:dyDescent="0.25">
      <c r="A33" s="580" t="s">
        <v>356</v>
      </c>
      <c r="B33" s="581">
        <v>12510151.640000001</v>
      </c>
      <c r="C33" s="581">
        <v>44642096.600000001</v>
      </c>
      <c r="D33" s="590">
        <f>B33-C33</f>
        <v>-32131944.960000001</v>
      </c>
      <c r="E33" s="582"/>
    </row>
    <row r="34" spans="1:5" x14ac:dyDescent="0.25">
      <c r="A34" s="583" t="s">
        <v>357</v>
      </c>
      <c r="B34" s="584">
        <v>5455650.71</v>
      </c>
      <c r="C34" s="584">
        <v>211131.43</v>
      </c>
      <c r="D34" s="590">
        <f t="shared" ref="D34:D37" si="2">B34-C34</f>
        <v>5244519.28</v>
      </c>
      <c r="E34" s="586"/>
    </row>
    <row r="35" spans="1:5" x14ac:dyDescent="0.25">
      <c r="A35" s="583" t="s">
        <v>358</v>
      </c>
      <c r="B35" s="584">
        <v>3465956.08</v>
      </c>
      <c r="C35" s="584">
        <v>15012611.23</v>
      </c>
      <c r="D35" s="590">
        <f t="shared" si="2"/>
        <v>-11546655.15</v>
      </c>
      <c r="E35" s="586"/>
    </row>
    <row r="36" spans="1:5" x14ac:dyDescent="0.25">
      <c r="A36" s="583" t="s">
        <v>359</v>
      </c>
      <c r="B36" s="584">
        <v>0</v>
      </c>
      <c r="C36" s="584">
        <v>71385.37</v>
      </c>
      <c r="D36" s="590">
        <f t="shared" si="2"/>
        <v>-71385.37</v>
      </c>
      <c r="E36" s="586"/>
    </row>
    <row r="37" spans="1:5" ht="30" x14ac:dyDescent="0.25">
      <c r="A37" s="583" t="s">
        <v>360</v>
      </c>
      <c r="B37" s="584">
        <v>233200</v>
      </c>
      <c r="C37" s="584">
        <v>733065.85</v>
      </c>
      <c r="D37" s="590">
        <f t="shared" si="2"/>
        <v>-499865.85</v>
      </c>
      <c r="E37" s="586"/>
    </row>
    <row r="38" spans="1:5" x14ac:dyDescent="0.25">
      <c r="A38" s="583"/>
      <c r="B38" s="585"/>
      <c r="C38" s="585"/>
      <c r="D38" s="585"/>
      <c r="E38" s="586"/>
    </row>
    <row r="39" spans="1:5" ht="15.75" thickBot="1" x14ac:dyDescent="0.3">
      <c r="A39" s="587" t="s">
        <v>36</v>
      </c>
      <c r="B39" s="588"/>
      <c r="C39" s="588"/>
      <c r="D39" s="591">
        <f>SUM(D33:D37)</f>
        <v>-39005332.049999997</v>
      </c>
      <c r="E39" s="589"/>
    </row>
  </sheetData>
  <mergeCells count="7">
    <mergeCell ref="A23:A24"/>
    <mergeCell ref="A13:I13"/>
    <mergeCell ref="A14:C14"/>
    <mergeCell ref="D14:I14"/>
    <mergeCell ref="A20:B20"/>
    <mergeCell ref="A21:A22"/>
    <mergeCell ref="D20:G20"/>
  </mergeCell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CC44-C69F-4716-A723-0F2E85DE5210}">
  <dimension ref="A2:AG124"/>
  <sheetViews>
    <sheetView topLeftCell="A22" workbookViewId="0">
      <selection activeCell="A87" sqref="A87:N87"/>
    </sheetView>
  </sheetViews>
  <sheetFormatPr defaultColWidth="8.625" defaultRowHeight="14.25" x14ac:dyDescent="0.2"/>
  <cols>
    <col min="1" max="1" width="25.75" style="1" customWidth="1"/>
    <col min="2" max="3" width="17.25" style="1" customWidth="1"/>
    <col min="4" max="4" width="8.875" style="1" customWidth="1"/>
    <col min="5" max="5" width="8.875" style="158" customWidth="1"/>
    <col min="6" max="13" width="8.875" style="1" customWidth="1"/>
    <col min="14" max="15" width="17.25" style="1" customWidth="1"/>
    <col min="16" max="16" width="11.25" style="1" bestFit="1" customWidth="1"/>
    <col min="17" max="16384" width="8.625" style="1"/>
  </cols>
  <sheetData>
    <row r="2" spans="1:33" ht="15" x14ac:dyDescent="0.2">
      <c r="A2" s="654" t="s">
        <v>0</v>
      </c>
      <c r="B2" s="654"/>
      <c r="C2" s="654"/>
      <c r="D2" s="654"/>
      <c r="E2" s="654"/>
      <c r="F2" s="654"/>
      <c r="G2" s="654"/>
      <c r="H2" s="654"/>
      <c r="I2" s="654"/>
      <c r="J2" s="654"/>
      <c r="K2" s="654"/>
      <c r="L2" s="654"/>
      <c r="M2" s="654"/>
      <c r="N2" s="654"/>
      <c r="O2" s="2"/>
    </row>
    <row r="3" spans="1:33" ht="43.5" thickBot="1" x14ac:dyDescent="0.25">
      <c r="A3" s="654" t="s">
        <v>153</v>
      </c>
      <c r="B3" s="654"/>
      <c r="C3" s="654"/>
      <c r="D3" s="654"/>
      <c r="E3" s="654"/>
      <c r="F3" s="654"/>
      <c r="G3" s="654"/>
      <c r="H3" s="654"/>
      <c r="I3" s="654"/>
      <c r="J3" s="654"/>
      <c r="K3" s="654"/>
      <c r="L3" s="654"/>
      <c r="M3" s="654"/>
      <c r="N3" s="654"/>
      <c r="O3" s="2"/>
      <c r="X3" s="1" t="s">
        <v>166</v>
      </c>
      <c r="Y3" s="1" t="s">
        <v>167</v>
      </c>
      <c r="Z3" s="1" t="s">
        <v>166</v>
      </c>
      <c r="AA3" s="1" t="s">
        <v>167</v>
      </c>
      <c r="AB3" s="1" t="s">
        <v>166</v>
      </c>
      <c r="AC3" s="1" t="s">
        <v>167</v>
      </c>
      <c r="AD3" s="1" t="s">
        <v>166</v>
      </c>
      <c r="AE3" s="1" t="s">
        <v>167</v>
      </c>
      <c r="AF3" s="1" t="s">
        <v>166</v>
      </c>
      <c r="AG3" s="1" t="s">
        <v>167</v>
      </c>
    </row>
    <row r="4" spans="1:33" ht="31.5" customHeight="1" thickBot="1" x14ac:dyDescent="0.25">
      <c r="A4" s="2"/>
      <c r="B4" s="2"/>
      <c r="C4" s="2"/>
      <c r="D4" s="2" t="s">
        <v>165</v>
      </c>
      <c r="E4" s="159" t="s">
        <v>164</v>
      </c>
      <c r="F4" s="2" t="s">
        <v>165</v>
      </c>
      <c r="G4" s="159" t="s">
        <v>164</v>
      </c>
      <c r="H4" s="2" t="s">
        <v>165</v>
      </c>
      <c r="I4" s="159" t="s">
        <v>164</v>
      </c>
      <c r="J4" s="2" t="s">
        <v>165</v>
      </c>
      <c r="K4" s="159" t="s">
        <v>164</v>
      </c>
      <c r="L4" s="2" t="s">
        <v>165</v>
      </c>
      <c r="M4" s="159" t="s">
        <v>164</v>
      </c>
      <c r="N4" s="2"/>
      <c r="O4" s="2"/>
      <c r="X4" s="659" t="s">
        <v>159</v>
      </c>
      <c r="Y4" s="660"/>
      <c r="Z4" s="659" t="s">
        <v>120</v>
      </c>
      <c r="AA4" s="660"/>
      <c r="AB4" s="659" t="s">
        <v>160</v>
      </c>
      <c r="AC4" s="660"/>
      <c r="AD4" s="659" t="s">
        <v>161</v>
      </c>
      <c r="AE4" s="660"/>
      <c r="AF4" s="659" t="s">
        <v>162</v>
      </c>
      <c r="AG4" s="660"/>
    </row>
    <row r="5" spans="1:33" ht="51.75" thickBot="1" x14ac:dyDescent="0.25">
      <c r="A5" s="11" t="s">
        <v>2</v>
      </c>
      <c r="B5" s="12" t="s">
        <v>3</v>
      </c>
      <c r="C5" s="12" t="s">
        <v>158</v>
      </c>
      <c r="D5" s="655" t="s">
        <v>168</v>
      </c>
      <c r="E5" s="656"/>
      <c r="F5" s="657" t="s">
        <v>169</v>
      </c>
      <c r="G5" s="658"/>
      <c r="H5" s="657" t="s">
        <v>170</v>
      </c>
      <c r="I5" s="658"/>
      <c r="J5" s="657" t="s">
        <v>171</v>
      </c>
      <c r="K5" s="658"/>
      <c r="L5" s="655" t="s">
        <v>172</v>
      </c>
      <c r="M5" s="656"/>
      <c r="N5" s="142" t="s">
        <v>11</v>
      </c>
      <c r="O5" s="177" t="s">
        <v>173</v>
      </c>
      <c r="P5" s="11" t="s">
        <v>163</v>
      </c>
      <c r="Q5" s="12" t="s">
        <v>5</v>
      </c>
      <c r="R5" s="12" t="s">
        <v>6</v>
      </c>
      <c r="S5" s="12" t="s">
        <v>7</v>
      </c>
      <c r="T5" s="13" t="s">
        <v>8</v>
      </c>
      <c r="X5" s="160">
        <v>72.53</v>
      </c>
      <c r="Y5" s="161">
        <f>X5*2.1</f>
        <v>152.31300000000002</v>
      </c>
      <c r="Z5" s="160">
        <v>45.17</v>
      </c>
      <c r="AA5" s="161">
        <f>Z5*2.1</f>
        <v>94.857000000000014</v>
      </c>
      <c r="AB5" s="160">
        <v>31.81</v>
      </c>
      <c r="AC5" s="161">
        <f>AB5*2.1</f>
        <v>66.801000000000002</v>
      </c>
      <c r="AD5" s="160">
        <v>21.89</v>
      </c>
      <c r="AE5" s="161">
        <f>AD5*2.1</f>
        <v>45.969000000000001</v>
      </c>
      <c r="AF5" s="160">
        <v>85.75</v>
      </c>
      <c r="AG5" s="161">
        <f>AF5*2.1</f>
        <v>180.07500000000002</v>
      </c>
    </row>
    <row r="6" spans="1:33" x14ac:dyDescent="0.2">
      <c r="A6" s="14" t="s">
        <v>147</v>
      </c>
      <c r="B6" s="162">
        <v>104</v>
      </c>
      <c r="C6" s="162">
        <v>1012</v>
      </c>
      <c r="D6" s="162">
        <v>1</v>
      </c>
      <c r="E6" s="163">
        <f>D6*Y5</f>
        <v>152.31300000000002</v>
      </c>
      <c r="F6" s="164">
        <v>8</v>
      </c>
      <c r="G6" s="164">
        <f>F6*AA5</f>
        <v>758.85600000000011</v>
      </c>
      <c r="H6" s="164">
        <v>2</v>
      </c>
      <c r="I6" s="164">
        <f>H6*AC5</f>
        <v>133.602</v>
      </c>
      <c r="J6" s="164">
        <v>4</v>
      </c>
      <c r="K6" s="164">
        <f>J6*AE5</f>
        <v>183.876</v>
      </c>
      <c r="L6" s="164">
        <f>'[1]Tbl2-SI Cert All'!J30</f>
        <v>0</v>
      </c>
      <c r="M6" s="164">
        <f>L6*AG5</f>
        <v>0</v>
      </c>
      <c r="N6" s="164">
        <f>C6/B6</f>
        <v>9.7307692307692299</v>
      </c>
      <c r="O6" s="164"/>
      <c r="P6" s="151">
        <f>SUM(E6:N6)</f>
        <v>1252.3777692307694</v>
      </c>
      <c r="Q6" s="165"/>
      <c r="R6" s="165"/>
      <c r="S6" s="165"/>
      <c r="T6" s="166"/>
    </row>
    <row r="7" spans="1:33" x14ac:dyDescent="0.2">
      <c r="A7" s="140" t="s">
        <v>148</v>
      </c>
      <c r="B7" s="162"/>
      <c r="C7" s="162"/>
      <c r="D7" s="162">
        <v>4</v>
      </c>
      <c r="E7" s="163">
        <f>D7*Y5</f>
        <v>609.25200000000007</v>
      </c>
      <c r="F7" s="164">
        <v>10</v>
      </c>
      <c r="G7" s="164">
        <f>F7*AA5</f>
        <v>948.57000000000016</v>
      </c>
      <c r="H7" s="164">
        <v>20</v>
      </c>
      <c r="I7" s="164">
        <f>H7*AC5</f>
        <v>1336.02</v>
      </c>
      <c r="J7" s="164">
        <v>2</v>
      </c>
      <c r="K7" s="164">
        <f>J7*AE5</f>
        <v>91.938000000000002</v>
      </c>
      <c r="L7" s="164">
        <v>1</v>
      </c>
      <c r="M7" s="164">
        <f>L7*AG5</f>
        <v>180.07500000000002</v>
      </c>
      <c r="N7" s="164"/>
      <c r="O7" s="164"/>
      <c r="P7" s="151"/>
      <c r="Q7" s="165"/>
      <c r="R7" s="165"/>
      <c r="S7" s="165"/>
      <c r="T7" s="166"/>
    </row>
    <row r="8" spans="1:33" x14ac:dyDescent="0.2">
      <c r="A8" s="141" t="s">
        <v>149</v>
      </c>
      <c r="B8" s="162"/>
      <c r="C8" s="162"/>
      <c r="D8" s="162"/>
      <c r="E8" s="163"/>
      <c r="F8" s="164"/>
      <c r="G8" s="164"/>
      <c r="H8" s="164"/>
      <c r="I8" s="164"/>
      <c r="J8" s="164"/>
      <c r="K8" s="164"/>
      <c r="L8" s="164"/>
      <c r="M8" s="164"/>
      <c r="N8" s="164"/>
      <c r="O8" s="164"/>
      <c r="P8" s="151"/>
      <c r="Q8" s="165"/>
      <c r="R8" s="165"/>
      <c r="S8" s="165"/>
      <c r="T8" s="166"/>
    </row>
    <row r="9" spans="1:33" x14ac:dyDescent="0.2">
      <c r="A9" s="141" t="s">
        <v>157</v>
      </c>
      <c r="B9" s="162"/>
      <c r="C9" s="162"/>
      <c r="D9" s="162"/>
      <c r="E9" s="163"/>
      <c r="F9" s="164"/>
      <c r="G9" s="164"/>
      <c r="H9" s="164"/>
      <c r="I9" s="164"/>
      <c r="J9" s="164"/>
      <c r="K9" s="164"/>
      <c r="L9" s="164"/>
      <c r="M9" s="164"/>
      <c r="N9" s="164"/>
      <c r="O9" s="164"/>
      <c r="P9" s="151"/>
      <c r="Q9" s="165"/>
      <c r="R9" s="165"/>
      <c r="S9" s="165"/>
      <c r="T9" s="166"/>
    </row>
    <row r="10" spans="1:33" x14ac:dyDescent="0.2">
      <c r="A10" s="14" t="s">
        <v>150</v>
      </c>
      <c r="B10" s="162"/>
      <c r="C10" s="162"/>
      <c r="D10" s="162">
        <v>8</v>
      </c>
      <c r="E10" s="163">
        <f>D10*152.31</f>
        <v>1218.48</v>
      </c>
      <c r="F10" s="164">
        <v>40</v>
      </c>
      <c r="G10" s="164">
        <f>F10*94.86</f>
        <v>3794.4</v>
      </c>
      <c r="H10" s="164">
        <v>80</v>
      </c>
      <c r="I10" s="164">
        <f>H10*66.8</f>
        <v>5344</v>
      </c>
      <c r="J10" s="164">
        <v>8</v>
      </c>
      <c r="K10" s="164">
        <f>J10*45.97</f>
        <v>367.76</v>
      </c>
      <c r="L10" s="164">
        <v>4</v>
      </c>
      <c r="M10" s="164">
        <f>L10*180.08</f>
        <v>720.32</v>
      </c>
      <c r="N10" s="164">
        <f>'[1]Tbl4-SI PLT'!O21</f>
        <v>0</v>
      </c>
      <c r="O10" s="164"/>
      <c r="P10" s="151"/>
      <c r="Q10" s="165"/>
      <c r="R10" s="165"/>
      <c r="S10" s="165"/>
      <c r="T10" s="166"/>
    </row>
    <row r="11" spans="1:33" x14ac:dyDescent="0.2">
      <c r="A11" s="14" t="s">
        <v>151</v>
      </c>
      <c r="B11" s="162"/>
      <c r="C11" s="162"/>
      <c r="D11" s="162"/>
      <c r="E11" s="163">
        <f t="shared" ref="E11:E20" si="0">D11*152.31</f>
        <v>0</v>
      </c>
      <c r="F11" s="164">
        <f>'[1]Tbl5-SI InUse'!N21</f>
        <v>0</v>
      </c>
      <c r="G11" s="164">
        <f t="shared" ref="G11:G20" si="1">F11*94.86</f>
        <v>0</v>
      </c>
      <c r="H11" s="164">
        <f>'[1]Tbl5-SI InUse'!I21</f>
        <v>0</v>
      </c>
      <c r="I11" s="164">
        <f t="shared" ref="I11:I20" si="2">H11*66.8</f>
        <v>0</v>
      </c>
      <c r="J11" s="164">
        <v>0</v>
      </c>
      <c r="K11" s="164">
        <f t="shared" ref="K11:K20" si="3">J11*45.97</f>
        <v>0</v>
      </c>
      <c r="L11" s="164">
        <f>'[1]Tbl5-SI InUse'!K21</f>
        <v>0</v>
      </c>
      <c r="M11" s="164">
        <f t="shared" ref="M11:M20" si="4">L11*180.08</f>
        <v>0</v>
      </c>
      <c r="N11" s="164">
        <f>'[1]Tbl5-SI InUse'!L24</f>
        <v>0</v>
      </c>
      <c r="O11" s="164"/>
      <c r="P11" s="151"/>
      <c r="Q11" s="165"/>
      <c r="R11" s="165"/>
      <c r="S11" s="165"/>
      <c r="T11" s="166"/>
    </row>
    <row r="12" spans="1:33" x14ac:dyDescent="0.2">
      <c r="A12" s="14" t="s">
        <v>152</v>
      </c>
      <c r="B12" s="162"/>
      <c r="C12" s="162"/>
      <c r="D12" s="162"/>
      <c r="E12" s="163">
        <f t="shared" si="0"/>
        <v>0</v>
      </c>
      <c r="F12" s="164">
        <f>'[1]Tbl6-SEA'!N15</f>
        <v>0</v>
      </c>
      <c r="G12" s="164">
        <f t="shared" si="1"/>
        <v>0</v>
      </c>
      <c r="H12" s="164">
        <f>'[1]Tbl6-SEA'!I15</f>
        <v>0</v>
      </c>
      <c r="I12" s="164">
        <f t="shared" si="2"/>
        <v>0</v>
      </c>
      <c r="J12" s="164">
        <v>0</v>
      </c>
      <c r="K12" s="164">
        <f t="shared" si="3"/>
        <v>0</v>
      </c>
      <c r="L12" s="164">
        <f>'[1]Tbl6-SEA'!K15</f>
        <v>0</v>
      </c>
      <c r="M12" s="164">
        <f t="shared" si="4"/>
        <v>0</v>
      </c>
      <c r="N12" s="164">
        <f>'[1]Tbl6-SEA'!O15</f>
        <v>0</v>
      </c>
      <c r="O12" s="164"/>
      <c r="P12" s="151"/>
      <c r="Q12" s="165"/>
      <c r="R12" s="165"/>
      <c r="S12" s="165"/>
      <c r="T12" s="166"/>
    </row>
    <row r="13" spans="1:33" ht="15" thickBot="1" x14ac:dyDescent="0.25">
      <c r="A13" s="18" t="s">
        <v>10</v>
      </c>
      <c r="B13" s="167"/>
      <c r="C13" s="167"/>
      <c r="D13" s="167"/>
      <c r="E13" s="163">
        <f t="shared" si="0"/>
        <v>0</v>
      </c>
      <c r="F13" s="168">
        <f>SUM(F6:F12)</f>
        <v>58</v>
      </c>
      <c r="G13" s="164">
        <f t="shared" si="1"/>
        <v>5501.88</v>
      </c>
      <c r="H13" s="168">
        <f>SUM(H6:H12)</f>
        <v>102</v>
      </c>
      <c r="I13" s="164">
        <f t="shared" si="2"/>
        <v>6813.5999999999995</v>
      </c>
      <c r="J13" s="168">
        <f>SUM(J6:J12)</f>
        <v>14</v>
      </c>
      <c r="K13" s="164">
        <f t="shared" si="3"/>
        <v>643.57999999999993</v>
      </c>
      <c r="L13" s="168">
        <f>SUM(L6:L12)</f>
        <v>5</v>
      </c>
      <c r="M13" s="164">
        <f t="shared" si="4"/>
        <v>900.40000000000009</v>
      </c>
      <c r="N13" s="169">
        <f>SUM(N6:N12)</f>
        <v>9.7307692307692299</v>
      </c>
      <c r="O13" s="178"/>
      <c r="P13" s="151"/>
      <c r="Q13" s="165"/>
      <c r="R13" s="165"/>
      <c r="S13" s="165"/>
      <c r="T13" s="166"/>
    </row>
    <row r="14" spans="1:33" x14ac:dyDescent="0.2">
      <c r="A14" s="5" t="s">
        <v>12</v>
      </c>
      <c r="B14" s="170"/>
      <c r="C14" s="170"/>
      <c r="D14" s="170"/>
      <c r="E14" s="163">
        <f t="shared" si="0"/>
        <v>0</v>
      </c>
      <c r="F14" s="170"/>
      <c r="G14" s="164">
        <f t="shared" si="1"/>
        <v>0</v>
      </c>
      <c r="H14" s="170"/>
      <c r="I14" s="164">
        <f t="shared" si="2"/>
        <v>0</v>
      </c>
      <c r="J14" s="170"/>
      <c r="K14" s="164">
        <f t="shared" si="3"/>
        <v>0</v>
      </c>
      <c r="L14" s="170"/>
      <c r="M14" s="164">
        <f t="shared" si="4"/>
        <v>0</v>
      </c>
      <c r="N14" s="171"/>
      <c r="O14" s="179"/>
      <c r="P14" s="151"/>
      <c r="Q14" s="165"/>
      <c r="R14" s="165"/>
      <c r="S14" s="165"/>
      <c r="T14" s="166"/>
    </row>
    <row r="15" spans="1:33" x14ac:dyDescent="0.2">
      <c r="A15" s="7" t="s">
        <v>13</v>
      </c>
      <c r="B15" s="131"/>
      <c r="C15" s="131"/>
      <c r="D15" s="131">
        <v>2</v>
      </c>
      <c r="E15" s="163">
        <f t="shared" si="0"/>
        <v>304.62</v>
      </c>
      <c r="F15" s="131">
        <v>8</v>
      </c>
      <c r="G15" s="164">
        <f t="shared" si="1"/>
        <v>758.88</v>
      </c>
      <c r="H15" s="131">
        <v>2</v>
      </c>
      <c r="I15" s="164">
        <f t="shared" si="2"/>
        <v>133.6</v>
      </c>
      <c r="J15" s="131">
        <v>2</v>
      </c>
      <c r="K15" s="164">
        <f t="shared" si="3"/>
        <v>91.94</v>
      </c>
      <c r="L15" s="131">
        <v>1</v>
      </c>
      <c r="M15" s="164">
        <f t="shared" si="4"/>
        <v>180.08</v>
      </c>
      <c r="N15" s="172"/>
      <c r="O15" s="165"/>
      <c r="P15" s="151"/>
      <c r="Q15" s="165"/>
      <c r="R15" s="165"/>
      <c r="S15" s="165"/>
      <c r="T15" s="166"/>
    </row>
    <row r="16" spans="1:33" x14ac:dyDescent="0.2">
      <c r="A16" s="7" t="s">
        <v>14</v>
      </c>
      <c r="B16" s="131"/>
      <c r="C16" s="131"/>
      <c r="D16" s="131">
        <v>1</v>
      </c>
      <c r="E16" s="163">
        <f t="shared" si="0"/>
        <v>152.31</v>
      </c>
      <c r="F16" s="131">
        <v>1</v>
      </c>
      <c r="G16" s="164">
        <f t="shared" si="1"/>
        <v>94.86</v>
      </c>
      <c r="H16" s="131">
        <v>1</v>
      </c>
      <c r="I16" s="164">
        <f t="shared" si="2"/>
        <v>66.8</v>
      </c>
      <c r="J16" s="131">
        <v>1</v>
      </c>
      <c r="K16" s="164">
        <f t="shared" si="3"/>
        <v>45.97</v>
      </c>
      <c r="L16" s="131">
        <v>1</v>
      </c>
      <c r="M16" s="164">
        <f t="shared" si="4"/>
        <v>180.08</v>
      </c>
      <c r="N16" s="172"/>
      <c r="O16" s="165"/>
      <c r="P16" s="151"/>
      <c r="Q16" s="165"/>
      <c r="R16" s="165"/>
      <c r="S16" s="165"/>
      <c r="T16" s="166"/>
    </row>
    <row r="17" spans="1:20" x14ac:dyDescent="0.2">
      <c r="A17" s="7" t="s">
        <v>15</v>
      </c>
      <c r="B17" s="131"/>
      <c r="C17" s="131"/>
      <c r="D17" s="131">
        <v>2</v>
      </c>
      <c r="E17" s="163">
        <f t="shared" si="0"/>
        <v>304.62</v>
      </c>
      <c r="F17" s="131">
        <v>8</v>
      </c>
      <c r="G17" s="164">
        <f t="shared" si="1"/>
        <v>758.88</v>
      </c>
      <c r="H17" s="131"/>
      <c r="I17" s="164">
        <f t="shared" si="2"/>
        <v>0</v>
      </c>
      <c r="J17" s="131">
        <v>2</v>
      </c>
      <c r="K17" s="164">
        <f t="shared" si="3"/>
        <v>91.94</v>
      </c>
      <c r="L17" s="131">
        <v>1</v>
      </c>
      <c r="M17" s="164">
        <f t="shared" si="4"/>
        <v>180.08</v>
      </c>
      <c r="N17" s="172"/>
      <c r="O17" s="165"/>
      <c r="P17" s="151"/>
      <c r="Q17" s="165"/>
      <c r="R17" s="165"/>
      <c r="S17" s="165"/>
      <c r="T17" s="166"/>
    </row>
    <row r="18" spans="1:20" x14ac:dyDescent="0.2">
      <c r="A18" s="7" t="s">
        <v>16</v>
      </c>
      <c r="B18" s="131"/>
      <c r="C18" s="131"/>
      <c r="D18" s="131"/>
      <c r="E18" s="163">
        <f t="shared" si="0"/>
        <v>0</v>
      </c>
      <c r="F18" s="131"/>
      <c r="G18" s="164">
        <f t="shared" si="1"/>
        <v>0</v>
      </c>
      <c r="H18" s="131"/>
      <c r="I18" s="164">
        <f t="shared" si="2"/>
        <v>0</v>
      </c>
      <c r="J18" s="131"/>
      <c r="K18" s="164">
        <f t="shared" si="3"/>
        <v>0</v>
      </c>
      <c r="L18" s="131"/>
      <c r="M18" s="164">
        <f t="shared" si="4"/>
        <v>0</v>
      </c>
      <c r="N18" s="172"/>
      <c r="O18" s="165"/>
      <c r="P18" s="151"/>
      <c r="Q18" s="165"/>
      <c r="R18" s="165"/>
      <c r="S18" s="165"/>
      <c r="T18" s="166"/>
    </row>
    <row r="19" spans="1:20" x14ac:dyDescent="0.2">
      <c r="A19" s="7" t="s">
        <v>17</v>
      </c>
      <c r="B19" s="131"/>
      <c r="C19" s="131"/>
      <c r="D19" s="131"/>
      <c r="E19" s="163">
        <f t="shared" si="0"/>
        <v>0</v>
      </c>
      <c r="F19" s="131"/>
      <c r="G19" s="164">
        <f t="shared" si="1"/>
        <v>0</v>
      </c>
      <c r="H19" s="131"/>
      <c r="I19" s="164">
        <f t="shared" si="2"/>
        <v>0</v>
      </c>
      <c r="J19" s="131"/>
      <c r="K19" s="164">
        <f t="shared" si="3"/>
        <v>0</v>
      </c>
      <c r="L19" s="131"/>
      <c r="M19" s="164">
        <f t="shared" si="4"/>
        <v>0</v>
      </c>
      <c r="N19" s="172"/>
      <c r="O19" s="165"/>
      <c r="P19" s="151"/>
      <c r="Q19" s="165"/>
      <c r="R19" s="165"/>
      <c r="S19" s="165"/>
      <c r="T19" s="166"/>
    </row>
    <row r="20" spans="1:20" ht="15" thickBot="1" x14ac:dyDescent="0.25">
      <c r="A20" s="9" t="s">
        <v>18</v>
      </c>
      <c r="B20" s="173"/>
      <c r="C20" s="173"/>
      <c r="D20" s="173"/>
      <c r="E20" s="163">
        <f t="shared" si="0"/>
        <v>0</v>
      </c>
      <c r="F20" s="173"/>
      <c r="G20" s="164">
        <f t="shared" si="1"/>
        <v>0</v>
      </c>
      <c r="H20" s="173"/>
      <c r="I20" s="164">
        <f t="shared" si="2"/>
        <v>0</v>
      </c>
      <c r="J20" s="173"/>
      <c r="K20" s="164">
        <f t="shared" si="3"/>
        <v>0</v>
      </c>
      <c r="L20" s="173"/>
      <c r="M20" s="164">
        <f t="shared" si="4"/>
        <v>0</v>
      </c>
      <c r="N20" s="174"/>
      <c r="O20" s="180"/>
      <c r="P20" s="152"/>
      <c r="Q20" s="175"/>
      <c r="R20" s="175"/>
      <c r="S20" s="175"/>
      <c r="T20" s="176"/>
    </row>
    <row r="23" spans="1:20" ht="15" x14ac:dyDescent="0.2">
      <c r="A23" s="654" t="s">
        <v>0</v>
      </c>
      <c r="B23" s="654"/>
      <c r="C23" s="654"/>
      <c r="D23" s="654"/>
      <c r="E23" s="654"/>
      <c r="F23" s="654"/>
      <c r="G23" s="654"/>
      <c r="H23" s="654"/>
      <c r="I23" s="654"/>
      <c r="J23" s="654"/>
      <c r="K23" s="654"/>
      <c r="L23" s="654"/>
      <c r="M23" s="654"/>
      <c r="N23" s="654"/>
      <c r="O23" s="2"/>
    </row>
    <row r="24" spans="1:20" ht="15" x14ac:dyDescent="0.2">
      <c r="A24" s="654" t="s">
        <v>154</v>
      </c>
      <c r="B24" s="654"/>
      <c r="C24" s="654"/>
      <c r="D24" s="654"/>
      <c r="E24" s="654"/>
      <c r="F24" s="654"/>
      <c r="G24" s="654"/>
      <c r="H24" s="654"/>
      <c r="I24" s="654"/>
      <c r="J24" s="654"/>
      <c r="K24" s="654"/>
      <c r="L24" s="654"/>
      <c r="M24" s="654"/>
      <c r="N24" s="654"/>
      <c r="O24" s="2"/>
    </row>
    <row r="25" spans="1:20" ht="30.75" thickBot="1" x14ac:dyDescent="0.25">
      <c r="A25" s="2"/>
      <c r="B25" s="2"/>
      <c r="C25" s="2"/>
      <c r="D25" s="2" t="s">
        <v>165</v>
      </c>
      <c r="E25" s="159" t="s">
        <v>164</v>
      </c>
      <c r="F25" s="2" t="s">
        <v>165</v>
      </c>
      <c r="G25" s="159" t="s">
        <v>164</v>
      </c>
      <c r="H25" s="2" t="s">
        <v>165</v>
      </c>
      <c r="I25" s="159" t="s">
        <v>164</v>
      </c>
      <c r="J25" s="2" t="s">
        <v>165</v>
      </c>
      <c r="K25" s="159" t="s">
        <v>164</v>
      </c>
      <c r="L25" s="2" t="s">
        <v>165</v>
      </c>
      <c r="M25" s="159" t="s">
        <v>164</v>
      </c>
      <c r="N25" s="2"/>
      <c r="O25" s="2"/>
    </row>
    <row r="26" spans="1:20" ht="51.75" thickBot="1" x14ac:dyDescent="0.25">
      <c r="A26" s="11" t="s">
        <v>2</v>
      </c>
      <c r="B26" s="12" t="s">
        <v>3</v>
      </c>
      <c r="C26" s="12"/>
      <c r="D26" s="655" t="s">
        <v>159</v>
      </c>
      <c r="E26" s="656"/>
      <c r="F26" s="657" t="s">
        <v>120</v>
      </c>
      <c r="G26" s="658"/>
      <c r="H26" s="657" t="s">
        <v>160</v>
      </c>
      <c r="I26" s="658"/>
      <c r="J26" s="657" t="s">
        <v>161</v>
      </c>
      <c r="K26" s="658"/>
      <c r="L26" s="655" t="s">
        <v>162</v>
      </c>
      <c r="M26" s="656"/>
      <c r="N26" s="142" t="s">
        <v>11</v>
      </c>
      <c r="O26" s="177" t="s">
        <v>173</v>
      </c>
      <c r="P26" s="11" t="s">
        <v>4</v>
      </c>
      <c r="Q26" s="12" t="s">
        <v>5</v>
      </c>
      <c r="R26" s="12" t="s">
        <v>6</v>
      </c>
      <c r="S26" s="12" t="s">
        <v>7</v>
      </c>
      <c r="T26" s="13" t="s">
        <v>8</v>
      </c>
    </row>
    <row r="27" spans="1:20" x14ac:dyDescent="0.2">
      <c r="A27" s="14" t="s">
        <v>147</v>
      </c>
      <c r="B27" s="15"/>
      <c r="C27" s="15"/>
      <c r="D27" s="15">
        <v>0.5</v>
      </c>
      <c r="E27" s="153">
        <f>D27*152.31</f>
        <v>76.155000000000001</v>
      </c>
      <c r="F27" s="16">
        <v>4</v>
      </c>
      <c r="G27" s="16">
        <f>F27*94.86</f>
        <v>379.44</v>
      </c>
      <c r="H27" s="16">
        <f>'[1]Tbl2-SI Cert All'!H50</f>
        <v>0</v>
      </c>
      <c r="I27" s="16">
        <f>H27*66.8</f>
        <v>0</v>
      </c>
      <c r="J27" s="16">
        <v>0</v>
      </c>
      <c r="K27" s="16">
        <f>J27*45.97</f>
        <v>0</v>
      </c>
      <c r="L27" s="16">
        <f>'[1]Tbl2-SI Cert All'!J50</f>
        <v>0</v>
      </c>
      <c r="M27" s="16">
        <f>L27*180.08</f>
        <v>0</v>
      </c>
      <c r="N27" s="16">
        <f>'[1]Tbl2-SI Cert All'!N50</f>
        <v>0</v>
      </c>
      <c r="O27" s="16"/>
      <c r="P27" s="7"/>
      <c r="Q27" s="4"/>
      <c r="R27" s="4"/>
      <c r="S27" s="4"/>
      <c r="T27" s="8"/>
    </row>
    <row r="28" spans="1:20" x14ac:dyDescent="0.2">
      <c r="A28" s="140" t="s">
        <v>148</v>
      </c>
      <c r="B28" s="15"/>
      <c r="C28" s="15"/>
      <c r="D28" s="15">
        <v>4</v>
      </c>
      <c r="E28" s="153">
        <f t="shared" ref="E28:E41" si="5">D28*152.31</f>
        <v>609.24</v>
      </c>
      <c r="F28" s="16">
        <v>50</v>
      </c>
      <c r="G28" s="16">
        <f t="shared" ref="G28:G41" si="6">F28*94.86</f>
        <v>4743</v>
      </c>
      <c r="H28" s="16">
        <v>80</v>
      </c>
      <c r="I28" s="16">
        <f t="shared" ref="I28:I41" si="7">H28*66.8</f>
        <v>5344</v>
      </c>
      <c r="J28" s="16"/>
      <c r="K28" s="16"/>
      <c r="L28" s="16"/>
      <c r="M28" s="16"/>
      <c r="N28" s="16"/>
      <c r="O28" s="16"/>
      <c r="P28" s="7"/>
      <c r="Q28" s="4"/>
      <c r="R28" s="4"/>
      <c r="S28" s="4"/>
      <c r="T28" s="8"/>
    </row>
    <row r="29" spans="1:20" x14ac:dyDescent="0.2">
      <c r="A29" s="141" t="s">
        <v>149</v>
      </c>
      <c r="B29" s="15"/>
      <c r="C29" s="15"/>
      <c r="D29" s="15">
        <v>4</v>
      </c>
      <c r="E29" s="153">
        <f t="shared" si="5"/>
        <v>609.24</v>
      </c>
      <c r="F29" s="16">
        <v>50</v>
      </c>
      <c r="G29" s="16">
        <f t="shared" si="6"/>
        <v>4743</v>
      </c>
      <c r="H29" s="16">
        <v>80</v>
      </c>
      <c r="I29" s="16">
        <f t="shared" si="7"/>
        <v>5344</v>
      </c>
      <c r="J29" s="16"/>
      <c r="K29" s="16"/>
      <c r="L29" s="16"/>
      <c r="M29" s="16"/>
      <c r="N29" s="16"/>
      <c r="O29" s="16"/>
      <c r="P29" s="7"/>
      <c r="Q29" s="4"/>
      <c r="R29" s="4"/>
      <c r="S29" s="4"/>
      <c r="T29" s="8"/>
    </row>
    <row r="30" spans="1:20" x14ac:dyDescent="0.2">
      <c r="A30" s="141" t="s">
        <v>157</v>
      </c>
      <c r="B30" s="15"/>
      <c r="C30" s="15"/>
      <c r="D30" s="15"/>
      <c r="E30" s="153">
        <f t="shared" si="5"/>
        <v>0</v>
      </c>
      <c r="F30" s="16"/>
      <c r="G30" s="16">
        <f t="shared" si="6"/>
        <v>0</v>
      </c>
      <c r="H30" s="16"/>
      <c r="I30" s="16">
        <f t="shared" si="7"/>
        <v>0</v>
      </c>
      <c r="J30" s="16"/>
      <c r="K30" s="16"/>
      <c r="L30" s="16"/>
      <c r="M30" s="16"/>
      <c r="N30" s="16"/>
      <c r="O30" s="16"/>
      <c r="P30" s="7"/>
      <c r="Q30" s="4"/>
      <c r="R30" s="4"/>
      <c r="S30" s="4"/>
      <c r="T30" s="8"/>
    </row>
    <row r="31" spans="1:20" x14ac:dyDescent="0.2">
      <c r="A31" s="14" t="s">
        <v>150</v>
      </c>
      <c r="B31" s="17"/>
      <c r="C31" s="17"/>
      <c r="D31" s="17">
        <v>2</v>
      </c>
      <c r="E31" s="153">
        <f t="shared" si="5"/>
        <v>304.62</v>
      </c>
      <c r="F31" s="16">
        <v>20</v>
      </c>
      <c r="G31" s="16">
        <f t="shared" si="6"/>
        <v>1897.2</v>
      </c>
      <c r="H31" s="16">
        <v>40</v>
      </c>
      <c r="I31" s="16">
        <f t="shared" si="7"/>
        <v>2672</v>
      </c>
      <c r="J31" s="16">
        <v>0</v>
      </c>
      <c r="K31" s="16"/>
      <c r="L31" s="16">
        <f>'[1]Tbl4-SI PLT'!K41</f>
        <v>0</v>
      </c>
      <c r="M31" s="16"/>
      <c r="N31" s="16">
        <f>'[1]Tbl4-SI PLT'!O41</f>
        <v>0</v>
      </c>
      <c r="O31" s="16"/>
      <c r="P31" s="7"/>
      <c r="Q31" s="4"/>
      <c r="R31" s="4"/>
      <c r="S31" s="4"/>
      <c r="T31" s="8"/>
    </row>
    <row r="32" spans="1:20" x14ac:dyDescent="0.2">
      <c r="A32" s="14" t="s">
        <v>151</v>
      </c>
      <c r="B32" s="17"/>
      <c r="C32" s="17"/>
      <c r="D32" s="17"/>
      <c r="E32" s="153">
        <f t="shared" si="5"/>
        <v>0</v>
      </c>
      <c r="F32" s="16">
        <f>'[1]Tbl5-SI InUse'!N41</f>
        <v>0</v>
      </c>
      <c r="G32" s="16">
        <f t="shared" si="6"/>
        <v>0</v>
      </c>
      <c r="H32" s="16">
        <f>'[1]Tbl5-SI InUse'!I41</f>
        <v>0</v>
      </c>
      <c r="I32" s="16">
        <f t="shared" si="7"/>
        <v>0</v>
      </c>
      <c r="J32" s="16">
        <v>0</v>
      </c>
      <c r="K32" s="16"/>
      <c r="L32" s="16">
        <f>'[1]Tbl5-SI InUse'!K41</f>
        <v>0</v>
      </c>
      <c r="M32" s="16"/>
      <c r="N32" s="16">
        <f>'[1]Tbl5-SI InUse'!L44</f>
        <v>0</v>
      </c>
      <c r="O32" s="16"/>
      <c r="P32" s="7"/>
      <c r="Q32" s="4"/>
      <c r="R32" s="4"/>
      <c r="S32" s="4"/>
      <c r="T32" s="8"/>
    </row>
    <row r="33" spans="1:20" x14ac:dyDescent="0.2">
      <c r="A33" s="14" t="s">
        <v>152</v>
      </c>
      <c r="B33" s="17"/>
      <c r="C33" s="17"/>
      <c r="D33" s="17"/>
      <c r="E33" s="153">
        <f t="shared" si="5"/>
        <v>0</v>
      </c>
      <c r="F33" s="16">
        <f>'[1]Tbl6-SEA'!N35</f>
        <v>0</v>
      </c>
      <c r="G33" s="16">
        <f t="shared" si="6"/>
        <v>0</v>
      </c>
      <c r="H33" s="16">
        <f>'[1]Tbl6-SEA'!I35</f>
        <v>0</v>
      </c>
      <c r="I33" s="16">
        <f t="shared" si="7"/>
        <v>0</v>
      </c>
      <c r="J33" s="16">
        <v>0</v>
      </c>
      <c r="K33" s="16"/>
      <c r="L33" s="16">
        <f>'[1]Tbl6-SEA'!K35</f>
        <v>0</v>
      </c>
      <c r="M33" s="16"/>
      <c r="N33" s="16">
        <f>'[1]Tbl6-SEA'!O35</f>
        <v>0</v>
      </c>
      <c r="O33" s="16"/>
      <c r="P33" s="7"/>
      <c r="Q33" s="4"/>
      <c r="R33" s="4"/>
      <c r="S33" s="4"/>
      <c r="T33" s="8"/>
    </row>
    <row r="34" spans="1:20" ht="15" thickBot="1" x14ac:dyDescent="0.25">
      <c r="A34" s="18" t="s">
        <v>10</v>
      </c>
      <c r="B34" s="19"/>
      <c r="C34" s="19"/>
      <c r="D34" s="19"/>
      <c r="E34" s="153">
        <f t="shared" si="5"/>
        <v>0</v>
      </c>
      <c r="F34" s="20">
        <f>SUM(F27:F33)</f>
        <v>124</v>
      </c>
      <c r="G34" s="16">
        <f t="shared" si="6"/>
        <v>11762.64</v>
      </c>
      <c r="H34" s="20">
        <f>SUM(H27:H33)</f>
        <v>200</v>
      </c>
      <c r="I34" s="16">
        <f t="shared" si="7"/>
        <v>13360</v>
      </c>
      <c r="J34" s="20">
        <f>SUM(J27:J33)</f>
        <v>0</v>
      </c>
      <c r="K34" s="20"/>
      <c r="L34" s="20">
        <f>SUM(L27:L33)</f>
        <v>0</v>
      </c>
      <c r="M34" s="143"/>
      <c r="N34" s="143">
        <f>SUM(N27:N33)</f>
        <v>0</v>
      </c>
      <c r="O34" s="181"/>
      <c r="P34" s="7"/>
      <c r="Q34" s="4"/>
      <c r="R34" s="4"/>
      <c r="S34" s="4"/>
      <c r="T34" s="8"/>
    </row>
    <row r="35" spans="1:20" x14ac:dyDescent="0.2">
      <c r="A35" s="5" t="s">
        <v>12</v>
      </c>
      <c r="B35" s="6"/>
      <c r="C35" s="6"/>
      <c r="D35" s="6"/>
      <c r="E35" s="153">
        <f t="shared" si="5"/>
        <v>0</v>
      </c>
      <c r="F35" s="6"/>
      <c r="G35" s="16">
        <f t="shared" si="6"/>
        <v>0</v>
      </c>
      <c r="H35" s="6"/>
      <c r="I35" s="16">
        <f t="shared" si="7"/>
        <v>0</v>
      </c>
      <c r="J35" s="6"/>
      <c r="K35" s="6"/>
      <c r="L35" s="6"/>
      <c r="M35" s="144"/>
      <c r="N35" s="144"/>
      <c r="O35" s="182"/>
      <c r="P35" s="7"/>
      <c r="Q35" s="4"/>
      <c r="R35" s="4"/>
      <c r="S35" s="4"/>
      <c r="T35" s="8"/>
    </row>
    <row r="36" spans="1:20" x14ac:dyDescent="0.2">
      <c r="A36" s="7" t="s">
        <v>13</v>
      </c>
      <c r="B36" s="4"/>
      <c r="C36" s="4"/>
      <c r="D36" s="4">
        <v>2</v>
      </c>
      <c r="E36" s="153">
        <f t="shared" si="5"/>
        <v>304.62</v>
      </c>
      <c r="F36" s="4">
        <v>40</v>
      </c>
      <c r="G36" s="16">
        <f t="shared" si="6"/>
        <v>3794.4</v>
      </c>
      <c r="H36" s="4">
        <v>40</v>
      </c>
      <c r="I36" s="16">
        <f t="shared" si="7"/>
        <v>2672</v>
      </c>
      <c r="J36" s="4"/>
      <c r="K36" s="4"/>
      <c r="L36" s="4"/>
      <c r="M36" s="145"/>
      <c r="N36" s="145"/>
      <c r="O36" s="183"/>
      <c r="P36" s="7"/>
      <c r="Q36" s="4"/>
      <c r="R36" s="4"/>
      <c r="S36" s="4"/>
      <c r="T36" s="8"/>
    </row>
    <row r="37" spans="1:20" x14ac:dyDescent="0.2">
      <c r="A37" s="7" t="s">
        <v>14</v>
      </c>
      <c r="B37" s="4"/>
      <c r="C37" s="4"/>
      <c r="D37" s="4">
        <v>2</v>
      </c>
      <c r="E37" s="153">
        <f t="shared" si="5"/>
        <v>304.62</v>
      </c>
      <c r="F37" s="4">
        <v>5</v>
      </c>
      <c r="G37" s="16">
        <f t="shared" si="6"/>
        <v>474.3</v>
      </c>
      <c r="H37" s="4"/>
      <c r="I37" s="16">
        <f t="shared" si="7"/>
        <v>0</v>
      </c>
      <c r="J37" s="4"/>
      <c r="K37" s="4"/>
      <c r="L37" s="4"/>
      <c r="M37" s="145"/>
      <c r="N37" s="145"/>
      <c r="O37" s="183"/>
      <c r="P37" s="7"/>
      <c r="Q37" s="4"/>
      <c r="R37" s="4"/>
      <c r="S37" s="4"/>
      <c r="T37" s="8"/>
    </row>
    <row r="38" spans="1:20" x14ac:dyDescent="0.2">
      <c r="A38" s="7" t="s">
        <v>15</v>
      </c>
      <c r="B38" s="4"/>
      <c r="C38" s="4"/>
      <c r="D38" s="4">
        <v>1</v>
      </c>
      <c r="E38" s="153">
        <f t="shared" si="5"/>
        <v>152.31</v>
      </c>
      <c r="F38" s="4">
        <v>2</v>
      </c>
      <c r="G38" s="16">
        <f t="shared" si="6"/>
        <v>189.72</v>
      </c>
      <c r="H38" s="4"/>
      <c r="I38" s="16">
        <f t="shared" si="7"/>
        <v>0</v>
      </c>
      <c r="J38" s="4"/>
      <c r="K38" s="4"/>
      <c r="L38" s="4"/>
      <c r="M38" s="145"/>
      <c r="N38" s="145"/>
      <c r="O38" s="183"/>
      <c r="P38" s="7"/>
      <c r="Q38" s="4"/>
      <c r="R38" s="4"/>
      <c r="S38" s="4"/>
      <c r="T38" s="8"/>
    </row>
    <row r="39" spans="1:20" x14ac:dyDescent="0.2">
      <c r="A39" s="7" t="s">
        <v>16</v>
      </c>
      <c r="B39" s="4"/>
      <c r="C39" s="4"/>
      <c r="D39" s="4"/>
      <c r="E39" s="153">
        <f t="shared" si="5"/>
        <v>0</v>
      </c>
      <c r="F39" s="4"/>
      <c r="G39" s="16">
        <f t="shared" si="6"/>
        <v>0</v>
      </c>
      <c r="H39" s="4"/>
      <c r="I39" s="16">
        <f t="shared" si="7"/>
        <v>0</v>
      </c>
      <c r="J39" s="4"/>
      <c r="K39" s="4"/>
      <c r="L39" s="4"/>
      <c r="M39" s="145"/>
      <c r="N39" s="145"/>
      <c r="O39" s="183"/>
      <c r="P39" s="7"/>
      <c r="Q39" s="4"/>
      <c r="R39" s="4"/>
      <c r="S39" s="4"/>
      <c r="T39" s="8"/>
    </row>
    <row r="40" spans="1:20" x14ac:dyDescent="0.2">
      <c r="A40" s="7" t="s">
        <v>17</v>
      </c>
      <c r="B40" s="4"/>
      <c r="C40" s="4"/>
      <c r="D40" s="4"/>
      <c r="E40" s="153">
        <f t="shared" si="5"/>
        <v>0</v>
      </c>
      <c r="F40" s="4"/>
      <c r="G40" s="16">
        <f t="shared" si="6"/>
        <v>0</v>
      </c>
      <c r="H40" s="4"/>
      <c r="I40" s="16">
        <f t="shared" si="7"/>
        <v>0</v>
      </c>
      <c r="J40" s="4"/>
      <c r="K40" s="4"/>
      <c r="L40" s="4"/>
      <c r="M40" s="145"/>
      <c r="N40" s="145"/>
      <c r="O40" s="183"/>
      <c r="P40" s="7"/>
      <c r="Q40" s="4"/>
      <c r="R40" s="4"/>
      <c r="S40" s="4"/>
      <c r="T40" s="8"/>
    </row>
    <row r="41" spans="1:20" ht="15" thickBot="1" x14ac:dyDescent="0.25">
      <c r="A41" s="9" t="s">
        <v>18</v>
      </c>
      <c r="B41" s="10"/>
      <c r="C41" s="10"/>
      <c r="D41" s="10"/>
      <c r="E41" s="153">
        <f t="shared" si="5"/>
        <v>0</v>
      </c>
      <c r="F41" s="10"/>
      <c r="G41" s="16">
        <f t="shared" si="6"/>
        <v>0</v>
      </c>
      <c r="H41" s="10"/>
      <c r="I41" s="16">
        <f t="shared" si="7"/>
        <v>0</v>
      </c>
      <c r="J41" s="10"/>
      <c r="K41" s="10"/>
      <c r="L41" s="10"/>
      <c r="M41" s="146"/>
      <c r="N41" s="146"/>
      <c r="O41" s="184"/>
      <c r="P41" s="150"/>
      <c r="Q41" s="125"/>
      <c r="R41" s="125"/>
      <c r="S41" s="125"/>
      <c r="T41" s="79"/>
    </row>
    <row r="44" spans="1:20" ht="15" x14ac:dyDescent="0.2">
      <c r="A44" s="654" t="s">
        <v>0</v>
      </c>
      <c r="B44" s="654"/>
      <c r="C44" s="654"/>
      <c r="D44" s="654"/>
      <c r="E44" s="654"/>
      <c r="F44" s="654"/>
      <c r="G44" s="654"/>
      <c r="H44" s="654"/>
      <c r="I44" s="654"/>
      <c r="J44" s="654"/>
      <c r="K44" s="654"/>
      <c r="L44" s="654"/>
      <c r="M44" s="654"/>
      <c r="N44" s="654"/>
      <c r="O44" s="2"/>
    </row>
    <row r="45" spans="1:20" ht="15" x14ac:dyDescent="0.2">
      <c r="A45" s="654" t="s">
        <v>155</v>
      </c>
      <c r="B45" s="654"/>
      <c r="C45" s="654"/>
      <c r="D45" s="654"/>
      <c r="E45" s="654"/>
      <c r="F45" s="654"/>
      <c r="G45" s="654"/>
      <c r="H45" s="654"/>
      <c r="I45" s="654"/>
      <c r="J45" s="654"/>
      <c r="K45" s="654"/>
      <c r="L45" s="654"/>
      <c r="M45" s="654"/>
      <c r="N45" s="654"/>
      <c r="O45" s="2"/>
    </row>
    <row r="46" spans="1:20" ht="30.75" thickBot="1" x14ac:dyDescent="0.25">
      <c r="A46" s="2"/>
      <c r="B46" s="2"/>
      <c r="C46" s="2"/>
      <c r="D46" s="2" t="s">
        <v>165</v>
      </c>
      <c r="E46" s="159" t="s">
        <v>164</v>
      </c>
      <c r="F46" s="2" t="s">
        <v>165</v>
      </c>
      <c r="G46" s="159" t="s">
        <v>164</v>
      </c>
      <c r="H46" s="2" t="s">
        <v>165</v>
      </c>
      <c r="I46" s="159" t="s">
        <v>164</v>
      </c>
      <c r="J46" s="2" t="s">
        <v>165</v>
      </c>
      <c r="K46" s="159" t="s">
        <v>164</v>
      </c>
      <c r="L46" s="2" t="s">
        <v>165</v>
      </c>
      <c r="M46" s="159" t="s">
        <v>164</v>
      </c>
      <c r="N46" s="2"/>
      <c r="O46" s="2"/>
    </row>
    <row r="47" spans="1:20" ht="51.75" thickBot="1" x14ac:dyDescent="0.25">
      <c r="A47" s="11" t="s">
        <v>2</v>
      </c>
      <c r="B47" s="12" t="s">
        <v>3</v>
      </c>
      <c r="C47" s="12"/>
      <c r="D47" s="655" t="s">
        <v>159</v>
      </c>
      <c r="E47" s="656"/>
      <c r="F47" s="657" t="s">
        <v>120</v>
      </c>
      <c r="G47" s="658"/>
      <c r="H47" s="657" t="s">
        <v>160</v>
      </c>
      <c r="I47" s="658"/>
      <c r="J47" s="657" t="s">
        <v>161</v>
      </c>
      <c r="K47" s="658"/>
      <c r="L47" s="655" t="s">
        <v>162</v>
      </c>
      <c r="M47" s="656"/>
      <c r="N47" s="142" t="s">
        <v>11</v>
      </c>
      <c r="O47" s="177" t="s">
        <v>173</v>
      </c>
      <c r="P47" s="11" t="s">
        <v>4</v>
      </c>
      <c r="Q47" s="12" t="s">
        <v>5</v>
      </c>
      <c r="R47" s="12" t="s">
        <v>6</v>
      </c>
      <c r="S47" s="12" t="s">
        <v>7</v>
      </c>
      <c r="T47" s="13" t="s">
        <v>8</v>
      </c>
    </row>
    <row r="48" spans="1:20" x14ac:dyDescent="0.2">
      <c r="A48" s="14" t="s">
        <v>147</v>
      </c>
      <c r="B48" s="15"/>
      <c r="C48" s="15"/>
      <c r="D48" s="15"/>
      <c r="E48" s="153"/>
      <c r="F48" s="16">
        <f>'[1]Tbl2-SI Cert All'!M70</f>
        <v>0</v>
      </c>
      <c r="G48" s="16"/>
      <c r="H48" s="16">
        <f>'[1]Tbl2-SI Cert All'!H70</f>
        <v>0</v>
      </c>
      <c r="I48" s="16"/>
      <c r="J48" s="16">
        <v>0</v>
      </c>
      <c r="K48" s="16"/>
      <c r="L48" s="16">
        <f>'[1]Tbl2-SI Cert All'!J70</f>
        <v>0</v>
      </c>
      <c r="M48" s="16"/>
      <c r="N48" s="16">
        <f>'[1]Tbl2-SI Cert All'!N70</f>
        <v>0</v>
      </c>
      <c r="O48" s="16"/>
      <c r="P48" s="7"/>
      <c r="Q48" s="4"/>
      <c r="R48" s="4"/>
      <c r="S48" s="4"/>
      <c r="T48" s="8"/>
    </row>
    <row r="49" spans="1:20" ht="15" x14ac:dyDescent="0.25">
      <c r="A49" s="140" t="s">
        <v>148</v>
      </c>
      <c r="B49" s="15"/>
      <c r="C49" s="15"/>
      <c r="D49" s="15">
        <v>4</v>
      </c>
      <c r="E49" s="153"/>
      <c r="F49" s="16">
        <v>10</v>
      </c>
      <c r="G49" s="16"/>
      <c r="H49" s="16">
        <v>60</v>
      </c>
      <c r="I49" s="16"/>
      <c r="J49" s="16">
        <v>2</v>
      </c>
      <c r="K49" s="16"/>
      <c r="L49" s="16">
        <v>1</v>
      </c>
      <c r="M49" s="16"/>
      <c r="N49" s="16"/>
      <c r="O49" s="16"/>
      <c r="P49" s="371"/>
      <c r="Q49" s="4"/>
      <c r="R49" s="4"/>
      <c r="S49" s="4"/>
      <c r="T49" s="8"/>
    </row>
    <row r="50" spans="1:20" x14ac:dyDescent="0.2">
      <c r="A50" s="141" t="s">
        <v>149</v>
      </c>
      <c r="B50" s="15"/>
      <c r="C50" s="15"/>
      <c r="D50" s="15"/>
      <c r="E50" s="153"/>
      <c r="F50" s="16"/>
      <c r="G50" s="16"/>
      <c r="H50" s="16"/>
      <c r="I50" s="16"/>
      <c r="J50" s="16"/>
      <c r="K50" s="16"/>
      <c r="L50" s="16"/>
      <c r="M50" s="16"/>
      <c r="N50" s="16"/>
      <c r="O50" s="16"/>
      <c r="P50" s="7"/>
      <c r="Q50" s="4"/>
      <c r="R50" s="4"/>
      <c r="S50" s="4"/>
      <c r="T50" s="8"/>
    </row>
    <row r="51" spans="1:20" x14ac:dyDescent="0.2">
      <c r="A51" s="141" t="s">
        <v>157</v>
      </c>
      <c r="B51" s="15"/>
      <c r="C51" s="15"/>
      <c r="D51" s="15"/>
      <c r="E51" s="153"/>
      <c r="F51" s="16"/>
      <c r="G51" s="16"/>
      <c r="H51" s="16"/>
      <c r="I51" s="16"/>
      <c r="J51" s="16"/>
      <c r="K51" s="16"/>
      <c r="L51" s="16"/>
      <c r="M51" s="16"/>
      <c r="N51" s="16"/>
      <c r="O51" s="16"/>
      <c r="P51" s="7"/>
      <c r="Q51" s="4"/>
      <c r="R51" s="4"/>
      <c r="S51" s="4"/>
      <c r="T51" s="8"/>
    </row>
    <row r="52" spans="1:20" x14ac:dyDescent="0.2">
      <c r="A52" s="14" t="s">
        <v>150</v>
      </c>
      <c r="B52" s="17"/>
      <c r="C52" s="17"/>
      <c r="D52" s="17"/>
      <c r="E52" s="153"/>
      <c r="F52" s="16">
        <f>'[1]Tbl4-SI PLT'!N61</f>
        <v>0</v>
      </c>
      <c r="G52" s="16"/>
      <c r="H52" s="16">
        <f>'[1]Tbl4-SI PLT'!I61</f>
        <v>0</v>
      </c>
      <c r="I52" s="16"/>
      <c r="J52" s="16">
        <v>0</v>
      </c>
      <c r="K52" s="16"/>
      <c r="L52" s="16">
        <f>'[1]Tbl4-SI PLT'!K61</f>
        <v>0</v>
      </c>
      <c r="M52" s="16"/>
      <c r="N52" s="16">
        <f>'[1]Tbl4-SI PLT'!O61</f>
        <v>0</v>
      </c>
      <c r="O52" s="16"/>
      <c r="P52" s="7"/>
      <c r="Q52" s="4"/>
      <c r="R52" s="4"/>
      <c r="S52" s="4"/>
      <c r="T52" s="8"/>
    </row>
    <row r="53" spans="1:20" x14ac:dyDescent="0.2">
      <c r="A53" s="14" t="s">
        <v>151</v>
      </c>
      <c r="B53" s="17"/>
      <c r="C53" s="17"/>
      <c r="D53" s="17"/>
      <c r="E53" s="153"/>
      <c r="F53" s="16">
        <f>'[1]Tbl5-SI InUse'!N61</f>
        <v>0</v>
      </c>
      <c r="G53" s="16"/>
      <c r="H53" s="16">
        <f>'[1]Tbl5-SI InUse'!I61</f>
        <v>0</v>
      </c>
      <c r="I53" s="16"/>
      <c r="J53" s="16">
        <v>0</v>
      </c>
      <c r="K53" s="16"/>
      <c r="L53" s="16">
        <f>'[1]Tbl5-SI InUse'!K61</f>
        <v>0</v>
      </c>
      <c r="M53" s="16"/>
      <c r="N53" s="16">
        <f>'[1]Tbl5-SI InUse'!L64</f>
        <v>0</v>
      </c>
      <c r="O53" s="16"/>
      <c r="P53" s="7"/>
      <c r="Q53" s="4"/>
      <c r="R53" s="4"/>
      <c r="S53" s="4"/>
      <c r="T53" s="8"/>
    </row>
    <row r="54" spans="1:20" x14ac:dyDescent="0.2">
      <c r="A54" s="14" t="s">
        <v>152</v>
      </c>
      <c r="B54" s="17"/>
      <c r="C54" s="17"/>
      <c r="D54" s="17"/>
      <c r="E54" s="153"/>
      <c r="F54" s="16">
        <f>'[1]Tbl6-SEA'!N55</f>
        <v>0</v>
      </c>
      <c r="G54" s="16"/>
      <c r="H54" s="16">
        <f>'[1]Tbl6-SEA'!I55</f>
        <v>0</v>
      </c>
      <c r="I54" s="16"/>
      <c r="J54" s="16">
        <v>0</v>
      </c>
      <c r="K54" s="16"/>
      <c r="L54" s="16">
        <f>'[1]Tbl6-SEA'!K55</f>
        <v>0</v>
      </c>
      <c r="M54" s="16"/>
      <c r="N54" s="16">
        <f>'[1]Tbl6-SEA'!O55</f>
        <v>0</v>
      </c>
      <c r="O54" s="16"/>
      <c r="P54" s="7"/>
      <c r="Q54" s="4"/>
      <c r="R54" s="4"/>
      <c r="S54" s="4"/>
      <c r="T54" s="8"/>
    </row>
    <row r="55" spans="1:20" ht="15" thickBot="1" x14ac:dyDescent="0.25">
      <c r="A55" s="18" t="s">
        <v>10</v>
      </c>
      <c r="B55" s="19"/>
      <c r="C55" s="19"/>
      <c r="D55" s="19"/>
      <c r="E55" s="154"/>
      <c r="F55" s="20">
        <f>SUM(F48:F54)</f>
        <v>10</v>
      </c>
      <c r="G55" s="20"/>
      <c r="H55" s="20">
        <f>SUM(H48:H54)</f>
        <v>60</v>
      </c>
      <c r="I55" s="20"/>
      <c r="J55" s="20">
        <f>SUM(J48:J54)</f>
        <v>2</v>
      </c>
      <c r="K55" s="20"/>
      <c r="L55" s="20">
        <f>SUM(L48:L54)</f>
        <v>1</v>
      </c>
      <c r="M55" s="143"/>
      <c r="N55" s="143">
        <f>SUM(N48:N54)</f>
        <v>0</v>
      </c>
      <c r="O55" s="181"/>
      <c r="P55" s="7"/>
      <c r="Q55" s="4"/>
      <c r="R55" s="4"/>
      <c r="S55" s="4"/>
      <c r="T55" s="8"/>
    </row>
    <row r="56" spans="1:20" x14ac:dyDescent="0.2">
      <c r="A56" s="5" t="s">
        <v>12</v>
      </c>
      <c r="B56" s="6"/>
      <c r="C56" s="6"/>
      <c r="D56" s="6"/>
      <c r="E56" s="155"/>
      <c r="F56" s="6"/>
      <c r="G56" s="6"/>
      <c r="H56" s="6"/>
      <c r="I56" s="6"/>
      <c r="J56" s="6"/>
      <c r="K56" s="6"/>
      <c r="L56" s="6"/>
      <c r="M56" s="144"/>
      <c r="N56" s="144"/>
      <c r="O56" s="182"/>
      <c r="P56" s="7"/>
      <c r="Q56" s="4"/>
      <c r="R56" s="4"/>
      <c r="S56" s="4"/>
      <c r="T56" s="8"/>
    </row>
    <row r="57" spans="1:20" x14ac:dyDescent="0.2">
      <c r="A57" s="7" t="s">
        <v>13</v>
      </c>
      <c r="B57" s="4"/>
      <c r="C57" s="4"/>
      <c r="D57" s="4"/>
      <c r="E57" s="156"/>
      <c r="F57" s="4"/>
      <c r="G57" s="4"/>
      <c r="H57" s="4"/>
      <c r="I57" s="4"/>
      <c r="J57" s="4"/>
      <c r="K57" s="4"/>
      <c r="L57" s="4"/>
      <c r="M57" s="145"/>
      <c r="N57" s="145"/>
      <c r="O57" s="183"/>
      <c r="P57" s="7"/>
      <c r="Q57" s="4"/>
      <c r="R57" s="4"/>
      <c r="S57" s="4"/>
      <c r="T57" s="8"/>
    </row>
    <row r="58" spans="1:20" x14ac:dyDescent="0.2">
      <c r="A58" s="7" t="s">
        <v>14</v>
      </c>
      <c r="B58" s="4"/>
      <c r="C58" s="4"/>
      <c r="D58" s="4"/>
      <c r="E58" s="156"/>
      <c r="F58" s="4"/>
      <c r="G58" s="4"/>
      <c r="H58" s="4"/>
      <c r="I58" s="4"/>
      <c r="J58" s="4"/>
      <c r="K58" s="4"/>
      <c r="L58" s="4"/>
      <c r="M58" s="145"/>
      <c r="N58" s="145"/>
      <c r="O58" s="183"/>
      <c r="P58" s="7"/>
      <c r="Q58" s="4"/>
      <c r="R58" s="4"/>
      <c r="S58" s="4"/>
      <c r="T58" s="8"/>
    </row>
    <row r="59" spans="1:20" x14ac:dyDescent="0.2">
      <c r="A59" s="7" t="s">
        <v>15</v>
      </c>
      <c r="B59" s="4"/>
      <c r="C59" s="4"/>
      <c r="D59" s="4"/>
      <c r="E59" s="156"/>
      <c r="F59" s="4"/>
      <c r="G59" s="4"/>
      <c r="H59" s="4"/>
      <c r="I59" s="4"/>
      <c r="J59" s="4"/>
      <c r="K59" s="4"/>
      <c r="L59" s="4"/>
      <c r="M59" s="145"/>
      <c r="N59" s="145"/>
      <c r="O59" s="183"/>
      <c r="P59" s="7"/>
      <c r="Q59" s="4"/>
      <c r="R59" s="4"/>
      <c r="S59" s="4"/>
      <c r="T59" s="8"/>
    </row>
    <row r="60" spans="1:20" x14ac:dyDescent="0.2">
      <c r="A60" s="7" t="s">
        <v>16</v>
      </c>
      <c r="B60" s="4"/>
      <c r="C60" s="4"/>
      <c r="D60" s="4"/>
      <c r="E60" s="156"/>
      <c r="F60" s="4"/>
      <c r="G60" s="4"/>
      <c r="H60" s="4"/>
      <c r="I60" s="4"/>
      <c r="J60" s="4"/>
      <c r="K60" s="4"/>
      <c r="L60" s="4"/>
      <c r="M60" s="145"/>
      <c r="N60" s="145"/>
      <c r="O60" s="183"/>
      <c r="P60" s="7"/>
      <c r="Q60" s="4"/>
      <c r="R60" s="4"/>
      <c r="S60" s="4"/>
      <c r="T60" s="8"/>
    </row>
    <row r="61" spans="1:20" x14ac:dyDescent="0.2">
      <c r="A61" s="7" t="s">
        <v>17</v>
      </c>
      <c r="B61" s="4"/>
      <c r="C61" s="4"/>
      <c r="D61" s="4"/>
      <c r="E61" s="156"/>
      <c r="F61" s="4"/>
      <c r="G61" s="4"/>
      <c r="H61" s="4"/>
      <c r="I61" s="4"/>
      <c r="J61" s="4"/>
      <c r="K61" s="4"/>
      <c r="L61" s="4"/>
      <c r="M61" s="145"/>
      <c r="N61" s="145"/>
      <c r="O61" s="183"/>
      <c r="P61" s="7"/>
      <c r="Q61" s="4"/>
      <c r="R61" s="4"/>
      <c r="S61" s="4"/>
      <c r="T61" s="8"/>
    </row>
    <row r="62" spans="1:20" ht="15" thickBot="1" x14ac:dyDescent="0.25">
      <c r="A62" s="9" t="s">
        <v>18</v>
      </c>
      <c r="B62" s="10"/>
      <c r="C62" s="10"/>
      <c r="D62" s="10"/>
      <c r="E62" s="157"/>
      <c r="F62" s="10"/>
      <c r="G62" s="10"/>
      <c r="H62" s="10"/>
      <c r="I62" s="10"/>
      <c r="J62" s="10"/>
      <c r="K62" s="10"/>
      <c r="L62" s="10"/>
      <c r="M62" s="146"/>
      <c r="N62" s="146"/>
      <c r="O62" s="184"/>
      <c r="P62" s="150"/>
      <c r="Q62" s="125"/>
      <c r="R62" s="125"/>
      <c r="S62" s="125"/>
      <c r="T62" s="79"/>
    </row>
    <row r="65" spans="1:20" ht="15" x14ac:dyDescent="0.2">
      <c r="A65" s="654" t="s">
        <v>0</v>
      </c>
      <c r="B65" s="654"/>
      <c r="C65" s="654"/>
      <c r="D65" s="654"/>
      <c r="E65" s="654"/>
      <c r="F65" s="654"/>
      <c r="G65" s="654"/>
      <c r="H65" s="654"/>
      <c r="I65" s="654"/>
      <c r="J65" s="654"/>
      <c r="K65" s="654"/>
      <c r="L65" s="654"/>
      <c r="M65" s="654"/>
      <c r="N65" s="654"/>
      <c r="O65" s="2"/>
    </row>
    <row r="66" spans="1:20" ht="15" x14ac:dyDescent="0.2">
      <c r="A66" s="654" t="s">
        <v>156</v>
      </c>
      <c r="B66" s="654"/>
      <c r="C66" s="654"/>
      <c r="D66" s="654"/>
      <c r="E66" s="654"/>
      <c r="F66" s="654"/>
      <c r="G66" s="654"/>
      <c r="H66" s="654"/>
      <c r="I66" s="654"/>
      <c r="J66" s="654"/>
      <c r="K66" s="654"/>
      <c r="L66" s="654"/>
      <c r="M66" s="654"/>
      <c r="N66" s="654"/>
      <c r="O66" s="2"/>
    </row>
    <row r="67" spans="1:20" ht="30.75" thickBot="1" x14ac:dyDescent="0.25">
      <c r="A67" s="2"/>
      <c r="B67" s="2"/>
      <c r="C67" s="2"/>
      <c r="D67" s="2" t="s">
        <v>165</v>
      </c>
      <c r="E67" s="159" t="s">
        <v>164</v>
      </c>
      <c r="F67" s="2" t="s">
        <v>165</v>
      </c>
      <c r="G67" s="159" t="s">
        <v>164</v>
      </c>
      <c r="H67" s="2" t="s">
        <v>165</v>
      </c>
      <c r="I67" s="159" t="s">
        <v>164</v>
      </c>
      <c r="J67" s="2" t="s">
        <v>165</v>
      </c>
      <c r="K67" s="159" t="s">
        <v>164</v>
      </c>
      <c r="L67" s="2" t="s">
        <v>165</v>
      </c>
      <c r="M67" s="159" t="s">
        <v>164</v>
      </c>
      <c r="N67" s="2"/>
      <c r="O67" s="2"/>
    </row>
    <row r="68" spans="1:20" ht="51.75" thickBot="1" x14ac:dyDescent="0.25">
      <c r="A68" s="11" t="s">
        <v>2</v>
      </c>
      <c r="B68" s="12" t="s">
        <v>3</v>
      </c>
      <c r="C68" s="12"/>
      <c r="D68" s="655" t="s">
        <v>159</v>
      </c>
      <c r="E68" s="656"/>
      <c r="F68" s="657" t="s">
        <v>120</v>
      </c>
      <c r="G68" s="658"/>
      <c r="H68" s="657" t="s">
        <v>160</v>
      </c>
      <c r="I68" s="658"/>
      <c r="J68" s="657" t="s">
        <v>161</v>
      </c>
      <c r="K68" s="658"/>
      <c r="L68" s="655" t="s">
        <v>162</v>
      </c>
      <c r="M68" s="656"/>
      <c r="N68" s="142" t="s">
        <v>11</v>
      </c>
      <c r="O68" s="177" t="s">
        <v>173</v>
      </c>
      <c r="P68" s="11" t="s">
        <v>4</v>
      </c>
      <c r="Q68" s="12" t="s">
        <v>5</v>
      </c>
      <c r="R68" s="12" t="s">
        <v>6</v>
      </c>
      <c r="S68" s="12" t="s">
        <v>7</v>
      </c>
      <c r="T68" s="13" t="s">
        <v>8</v>
      </c>
    </row>
    <row r="69" spans="1:20" x14ac:dyDescent="0.2">
      <c r="A69" s="14" t="s">
        <v>147</v>
      </c>
      <c r="B69" s="15"/>
      <c r="C69" s="15"/>
      <c r="D69" s="15"/>
      <c r="E69" s="153"/>
      <c r="F69" s="16">
        <f>'[1]Tbl2-SI Cert All'!M90</f>
        <v>0</v>
      </c>
      <c r="G69" s="16"/>
      <c r="H69" s="16">
        <f>'[1]Tbl2-SI Cert All'!H90</f>
        <v>0</v>
      </c>
      <c r="I69" s="16"/>
      <c r="J69" s="16">
        <v>0</v>
      </c>
      <c r="K69" s="16"/>
      <c r="L69" s="16">
        <f>'[1]Tbl2-SI Cert All'!J90</f>
        <v>0</v>
      </c>
      <c r="M69" s="16"/>
      <c r="N69" s="16">
        <f>'[1]Tbl2-SI Cert All'!N90</f>
        <v>0</v>
      </c>
      <c r="O69" s="16"/>
      <c r="P69" s="7"/>
      <c r="Q69" s="4"/>
      <c r="R69" s="4"/>
      <c r="S69" s="4"/>
      <c r="T69" s="8"/>
    </row>
    <row r="70" spans="1:20" x14ac:dyDescent="0.2">
      <c r="A70" s="140" t="s">
        <v>148</v>
      </c>
      <c r="B70" s="15"/>
      <c r="C70" s="15"/>
      <c r="D70" s="15">
        <v>4</v>
      </c>
      <c r="E70" s="153"/>
      <c r="F70" s="16">
        <v>10</v>
      </c>
      <c r="G70" s="16"/>
      <c r="H70" s="16">
        <v>20</v>
      </c>
      <c r="I70" s="16"/>
      <c r="J70" s="16">
        <v>2</v>
      </c>
      <c r="K70" s="16"/>
      <c r="L70" s="16">
        <v>1</v>
      </c>
      <c r="M70" s="16"/>
      <c r="N70" s="16"/>
      <c r="O70" s="16"/>
      <c r="P70" s="369"/>
      <c r="Q70" s="4"/>
      <c r="R70" s="4"/>
      <c r="S70" s="4"/>
      <c r="T70" s="8"/>
    </row>
    <row r="71" spans="1:20" x14ac:dyDescent="0.2">
      <c r="A71" s="141" t="s">
        <v>149</v>
      </c>
      <c r="B71" s="15"/>
      <c r="C71" s="15"/>
      <c r="D71" s="15"/>
      <c r="E71" s="153"/>
      <c r="F71" s="16"/>
      <c r="G71" s="16"/>
      <c r="H71" s="16"/>
      <c r="I71" s="16"/>
      <c r="J71" s="16"/>
      <c r="K71" s="16"/>
      <c r="L71" s="16"/>
      <c r="M71" s="16"/>
      <c r="N71" s="16"/>
      <c r="O71" s="16"/>
      <c r="P71" s="7"/>
      <c r="Q71" s="4"/>
      <c r="R71" s="4"/>
      <c r="S71" s="4"/>
      <c r="T71" s="8"/>
    </row>
    <row r="72" spans="1:20" x14ac:dyDescent="0.2">
      <c r="A72" s="141" t="s">
        <v>157</v>
      </c>
      <c r="B72" s="15"/>
      <c r="C72" s="15"/>
      <c r="D72" s="15"/>
      <c r="E72" s="153"/>
      <c r="F72" s="16"/>
      <c r="G72" s="16"/>
      <c r="H72" s="16"/>
      <c r="I72" s="16"/>
      <c r="J72" s="16"/>
      <c r="K72" s="16"/>
      <c r="L72" s="16"/>
      <c r="M72" s="16"/>
      <c r="N72" s="16"/>
      <c r="O72" s="16"/>
      <c r="P72" s="7"/>
      <c r="Q72" s="4"/>
      <c r="R72" s="4"/>
      <c r="S72" s="4"/>
      <c r="T72" s="8"/>
    </row>
    <row r="73" spans="1:20" x14ac:dyDescent="0.2">
      <c r="A73" s="14" t="s">
        <v>150</v>
      </c>
      <c r="B73" s="17"/>
      <c r="C73" s="17"/>
      <c r="D73" s="17"/>
      <c r="E73" s="153"/>
      <c r="F73" s="16">
        <f>'[1]Tbl4-SI PLT'!N81</f>
        <v>0</v>
      </c>
      <c r="G73" s="16"/>
      <c r="H73" s="16">
        <f>'[1]Tbl4-SI PLT'!I81</f>
        <v>0</v>
      </c>
      <c r="I73" s="16"/>
      <c r="J73" s="16">
        <v>0</v>
      </c>
      <c r="K73" s="16"/>
      <c r="L73" s="16">
        <f>'[1]Tbl4-SI PLT'!K81</f>
        <v>0</v>
      </c>
      <c r="M73" s="16"/>
      <c r="N73" s="16">
        <f>'[1]Tbl4-SI PLT'!O81</f>
        <v>0</v>
      </c>
      <c r="O73" s="16"/>
      <c r="P73" s="7"/>
      <c r="Q73" s="4"/>
      <c r="R73" s="4"/>
      <c r="S73" s="4"/>
      <c r="T73" s="8"/>
    </row>
    <row r="74" spans="1:20" x14ac:dyDescent="0.2">
      <c r="A74" s="14" t="s">
        <v>151</v>
      </c>
      <c r="B74" s="17"/>
      <c r="C74" s="17"/>
      <c r="D74" s="17"/>
      <c r="E74" s="153"/>
      <c r="F74" s="16">
        <f>'[1]Tbl5-SI InUse'!N81</f>
        <v>0</v>
      </c>
      <c r="G74" s="16"/>
      <c r="H74" s="16">
        <f>'[1]Tbl5-SI InUse'!I81</f>
        <v>0</v>
      </c>
      <c r="I74" s="16"/>
      <c r="J74" s="16">
        <v>0</v>
      </c>
      <c r="K74" s="16"/>
      <c r="L74" s="16">
        <f>'[1]Tbl5-SI InUse'!K81</f>
        <v>0</v>
      </c>
      <c r="M74" s="16"/>
      <c r="N74" s="16">
        <f>'[1]Tbl5-SI InUse'!L84</f>
        <v>0</v>
      </c>
      <c r="O74" s="16"/>
      <c r="P74" s="7"/>
      <c r="Q74" s="4"/>
      <c r="R74" s="4"/>
      <c r="S74" s="4"/>
      <c r="T74" s="8"/>
    </row>
    <row r="75" spans="1:20" x14ac:dyDescent="0.2">
      <c r="A75" s="14" t="s">
        <v>152</v>
      </c>
      <c r="B75" s="17"/>
      <c r="C75" s="17"/>
      <c r="D75" s="17"/>
      <c r="E75" s="153"/>
      <c r="F75" s="16">
        <f>'[1]Tbl6-SEA'!N75</f>
        <v>0</v>
      </c>
      <c r="G75" s="16"/>
      <c r="H75" s="16">
        <f>'[1]Tbl6-SEA'!I75</f>
        <v>0</v>
      </c>
      <c r="I75" s="16"/>
      <c r="J75" s="16">
        <v>0</v>
      </c>
      <c r="K75" s="16"/>
      <c r="L75" s="16">
        <f>'[1]Tbl6-SEA'!K75</f>
        <v>0</v>
      </c>
      <c r="M75" s="16"/>
      <c r="N75" s="16">
        <f>'[1]Tbl6-SEA'!O75</f>
        <v>0</v>
      </c>
      <c r="O75" s="16"/>
      <c r="P75" s="7"/>
      <c r="Q75" s="4"/>
      <c r="R75" s="4"/>
      <c r="S75" s="4"/>
      <c r="T75" s="8"/>
    </row>
    <row r="76" spans="1:20" ht="15" thickBot="1" x14ac:dyDescent="0.25">
      <c r="A76" s="18" t="s">
        <v>10</v>
      </c>
      <c r="B76" s="19"/>
      <c r="C76" s="19"/>
      <c r="D76" s="19"/>
      <c r="E76" s="154"/>
      <c r="F76" s="20">
        <f t="shared" ref="F76:N76" si="8">SUM(F69:F75)</f>
        <v>10</v>
      </c>
      <c r="G76" s="20"/>
      <c r="H76" s="20">
        <f t="shared" si="8"/>
        <v>20</v>
      </c>
      <c r="I76" s="20"/>
      <c r="J76" s="20">
        <f t="shared" si="8"/>
        <v>2</v>
      </c>
      <c r="K76" s="20"/>
      <c r="L76" s="20">
        <f t="shared" si="8"/>
        <v>1</v>
      </c>
      <c r="M76" s="143"/>
      <c r="N76" s="143">
        <f t="shared" si="8"/>
        <v>0</v>
      </c>
      <c r="O76" s="181"/>
      <c r="P76" s="7"/>
      <c r="Q76" s="4"/>
      <c r="R76" s="4"/>
      <c r="S76" s="4"/>
      <c r="T76" s="8"/>
    </row>
    <row r="77" spans="1:20" x14ac:dyDescent="0.2">
      <c r="A77" s="5" t="s">
        <v>12</v>
      </c>
      <c r="B77" s="6"/>
      <c r="C77" s="6"/>
      <c r="D77" s="6"/>
      <c r="E77" s="155"/>
      <c r="F77" s="6"/>
      <c r="G77" s="6"/>
      <c r="H77" s="6"/>
      <c r="I77" s="6"/>
      <c r="J77" s="6"/>
      <c r="K77" s="6"/>
      <c r="L77" s="6"/>
      <c r="M77" s="144"/>
      <c r="N77" s="144"/>
      <c r="O77" s="182"/>
      <c r="P77" s="7"/>
      <c r="Q77" s="4"/>
      <c r="R77" s="4"/>
      <c r="S77" s="4"/>
      <c r="T77" s="8"/>
    </row>
    <row r="78" spans="1:20" x14ac:dyDescent="0.2">
      <c r="A78" s="7" t="s">
        <v>13</v>
      </c>
      <c r="B78" s="4"/>
      <c r="C78" s="4"/>
      <c r="D78" s="4"/>
      <c r="E78" s="156"/>
      <c r="F78" s="4"/>
      <c r="G78" s="4"/>
      <c r="H78" s="4"/>
      <c r="I78" s="4"/>
      <c r="J78" s="4"/>
      <c r="K78" s="4"/>
      <c r="L78" s="4"/>
      <c r="M78" s="145"/>
      <c r="N78" s="145"/>
      <c r="O78" s="183"/>
      <c r="P78" s="7"/>
      <c r="Q78" s="4"/>
      <c r="R78" s="4"/>
      <c r="S78" s="4"/>
      <c r="T78" s="8"/>
    </row>
    <row r="79" spans="1:20" x14ac:dyDescent="0.2">
      <c r="A79" s="7" t="s">
        <v>14</v>
      </c>
      <c r="B79" s="4"/>
      <c r="C79" s="4"/>
      <c r="D79" s="4"/>
      <c r="E79" s="156"/>
      <c r="F79" s="4"/>
      <c r="G79" s="4"/>
      <c r="H79" s="4"/>
      <c r="I79" s="4"/>
      <c r="J79" s="4"/>
      <c r="K79" s="4"/>
      <c r="L79" s="4"/>
      <c r="M79" s="145"/>
      <c r="N79" s="145"/>
      <c r="O79" s="183"/>
      <c r="P79" s="7"/>
      <c r="Q79" s="4"/>
      <c r="R79" s="4"/>
      <c r="S79" s="4"/>
      <c r="T79" s="8"/>
    </row>
    <row r="80" spans="1:20" x14ac:dyDescent="0.2">
      <c r="A80" s="7" t="s">
        <v>15</v>
      </c>
      <c r="B80" s="4"/>
      <c r="C80" s="4"/>
      <c r="D80" s="4"/>
      <c r="E80" s="156"/>
      <c r="F80" s="4"/>
      <c r="G80" s="4"/>
      <c r="H80" s="4"/>
      <c r="I80" s="4"/>
      <c r="J80" s="4"/>
      <c r="K80" s="4"/>
      <c r="L80" s="4"/>
      <c r="M80" s="145"/>
      <c r="N80" s="145"/>
      <c r="O80" s="183"/>
      <c r="P80" s="7"/>
      <c r="Q80" s="4"/>
      <c r="R80" s="4"/>
      <c r="S80" s="4"/>
      <c r="T80" s="8"/>
    </row>
    <row r="81" spans="1:20" x14ac:dyDescent="0.2">
      <c r="A81" s="7" t="s">
        <v>16</v>
      </c>
      <c r="B81" s="4"/>
      <c r="C81" s="4"/>
      <c r="D81" s="4"/>
      <c r="E81" s="156"/>
      <c r="F81" s="4"/>
      <c r="G81" s="4"/>
      <c r="H81" s="4"/>
      <c r="I81" s="4"/>
      <c r="J81" s="4"/>
      <c r="K81" s="4"/>
      <c r="L81" s="4"/>
      <c r="M81" s="145"/>
      <c r="N81" s="145"/>
      <c r="O81" s="183"/>
      <c r="P81" s="7"/>
      <c r="Q81" s="4"/>
      <c r="R81" s="4"/>
      <c r="S81" s="4"/>
      <c r="T81" s="8"/>
    </row>
    <row r="82" spans="1:20" x14ac:dyDescent="0.2">
      <c r="A82" s="7" t="s">
        <v>17</v>
      </c>
      <c r="B82" s="4"/>
      <c r="C82" s="4"/>
      <c r="D82" s="4"/>
      <c r="E82" s="156"/>
      <c r="F82" s="4"/>
      <c r="G82" s="4"/>
      <c r="H82" s="4"/>
      <c r="I82" s="4"/>
      <c r="J82" s="4"/>
      <c r="K82" s="4"/>
      <c r="L82" s="4"/>
      <c r="M82" s="145"/>
      <c r="N82" s="145"/>
      <c r="O82" s="183"/>
      <c r="P82" s="7"/>
      <c r="Q82" s="4"/>
      <c r="R82" s="4"/>
      <c r="S82" s="4"/>
      <c r="T82" s="8"/>
    </row>
    <row r="83" spans="1:20" ht="15" thickBot="1" x14ac:dyDescent="0.25">
      <c r="A83" s="9" t="s">
        <v>18</v>
      </c>
      <c r="B83" s="10"/>
      <c r="C83" s="10"/>
      <c r="D83" s="10"/>
      <c r="E83" s="157"/>
      <c r="F83" s="10"/>
      <c r="G83" s="10"/>
      <c r="H83" s="10"/>
      <c r="I83" s="10"/>
      <c r="J83" s="10"/>
      <c r="K83" s="10"/>
      <c r="L83" s="10"/>
      <c r="M83" s="146"/>
      <c r="N83" s="146"/>
      <c r="O83" s="184"/>
      <c r="P83" s="150"/>
      <c r="Q83" s="125"/>
      <c r="R83" s="125"/>
      <c r="S83" s="125"/>
      <c r="T83" s="79"/>
    </row>
    <row r="86" spans="1:20" ht="15" x14ac:dyDescent="0.2">
      <c r="A86" s="654" t="s">
        <v>0</v>
      </c>
      <c r="B86" s="654"/>
      <c r="C86" s="654"/>
      <c r="D86" s="654"/>
      <c r="E86" s="654"/>
      <c r="F86" s="654"/>
      <c r="G86" s="654"/>
      <c r="H86" s="654"/>
      <c r="I86" s="654"/>
      <c r="J86" s="654"/>
      <c r="K86" s="654"/>
      <c r="L86" s="654"/>
      <c r="M86" s="654"/>
      <c r="N86" s="654"/>
      <c r="O86" s="2"/>
    </row>
    <row r="87" spans="1:20" ht="15" x14ac:dyDescent="0.2">
      <c r="A87" s="654" t="s">
        <v>259</v>
      </c>
      <c r="B87" s="654"/>
      <c r="C87" s="654"/>
      <c r="D87" s="654"/>
      <c r="E87" s="654"/>
      <c r="F87" s="654"/>
      <c r="G87" s="654"/>
      <c r="H87" s="654"/>
      <c r="I87" s="654"/>
      <c r="J87" s="654"/>
      <c r="K87" s="654"/>
      <c r="L87" s="654"/>
      <c r="M87" s="654"/>
      <c r="N87" s="654"/>
      <c r="O87" s="2"/>
    </row>
    <row r="88" spans="1:20" ht="30.75" thickBot="1" x14ac:dyDescent="0.25">
      <c r="A88" s="2"/>
      <c r="B88" s="2"/>
      <c r="C88" s="2"/>
      <c r="D88" s="2" t="s">
        <v>165</v>
      </c>
      <c r="E88" s="159" t="s">
        <v>164</v>
      </c>
      <c r="F88" s="2" t="s">
        <v>165</v>
      </c>
      <c r="G88" s="159" t="s">
        <v>164</v>
      </c>
      <c r="H88" s="2" t="s">
        <v>165</v>
      </c>
      <c r="I88" s="159" t="s">
        <v>164</v>
      </c>
      <c r="J88" s="2" t="s">
        <v>165</v>
      </c>
      <c r="K88" s="159" t="s">
        <v>164</v>
      </c>
      <c r="L88" s="2" t="s">
        <v>165</v>
      </c>
      <c r="M88" s="159" t="s">
        <v>164</v>
      </c>
      <c r="N88" s="2"/>
      <c r="O88" s="2"/>
    </row>
    <row r="89" spans="1:20" ht="51.75" thickBot="1" x14ac:dyDescent="0.25">
      <c r="A89" s="11" t="s">
        <v>2</v>
      </c>
      <c r="B89" s="12" t="s">
        <v>3</v>
      </c>
      <c r="C89" s="12"/>
      <c r="D89" s="655" t="s">
        <v>159</v>
      </c>
      <c r="E89" s="656"/>
      <c r="F89" s="657" t="s">
        <v>120</v>
      </c>
      <c r="G89" s="658"/>
      <c r="H89" s="657" t="s">
        <v>160</v>
      </c>
      <c r="I89" s="658"/>
      <c r="J89" s="657" t="s">
        <v>161</v>
      </c>
      <c r="K89" s="658"/>
      <c r="L89" s="655" t="s">
        <v>162</v>
      </c>
      <c r="M89" s="656"/>
      <c r="N89" s="142" t="s">
        <v>11</v>
      </c>
      <c r="O89" s="177" t="s">
        <v>173</v>
      </c>
      <c r="P89" s="11" t="s">
        <v>4</v>
      </c>
      <c r="Q89" s="12" t="s">
        <v>5</v>
      </c>
      <c r="R89" s="12" t="s">
        <v>6</v>
      </c>
      <c r="S89" s="12" t="s">
        <v>7</v>
      </c>
      <c r="T89" s="13" t="s">
        <v>8</v>
      </c>
    </row>
    <row r="90" spans="1:20" x14ac:dyDescent="0.2">
      <c r="A90" s="14" t="s">
        <v>147</v>
      </c>
      <c r="B90" s="15"/>
      <c r="C90" s="15"/>
      <c r="D90" s="15"/>
      <c r="E90" s="153"/>
      <c r="F90" s="16">
        <f>'[1]Tbl2-SI Cert All'!M110</f>
        <v>0</v>
      </c>
      <c r="G90" s="16"/>
      <c r="H90" s="16">
        <f>'[1]Tbl2-SI Cert All'!H110</f>
        <v>0</v>
      </c>
      <c r="I90" s="16"/>
      <c r="J90" s="16">
        <v>0</v>
      </c>
      <c r="K90" s="16"/>
      <c r="L90" s="16">
        <f>'[1]Tbl2-SI Cert All'!J110</f>
        <v>0</v>
      </c>
      <c r="M90" s="16"/>
      <c r="N90" s="16">
        <f>'[1]Tbl2-SI Cert All'!N110</f>
        <v>0</v>
      </c>
      <c r="O90" s="16"/>
      <c r="P90" s="7"/>
      <c r="Q90" s="4"/>
      <c r="R90" s="4"/>
      <c r="S90" s="4"/>
      <c r="T90" s="8"/>
    </row>
    <row r="91" spans="1:20" x14ac:dyDescent="0.2">
      <c r="A91" s="140" t="s">
        <v>148</v>
      </c>
      <c r="B91" s="15"/>
      <c r="C91" s="15"/>
      <c r="D91" s="15"/>
      <c r="E91" s="153"/>
      <c r="F91" s="16"/>
      <c r="G91" s="16"/>
      <c r="H91" s="16"/>
      <c r="I91" s="16"/>
      <c r="J91" s="16"/>
      <c r="K91" s="16"/>
      <c r="L91" s="16"/>
      <c r="M91" s="16"/>
      <c r="N91" s="16"/>
      <c r="O91" s="16"/>
      <c r="P91" s="7"/>
      <c r="Q91" s="4"/>
      <c r="R91" s="4"/>
      <c r="S91" s="4"/>
      <c r="T91" s="8"/>
    </row>
    <row r="92" spans="1:20" x14ac:dyDescent="0.2">
      <c r="A92" s="141" t="s">
        <v>149</v>
      </c>
      <c r="B92" s="15"/>
      <c r="C92" s="15"/>
      <c r="D92" s="15"/>
      <c r="E92" s="153"/>
      <c r="F92" s="16"/>
      <c r="G92" s="16"/>
      <c r="H92" s="16"/>
      <c r="I92" s="16"/>
      <c r="J92" s="16"/>
      <c r="K92" s="16"/>
      <c r="L92" s="16"/>
      <c r="M92" s="16"/>
      <c r="N92" s="16"/>
      <c r="O92" s="16"/>
      <c r="P92" s="7"/>
      <c r="Q92" s="4"/>
      <c r="R92" s="4"/>
      <c r="S92" s="4"/>
      <c r="T92" s="8"/>
    </row>
    <row r="93" spans="1:20" x14ac:dyDescent="0.2">
      <c r="A93" s="141" t="s">
        <v>157</v>
      </c>
      <c r="B93" s="15"/>
      <c r="C93" s="15"/>
      <c r="D93" s="15"/>
      <c r="E93" s="153"/>
      <c r="F93" s="16"/>
      <c r="G93" s="16"/>
      <c r="H93" s="16"/>
      <c r="I93" s="16"/>
      <c r="J93" s="16"/>
      <c r="K93" s="16"/>
      <c r="L93" s="16"/>
      <c r="M93" s="16"/>
      <c r="N93" s="16"/>
      <c r="O93" s="16"/>
      <c r="P93" s="7"/>
      <c r="Q93" s="4"/>
      <c r="R93" s="4"/>
      <c r="S93" s="4"/>
      <c r="T93" s="8"/>
    </row>
    <row r="94" spans="1:20" x14ac:dyDescent="0.2">
      <c r="A94" s="14" t="s">
        <v>150</v>
      </c>
      <c r="B94" s="17"/>
      <c r="C94" s="17"/>
      <c r="D94" s="17"/>
      <c r="E94" s="153"/>
      <c r="F94" s="16">
        <f>'[1]Tbl4-SI PLT'!N101</f>
        <v>0</v>
      </c>
      <c r="G94" s="16"/>
      <c r="H94" s="16">
        <f>'[1]Tbl4-SI PLT'!I101</f>
        <v>0</v>
      </c>
      <c r="I94" s="16"/>
      <c r="J94" s="16">
        <v>0</v>
      </c>
      <c r="K94" s="16"/>
      <c r="L94" s="16">
        <f>'[1]Tbl4-SI PLT'!K101</f>
        <v>0</v>
      </c>
      <c r="M94" s="16"/>
      <c r="N94" s="16">
        <f>'[1]Tbl4-SI PLT'!O101</f>
        <v>0</v>
      </c>
      <c r="O94" s="16"/>
      <c r="P94" s="7"/>
      <c r="Q94" s="4"/>
      <c r="R94" s="4"/>
      <c r="S94" s="4"/>
      <c r="T94" s="8"/>
    </row>
    <row r="95" spans="1:20" x14ac:dyDescent="0.2">
      <c r="A95" s="14" t="s">
        <v>151</v>
      </c>
      <c r="B95" s="17"/>
      <c r="C95" s="17"/>
      <c r="D95" s="17"/>
      <c r="E95" s="153"/>
      <c r="F95" s="16">
        <f>'[1]Tbl5-SI InUse'!N101</f>
        <v>0</v>
      </c>
      <c r="G95" s="16"/>
      <c r="H95" s="16">
        <f>'[1]Tbl5-SI InUse'!I101</f>
        <v>0</v>
      </c>
      <c r="I95" s="16"/>
      <c r="J95" s="16">
        <v>0</v>
      </c>
      <c r="K95" s="16"/>
      <c r="L95" s="16">
        <f>'[1]Tbl5-SI InUse'!K101</f>
        <v>0</v>
      </c>
      <c r="M95" s="16"/>
      <c r="N95" s="16">
        <f>'[1]Tbl5-SI InUse'!L104</f>
        <v>0</v>
      </c>
      <c r="O95" s="16"/>
      <c r="P95" s="7"/>
      <c r="Q95" s="4"/>
      <c r="R95" s="4"/>
      <c r="S95" s="4"/>
      <c r="T95" s="8"/>
    </row>
    <row r="96" spans="1:20" x14ac:dyDescent="0.2">
      <c r="A96" s="14" t="s">
        <v>152</v>
      </c>
      <c r="B96" s="17"/>
      <c r="C96" s="17"/>
      <c r="D96" s="17"/>
      <c r="E96" s="153"/>
      <c r="F96" s="16">
        <f>'[1]Tbl6-SEA'!N95</f>
        <v>0</v>
      </c>
      <c r="G96" s="16"/>
      <c r="H96" s="16">
        <f>'[1]Tbl6-SEA'!I95</f>
        <v>0</v>
      </c>
      <c r="I96" s="16"/>
      <c r="J96" s="16">
        <v>0</v>
      </c>
      <c r="K96" s="16"/>
      <c r="L96" s="16">
        <f>'[1]Tbl6-SEA'!K95</f>
        <v>0</v>
      </c>
      <c r="M96" s="16"/>
      <c r="N96" s="16">
        <f>'[1]Tbl6-SEA'!O95</f>
        <v>0</v>
      </c>
      <c r="O96" s="16"/>
      <c r="P96" s="7"/>
      <c r="Q96" s="4"/>
      <c r="R96" s="4"/>
      <c r="S96" s="4"/>
      <c r="T96" s="8"/>
    </row>
    <row r="97" spans="1:20" ht="15" thickBot="1" x14ac:dyDescent="0.25">
      <c r="A97" s="18" t="s">
        <v>10</v>
      </c>
      <c r="B97" s="19"/>
      <c r="C97" s="19"/>
      <c r="D97" s="19"/>
      <c r="E97" s="154"/>
      <c r="F97" s="20">
        <f t="shared" ref="F97:N97" si="9">SUM(F90:F96)</f>
        <v>0</v>
      </c>
      <c r="G97" s="20"/>
      <c r="H97" s="20">
        <f t="shared" si="9"/>
        <v>0</v>
      </c>
      <c r="I97" s="20"/>
      <c r="J97" s="20">
        <f t="shared" si="9"/>
        <v>0</v>
      </c>
      <c r="K97" s="20"/>
      <c r="L97" s="20">
        <f t="shared" si="9"/>
        <v>0</v>
      </c>
      <c r="M97" s="143"/>
      <c r="N97" s="143">
        <f t="shared" si="9"/>
        <v>0</v>
      </c>
      <c r="O97" s="181"/>
      <c r="P97" s="7"/>
      <c r="Q97" s="4"/>
      <c r="R97" s="4"/>
      <c r="S97" s="4"/>
      <c r="T97" s="8"/>
    </row>
    <row r="98" spans="1:20" x14ac:dyDescent="0.2">
      <c r="A98" s="5" t="s">
        <v>12</v>
      </c>
      <c r="B98" s="6"/>
      <c r="C98" s="6"/>
      <c r="D98" s="6"/>
      <c r="E98" s="155"/>
      <c r="F98" s="6"/>
      <c r="G98" s="6"/>
      <c r="H98" s="6"/>
      <c r="I98" s="6"/>
      <c r="J98" s="6"/>
      <c r="K98" s="6"/>
      <c r="L98" s="6"/>
      <c r="M98" s="144"/>
      <c r="N98" s="144"/>
      <c r="O98" s="182"/>
      <c r="P98" s="7"/>
      <c r="Q98" s="4"/>
      <c r="R98" s="4"/>
      <c r="S98" s="4"/>
      <c r="T98" s="8"/>
    </row>
    <row r="99" spans="1:20" x14ac:dyDescent="0.2">
      <c r="A99" s="7" t="s">
        <v>13</v>
      </c>
      <c r="B99" s="4"/>
      <c r="C99" s="4"/>
      <c r="D99" s="4"/>
      <c r="E99" s="156"/>
      <c r="F99" s="4"/>
      <c r="G99" s="4"/>
      <c r="H99" s="4"/>
      <c r="I99" s="4"/>
      <c r="J99" s="4"/>
      <c r="K99" s="4"/>
      <c r="L99" s="4"/>
      <c r="M99" s="145"/>
      <c r="N99" s="145"/>
      <c r="O99" s="183"/>
      <c r="P99" s="7"/>
      <c r="Q99" s="4"/>
      <c r="R99" s="4"/>
      <c r="S99" s="4"/>
      <c r="T99" s="8"/>
    </row>
    <row r="100" spans="1:20" x14ac:dyDescent="0.2">
      <c r="A100" s="7" t="s">
        <v>14</v>
      </c>
      <c r="B100" s="4"/>
      <c r="C100" s="4"/>
      <c r="D100" s="4"/>
      <c r="E100" s="156"/>
      <c r="F100" s="4"/>
      <c r="G100" s="4"/>
      <c r="H100" s="4"/>
      <c r="I100" s="4"/>
      <c r="J100" s="4"/>
      <c r="K100" s="4"/>
      <c r="L100" s="4"/>
      <c r="M100" s="145"/>
      <c r="N100" s="145"/>
      <c r="O100" s="183"/>
      <c r="P100" s="7"/>
      <c r="Q100" s="4"/>
      <c r="R100" s="4"/>
      <c r="S100" s="4"/>
      <c r="T100" s="8"/>
    </row>
    <row r="101" spans="1:20" x14ac:dyDescent="0.2">
      <c r="A101" s="7" t="s">
        <v>15</v>
      </c>
      <c r="B101" s="4"/>
      <c r="C101" s="4"/>
      <c r="D101" s="4"/>
      <c r="E101" s="156"/>
      <c r="F101" s="4"/>
      <c r="G101" s="4"/>
      <c r="H101" s="4"/>
      <c r="I101" s="4"/>
      <c r="J101" s="4"/>
      <c r="K101" s="4"/>
      <c r="L101" s="4"/>
      <c r="M101" s="145"/>
      <c r="N101" s="145"/>
      <c r="O101" s="183"/>
      <c r="P101" s="7"/>
      <c r="Q101" s="4"/>
      <c r="R101" s="4"/>
      <c r="S101" s="4"/>
      <c r="T101" s="8"/>
    </row>
    <row r="102" spans="1:20" x14ac:dyDescent="0.2">
      <c r="A102" s="7" t="s">
        <v>16</v>
      </c>
      <c r="B102" s="4"/>
      <c r="C102" s="4"/>
      <c r="D102" s="4"/>
      <c r="E102" s="156"/>
      <c r="F102" s="4"/>
      <c r="G102" s="4"/>
      <c r="H102" s="4"/>
      <c r="I102" s="4"/>
      <c r="J102" s="4"/>
      <c r="K102" s="4"/>
      <c r="L102" s="4"/>
      <c r="M102" s="145"/>
      <c r="N102" s="145"/>
      <c r="O102" s="183"/>
      <c r="P102" s="7"/>
      <c r="Q102" s="4"/>
      <c r="R102" s="4"/>
      <c r="S102" s="4"/>
      <c r="T102" s="8"/>
    </row>
    <row r="103" spans="1:20" x14ac:dyDescent="0.2">
      <c r="A103" s="7" t="s">
        <v>17</v>
      </c>
      <c r="B103" s="4"/>
      <c r="C103" s="4"/>
      <c r="D103" s="4"/>
      <c r="E103" s="156"/>
      <c r="F103" s="4"/>
      <c r="G103" s="4"/>
      <c r="H103" s="4"/>
      <c r="I103" s="4"/>
      <c r="J103" s="4"/>
      <c r="K103" s="4"/>
      <c r="L103" s="4"/>
      <c r="M103" s="145"/>
      <c r="N103" s="145"/>
      <c r="O103" s="183"/>
      <c r="P103" s="7"/>
      <c r="Q103" s="4"/>
      <c r="R103" s="4"/>
      <c r="S103" s="4"/>
      <c r="T103" s="8"/>
    </row>
    <row r="104" spans="1:20" ht="15" thickBot="1" x14ac:dyDescent="0.25">
      <c r="A104" s="9" t="s">
        <v>18</v>
      </c>
      <c r="B104" s="10"/>
      <c r="C104" s="10"/>
      <c r="D104" s="10"/>
      <c r="E104" s="157"/>
      <c r="F104" s="10"/>
      <c r="G104" s="10"/>
      <c r="H104" s="10"/>
      <c r="I104" s="10"/>
      <c r="J104" s="10"/>
      <c r="K104" s="10"/>
      <c r="L104" s="10"/>
      <c r="M104" s="146"/>
      <c r="N104" s="146"/>
      <c r="O104" s="184"/>
      <c r="P104" s="150"/>
      <c r="Q104" s="125"/>
      <c r="R104" s="125"/>
      <c r="S104" s="125"/>
      <c r="T104" s="79"/>
    </row>
    <row r="107" spans="1:20" ht="15" x14ac:dyDescent="0.2">
      <c r="A107" s="654" t="s">
        <v>0</v>
      </c>
      <c r="B107" s="654"/>
      <c r="C107" s="654"/>
      <c r="D107" s="654"/>
      <c r="E107" s="654"/>
      <c r="F107" s="654"/>
      <c r="G107" s="654"/>
      <c r="H107" s="654"/>
      <c r="I107" s="654"/>
      <c r="J107" s="654"/>
      <c r="K107" s="654"/>
      <c r="L107" s="654"/>
      <c r="M107" s="654"/>
      <c r="N107" s="654"/>
      <c r="O107" s="2"/>
    </row>
    <row r="108" spans="1:20" ht="15" x14ac:dyDescent="0.2">
      <c r="A108" s="654" t="s">
        <v>257</v>
      </c>
      <c r="B108" s="654"/>
      <c r="C108" s="654"/>
      <c r="D108" s="654"/>
      <c r="E108" s="654"/>
      <c r="F108" s="654"/>
      <c r="G108" s="654"/>
      <c r="H108" s="654"/>
      <c r="I108" s="654"/>
      <c r="J108" s="654"/>
      <c r="K108" s="654"/>
      <c r="L108" s="654"/>
      <c r="M108" s="654"/>
      <c r="N108" s="654"/>
      <c r="O108" s="2"/>
    </row>
    <row r="109" spans="1:20" ht="30.75" thickBot="1" x14ac:dyDescent="0.25">
      <c r="A109" s="2"/>
      <c r="B109" s="2"/>
      <c r="C109" s="2"/>
      <c r="D109" s="2" t="s">
        <v>165</v>
      </c>
      <c r="E109" s="159" t="s">
        <v>164</v>
      </c>
      <c r="F109" s="2" t="s">
        <v>165</v>
      </c>
      <c r="G109" s="159" t="s">
        <v>164</v>
      </c>
      <c r="H109" s="2" t="s">
        <v>165</v>
      </c>
      <c r="I109" s="159" t="s">
        <v>164</v>
      </c>
      <c r="J109" s="2" t="s">
        <v>165</v>
      </c>
      <c r="K109" s="159" t="s">
        <v>164</v>
      </c>
      <c r="L109" s="2" t="s">
        <v>165</v>
      </c>
      <c r="M109" s="159" t="s">
        <v>164</v>
      </c>
      <c r="N109" s="2"/>
      <c r="O109" s="2"/>
    </row>
    <row r="110" spans="1:20" ht="51.75" thickBot="1" x14ac:dyDescent="0.25">
      <c r="A110" s="11" t="s">
        <v>2</v>
      </c>
      <c r="B110" s="12" t="s">
        <v>3</v>
      </c>
      <c r="C110" s="12"/>
      <c r="D110" s="655" t="s">
        <v>159</v>
      </c>
      <c r="E110" s="656"/>
      <c r="F110" s="657" t="s">
        <v>120</v>
      </c>
      <c r="G110" s="658"/>
      <c r="H110" s="657" t="s">
        <v>160</v>
      </c>
      <c r="I110" s="658"/>
      <c r="J110" s="657" t="s">
        <v>161</v>
      </c>
      <c r="K110" s="658"/>
      <c r="L110" s="655" t="s">
        <v>162</v>
      </c>
      <c r="M110" s="656"/>
      <c r="N110" s="142" t="s">
        <v>11</v>
      </c>
      <c r="O110" s="177" t="s">
        <v>173</v>
      </c>
      <c r="P110" s="11" t="s">
        <v>4</v>
      </c>
      <c r="Q110" s="12" t="s">
        <v>5</v>
      </c>
      <c r="R110" s="12" t="s">
        <v>6</v>
      </c>
      <c r="S110" s="12" t="s">
        <v>7</v>
      </c>
      <c r="T110" s="13" t="s">
        <v>8</v>
      </c>
    </row>
    <row r="111" spans="1:20" x14ac:dyDescent="0.2">
      <c r="A111" s="14" t="s">
        <v>147</v>
      </c>
      <c r="B111" s="15"/>
      <c r="C111" s="15"/>
      <c r="D111" s="15"/>
      <c r="E111" s="153"/>
      <c r="F111" s="16">
        <f>'[1]Tbl2-SI Cert All'!M130</f>
        <v>0</v>
      </c>
      <c r="G111" s="16"/>
      <c r="H111" s="16">
        <f>'[1]Tbl2-SI Cert All'!H130</f>
        <v>0</v>
      </c>
      <c r="I111" s="16"/>
      <c r="J111" s="16">
        <v>0</v>
      </c>
      <c r="K111" s="16"/>
      <c r="L111" s="16">
        <f>'[1]Tbl2-SI Cert All'!J130</f>
        <v>0</v>
      </c>
      <c r="M111" s="16"/>
      <c r="N111" s="16">
        <f>'[1]Tbl2-SI Cert All'!N130</f>
        <v>0</v>
      </c>
      <c r="O111" s="16"/>
      <c r="P111" s="7"/>
      <c r="Q111" s="4"/>
      <c r="R111" s="4"/>
      <c r="S111" s="4"/>
      <c r="T111" s="8"/>
    </row>
    <row r="112" spans="1:20" x14ac:dyDescent="0.2">
      <c r="A112" s="140" t="s">
        <v>148</v>
      </c>
      <c r="B112" s="15"/>
      <c r="C112" s="15"/>
      <c r="D112" s="15"/>
      <c r="E112" s="153"/>
      <c r="F112" s="16"/>
      <c r="G112" s="16"/>
      <c r="H112" s="16"/>
      <c r="I112" s="16"/>
      <c r="J112" s="16"/>
      <c r="K112" s="16"/>
      <c r="L112" s="16"/>
      <c r="M112" s="16"/>
      <c r="N112" s="16"/>
      <c r="O112" s="16"/>
      <c r="P112" s="7"/>
      <c r="Q112" s="4"/>
      <c r="R112" s="4"/>
      <c r="S112" s="4"/>
      <c r="T112" s="8"/>
    </row>
    <row r="113" spans="1:20" x14ac:dyDescent="0.2">
      <c r="A113" s="141" t="s">
        <v>149</v>
      </c>
      <c r="B113" s="15"/>
      <c r="C113" s="15"/>
      <c r="D113" s="15"/>
      <c r="E113" s="153"/>
      <c r="F113" s="16"/>
      <c r="G113" s="16"/>
      <c r="H113" s="16"/>
      <c r="I113" s="16"/>
      <c r="J113" s="16"/>
      <c r="K113" s="16"/>
      <c r="L113" s="16"/>
      <c r="M113" s="16"/>
      <c r="N113" s="16"/>
      <c r="O113" s="16"/>
      <c r="P113" s="7"/>
      <c r="Q113" s="4"/>
      <c r="R113" s="4"/>
      <c r="S113" s="4"/>
      <c r="T113" s="8"/>
    </row>
    <row r="114" spans="1:20" x14ac:dyDescent="0.2">
      <c r="A114" s="14" t="s">
        <v>150</v>
      </c>
      <c r="B114" s="17"/>
      <c r="C114" s="17"/>
      <c r="D114" s="17"/>
      <c r="E114" s="153"/>
      <c r="F114" s="16">
        <f>'[1]Tbl4-SI PLT'!N121</f>
        <v>0</v>
      </c>
      <c r="G114" s="16"/>
      <c r="H114" s="16">
        <f>'[1]Tbl4-SI PLT'!I121</f>
        <v>0</v>
      </c>
      <c r="I114" s="16"/>
      <c r="J114" s="16">
        <v>0</v>
      </c>
      <c r="K114" s="16"/>
      <c r="L114" s="16">
        <f>'[1]Tbl4-SI PLT'!K121</f>
        <v>0</v>
      </c>
      <c r="M114" s="16"/>
      <c r="N114" s="16">
        <f>'[1]Tbl4-SI PLT'!O121</f>
        <v>0</v>
      </c>
      <c r="O114" s="16"/>
      <c r="P114" s="7"/>
      <c r="Q114" s="4"/>
      <c r="R114" s="4"/>
      <c r="S114" s="4"/>
      <c r="T114" s="8"/>
    </row>
    <row r="115" spans="1:20" x14ac:dyDescent="0.2">
      <c r="A115" s="14" t="s">
        <v>151</v>
      </c>
      <c r="B115" s="17"/>
      <c r="C115" s="17"/>
      <c r="D115" s="17"/>
      <c r="E115" s="153"/>
      <c r="F115" s="16">
        <f>'[1]Tbl5-SI InUse'!N121</f>
        <v>0</v>
      </c>
      <c r="G115" s="16"/>
      <c r="H115" s="16">
        <f>'[1]Tbl5-SI InUse'!I121</f>
        <v>0</v>
      </c>
      <c r="I115" s="16"/>
      <c r="J115" s="16">
        <v>0</v>
      </c>
      <c r="K115" s="16"/>
      <c r="L115" s="16">
        <f>'[1]Tbl5-SI InUse'!K121</f>
        <v>0</v>
      </c>
      <c r="M115" s="16"/>
      <c r="N115" s="16">
        <f>'[1]Tbl5-SI InUse'!L124</f>
        <v>0</v>
      </c>
      <c r="O115" s="16"/>
      <c r="P115" s="7"/>
      <c r="Q115" s="4"/>
      <c r="R115" s="4"/>
      <c r="S115" s="4"/>
      <c r="T115" s="8"/>
    </row>
    <row r="116" spans="1:20" x14ac:dyDescent="0.2">
      <c r="A116" s="14" t="s">
        <v>152</v>
      </c>
      <c r="B116" s="17"/>
      <c r="C116" s="17"/>
      <c r="D116" s="17"/>
      <c r="E116" s="153"/>
      <c r="F116" s="16">
        <f>'[1]Tbl6-SEA'!N115</f>
        <v>0</v>
      </c>
      <c r="G116" s="16"/>
      <c r="H116" s="16">
        <f>'[1]Tbl6-SEA'!I115</f>
        <v>0</v>
      </c>
      <c r="I116" s="16"/>
      <c r="J116" s="16">
        <v>0</v>
      </c>
      <c r="K116" s="16"/>
      <c r="L116" s="16">
        <f>'[1]Tbl6-SEA'!K115</f>
        <v>0</v>
      </c>
      <c r="M116" s="16"/>
      <c r="N116" s="16">
        <f>'[1]Tbl6-SEA'!O115</f>
        <v>0</v>
      </c>
      <c r="O116" s="16"/>
      <c r="P116" s="7"/>
      <c r="Q116" s="4"/>
      <c r="R116" s="4"/>
      <c r="S116" s="4"/>
      <c r="T116" s="8"/>
    </row>
    <row r="117" spans="1:20" ht="15" thickBot="1" x14ac:dyDescent="0.25">
      <c r="A117" s="18" t="s">
        <v>10</v>
      </c>
      <c r="B117" s="19"/>
      <c r="C117" s="19"/>
      <c r="D117" s="19"/>
      <c r="E117" s="154"/>
      <c r="F117" s="20">
        <f t="shared" ref="F117:N117" si="10">SUM(F111:F116)</f>
        <v>0</v>
      </c>
      <c r="G117" s="20"/>
      <c r="H117" s="20">
        <f t="shared" si="10"/>
        <v>0</v>
      </c>
      <c r="I117" s="20"/>
      <c r="J117" s="20">
        <f t="shared" si="10"/>
        <v>0</v>
      </c>
      <c r="K117" s="20"/>
      <c r="L117" s="20">
        <f t="shared" si="10"/>
        <v>0</v>
      </c>
      <c r="M117" s="143"/>
      <c r="N117" s="143">
        <f t="shared" si="10"/>
        <v>0</v>
      </c>
      <c r="O117" s="181"/>
      <c r="P117" s="7"/>
      <c r="Q117" s="4"/>
      <c r="R117" s="4"/>
      <c r="S117" s="4"/>
      <c r="T117" s="8"/>
    </row>
    <row r="118" spans="1:20" x14ac:dyDescent="0.2">
      <c r="A118" s="5" t="s">
        <v>12</v>
      </c>
      <c r="B118" s="6"/>
      <c r="C118" s="6"/>
      <c r="D118" s="6"/>
      <c r="E118" s="155"/>
      <c r="F118" s="6"/>
      <c r="G118" s="6"/>
      <c r="H118" s="6"/>
      <c r="I118" s="6"/>
      <c r="J118" s="6"/>
      <c r="K118" s="6"/>
      <c r="L118" s="6"/>
      <c r="M118" s="144"/>
      <c r="N118" s="144"/>
      <c r="O118" s="182"/>
      <c r="P118" s="7"/>
      <c r="Q118" s="4"/>
      <c r="R118" s="4"/>
      <c r="S118" s="4"/>
      <c r="T118" s="8"/>
    </row>
    <row r="119" spans="1:20" x14ac:dyDescent="0.2">
      <c r="A119" s="7" t="s">
        <v>13</v>
      </c>
      <c r="B119" s="4"/>
      <c r="C119" s="4"/>
      <c r="D119" s="4"/>
      <c r="E119" s="156"/>
      <c r="F119" s="4"/>
      <c r="G119" s="4"/>
      <c r="H119" s="4"/>
      <c r="I119" s="4"/>
      <c r="J119" s="4"/>
      <c r="K119" s="4"/>
      <c r="L119" s="4"/>
      <c r="M119" s="145"/>
      <c r="N119" s="145"/>
      <c r="O119" s="183"/>
      <c r="P119" s="7"/>
      <c r="Q119" s="4"/>
      <c r="R119" s="4"/>
      <c r="S119" s="4"/>
      <c r="T119" s="8"/>
    </row>
    <row r="120" spans="1:20" x14ac:dyDescent="0.2">
      <c r="A120" s="7" t="s">
        <v>14</v>
      </c>
      <c r="B120" s="4"/>
      <c r="C120" s="4"/>
      <c r="D120" s="4"/>
      <c r="E120" s="156"/>
      <c r="F120" s="4"/>
      <c r="G120" s="4"/>
      <c r="H120" s="4"/>
      <c r="I120" s="4"/>
      <c r="J120" s="4"/>
      <c r="K120" s="4"/>
      <c r="L120" s="4"/>
      <c r="M120" s="145"/>
      <c r="N120" s="145"/>
      <c r="O120" s="183"/>
      <c r="P120" s="7"/>
      <c r="Q120" s="4"/>
      <c r="R120" s="4"/>
      <c r="S120" s="4"/>
      <c r="T120" s="8"/>
    </row>
    <row r="121" spans="1:20" x14ac:dyDescent="0.2">
      <c r="A121" s="7" t="s">
        <v>15</v>
      </c>
      <c r="B121" s="4"/>
      <c r="C121" s="4"/>
      <c r="D121" s="4"/>
      <c r="E121" s="156"/>
      <c r="F121" s="4"/>
      <c r="G121" s="4"/>
      <c r="H121" s="4"/>
      <c r="I121" s="4"/>
      <c r="J121" s="4"/>
      <c r="K121" s="4"/>
      <c r="L121" s="4"/>
      <c r="M121" s="145"/>
      <c r="N121" s="145"/>
      <c r="O121" s="183"/>
      <c r="P121" s="7"/>
      <c r="Q121" s="4"/>
      <c r="R121" s="4"/>
      <c r="S121" s="4"/>
      <c r="T121" s="8"/>
    </row>
    <row r="122" spans="1:20" x14ac:dyDescent="0.2">
      <c r="A122" s="7" t="s">
        <v>16</v>
      </c>
      <c r="B122" s="4"/>
      <c r="C122" s="4"/>
      <c r="D122" s="4"/>
      <c r="E122" s="156"/>
      <c r="F122" s="4"/>
      <c r="G122" s="4"/>
      <c r="H122" s="4"/>
      <c r="I122" s="4"/>
      <c r="J122" s="4"/>
      <c r="K122" s="4"/>
      <c r="L122" s="4"/>
      <c r="M122" s="145"/>
      <c r="N122" s="145"/>
      <c r="O122" s="183"/>
      <c r="P122" s="7"/>
      <c r="Q122" s="4"/>
      <c r="R122" s="4"/>
      <c r="S122" s="4"/>
      <c r="T122" s="8"/>
    </row>
    <row r="123" spans="1:20" x14ac:dyDescent="0.2">
      <c r="A123" s="7" t="s">
        <v>17</v>
      </c>
      <c r="B123" s="4"/>
      <c r="C123" s="4"/>
      <c r="D123" s="4"/>
      <c r="E123" s="156"/>
      <c r="F123" s="4"/>
      <c r="G123" s="4"/>
      <c r="H123" s="4"/>
      <c r="I123" s="4"/>
      <c r="J123" s="4"/>
      <c r="K123" s="4"/>
      <c r="L123" s="4"/>
      <c r="M123" s="145"/>
      <c r="N123" s="145"/>
      <c r="O123" s="183"/>
      <c r="P123" s="7"/>
      <c r="Q123" s="4"/>
      <c r="R123" s="4"/>
      <c r="S123" s="4"/>
      <c r="T123" s="8"/>
    </row>
    <row r="124" spans="1:20" ht="15" thickBot="1" x14ac:dyDescent="0.25">
      <c r="A124" s="9" t="s">
        <v>18</v>
      </c>
      <c r="B124" s="10"/>
      <c r="C124" s="10"/>
      <c r="D124" s="10"/>
      <c r="E124" s="157"/>
      <c r="F124" s="10"/>
      <c r="G124" s="10"/>
      <c r="H124" s="10"/>
      <c r="I124" s="10"/>
      <c r="J124" s="10"/>
      <c r="K124" s="10"/>
      <c r="L124" s="10"/>
      <c r="M124" s="146"/>
      <c r="N124" s="146"/>
      <c r="O124" s="184"/>
      <c r="P124" s="150"/>
      <c r="Q124" s="125"/>
      <c r="R124" s="125"/>
      <c r="S124" s="125"/>
      <c r="T124" s="79"/>
    </row>
  </sheetData>
  <mergeCells count="47">
    <mergeCell ref="X4:Y4"/>
    <mergeCell ref="Z4:AA4"/>
    <mergeCell ref="AB4:AC4"/>
    <mergeCell ref="AD4:AE4"/>
    <mergeCell ref="AF4:AG4"/>
    <mergeCell ref="L89:M89"/>
    <mergeCell ref="F110:G110"/>
    <mergeCell ref="H110:I110"/>
    <mergeCell ref="J110:K110"/>
    <mergeCell ref="L110:M110"/>
    <mergeCell ref="D68:E68"/>
    <mergeCell ref="F89:G89"/>
    <mergeCell ref="H89:I89"/>
    <mergeCell ref="J89:K89"/>
    <mergeCell ref="J68:K68"/>
    <mergeCell ref="L68:M68"/>
    <mergeCell ref="D110:E110"/>
    <mergeCell ref="F5:G5"/>
    <mergeCell ref="H5:I5"/>
    <mergeCell ref="J5:K5"/>
    <mergeCell ref="L5:M5"/>
    <mergeCell ref="F26:G26"/>
    <mergeCell ref="H26:I26"/>
    <mergeCell ref="J26:K26"/>
    <mergeCell ref="L26:M26"/>
    <mergeCell ref="F47:G47"/>
    <mergeCell ref="A107:N107"/>
    <mergeCell ref="A108:N108"/>
    <mergeCell ref="D5:E5"/>
    <mergeCell ref="D26:E26"/>
    <mergeCell ref="D47:E47"/>
    <mergeCell ref="A2:N2"/>
    <mergeCell ref="A3:N3"/>
    <mergeCell ref="A23:N23"/>
    <mergeCell ref="A24:N24"/>
    <mergeCell ref="D89:E89"/>
    <mergeCell ref="H47:I47"/>
    <mergeCell ref="J47:K47"/>
    <mergeCell ref="L47:M47"/>
    <mergeCell ref="A44:N44"/>
    <mergeCell ref="A45:N45"/>
    <mergeCell ref="A65:N65"/>
    <mergeCell ref="A66:N66"/>
    <mergeCell ref="A86:N86"/>
    <mergeCell ref="A87:N87"/>
    <mergeCell ref="F68:G68"/>
    <mergeCell ref="H68:I68"/>
  </mergeCells>
  <pageMargins left="0.7" right="0.7" top="0.75" bottom="0.75" header="0.3" footer="0.3"/>
  <pageSetup orientation="portrait" horizontalDpi="200" verticalDpi="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3826-FC77-4BA5-8451-DA0D3675300C}">
  <dimension ref="A2:Q29"/>
  <sheetViews>
    <sheetView zoomScale="86" zoomScaleNormal="86" workbookViewId="0">
      <pane xSplit="1" topLeftCell="B1" activePane="topRight" state="frozen"/>
      <selection pane="topRight" activeCell="A2" sqref="A2:P21"/>
    </sheetView>
  </sheetViews>
  <sheetFormatPr defaultColWidth="13.5" defaultRowHeight="14.25" x14ac:dyDescent="0.2"/>
  <cols>
    <col min="1" max="1" width="16.875" style="1" customWidth="1"/>
    <col min="2" max="2" width="0.125" style="1" customWidth="1"/>
    <col min="3" max="3" width="11.375" style="1" hidden="1" customWidth="1"/>
    <col min="4" max="4" width="13.375" style="1" hidden="1" customWidth="1"/>
    <col min="5" max="5" width="13.125" style="1" hidden="1" customWidth="1"/>
    <col min="6" max="6" width="13.375" style="1" hidden="1" customWidth="1"/>
    <col min="7" max="7" width="0.5" style="1" hidden="1" customWidth="1"/>
    <col min="8" max="8" width="1.75" style="1" hidden="1" customWidth="1"/>
    <col min="9" max="9" width="13.125" style="1" bestFit="1" customWidth="1"/>
    <col min="10" max="10" width="17.75" style="1" bestFit="1" customWidth="1"/>
    <col min="11" max="11" width="9.125" style="1" bestFit="1" customWidth="1"/>
    <col min="12" max="12" width="16.375" style="1" bestFit="1" customWidth="1"/>
    <col min="13" max="13" width="12.875" style="1" bestFit="1" customWidth="1"/>
    <col min="14" max="14" width="12.625" style="1" bestFit="1" customWidth="1"/>
    <col min="15" max="15" width="12.5" style="1" bestFit="1" customWidth="1"/>
    <col min="16" max="16" width="17.75" style="1" bestFit="1" customWidth="1"/>
    <col min="17" max="16384" width="13.5" style="1"/>
  </cols>
  <sheetData>
    <row r="2" spans="1:17" ht="18" x14ac:dyDescent="0.25">
      <c r="A2" s="661" t="s">
        <v>41</v>
      </c>
      <c r="B2" s="661"/>
      <c r="C2" s="661"/>
      <c r="D2" s="661"/>
      <c r="E2" s="661"/>
      <c r="F2" s="661"/>
      <c r="G2" s="661"/>
      <c r="H2" s="661"/>
      <c r="I2" s="661"/>
      <c r="J2" s="661"/>
      <c r="K2" s="661"/>
      <c r="L2" s="661"/>
      <c r="M2" s="661"/>
      <c r="N2" s="661"/>
      <c r="O2" s="661"/>
      <c r="P2" s="661"/>
    </row>
    <row r="3" spans="1:17" ht="18" x14ac:dyDescent="0.25">
      <c r="A3" s="293"/>
      <c r="B3" s="661" t="s">
        <v>42</v>
      </c>
      <c r="C3" s="661"/>
      <c r="D3" s="661"/>
      <c r="E3" s="661"/>
      <c r="F3" s="661"/>
      <c r="G3" s="661"/>
      <c r="H3" s="661"/>
      <c r="I3" s="661"/>
      <c r="J3" s="661"/>
      <c r="K3" s="661"/>
      <c r="L3" s="661"/>
      <c r="M3" s="661" t="s">
        <v>22</v>
      </c>
      <c r="N3" s="661"/>
      <c r="O3" s="661"/>
      <c r="P3" s="661"/>
    </row>
    <row r="4" spans="1:17" ht="103.5" customHeight="1" x14ac:dyDescent="0.25">
      <c r="A4" s="293" t="s">
        <v>23</v>
      </c>
      <c r="B4" s="294" t="s">
        <v>169</v>
      </c>
      <c r="C4" s="294" t="s">
        <v>168</v>
      </c>
      <c r="D4" s="294" t="s">
        <v>172</v>
      </c>
      <c r="E4" s="295" t="s">
        <v>171</v>
      </c>
      <c r="F4" s="296" t="s">
        <v>170</v>
      </c>
      <c r="G4" s="297" t="s">
        <v>43</v>
      </c>
      <c r="H4" s="298" t="s">
        <v>44</v>
      </c>
      <c r="I4" s="299" t="s">
        <v>45</v>
      </c>
      <c r="J4" s="299" t="s">
        <v>46</v>
      </c>
      <c r="K4" s="299" t="s">
        <v>26</v>
      </c>
      <c r="L4" s="299" t="s">
        <v>47</v>
      </c>
      <c r="M4" s="299" t="s">
        <v>48</v>
      </c>
      <c r="N4" s="299" t="s">
        <v>28</v>
      </c>
      <c r="O4" s="299" t="s">
        <v>49</v>
      </c>
      <c r="P4" s="299" t="s">
        <v>50</v>
      </c>
      <c r="Q4" s="1" t="s">
        <v>210</v>
      </c>
    </row>
    <row r="5" spans="1:17" ht="72" x14ac:dyDescent="0.25">
      <c r="A5" s="300" t="s">
        <v>51</v>
      </c>
      <c r="B5" s="301">
        <v>45</v>
      </c>
      <c r="C5" s="301">
        <v>5</v>
      </c>
      <c r="D5" s="301">
        <v>8</v>
      </c>
      <c r="E5" s="301">
        <v>0</v>
      </c>
      <c r="F5" s="301">
        <v>0</v>
      </c>
      <c r="G5" s="302"/>
      <c r="H5" s="302"/>
      <c r="I5" s="301">
        <f t="shared" ref="I5:I12" si="0">SUM(B5:F5)</f>
        <v>58</v>
      </c>
      <c r="J5" s="303">
        <f t="shared" ref="J5:J12" si="1">(B5*94.86)+(C5*152.31)+(D5*180.08)+(E5*45.97)+(F5*66.8)+(G5*42.44)+(H5*38.58)</f>
        <v>6470.89</v>
      </c>
      <c r="K5" s="303">
        <v>0</v>
      </c>
      <c r="L5" s="303">
        <v>0</v>
      </c>
      <c r="M5" s="301">
        <v>1</v>
      </c>
      <c r="N5" s="301">
        <v>95</v>
      </c>
      <c r="O5" s="304">
        <f>I5*M5*N5</f>
        <v>5510</v>
      </c>
      <c r="P5" s="303">
        <f t="shared" ref="P5:P19" si="2">(J5+K5+L5)*M5*N5</f>
        <v>614734.55000000005</v>
      </c>
    </row>
    <row r="6" spans="1:17" ht="18" x14ac:dyDescent="0.25">
      <c r="A6" s="300" t="s">
        <v>52</v>
      </c>
      <c r="B6" s="301">
        <v>8</v>
      </c>
      <c r="C6" s="301">
        <v>0</v>
      </c>
      <c r="D6" s="301">
        <v>0</v>
      </c>
      <c r="E6" s="301">
        <v>0</v>
      </c>
      <c r="F6" s="301">
        <v>1</v>
      </c>
      <c r="G6" s="302"/>
      <c r="H6" s="302"/>
      <c r="I6" s="301">
        <f t="shared" si="0"/>
        <v>9</v>
      </c>
      <c r="J6" s="303">
        <f t="shared" si="1"/>
        <v>825.68</v>
      </c>
      <c r="K6" s="303">
        <v>0</v>
      </c>
      <c r="L6" s="303">
        <v>40</v>
      </c>
      <c r="M6" s="301">
        <v>1</v>
      </c>
      <c r="N6" s="301">
        <v>95</v>
      </c>
      <c r="O6" s="304">
        <f>I6*M6*N6</f>
        <v>855</v>
      </c>
      <c r="P6" s="303">
        <f t="shared" si="2"/>
        <v>82239.599999999991</v>
      </c>
    </row>
    <row r="7" spans="1:17" ht="72" x14ac:dyDescent="0.25">
      <c r="A7" s="300" t="s">
        <v>53</v>
      </c>
      <c r="B7" s="301">
        <v>11</v>
      </c>
      <c r="C7" s="301">
        <v>1</v>
      </c>
      <c r="D7" s="301">
        <v>0</v>
      </c>
      <c r="E7" s="301">
        <v>1</v>
      </c>
      <c r="F7" s="301">
        <v>0</v>
      </c>
      <c r="G7" s="302"/>
      <c r="H7" s="302"/>
      <c r="I7" s="301">
        <f t="shared" si="0"/>
        <v>13</v>
      </c>
      <c r="J7" s="303">
        <f t="shared" si="1"/>
        <v>1241.74</v>
      </c>
      <c r="K7" s="303">
        <v>0</v>
      </c>
      <c r="L7" s="303">
        <v>20</v>
      </c>
      <c r="M7" s="301">
        <v>1</v>
      </c>
      <c r="N7" s="301">
        <v>95</v>
      </c>
      <c r="O7" s="304">
        <f t="shared" ref="O7:O12" si="3">I7*M7*N7</f>
        <v>1235</v>
      </c>
      <c r="P7" s="303">
        <f t="shared" si="2"/>
        <v>119865.3</v>
      </c>
    </row>
    <row r="8" spans="1:17" ht="54" x14ac:dyDescent="0.25">
      <c r="A8" s="300" t="s">
        <v>54</v>
      </c>
      <c r="B8" s="301">
        <v>4</v>
      </c>
      <c r="C8" s="301">
        <v>0</v>
      </c>
      <c r="D8" s="301">
        <v>0</v>
      </c>
      <c r="E8" s="301">
        <v>0</v>
      </c>
      <c r="F8" s="301">
        <v>1</v>
      </c>
      <c r="G8" s="302"/>
      <c r="H8" s="302"/>
      <c r="I8" s="301">
        <f t="shared" si="0"/>
        <v>5</v>
      </c>
      <c r="J8" s="303">
        <f t="shared" si="1"/>
        <v>446.24</v>
      </c>
      <c r="K8" s="303">
        <v>0</v>
      </c>
      <c r="L8" s="303">
        <v>20</v>
      </c>
      <c r="M8" s="301">
        <f>Q10/95</f>
        <v>7.7263157894736842</v>
      </c>
      <c r="N8" s="301">
        <v>95</v>
      </c>
      <c r="O8" s="304">
        <f t="shared" si="3"/>
        <v>3670.0000000000005</v>
      </c>
      <c r="P8" s="303">
        <f t="shared" si="2"/>
        <v>342220.16000000003</v>
      </c>
    </row>
    <row r="9" spans="1:17" ht="36" x14ac:dyDescent="0.25">
      <c r="A9" s="300" t="s">
        <v>55</v>
      </c>
      <c r="B9" s="301">
        <v>1</v>
      </c>
      <c r="C9" s="301">
        <v>0</v>
      </c>
      <c r="D9" s="301">
        <v>0</v>
      </c>
      <c r="E9" s="301">
        <v>0</v>
      </c>
      <c r="F9" s="301">
        <v>6</v>
      </c>
      <c r="G9" s="302"/>
      <c r="H9" s="302"/>
      <c r="I9" s="301">
        <f t="shared" si="0"/>
        <v>7</v>
      </c>
      <c r="J9" s="303">
        <f t="shared" si="1"/>
        <v>495.65999999999997</v>
      </c>
      <c r="K9" s="303">
        <v>0</v>
      </c>
      <c r="L9" s="303">
        <v>0</v>
      </c>
      <c r="M9" s="301">
        <f>734/95</f>
        <v>7.7263157894736842</v>
      </c>
      <c r="N9" s="301">
        <v>95</v>
      </c>
      <c r="O9" s="304">
        <f t="shared" si="3"/>
        <v>5138</v>
      </c>
      <c r="P9" s="303">
        <f t="shared" si="2"/>
        <v>363814.44</v>
      </c>
    </row>
    <row r="10" spans="1:17" ht="36" x14ac:dyDescent="0.25">
      <c r="A10" s="300" t="s">
        <v>56</v>
      </c>
      <c r="B10" s="301">
        <v>8</v>
      </c>
      <c r="C10" s="301">
        <v>0</v>
      </c>
      <c r="D10" s="301">
        <v>0</v>
      </c>
      <c r="E10" s="301">
        <v>0</v>
      </c>
      <c r="F10" s="301">
        <v>12</v>
      </c>
      <c r="G10" s="302"/>
      <c r="H10" s="302"/>
      <c r="I10" s="301">
        <f t="shared" si="0"/>
        <v>20</v>
      </c>
      <c r="J10" s="303">
        <f t="shared" si="1"/>
        <v>1560.48</v>
      </c>
      <c r="K10" s="303">
        <v>0</v>
      </c>
      <c r="L10" s="303">
        <v>300</v>
      </c>
      <c r="M10" s="301">
        <f>(734*10)/95</f>
        <v>77.263157894736835</v>
      </c>
      <c r="N10" s="301">
        <v>95</v>
      </c>
      <c r="O10" s="304">
        <f t="shared" si="3"/>
        <v>146799.99999999997</v>
      </c>
      <c r="P10" s="303">
        <f t="shared" si="2"/>
        <v>13655923.199999999</v>
      </c>
      <c r="Q10" s="1">
        <v>734</v>
      </c>
    </row>
    <row r="11" spans="1:17" ht="36" x14ac:dyDescent="0.25">
      <c r="A11" s="300" t="s">
        <v>57</v>
      </c>
      <c r="B11" s="301">
        <v>8</v>
      </c>
      <c r="C11" s="301">
        <v>0</v>
      </c>
      <c r="D11" s="301">
        <v>0</v>
      </c>
      <c r="E11" s="301">
        <v>1</v>
      </c>
      <c r="F11" s="301">
        <v>0</v>
      </c>
      <c r="G11" s="302"/>
      <c r="H11" s="302"/>
      <c r="I11" s="301">
        <f t="shared" si="0"/>
        <v>9</v>
      </c>
      <c r="J11" s="303">
        <f t="shared" si="1"/>
        <v>804.85</v>
      </c>
      <c r="K11" s="303">
        <v>0</v>
      </c>
      <c r="L11" s="303">
        <v>30</v>
      </c>
      <c r="M11" s="301">
        <f>734/95</f>
        <v>7.7263157894736842</v>
      </c>
      <c r="N11" s="301">
        <v>95</v>
      </c>
      <c r="O11" s="304">
        <f t="shared" si="3"/>
        <v>6606</v>
      </c>
      <c r="P11" s="303">
        <f t="shared" si="2"/>
        <v>612779.9</v>
      </c>
    </row>
    <row r="12" spans="1:17" ht="108" x14ac:dyDescent="0.25">
      <c r="A12" s="305" t="s">
        <v>58</v>
      </c>
      <c r="B12" s="306">
        <v>4</v>
      </c>
      <c r="C12" s="306">
        <v>0</v>
      </c>
      <c r="D12" s="306">
        <v>0</v>
      </c>
      <c r="E12" s="306">
        <v>0</v>
      </c>
      <c r="F12" s="306">
        <v>60</v>
      </c>
      <c r="G12" s="307"/>
      <c r="H12" s="307"/>
      <c r="I12" s="301">
        <f t="shared" si="0"/>
        <v>64</v>
      </c>
      <c r="J12" s="303">
        <f t="shared" si="1"/>
        <v>4387.4399999999996</v>
      </c>
      <c r="K12" s="308">
        <v>0</v>
      </c>
      <c r="L12" s="308">
        <v>100</v>
      </c>
      <c r="M12" s="306">
        <v>1</v>
      </c>
      <c r="N12" s="306">
        <v>95</v>
      </c>
      <c r="O12" s="304">
        <f t="shared" si="3"/>
        <v>6080</v>
      </c>
      <c r="P12" s="308">
        <f t="shared" si="2"/>
        <v>426306.8</v>
      </c>
    </row>
    <row r="13" spans="1:17" ht="36" x14ac:dyDescent="0.25">
      <c r="A13" s="309" t="s">
        <v>59</v>
      </c>
      <c r="B13" s="310"/>
      <c r="C13" s="311"/>
      <c r="D13" s="311"/>
      <c r="E13" s="311"/>
      <c r="F13" s="311"/>
      <c r="G13" s="312"/>
      <c r="H13" s="312"/>
      <c r="I13" s="311"/>
      <c r="J13" s="303"/>
      <c r="K13" s="313"/>
      <c r="L13" s="313"/>
      <c r="M13" s="313"/>
      <c r="N13" s="313"/>
      <c r="O13" s="313"/>
      <c r="P13" s="314"/>
    </row>
    <row r="14" spans="1:17" ht="18" x14ac:dyDescent="0.25">
      <c r="A14" s="315" t="s">
        <v>60</v>
      </c>
      <c r="B14" s="316"/>
      <c r="C14" s="317"/>
      <c r="D14" s="317"/>
      <c r="E14" s="317"/>
      <c r="F14" s="317"/>
      <c r="G14" s="318"/>
      <c r="H14" s="318"/>
      <c r="I14" s="317"/>
      <c r="J14" s="303"/>
      <c r="K14" s="319"/>
      <c r="L14" s="320">
        <f>17000/3</f>
        <v>5666.666666666667</v>
      </c>
      <c r="M14" s="321">
        <v>0</v>
      </c>
      <c r="N14" s="321">
        <v>0</v>
      </c>
      <c r="O14" s="304">
        <f t="shared" ref="O14:O19" si="4">I14*M14*N14</f>
        <v>0</v>
      </c>
      <c r="P14" s="322">
        <f>(J14+K14+L14)*M14*N14</f>
        <v>0</v>
      </c>
    </row>
    <row r="15" spans="1:17" ht="18" x14ac:dyDescent="0.25">
      <c r="A15" s="315" t="s">
        <v>61</v>
      </c>
      <c r="B15" s="310"/>
      <c r="C15" s="311"/>
      <c r="D15" s="311"/>
      <c r="E15" s="311"/>
      <c r="F15" s="311"/>
      <c r="G15" s="312"/>
      <c r="H15" s="312"/>
      <c r="I15" s="311"/>
      <c r="J15" s="303"/>
      <c r="K15" s="314"/>
      <c r="L15" s="323">
        <f>35510/3</f>
        <v>11836.666666666666</v>
      </c>
      <c r="M15" s="301">
        <v>0</v>
      </c>
      <c r="N15" s="301">
        <v>0</v>
      </c>
      <c r="O15" s="304">
        <f t="shared" si="4"/>
        <v>0</v>
      </c>
      <c r="P15" s="303">
        <f>(J15+K15+L15)*M15*N15</f>
        <v>0</v>
      </c>
    </row>
    <row r="16" spans="1:17" ht="18" x14ac:dyDescent="0.25">
      <c r="A16" s="315" t="s">
        <v>62</v>
      </c>
      <c r="B16" s="310"/>
      <c r="C16" s="311"/>
      <c r="D16" s="311"/>
      <c r="E16" s="311"/>
      <c r="F16" s="311"/>
      <c r="G16" s="312"/>
      <c r="H16" s="312"/>
      <c r="I16" s="311"/>
      <c r="J16" s="303"/>
      <c r="K16" s="314"/>
      <c r="L16" s="323">
        <f>45000/3</f>
        <v>15000</v>
      </c>
      <c r="M16" s="301">
        <v>0</v>
      </c>
      <c r="N16" s="301">
        <v>0</v>
      </c>
      <c r="O16" s="304">
        <f t="shared" si="4"/>
        <v>0</v>
      </c>
      <c r="P16" s="303">
        <f>(J16+K16+L16)*M16*N16</f>
        <v>0</v>
      </c>
    </row>
    <row r="17" spans="1:17" ht="36" x14ac:dyDescent="0.25">
      <c r="A17" s="300" t="s">
        <v>63</v>
      </c>
      <c r="B17" s="321">
        <v>2</v>
      </c>
      <c r="C17" s="321">
        <v>1</v>
      </c>
      <c r="D17" s="321">
        <v>2</v>
      </c>
      <c r="E17" s="321">
        <v>2</v>
      </c>
      <c r="F17" s="321">
        <v>0</v>
      </c>
      <c r="G17" s="324"/>
      <c r="H17" s="324"/>
      <c r="I17" s="321">
        <f>SUM(B17:F17)</f>
        <v>7</v>
      </c>
      <c r="J17" s="303">
        <f>(B17*94.86)+(C17*152.31)+(D17*180.08)+(E17*45.97)+(F17*66.8)+(G17*42.44)+(H17*38.58)</f>
        <v>794.13000000000011</v>
      </c>
      <c r="K17" s="322">
        <v>0</v>
      </c>
      <c r="L17" s="303">
        <v>21</v>
      </c>
      <c r="M17" s="301">
        <v>0</v>
      </c>
      <c r="N17" s="301">
        <v>0</v>
      </c>
      <c r="O17" s="304">
        <f t="shared" si="4"/>
        <v>0</v>
      </c>
      <c r="P17" s="303">
        <f t="shared" si="2"/>
        <v>0</v>
      </c>
    </row>
    <row r="18" spans="1:17" ht="54" x14ac:dyDescent="0.25">
      <c r="A18" s="300" t="s">
        <v>64</v>
      </c>
      <c r="B18" s="301">
        <v>8</v>
      </c>
      <c r="C18" s="301">
        <v>1</v>
      </c>
      <c r="D18" s="301">
        <v>1</v>
      </c>
      <c r="E18" s="301">
        <v>2</v>
      </c>
      <c r="F18" s="301">
        <v>0</v>
      </c>
      <c r="G18" s="302"/>
      <c r="H18" s="302"/>
      <c r="I18" s="321">
        <f>SUM(B18:F18)</f>
        <v>12</v>
      </c>
      <c r="J18" s="303">
        <f>(B18*94.86)+(C18*152.31)+(D18*180.08)+(E18*45.97)+(F18*66.8)+(G18*42.44)+(H18*38.58)</f>
        <v>1183.21</v>
      </c>
      <c r="K18" s="303">
        <v>0</v>
      </c>
      <c r="L18" s="303">
        <v>5</v>
      </c>
      <c r="M18" s="301">
        <v>8</v>
      </c>
      <c r="N18" s="301">
        <v>95</v>
      </c>
      <c r="O18" s="304">
        <f t="shared" si="4"/>
        <v>9120</v>
      </c>
      <c r="P18" s="303">
        <f t="shared" si="2"/>
        <v>903039.6</v>
      </c>
    </row>
    <row r="19" spans="1:17" ht="54" x14ac:dyDescent="0.25">
      <c r="A19" s="300" t="s">
        <v>65</v>
      </c>
      <c r="B19" s="301">
        <v>2</v>
      </c>
      <c r="C19" s="301">
        <v>0</v>
      </c>
      <c r="D19" s="301">
        <v>0</v>
      </c>
      <c r="E19" s="301">
        <v>3</v>
      </c>
      <c r="F19" s="301">
        <v>0</v>
      </c>
      <c r="G19" s="302"/>
      <c r="H19" s="302"/>
      <c r="I19" s="321">
        <f>SUM(B19:F19)</f>
        <v>5</v>
      </c>
      <c r="J19" s="303">
        <f>(B19*94.86)+(C19*152.31)+(D19*180.08)+(E19*45.97)+(F19*66.8)+(G19*42.44)+(H19*38.58)</f>
        <v>327.63</v>
      </c>
      <c r="K19" s="303">
        <v>0</v>
      </c>
      <c r="L19" s="303">
        <v>2</v>
      </c>
      <c r="M19" s="301">
        <v>8</v>
      </c>
      <c r="N19" s="301">
        <v>95</v>
      </c>
      <c r="O19" s="304">
        <f t="shared" si="4"/>
        <v>3800</v>
      </c>
      <c r="P19" s="303">
        <f t="shared" si="2"/>
        <v>250518.8</v>
      </c>
    </row>
    <row r="20" spans="1:17" ht="36" x14ac:dyDescent="0.25">
      <c r="A20" s="325" t="s">
        <v>66</v>
      </c>
      <c r="B20" s="326">
        <f>SUM(B5:B19)</f>
        <v>101</v>
      </c>
      <c r="C20" s="326">
        <f>SUM(C5:C19)</f>
        <v>8</v>
      </c>
      <c r="D20" s="326">
        <f>SUM(D5:D19)</f>
        <v>11</v>
      </c>
      <c r="E20" s="326">
        <f>SUM(E5:E19)</f>
        <v>9</v>
      </c>
      <c r="F20" s="326">
        <f>SUM(F5:F19)</f>
        <v>80</v>
      </c>
      <c r="G20" s="327"/>
      <c r="H20" s="327"/>
      <c r="I20" s="321">
        <f>SUM(B20:F20)</f>
        <v>209</v>
      </c>
      <c r="J20" s="303">
        <f>(B20*94.86)+(C20*152.31)+(D20*180.08)+(E20*45.97)+(F20*66.8)+(G20*42.44)+(H20*38.58)</f>
        <v>18537.95</v>
      </c>
      <c r="K20" s="328">
        <v>0</v>
      </c>
      <c r="L20" s="329" t="s">
        <v>67</v>
      </c>
      <c r="M20" s="326" t="s">
        <v>67</v>
      </c>
      <c r="N20" s="326" t="s">
        <v>37</v>
      </c>
      <c r="O20" s="326" t="s">
        <v>37</v>
      </c>
      <c r="P20" s="328" t="s">
        <v>37</v>
      </c>
    </row>
    <row r="21" spans="1:17" ht="54" x14ac:dyDescent="0.25">
      <c r="A21" s="325" t="s">
        <v>38</v>
      </c>
      <c r="B21" s="326" t="s">
        <v>37</v>
      </c>
      <c r="C21" s="326" t="s">
        <v>37</v>
      </c>
      <c r="D21" s="326" t="s">
        <v>37</v>
      </c>
      <c r="E21" s="326" t="s">
        <v>37</v>
      </c>
      <c r="F21" s="326" t="s">
        <v>37</v>
      </c>
      <c r="G21" s="327" t="s">
        <v>37</v>
      </c>
      <c r="H21" s="327" t="s">
        <v>37</v>
      </c>
      <c r="I21" s="326" t="s">
        <v>37</v>
      </c>
      <c r="J21" s="328">
        <f>SUMPRODUCT(J5:J19, M5:M19, N5:N19)</f>
        <v>15112222.350000001</v>
      </c>
      <c r="K21" s="328">
        <v>0</v>
      </c>
      <c r="L21" s="328">
        <f>SUMPRODUCT(L5:L19, M5:M19, N5:N19)</f>
        <v>2259219.9999999995</v>
      </c>
      <c r="M21" s="326" t="s">
        <v>37</v>
      </c>
      <c r="N21" s="326">
        <v>179</v>
      </c>
      <c r="O21" s="326">
        <f>SUM(O5:O19)</f>
        <v>188813.99999999997</v>
      </c>
      <c r="P21" s="326">
        <f>SUM(P5:P19)</f>
        <v>17371442.350000001</v>
      </c>
      <c r="Q21" s="1">
        <v>734</v>
      </c>
    </row>
    <row r="22" spans="1:17" x14ac:dyDescent="0.2">
      <c r="L22" s="331">
        <f>L21/734</f>
        <v>3077.956403269754</v>
      </c>
    </row>
    <row r="26" spans="1:17" ht="15" thickBot="1" x14ac:dyDescent="0.25"/>
    <row r="27" spans="1:17" ht="29.25" thickBot="1" x14ac:dyDescent="0.25">
      <c r="A27" s="52" t="s">
        <v>68</v>
      </c>
      <c r="B27" s="53"/>
    </row>
    <row r="29" spans="1:17" ht="178.5" x14ac:dyDescent="0.2">
      <c r="A29" s="23" t="s">
        <v>169</v>
      </c>
      <c r="B29" s="23" t="s">
        <v>168</v>
      </c>
      <c r="C29" s="23" t="s">
        <v>172</v>
      </c>
      <c r="D29" s="41" t="s">
        <v>170</v>
      </c>
      <c r="E29" s="205" t="s">
        <v>44</v>
      </c>
      <c r="F29" s="24" t="s">
        <v>171</v>
      </c>
    </row>
  </sheetData>
  <mergeCells count="3">
    <mergeCell ref="A2:P2"/>
    <mergeCell ref="B3:L3"/>
    <mergeCell ref="M3:P3"/>
  </mergeCells>
  <pageMargins left="0.7" right="0.7" top="0.75" bottom="0.75" header="0.3" footer="0.3"/>
  <pageSetup orientation="portrait" horizontalDpi="200" verticalDpi="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B0FD-80EA-43F2-8DE0-68FAB97364D7}">
  <dimension ref="A2:T13"/>
  <sheetViews>
    <sheetView zoomScaleNormal="100" workbookViewId="0">
      <selection activeCell="A2" sqref="A2:M11"/>
    </sheetView>
  </sheetViews>
  <sheetFormatPr defaultRowHeight="14.25" x14ac:dyDescent="0.2"/>
  <cols>
    <col min="1" max="1" width="12.125" customWidth="1"/>
    <col min="2" max="2" width="0.375" customWidth="1"/>
    <col min="3" max="6" width="8.625" hidden="1" customWidth="1"/>
  </cols>
  <sheetData>
    <row r="2" spans="1:20" x14ac:dyDescent="0.2">
      <c r="A2" s="662" t="s">
        <v>20</v>
      </c>
      <c r="B2" s="662"/>
      <c r="C2" s="662"/>
      <c r="D2" s="662"/>
      <c r="E2" s="662"/>
      <c r="F2" s="662"/>
      <c r="G2" s="662"/>
      <c r="H2" s="662"/>
      <c r="I2" s="662"/>
      <c r="J2" s="662"/>
      <c r="K2" s="662"/>
      <c r="L2" s="662"/>
      <c r="M2" s="662"/>
    </row>
    <row r="3" spans="1:20" x14ac:dyDescent="0.2">
      <c r="A3" s="21"/>
      <c r="B3" s="662" t="s">
        <v>21</v>
      </c>
      <c r="C3" s="662"/>
      <c r="D3" s="662"/>
      <c r="E3" s="662"/>
      <c r="F3" s="662"/>
      <c r="G3" s="662"/>
      <c r="H3" s="662"/>
      <c r="I3" s="662"/>
      <c r="J3" s="662"/>
      <c r="K3" s="662" t="s">
        <v>22</v>
      </c>
      <c r="L3" s="662"/>
      <c r="M3" s="662"/>
      <c r="O3" t="s">
        <v>202</v>
      </c>
    </row>
    <row r="4" spans="1:20" ht="178.5" x14ac:dyDescent="0.2">
      <c r="A4" s="22" t="s">
        <v>23</v>
      </c>
      <c r="B4" s="23" t="s">
        <v>169</v>
      </c>
      <c r="C4" s="23" t="s">
        <v>168</v>
      </c>
      <c r="D4" s="23" t="s">
        <v>172</v>
      </c>
      <c r="E4" s="24" t="s">
        <v>171</v>
      </c>
      <c r="F4" s="41" t="s">
        <v>170</v>
      </c>
      <c r="G4" s="25" t="s">
        <v>24</v>
      </c>
      <c r="H4" s="25" t="s">
        <v>25</v>
      </c>
      <c r="I4" s="25" t="s">
        <v>26</v>
      </c>
      <c r="J4" s="25" t="s">
        <v>27</v>
      </c>
      <c r="K4" s="25" t="s">
        <v>28</v>
      </c>
      <c r="L4" s="25" t="s">
        <v>29</v>
      </c>
      <c r="M4" s="25" t="s">
        <v>30</v>
      </c>
      <c r="O4" s="23" t="s">
        <v>169</v>
      </c>
      <c r="P4" s="23" t="s">
        <v>168</v>
      </c>
      <c r="Q4" s="23" t="s">
        <v>172</v>
      </c>
      <c r="R4" s="41" t="s">
        <v>170</v>
      </c>
      <c r="S4" s="205" t="s">
        <v>44</v>
      </c>
      <c r="T4" s="24" t="s">
        <v>171</v>
      </c>
    </row>
    <row r="5" spans="1:20" ht="51" x14ac:dyDescent="0.2">
      <c r="A5" s="26" t="s">
        <v>31</v>
      </c>
      <c r="B5" s="27">
        <v>8</v>
      </c>
      <c r="C5" s="27">
        <v>2</v>
      </c>
      <c r="D5" s="27">
        <v>1</v>
      </c>
      <c r="E5" s="27">
        <v>2</v>
      </c>
      <c r="F5" s="27"/>
      <c r="G5" s="27">
        <v>64</v>
      </c>
      <c r="H5" s="28">
        <f t="shared" ref="H5:H10" si="0">(B5+97.82)+(C5*143.81)+(D5*197.72)+(E5*40.72)</f>
        <v>672.59999999999991</v>
      </c>
      <c r="I5" s="29">
        <v>0</v>
      </c>
      <c r="J5" s="29">
        <v>25</v>
      </c>
      <c r="K5" s="27">
        <v>23</v>
      </c>
      <c r="L5" s="30">
        <f>G5*K5</f>
        <v>1472</v>
      </c>
      <c r="M5" s="28">
        <f>(H5+I5+J5)*K5</f>
        <v>16044.799999999997</v>
      </c>
    </row>
    <row r="6" spans="1:20" ht="63.75" x14ac:dyDescent="0.2">
      <c r="A6" s="26" t="s">
        <v>32</v>
      </c>
      <c r="B6" s="27">
        <v>8</v>
      </c>
      <c r="C6" s="27">
        <v>2</v>
      </c>
      <c r="D6" s="27">
        <v>1</v>
      </c>
      <c r="E6" s="27">
        <v>2</v>
      </c>
      <c r="F6" s="27"/>
      <c r="G6" s="27">
        <v>188</v>
      </c>
      <c r="H6" s="28">
        <f t="shared" si="0"/>
        <v>672.59999999999991</v>
      </c>
      <c r="I6" s="29">
        <v>0</v>
      </c>
      <c r="J6" s="29">
        <v>100</v>
      </c>
      <c r="K6" s="27">
        <v>23</v>
      </c>
      <c r="L6" s="30">
        <f>G6*K6</f>
        <v>4324</v>
      </c>
      <c r="M6" s="28">
        <f>(H6+I6+J6)*K6</f>
        <v>17769.8</v>
      </c>
    </row>
    <row r="7" spans="1:20" ht="38.25" x14ac:dyDescent="0.2">
      <c r="A7" s="26" t="s">
        <v>33</v>
      </c>
      <c r="B7" s="27">
        <v>8</v>
      </c>
      <c r="C7" s="27">
        <v>2</v>
      </c>
      <c r="D7" s="27">
        <v>1</v>
      </c>
      <c r="E7" s="27">
        <v>2</v>
      </c>
      <c r="F7" s="27"/>
      <c r="G7" s="27">
        <v>43</v>
      </c>
      <c r="H7" s="28">
        <f t="shared" si="0"/>
        <v>672.59999999999991</v>
      </c>
      <c r="I7" s="29">
        <v>0</v>
      </c>
      <c r="J7" s="29">
        <v>25</v>
      </c>
      <c r="K7" s="27">
        <v>23</v>
      </c>
      <c r="L7" s="30">
        <f>G7*K7</f>
        <v>989</v>
      </c>
      <c r="M7" s="28">
        <f>(H7+I7+J7)*K7</f>
        <v>16044.799999999997</v>
      </c>
    </row>
    <row r="8" spans="1:20" ht="38.25" x14ac:dyDescent="0.2">
      <c r="A8" s="26" t="s">
        <v>34</v>
      </c>
      <c r="B8" s="27">
        <v>8</v>
      </c>
      <c r="C8" s="27">
        <v>2</v>
      </c>
      <c r="D8" s="27">
        <v>1</v>
      </c>
      <c r="E8" s="27">
        <v>2</v>
      </c>
      <c r="F8" s="27"/>
      <c r="G8" s="27">
        <v>26</v>
      </c>
      <c r="H8" s="28">
        <f t="shared" si="0"/>
        <v>672.59999999999991</v>
      </c>
      <c r="I8" s="29">
        <v>0</v>
      </c>
      <c r="J8" s="29">
        <v>14</v>
      </c>
      <c r="K8" s="27">
        <v>23</v>
      </c>
      <c r="L8" s="30">
        <f>G8*K8</f>
        <v>598</v>
      </c>
      <c r="M8" s="28">
        <f>(H8+I8+J8)*K8</f>
        <v>15791.799999999997</v>
      </c>
    </row>
    <row r="9" spans="1:20" ht="25.5" x14ac:dyDescent="0.2">
      <c r="A9" s="26" t="s">
        <v>35</v>
      </c>
      <c r="B9" s="27">
        <v>8</v>
      </c>
      <c r="C9" s="27">
        <v>2</v>
      </c>
      <c r="D9" s="27">
        <v>1</v>
      </c>
      <c r="E9" s="27">
        <v>2</v>
      </c>
      <c r="F9" s="27"/>
      <c r="G9" s="27">
        <v>28</v>
      </c>
      <c r="H9" s="28">
        <f t="shared" si="0"/>
        <v>672.59999999999991</v>
      </c>
      <c r="I9" s="29">
        <v>0</v>
      </c>
      <c r="J9" s="29">
        <v>14</v>
      </c>
      <c r="K9" s="27">
        <v>23</v>
      </c>
      <c r="L9" s="30">
        <f>G9*K9</f>
        <v>644</v>
      </c>
      <c r="M9" s="28">
        <f>(H9+I9+J9)*K9</f>
        <v>15791.799999999997</v>
      </c>
    </row>
    <row r="10" spans="1:20" x14ac:dyDescent="0.2">
      <c r="A10" s="31" t="s">
        <v>36</v>
      </c>
      <c r="B10" s="32">
        <f>SUM(B5:B9)</f>
        <v>40</v>
      </c>
      <c r="C10" s="32">
        <f>SUM(C5:C9)</f>
        <v>10</v>
      </c>
      <c r="D10" s="32">
        <f>SUM(D5:D9)</f>
        <v>5</v>
      </c>
      <c r="E10" s="32">
        <f>SUM(E5:E9)</f>
        <v>10</v>
      </c>
      <c r="F10" s="32"/>
      <c r="G10" s="32">
        <f>SUM(G5:G9)</f>
        <v>349</v>
      </c>
      <c r="H10" s="33">
        <f t="shared" si="0"/>
        <v>2971.72</v>
      </c>
      <c r="I10" s="33">
        <v>0</v>
      </c>
      <c r="J10" s="33">
        <f>SUM(J5:J9)</f>
        <v>178</v>
      </c>
      <c r="K10" s="32" t="s">
        <v>37</v>
      </c>
      <c r="L10" s="32" t="s">
        <v>37</v>
      </c>
      <c r="M10" s="33" t="s">
        <v>37</v>
      </c>
    </row>
    <row r="11" spans="1:20" ht="25.5" x14ac:dyDescent="0.2">
      <c r="A11" s="31" t="s">
        <v>38</v>
      </c>
      <c r="B11" s="32" t="s">
        <v>37</v>
      </c>
      <c r="C11" s="32" t="s">
        <v>37</v>
      </c>
      <c r="D11" s="32" t="s">
        <v>37</v>
      </c>
      <c r="E11" s="32" t="s">
        <v>37</v>
      </c>
      <c r="F11" s="32"/>
      <c r="G11" s="32" t="s">
        <v>37</v>
      </c>
      <c r="H11" s="33">
        <f>SUMPRODUCT(H5:H9, K5:K9)</f>
        <v>77348.999999999985</v>
      </c>
      <c r="I11" s="33">
        <v>0</v>
      </c>
      <c r="J11" s="33">
        <f>J10*K11</f>
        <v>8900</v>
      </c>
      <c r="K11" s="34">
        <v>50</v>
      </c>
      <c r="L11" s="35">
        <f>SUM(L5:L9)</f>
        <v>8027</v>
      </c>
      <c r="M11" s="33">
        <f>SUM(M5:M9)</f>
        <v>81443</v>
      </c>
    </row>
    <row r="12" spans="1:20" x14ac:dyDescent="0.2">
      <c r="A12" s="36" t="s">
        <v>39</v>
      </c>
      <c r="B12" s="37"/>
      <c r="C12" s="37"/>
      <c r="D12" s="37"/>
      <c r="E12" s="37"/>
      <c r="F12" s="37"/>
      <c r="G12" s="37"/>
      <c r="H12" s="38">
        <f>SUM(H5:H9)</f>
        <v>3362.9999999999995</v>
      </c>
      <c r="I12" s="37"/>
      <c r="J12" s="37"/>
      <c r="K12" s="37"/>
      <c r="L12" s="37"/>
      <c r="M12" s="39"/>
    </row>
    <row r="13" spans="1:20" x14ac:dyDescent="0.2">
      <c r="A13" s="36" t="s">
        <v>40</v>
      </c>
      <c r="B13" s="37"/>
      <c r="C13" s="37"/>
      <c r="D13" s="37"/>
      <c r="E13" s="37"/>
      <c r="F13" s="37"/>
      <c r="G13" s="37"/>
      <c r="H13" s="37"/>
      <c r="I13" s="37"/>
      <c r="J13" s="37"/>
      <c r="K13" s="37"/>
      <c r="L13" s="37"/>
      <c r="M13" s="37"/>
    </row>
  </sheetData>
  <mergeCells count="3">
    <mergeCell ref="A2:M2"/>
    <mergeCell ref="B3:J3"/>
    <mergeCell ref="K3:M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s_x0020_Date xmlns="ca243fbf-11ff-4731-ae3b-9fc118f3bbf4" xsi:nil="true"/>
    <Record xmlns="4ffa91fb-a0ff-4ac5-b2db-65c790d184a4">Shared</Record>
    <Rights xmlns="4ffa91fb-a0ff-4ac5-b2db-65c790d184a4" xsi:nil="true"/>
    <Records_x0020_Status xmlns="ca243fbf-11ff-4731-ae3b-9fc118f3bbf4">Pending</Records_x0020_Status>
    <Document_x0020_Creation_x0020_Date xmlns="4ffa91fb-a0ff-4ac5-b2db-65c790d184a4">2021-05-03T16:27:14+00:00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3E377063FFE5489A04E78E6AF321F7" ma:contentTypeVersion="23" ma:contentTypeDescription="Create a new document." ma:contentTypeScope="" ma:versionID="95457356f0839956f36132e605c699af">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a243fbf-11ff-4731-ae3b-9fc118f3bbf4" xmlns:ns7="d75150bc-12f9-4c92-a7eb-e71bcd8ee9be" targetNamespace="http://schemas.microsoft.com/office/2006/metadata/properties" ma:root="true" ma:fieldsID="123cce14c18657cd7bc3c00f6f2a1702" ns1:_="" ns3:_="" ns4:_="" ns5:_="" ns6:_="" ns7:_="">
    <xsd:import namespace="http://schemas.microsoft.com/sharepoint/v3"/>
    <xsd:import namespace="4ffa91fb-a0ff-4ac5-b2db-65c790d184a4"/>
    <xsd:import namespace="http://schemas.microsoft.com/sharepoint.v3"/>
    <xsd:import namespace="http://schemas.microsoft.com/sharepoint/v3/fields"/>
    <xsd:import namespace="ca243fbf-11ff-4731-ae3b-9fc118f3bbf4"/>
    <xsd:import namespace="d75150bc-12f9-4c92-a7eb-e71bcd8ee9be"/>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DateTaken" minOccurs="0"/>
                <xsd:element ref="ns7:MediaServiceAutoTags" minOccurs="0"/>
                <xsd:element ref="ns7:MediaServiceOCR" minOccurs="0"/>
                <xsd:element ref="ns7:MediaServiceGenerationTime" minOccurs="0"/>
                <xsd:element ref="ns7:MediaServiceEventHashCode"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0f3e050-a167-4ccb-81b0-6594d9f55f70}" ma:internalName="TaxCatchAllLabel" ma:readOnly="true" ma:showField="CatchAllDataLabel" ma:web="ca243fbf-11ff-4731-ae3b-9fc118f3bbf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0f3e050-a167-4ccb-81b0-6594d9f55f70}" ma:internalName="TaxCatchAll" ma:showField="CatchAllData" ma:web="ca243fbf-11ff-4731-ae3b-9fc118f3bb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243fbf-11ff-4731-ae3b-9fc118f3bbf4"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75150bc-12f9-4c92-a7eb-e71bcd8ee9be"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F8E6B0-F97B-45D7-9AB1-0E9BC0786497}">
  <ds:schemaRefs>
    <ds:schemaRef ds:uri="http://purl.org/dc/elements/1.1/"/>
    <ds:schemaRef ds:uri="ca243fbf-11ff-4731-ae3b-9fc118f3bbf4"/>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d75150bc-12f9-4c92-a7eb-e71bcd8ee9be"/>
    <ds:schemaRef ds:uri="http://purl.org/dc/terms/"/>
    <ds:schemaRef ds:uri="http://schemas.microsoft.com/sharepoint/v3/fields"/>
    <ds:schemaRef ds:uri="http://schemas.microsoft.com/sharepoint.v3"/>
    <ds:schemaRef ds:uri="4ffa91fb-a0ff-4ac5-b2db-65c790d184a4"/>
    <ds:schemaRef ds:uri="http://schemas.microsoft.com/sharepoint/v3"/>
    <ds:schemaRef ds:uri="http://www.w3.org/XML/1998/namespace"/>
  </ds:schemaRefs>
</ds:datastoreItem>
</file>

<file path=customXml/itemProps2.xml><?xml version="1.0" encoding="utf-8"?>
<ds:datastoreItem xmlns:ds="http://schemas.openxmlformats.org/officeDocument/2006/customXml" ds:itemID="{3F954737-759D-49FF-8DEF-B79594C3D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a243fbf-11ff-4731-ae3b-9fc118f3bbf4"/>
    <ds:schemaRef ds:uri="d75150bc-12f9-4c92-a7eb-e71bcd8ee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F963E-0715-4CDD-AFD6-1250DBA0A342}">
  <ds:schemaRefs>
    <ds:schemaRef ds:uri="Microsoft.SharePoint.Taxonomy.ContentTypeSync"/>
  </ds:schemaRefs>
</ds:datastoreItem>
</file>

<file path=customXml/itemProps4.xml><?xml version="1.0" encoding="utf-8"?>
<ds:datastoreItem xmlns:ds="http://schemas.openxmlformats.org/officeDocument/2006/customXml" ds:itemID="{DA353517-DA04-4F3D-85DE-C0D78ECB78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Requirements for Cert and Comp</vt:lpstr>
      <vt:lpstr>Sector Production</vt:lpstr>
      <vt:lpstr>Total Respondent Burden Tally</vt:lpstr>
      <vt:lpstr>All Certification and Reporting</vt:lpstr>
      <vt:lpstr>Respondent Labor rates</vt:lpstr>
      <vt:lpstr>Truncated Charts</vt:lpstr>
      <vt:lpstr>IC Respondent Burden Tally</vt:lpstr>
      <vt:lpstr>PLT</vt:lpstr>
      <vt:lpstr>ABT</vt:lpstr>
      <vt:lpstr>In-Use Test </vt:lpstr>
      <vt:lpstr>SEA</vt:lpstr>
      <vt:lpstr>EPA Burden </vt:lpstr>
      <vt:lpstr>Regulatory 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Julian</dc:creator>
  <cp:lastModifiedBy>Purdy, Mark</cp:lastModifiedBy>
  <dcterms:created xsi:type="dcterms:W3CDTF">2021-04-23T12:56:37Z</dcterms:created>
  <dcterms:modified xsi:type="dcterms:W3CDTF">2021-11-16T18:30:10Z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0x010100AA3E377063FFE5489A04E78E6AF321F7</vt:lpwstr>
  </property>
</Properties>
</file>