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8B76C21-F35C-4EB7-A3A0-5BBF73A1951C}"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CapitalStartup Costs" sheetId="3" r:id="rId3"/>
    <sheet name="# Responses" sheetId="4" r:id="rId4"/>
    <sheet name="Count of Respondents" sheetId="5" r:id="rId5"/>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3" l="1"/>
  <c r="C7" i="3"/>
  <c r="C6" i="3"/>
  <c r="F6" i="5"/>
  <c r="F5" i="5"/>
  <c r="F4" i="5"/>
  <c r="F7" i="5" l="1"/>
  <c r="E14" i="2" l="1"/>
  <c r="E13" i="2"/>
  <c r="E10" i="2"/>
  <c r="E9" i="2"/>
  <c r="E47" i="1"/>
  <c r="E7" i="5"/>
  <c r="D7" i="5"/>
  <c r="B7" i="5"/>
  <c r="B24" i="5"/>
  <c r="C4" i="5" s="1"/>
  <c r="C7" i="5" s="1"/>
  <c r="C23" i="5"/>
  <c r="C21" i="5"/>
  <c r="C19" i="5"/>
  <c r="E18" i="1" l="1"/>
  <c r="E8" i="2" s="1"/>
  <c r="E16" i="1"/>
  <c r="E6" i="2" s="1"/>
  <c r="E17" i="1"/>
  <c r="E7" i="2" s="1"/>
  <c r="E19" i="1"/>
  <c r="E11" i="2" s="1"/>
  <c r="E31" i="1"/>
  <c r="E40" i="1"/>
  <c r="E42" i="1"/>
  <c r="E6" i="1"/>
  <c r="E43" i="1"/>
  <c r="E46" i="1"/>
  <c r="C24" i="5"/>
  <c r="G3" i="3" l="1"/>
  <c r="B7" i="3" l="1"/>
  <c r="D7" i="3" s="1"/>
  <c r="B6" i="3"/>
  <c r="D6" i="3" s="1"/>
  <c r="D9" i="3" s="1"/>
  <c r="D10" i="3" s="1"/>
  <c r="I51" i="1" s="1"/>
  <c r="B8" i="3"/>
  <c r="D8" i="3" s="1"/>
  <c r="C9" i="4"/>
  <c r="C13" i="4"/>
  <c r="C12" i="4"/>
  <c r="C11" i="4"/>
  <c r="C10" i="4"/>
  <c r="C8" i="4"/>
  <c r="C7" i="4"/>
  <c r="C6" i="4"/>
  <c r="C5" i="4"/>
  <c r="B13" i="4"/>
  <c r="B12" i="4"/>
  <c r="B11" i="4"/>
  <c r="B10" i="4"/>
  <c r="E10" i="4" s="1"/>
  <c r="B9" i="4"/>
  <c r="B8" i="4"/>
  <c r="B7" i="4"/>
  <c r="B6" i="4"/>
  <c r="B5" i="4"/>
  <c r="E5" i="4" s="1"/>
  <c r="E9" i="4" l="1"/>
  <c r="E8" i="4"/>
  <c r="E7" i="4"/>
  <c r="E12" i="4"/>
  <c r="E6" i="4"/>
  <c r="E11" i="4"/>
  <c r="E13" i="4"/>
  <c r="E14" i="4" l="1"/>
  <c r="K16" i="1" s="1"/>
  <c r="D14" i="2"/>
  <c r="F14" i="2" s="1"/>
  <c r="H14" i="2" s="1"/>
  <c r="D13" i="2"/>
  <c r="F13" i="2" s="1"/>
  <c r="D11" i="2"/>
  <c r="F11" i="2" s="1"/>
  <c r="D10" i="2"/>
  <c r="F10" i="2" s="1"/>
  <c r="G10" i="2" s="1"/>
  <c r="D9" i="2"/>
  <c r="F9" i="2" s="1"/>
  <c r="D8" i="2"/>
  <c r="F8" i="2" s="1"/>
  <c r="D7" i="2"/>
  <c r="F7" i="2" s="1"/>
  <c r="D6" i="2"/>
  <c r="F6" i="2" s="1"/>
  <c r="D4" i="2"/>
  <c r="F4" i="2" s="1"/>
  <c r="H4" i="2" s="1"/>
  <c r="D3" i="2"/>
  <c r="F3" i="2" s="1"/>
  <c r="D47" i="1"/>
  <c r="F47" i="1" s="1"/>
  <c r="D46" i="1"/>
  <c r="F46" i="1" s="1"/>
  <c r="D44" i="1"/>
  <c r="F44" i="1" s="1"/>
  <c r="H44" i="1" s="1"/>
  <c r="D43" i="1"/>
  <c r="F43" i="1" s="1"/>
  <c r="H43" i="1" s="1"/>
  <c r="D42" i="1"/>
  <c r="F42" i="1" s="1"/>
  <c r="D40" i="1"/>
  <c r="F40" i="1" s="1"/>
  <c r="H40" i="1" s="1"/>
  <c r="D39" i="1"/>
  <c r="F39" i="1" s="1"/>
  <c r="H39" i="1" s="1"/>
  <c r="D38" i="1"/>
  <c r="F38" i="1" s="1"/>
  <c r="H38" i="1" s="1"/>
  <c r="D37" i="1"/>
  <c r="F37" i="1" s="1"/>
  <c r="D36" i="1"/>
  <c r="F36" i="1" s="1"/>
  <c r="D35" i="1"/>
  <c r="F35" i="1" s="1"/>
  <c r="H35" i="1" s="1"/>
  <c r="D34" i="1"/>
  <c r="F34" i="1" s="1"/>
  <c r="H34" i="1" s="1"/>
  <c r="D33" i="1"/>
  <c r="F33" i="1" s="1"/>
  <c r="H33" i="1" s="1"/>
  <c r="D31" i="1"/>
  <c r="F31" i="1" s="1"/>
  <c r="H31" i="1" s="1"/>
  <c r="D25" i="1"/>
  <c r="F25" i="1" s="1"/>
  <c r="D24" i="1"/>
  <c r="F24" i="1" s="1"/>
  <c r="D22" i="1"/>
  <c r="F22" i="1" s="1"/>
  <c r="D21" i="1"/>
  <c r="F21" i="1" s="1"/>
  <c r="D20" i="1"/>
  <c r="F20" i="1" s="1"/>
  <c r="D19" i="1"/>
  <c r="F19" i="1" s="1"/>
  <c r="G19" i="1" s="1"/>
  <c r="D18" i="1"/>
  <c r="F18" i="1" s="1"/>
  <c r="D17" i="1"/>
  <c r="F17" i="1" s="1"/>
  <c r="G17" i="1" s="1"/>
  <c r="D16" i="1"/>
  <c r="F16" i="1" s="1"/>
  <c r="D11" i="1"/>
  <c r="F11" i="1" s="1"/>
  <c r="D10" i="1"/>
  <c r="F10" i="1" s="1"/>
  <c r="D9" i="1"/>
  <c r="F9" i="1" s="1"/>
  <c r="D8" i="1"/>
  <c r="F8" i="1" s="1"/>
  <c r="D6" i="1"/>
  <c r="F6" i="1" s="1"/>
  <c r="G6" i="1" s="1"/>
  <c r="H11" i="2" l="1"/>
  <c r="G11" i="2"/>
  <c r="H3" i="2"/>
  <c r="G3" i="2"/>
  <c r="H13" i="2"/>
  <c r="G13" i="2"/>
  <c r="I13" i="2" s="1"/>
  <c r="G6" i="2"/>
  <c r="H6" i="2"/>
  <c r="G7" i="2"/>
  <c r="H7" i="2"/>
  <c r="H8" i="2"/>
  <c r="G8" i="2"/>
  <c r="H9" i="2"/>
  <c r="G9" i="2"/>
  <c r="I9" i="2" s="1"/>
  <c r="H10" i="2"/>
  <c r="I10" i="2" s="1"/>
  <c r="G4" i="2"/>
  <c r="G14" i="2"/>
  <c r="I14" i="2" s="1"/>
  <c r="H42" i="1"/>
  <c r="I42" i="1" s="1"/>
  <c r="G8" i="1"/>
  <c r="H8" i="1"/>
  <c r="H21" i="1"/>
  <c r="G21" i="1"/>
  <c r="H46" i="1"/>
  <c r="I46" i="1" s="1"/>
  <c r="H22" i="1"/>
  <c r="G22" i="1"/>
  <c r="G18" i="1"/>
  <c r="H18" i="1"/>
  <c r="H20" i="1"/>
  <c r="G20" i="1"/>
  <c r="H9" i="1"/>
  <c r="G9" i="1"/>
  <c r="H36" i="1"/>
  <c r="G10" i="1"/>
  <c r="H10" i="1"/>
  <c r="H37" i="1"/>
  <c r="I37" i="1" s="1"/>
  <c r="H47" i="1"/>
  <c r="I47" i="1" s="1"/>
  <c r="G11" i="1"/>
  <c r="H11" i="1"/>
  <c r="G24" i="1"/>
  <c r="H24" i="1"/>
  <c r="H16" i="1"/>
  <c r="H25" i="1"/>
  <c r="H17" i="1"/>
  <c r="I17" i="1" s="1"/>
  <c r="G16" i="1"/>
  <c r="G25" i="1"/>
  <c r="H6" i="1"/>
  <c r="I6" i="1" s="1"/>
  <c r="H19" i="1"/>
  <c r="I19" i="1" s="1"/>
  <c r="I43" i="1"/>
  <c r="I40" i="1"/>
  <c r="I34" i="1"/>
  <c r="I33" i="1"/>
  <c r="I35" i="1"/>
  <c r="I44" i="1"/>
  <c r="I39" i="1"/>
  <c r="I38" i="1"/>
  <c r="I31" i="1"/>
  <c r="I3" i="2" l="1"/>
  <c r="I18" i="1"/>
  <c r="I22" i="1"/>
  <c r="I11" i="1"/>
  <c r="F15" i="2"/>
  <c r="I25" i="1"/>
  <c r="I20" i="1"/>
  <c r="I21" i="1"/>
  <c r="I10" i="1"/>
  <c r="I24" i="1"/>
  <c r="F49" i="1"/>
  <c r="F26" i="1"/>
  <c r="I11" i="2"/>
  <c r="I8" i="2"/>
  <c r="I16" i="1"/>
  <c r="I9" i="1"/>
  <c r="I6" i="2"/>
  <c r="I7" i="2"/>
  <c r="I4" i="2"/>
  <c r="I36" i="1"/>
  <c r="I49" i="1" s="1"/>
  <c r="F50" i="1" l="1"/>
  <c r="K15" i="1" s="1"/>
  <c r="K17" i="1" s="1"/>
  <c r="I15" i="2"/>
  <c r="I17" i="2" s="1"/>
  <c r="I26" i="1"/>
  <c r="I50" i="1" l="1"/>
  <c r="I52" i="1" s="1"/>
</calcChain>
</file>

<file path=xl/sharedStrings.xml><?xml version="1.0" encoding="utf-8"?>
<sst xmlns="http://schemas.openxmlformats.org/spreadsheetml/2006/main" count="229" uniqueCount="201">
  <si>
    <t>Burden item</t>
  </si>
  <si>
    <t>(A)</t>
  </si>
  <si>
    <t>(B)</t>
  </si>
  <si>
    <t>(C)</t>
  </si>
  <si>
    <t>(D)</t>
  </si>
  <si>
    <t>(E)</t>
  </si>
  <si>
    <t>1.  Applications</t>
  </si>
  <si>
    <t>N/A</t>
  </si>
  <si>
    <t>2.  Surveys and studies</t>
  </si>
  <si>
    <t>3.  Reporting requirements</t>
  </si>
  <si>
    <t>Prepare for initial/periodic performance test</t>
  </si>
  <si>
    <t>Attend initial/periodic performance test</t>
  </si>
  <si>
    <t>Prepare for retest</t>
  </si>
  <si>
    <t>Attend retest</t>
  </si>
  <si>
    <t>C. Create information</t>
  </si>
  <si>
    <t>See 3B</t>
  </si>
  <si>
    <t>D. Gather existing information</t>
  </si>
  <si>
    <t>Notification of construction/reconstruction</t>
  </si>
  <si>
    <t>Notification of actual startup</t>
  </si>
  <si>
    <t>Notification of applicability of standard</t>
  </si>
  <si>
    <t>Notification of compliance status</t>
  </si>
  <si>
    <t>Notification of performance test/retest</t>
  </si>
  <si>
    <t>Notification of performance evaluation</t>
  </si>
  <si>
    <t>Subtotal for Reporting Requirements</t>
  </si>
  <si>
    <t>4.  Recordkeeping requirements</t>
  </si>
  <si>
    <t xml:space="preserve">A. Read instructions </t>
  </si>
  <si>
    <t>See 3A</t>
  </si>
  <si>
    <t>B. Plan activities</t>
  </si>
  <si>
    <t>C. Implement activities</t>
  </si>
  <si>
    <t>E. Time to enter information</t>
  </si>
  <si>
    <t>Record of compliant monitoring parameter ranges</t>
  </si>
  <si>
    <t>F. Time to train personnel</t>
  </si>
  <si>
    <t>H. Time to transmit or disclose information</t>
  </si>
  <si>
    <t>I. Time for audits</t>
  </si>
  <si>
    <t>Subtotal for Recordkeeping Requirements</t>
  </si>
  <si>
    <t>Activity</t>
  </si>
  <si>
    <t>3. Report review</t>
  </si>
  <si>
    <t xml:space="preserve">Review of excess emissions report </t>
  </si>
  <si>
    <t>Capital/Startup Costs</t>
  </si>
  <si>
    <t>Cost Item</t>
  </si>
  <si>
    <t>Capital/Startup Cost for One Respondent</t>
  </si>
  <si>
    <t>Number of Respondents</t>
  </si>
  <si>
    <t>(B x C)</t>
  </si>
  <si>
    <t>Performance tests:</t>
  </si>
  <si>
    <t>Method 5 for PM</t>
  </si>
  <si>
    <t>Method 25A for THC</t>
  </si>
  <si>
    <t>Method 308 for methanol</t>
  </si>
  <si>
    <r>
      <t xml:space="preserve">Retests </t>
    </r>
    <r>
      <rPr>
        <vertAlign val="superscript"/>
        <sz val="11"/>
        <color theme="1"/>
        <rFont val="Times New Roman"/>
        <family val="1"/>
      </rPr>
      <t>a</t>
    </r>
  </si>
  <si>
    <t>(A) 
Person hours per occurrence</t>
  </si>
  <si>
    <t>(B) 
No. of occurrences per respondent per year</t>
  </si>
  <si>
    <t>(C) 
Person hours per respondent per year (C=AxB)</t>
  </si>
  <si>
    <t>(E) 
Technical person hr/yr (E=CxD)</t>
  </si>
  <si>
    <t>(F)
Management person hr/yr (Ex0.05)</t>
  </si>
  <si>
    <t>(G) 
Clerical person hr/yr 
(Ex0.1)</t>
  </si>
  <si>
    <t>Tech</t>
  </si>
  <si>
    <t>Mgmt</t>
  </si>
  <si>
    <t>Cler</t>
  </si>
  <si>
    <t>Hours per Response</t>
  </si>
  <si>
    <t># hours</t>
  </si>
  <si>
    <t># responses</t>
  </si>
  <si>
    <t>hr/resp</t>
  </si>
  <si>
    <t>Total Annual Responses</t>
  </si>
  <si>
    <r>
      <t xml:space="preserve">Information Collection Activity </t>
    </r>
    <r>
      <rPr>
        <b/>
        <vertAlign val="superscript"/>
        <sz val="11"/>
        <color rgb="FF000000"/>
        <rFont val="Times New Roman"/>
        <family val="1"/>
      </rPr>
      <t>a</t>
    </r>
  </si>
  <si>
    <t>Number of Responses</t>
  </si>
  <si>
    <t>Number of Existing Respondents That Keep Records But Do Not Submit Reports</t>
  </si>
  <si>
    <t>E=(BxC)+D</t>
  </si>
  <si>
    <t>Notification of construction/ reconstruction</t>
  </si>
  <si>
    <t>Notification of performance test/ retest</t>
  </si>
  <si>
    <t>Report of performance test/retest</t>
  </si>
  <si>
    <t>Semiannual report of monitoring exceedances and periods of noncompliance</t>
  </si>
  <si>
    <t>Semiannual report of no exceedances</t>
  </si>
  <si>
    <t>Total</t>
  </si>
  <si>
    <t>Table 1: Annual Respondent Burden and Cost – NESHAP for Chemical Recovery Combustion Sources at Kraft, Soda, Sulfite, and Stand-Alone Semichemical Pulp Mills (40 CFR Part 63, Subpart MM) (Renewal)</t>
  </si>
  <si>
    <t>(A) 
EPA person- hours per occurrence</t>
  </si>
  <si>
    <t>(B) 
No. of occurrences per plant per year</t>
  </si>
  <si>
    <t>(C) 
EPA person- hours per plant per year (C=AxB)</t>
  </si>
  <si>
    <t>(F) 
Management person hr/yr (Ex0.05)</t>
  </si>
  <si>
    <t>(G) 
Clerical person hr/yr (Ex0.1)</t>
  </si>
  <si>
    <t>Table 2: Average Annual EPA Burden and Cost – NESHAP for Chemical Recovery Combustion Sources at Kraft, Soda, Sulfite, and Stand-Alone Semichemical Pulp Mills (40 CFR Part 63, Subpart MM) (Renewal)</t>
  </si>
  <si>
    <t>ERG Notes</t>
  </si>
  <si>
    <r>
      <t xml:space="preserve">(D) 
Respondents per year </t>
    </r>
    <r>
      <rPr>
        <b/>
        <vertAlign val="superscript"/>
        <sz val="10"/>
        <rFont val="Times New Roman"/>
        <family val="1"/>
      </rPr>
      <t>a</t>
    </r>
  </si>
  <si>
    <r>
      <t>(H) 
Total Cost Per year</t>
    </r>
    <r>
      <rPr>
        <b/>
        <vertAlign val="superscript"/>
        <sz val="10"/>
        <rFont val="Times New Roman"/>
        <family val="1"/>
      </rPr>
      <t xml:space="preserve"> b</t>
    </r>
  </si>
  <si>
    <r>
      <t xml:space="preserve">B. Required activities </t>
    </r>
    <r>
      <rPr>
        <vertAlign val="superscript"/>
        <sz val="10"/>
        <color rgb="FF000000"/>
        <rFont val="Times New Roman"/>
        <family val="1"/>
      </rPr>
      <t>d</t>
    </r>
  </si>
  <si>
    <r>
      <t xml:space="preserve">D. Develop record system </t>
    </r>
    <r>
      <rPr>
        <vertAlign val="superscript"/>
        <sz val="10"/>
        <color rgb="FF000000"/>
        <rFont val="Times New Roman"/>
        <family val="1"/>
      </rPr>
      <t>j</t>
    </r>
  </si>
  <si>
    <r>
      <t xml:space="preserve">Records and documentation of supporting calculations for compliance determinations </t>
    </r>
    <r>
      <rPr>
        <vertAlign val="superscript"/>
        <sz val="10"/>
        <color rgb="FF000000"/>
        <rFont val="Times New Roman"/>
        <family val="1"/>
      </rPr>
      <t>k</t>
    </r>
  </si>
  <si>
    <r>
      <t xml:space="preserve">Records certifying that an NDCE recovery furnace equipped with a dry ESP system is used to comply with the gaseous organic HAP standard for kraft and soda recovery furnaces </t>
    </r>
    <r>
      <rPr>
        <vertAlign val="superscript"/>
        <sz val="10"/>
        <color rgb="FF000000"/>
        <rFont val="Times New Roman"/>
        <family val="1"/>
      </rPr>
      <t>l</t>
    </r>
  </si>
  <si>
    <r>
      <t xml:space="preserve">Records of failures to meet standards </t>
    </r>
    <r>
      <rPr>
        <vertAlign val="superscript"/>
        <sz val="10"/>
        <color rgb="FF000000"/>
        <rFont val="Times New Roman"/>
        <family val="1"/>
      </rPr>
      <t>n</t>
    </r>
  </si>
  <si>
    <r>
      <t xml:space="preserve">Records of black liquor solids firing rates for recovery furnaces and semichemical combustion units </t>
    </r>
    <r>
      <rPr>
        <vertAlign val="superscript"/>
        <sz val="10"/>
        <color rgb="FF000000"/>
        <rFont val="Times New Roman"/>
        <family val="1"/>
      </rPr>
      <t>o</t>
    </r>
  </si>
  <si>
    <r>
      <t xml:space="preserve">Records of lime production for lime kilns </t>
    </r>
    <r>
      <rPr>
        <vertAlign val="superscript"/>
        <sz val="10"/>
        <color rgb="FF000000"/>
        <rFont val="Times New Roman"/>
        <family val="1"/>
      </rPr>
      <t>p</t>
    </r>
  </si>
  <si>
    <r>
      <t xml:space="preserve">Records of CMS data </t>
    </r>
    <r>
      <rPr>
        <vertAlign val="superscript"/>
        <sz val="10"/>
        <color rgb="FF000000"/>
        <rFont val="Times New Roman"/>
        <family val="1"/>
      </rPr>
      <t>q</t>
    </r>
  </si>
  <si>
    <r>
      <t xml:space="preserve">Initial training </t>
    </r>
    <r>
      <rPr>
        <vertAlign val="superscript"/>
        <sz val="10"/>
        <color rgb="FF000000"/>
        <rFont val="Times New Roman"/>
        <family val="1"/>
      </rPr>
      <t>r</t>
    </r>
  </si>
  <si>
    <r>
      <t xml:space="preserve">Refresher training </t>
    </r>
    <r>
      <rPr>
        <vertAlign val="superscript"/>
        <sz val="10"/>
        <color rgb="FF000000"/>
        <rFont val="Times New Roman"/>
        <family val="1"/>
      </rPr>
      <t>s</t>
    </r>
  </si>
  <si>
    <r>
      <t xml:space="preserve">G. Time to adjust existing ways to comply with previously applicable requirements </t>
    </r>
    <r>
      <rPr>
        <vertAlign val="superscript"/>
        <sz val="10"/>
        <color rgb="FF000000"/>
        <rFont val="Times New Roman"/>
        <family val="1"/>
      </rPr>
      <t>t</t>
    </r>
  </si>
  <si>
    <r>
      <t xml:space="preserve">Compile data for semiannual periods </t>
    </r>
    <r>
      <rPr>
        <vertAlign val="superscript"/>
        <sz val="10"/>
        <color rgb="FF000000"/>
        <rFont val="Times New Roman"/>
        <family val="1"/>
      </rPr>
      <t>u</t>
    </r>
  </si>
  <si>
    <r>
      <t xml:space="preserve">Enter/verify information for semiannual reports </t>
    </r>
    <r>
      <rPr>
        <vertAlign val="superscript"/>
        <sz val="10"/>
        <color rgb="FF000000"/>
        <rFont val="Times New Roman"/>
        <family val="1"/>
      </rPr>
      <t>v</t>
    </r>
  </si>
  <si>
    <r>
      <t xml:space="preserve">TOTAL LABOR BURDEN AND COSTS (rounded) </t>
    </r>
    <r>
      <rPr>
        <b/>
        <vertAlign val="superscript"/>
        <sz val="10"/>
        <rFont val="Times New Roman"/>
        <family val="1"/>
      </rPr>
      <t>w</t>
    </r>
  </si>
  <si>
    <r>
      <t xml:space="preserve">TOTAL CAPITAL AND O&amp;M COST (rounded) </t>
    </r>
    <r>
      <rPr>
        <b/>
        <vertAlign val="superscript"/>
        <sz val="10"/>
        <rFont val="Times New Roman"/>
        <family val="1"/>
      </rPr>
      <t>w</t>
    </r>
  </si>
  <si>
    <r>
      <t xml:space="preserve">GRAND TOTAL (rounded) </t>
    </r>
    <r>
      <rPr>
        <b/>
        <vertAlign val="superscript"/>
        <sz val="10"/>
        <rFont val="Times New Roman"/>
        <family val="1"/>
      </rPr>
      <t>w</t>
    </r>
  </si>
  <si>
    <r>
      <t xml:space="preserve">   Report of performance test/retest (through CEDRI using ERT) </t>
    </r>
    <r>
      <rPr>
        <vertAlign val="superscript"/>
        <sz val="10"/>
        <color rgb="FF000000"/>
        <rFont val="Times New Roman"/>
        <family val="1"/>
      </rPr>
      <t>h</t>
    </r>
  </si>
  <si>
    <r>
      <t xml:space="preserve">   Excess emissions report (through CEDRI) </t>
    </r>
    <r>
      <rPr>
        <vertAlign val="superscript"/>
        <sz val="10"/>
        <color rgb="FF000000"/>
        <rFont val="Times New Roman"/>
        <family val="1"/>
      </rPr>
      <t>i</t>
    </r>
  </si>
  <si>
    <t xml:space="preserve">   Semiannual reports of monitoring exceedances and periods of noncompliance</t>
  </si>
  <si>
    <t xml:space="preserve">   Semiannual reports of no exceedances</t>
  </si>
  <si>
    <r>
      <t xml:space="preserve">Records demonstrating compliance with requirement to maintain proper operation of ESP’s AVC </t>
    </r>
    <r>
      <rPr>
        <vertAlign val="superscript"/>
        <sz val="10"/>
        <color rgb="FF000000"/>
        <rFont val="Times New Roman"/>
        <family val="1"/>
      </rPr>
      <t>m</t>
    </r>
  </si>
  <si>
    <r>
      <t>b</t>
    </r>
    <r>
      <rPr>
        <sz val="11"/>
        <color theme="1"/>
        <rFont val="Times New Roman"/>
        <family val="1"/>
      </rPr>
      <t xml:space="preserve"> Annualized capital costs were estimated assuming a 5-year payment period at 7% interest for initial performance tests (with a capital recovery factor of 0.244).</t>
    </r>
  </si>
  <si>
    <r>
      <t>Capital recovery factor:</t>
    </r>
    <r>
      <rPr>
        <b/>
        <vertAlign val="superscript"/>
        <sz val="11"/>
        <color rgb="FF000000"/>
        <rFont val="Times New Roman"/>
        <family val="1"/>
      </rPr>
      <t>b</t>
    </r>
    <r>
      <rPr>
        <b/>
        <sz val="11"/>
        <color rgb="FF000000"/>
        <rFont val="Times New Roman"/>
        <family val="1"/>
      </rPr>
      <t xml:space="preserve"> </t>
    </r>
  </si>
  <si>
    <r>
      <t xml:space="preserve">A. Familiarization with the regulatory requirements </t>
    </r>
    <r>
      <rPr>
        <vertAlign val="superscript"/>
        <sz val="10"/>
        <color rgb="FF000000"/>
        <rFont val="Times New Roman"/>
        <family val="1"/>
      </rPr>
      <t>c</t>
    </r>
  </si>
  <si>
    <t>Increase in burden - was 24</t>
  </si>
  <si>
    <t>Increase in burden - was 1</t>
  </si>
  <si>
    <t>Increase in burden - was 0.7</t>
  </si>
  <si>
    <t>Increase in burden - was 183</t>
  </si>
  <si>
    <t>Increase in burden - was 107</t>
  </si>
  <si>
    <t>Compared to In RTR ICR, increased - was $14,200,000.</t>
  </si>
  <si>
    <t xml:space="preserve">Compared to RTR ICR, increased (due to 1 new facility) - was $809,000 </t>
  </si>
  <si>
    <t>E. Write reports</t>
  </si>
  <si>
    <t>Subtotal for Burden and Cost - Salary</t>
  </si>
  <si>
    <r>
      <t xml:space="preserve">TOTAL ANNUAL BURDEN AND COST </t>
    </r>
    <r>
      <rPr>
        <b/>
        <vertAlign val="superscript"/>
        <sz val="10"/>
        <rFont val="Times New Roman"/>
        <family val="1"/>
      </rPr>
      <t>j</t>
    </r>
  </si>
  <si>
    <t>Mill Type</t>
  </si>
  <si>
    <t>Kraft</t>
  </si>
  <si>
    <t>Kraft, Mechanical</t>
  </si>
  <si>
    <t>Kraft, Mechanical, Secondary</t>
  </si>
  <si>
    <t>Kraft, Secondary</t>
  </si>
  <si>
    <t>Kraft, Secondary, SemiChem</t>
  </si>
  <si>
    <t>Kraft, SemiChem</t>
  </si>
  <si>
    <t>Kraft, Sulfite-Na</t>
  </si>
  <si>
    <t>Soda</t>
  </si>
  <si>
    <t>kraft/soda</t>
  </si>
  <si>
    <t>Secondary, Semichem</t>
  </si>
  <si>
    <t>SemiChem</t>
  </si>
  <si>
    <t>semichem</t>
  </si>
  <si>
    <t>Sulfite-Mg</t>
  </si>
  <si>
    <t>Sulfite-NH3</t>
  </si>
  <si>
    <t>sulfite</t>
  </si>
  <si>
    <t>Grand Total</t>
  </si>
  <si>
    <t>Count of Existing Pulp Mills</t>
  </si>
  <si>
    <t>Respondents That Submit Reports</t>
  </si>
  <si>
    <t>Respondents That Do Not Submit Any Reports</t>
  </si>
  <si>
    <t>Year</t>
  </si>
  <si>
    <t>Average</t>
  </si>
  <si>
    <t>(B)
Number of Existing Respondents</t>
  </si>
  <si>
    <t>(C)
Number of Existing Respondents that keep records but do not submit reports</t>
  </si>
  <si>
    <t>(D)
Number of Existing Respondents That Are Also New Respondents</t>
  </si>
  <si>
    <t>(E)
Number of Respondents (E=A+B+C-D)</t>
  </si>
  <si>
    <r>
      <t xml:space="preserve">(A)
Number of New Respondents </t>
    </r>
    <r>
      <rPr>
        <b/>
        <vertAlign val="superscript"/>
        <sz val="11"/>
        <color rgb="FF000000"/>
        <rFont val="Calibri"/>
        <family val="2"/>
        <scheme val="minor"/>
      </rPr>
      <t>a</t>
    </r>
  </si>
  <si>
    <t>Compared to RTR ICR, hours decreased (removed first-year burden hours associated with RTR amendments, added burden for 1 new facility - net decrease) and cost slightly increased (due to new labor rates) - was 124,000 hours and $13,400,000 (2016 rates).</t>
  </si>
  <si>
    <r>
      <t>j</t>
    </r>
    <r>
      <rPr>
        <sz val="10"/>
        <rFont val="Times New Roman"/>
        <family val="1"/>
      </rPr>
      <t xml:space="preserve">  Sum of salary and expenses. Total has been rounded to 3 significant figures. Figure may not add exactly due to rounding.</t>
    </r>
  </si>
  <si>
    <t>Reduction in burden - Was $141, 500 (30 hours in initial year - Oct 11, 2017-Oct 11, 2018) due to one-time event in first year after RTR amendments. Changed to be the lower annual on-going burden item.</t>
  </si>
  <si>
    <r>
      <t xml:space="preserve">Notifications </t>
    </r>
    <r>
      <rPr>
        <vertAlign val="superscript"/>
        <sz val="10"/>
        <color rgb="FF000000"/>
        <rFont val="Times New Roman"/>
        <family val="1"/>
      </rPr>
      <t>e, f, g</t>
    </r>
  </si>
  <si>
    <t xml:space="preserve">183 count likely from Cost Memo, unlikely to have changed significantly. </t>
  </si>
  <si>
    <t xml:space="preserve">No newer facilites use BLO, so assuming the 1 new facility has no BLO system; 104 count likely from Cost Memo, unlikely to have changed significantly. </t>
  </si>
  <si>
    <t>98 count likely from Cost Memo, unlikely to have changed significantly</t>
  </si>
  <si>
    <t>Reduction in burden - was $377,000 (80 hours over 3 years). Assume this burden was intended to be distributed over the initial 3 years following publication. For this ICR, revised to account for only Years 2 and 3 of this one-time 3-year burden. See footnote for explanation.</t>
  </si>
  <si>
    <t>Renewal Notes</t>
  </si>
  <si>
    <r>
      <rPr>
        <b/>
        <sz val="11"/>
        <rFont val="Times New Roman"/>
        <family val="1"/>
      </rPr>
      <t xml:space="preserve">Total annualized capital/startup cost </t>
    </r>
    <r>
      <rPr>
        <b/>
        <vertAlign val="superscript"/>
        <sz val="11"/>
        <rFont val="Times New Roman"/>
        <family val="1"/>
      </rPr>
      <t>b</t>
    </r>
  </si>
  <si>
    <t>&lt;--Note for EPA: Adjusting to 95 based on GHGRP data (see "Count of Respondents" tab).</t>
  </si>
  <si>
    <t>&lt;--Note for EPA: Adjusting number of existing ESPs downwards based on decrease in sources (183 ESPs/107 sources * 104 = 178)</t>
  </si>
  <si>
    <r>
      <t>b</t>
    </r>
    <r>
      <rPr>
        <sz val="10"/>
        <rFont val="Times New Roman"/>
        <family val="1"/>
      </rPr>
      <t xml:space="preserve"> This ICR uses the following labor rates: $149.84 per hour for Managerial labor; $122.66 per hour for Technical labor, and $60.88 per hour for Clerical labor.  These rates are from the United States Department of Labor, Bureau of Labor Statistics, September 2020, Table 2. Civilian Workers, by Occupational and Industry groups.  The rates are from column 1, Total Compensation.  The rates have been increased by 110% to account for the benefit packages available to those employed by private industry.</t>
    </r>
  </si>
  <si>
    <r>
      <t>c</t>
    </r>
    <r>
      <rPr>
        <sz val="10"/>
        <rFont val="Times New Roman"/>
        <family val="1"/>
      </rPr>
      <t xml:space="preserve"> We have assumed that it will take 1 hour each year for existing respondents to refamiliarize themselves with rule requirements.</t>
    </r>
  </si>
  <si>
    <r>
      <t>e</t>
    </r>
    <r>
      <rPr>
        <sz val="10"/>
        <rFont val="Times New Roman"/>
        <family val="1"/>
      </rPr>
      <t xml:space="preserve">  With the exception of the notification of compliance status, we estimate that it will take the respondent 2 hours once per year to complete the notifications and submit selected ones through the EPA's CEDRI.</t>
    </r>
  </si>
  <si>
    <r>
      <t>f</t>
    </r>
    <r>
      <rPr>
        <sz val="10"/>
        <rFont val="Times New Roman"/>
        <family val="1"/>
      </rPr>
      <t xml:space="preserve">  We estimate that it will take the respondent 80 hours once in the initial year to prepare the notification of compliance status and submit it through the EPA's CEDRI.</t>
    </r>
  </si>
  <si>
    <r>
      <t>b</t>
    </r>
    <r>
      <rPr>
        <sz val="10"/>
        <rFont val="Times New Roman"/>
        <family val="1"/>
      </rPr>
      <t xml:space="preserve">  This cost is based on the following labor rates which incorporate a 1.6 benefits multiplication factor to account for government overhead expenses: $69.04 Managerial rate (GS-13, Step 5, $43.15 x 1.6), $51.23 Technical rate (GS-12, Step 1, $32.02  x 1.6), and $27.73 Clerical rate (GS-6, Step 3, $17.33 x 1.6). These rates are from the Office of Personnel Management (OPM) 2021 General Schedule which excludes locality rates of pay. </t>
    </r>
  </si>
  <si>
    <r>
      <t>g</t>
    </r>
    <r>
      <rPr>
        <sz val="10"/>
        <rFont val="Times New Roman"/>
        <family val="1"/>
      </rPr>
      <t xml:space="preserve">  Hard copy report of performance test/retest is included in capital/startup costs. Submittal of performance test/retest data through the EPA's CEDRI in ERT format is estimated to require 8 hours for 43 mills (see respondent calculation in footnote g). </t>
    </r>
  </si>
  <si>
    <r>
      <t>j</t>
    </r>
    <r>
      <rPr>
        <sz val="10"/>
        <rFont val="Times New Roman"/>
        <family val="1"/>
      </rPr>
      <t xml:space="preserve">  We estimate that it will take the respondent 8 hours (1 day) each year to enter records and documentation of supporting calculation for compliance determinations and 2 hours to enter a record of compliant monitoring parameter ranges. We estimate that 42 mills (see footnote g) will enter this information (includes initial test and retest, for mills required to retest).</t>
    </r>
  </si>
  <si>
    <r>
      <t>n</t>
    </r>
    <r>
      <rPr>
        <sz val="10"/>
        <rFont val="Times New Roman"/>
        <family val="1"/>
      </rPr>
      <t xml:space="preserve">  We estimate 104 existing kraft, soda, and stand-alone semichemical pulp mills have recovery furnaces or other chemical recovery combustion units that will need to keep records of black liquor solids firing rate. We estimate that each respondent will take 1.5 hours 52 times per year to keep these records.</t>
    </r>
  </si>
  <si>
    <r>
      <t>o</t>
    </r>
    <r>
      <rPr>
        <sz val="10"/>
        <rFont val="Times New Roman"/>
        <family val="1"/>
      </rPr>
      <t xml:space="preserve">  We estimate 95 existing kraft and soda pulp mills have lime kilns that will need to keep records of lime production rate. We estimate that each respondent will take 1.5 hours 52 times per year to keep these records.</t>
    </r>
  </si>
  <si>
    <r>
      <t>q</t>
    </r>
    <r>
      <rPr>
        <sz val="10"/>
        <rFont val="Times New Roman"/>
        <family val="1"/>
      </rPr>
      <t xml:space="preserve">  We estimate that it will take the respondent 40 hours (1 week) once per year for initial training of personnel with new sources (</t>
    </r>
    <r>
      <rPr>
        <sz val="10"/>
        <color rgb="FF7030A0"/>
        <rFont val="Times New Roman"/>
        <family val="1"/>
      </rPr>
      <t>3</t>
    </r>
    <r>
      <rPr>
        <sz val="10"/>
        <rFont val="Times New Roman"/>
        <family val="1"/>
      </rPr>
      <t xml:space="preserve"> new respondents/3 years) = </t>
    </r>
    <r>
      <rPr>
        <sz val="10"/>
        <color rgb="FF7030A0"/>
        <rFont val="Times New Roman"/>
        <family val="1"/>
      </rPr>
      <t>1</t>
    </r>
    <r>
      <rPr>
        <sz val="10"/>
        <rFont val="Times New Roman"/>
        <family val="1"/>
      </rPr>
      <t xml:space="preserve">). </t>
    </r>
  </si>
  <si>
    <r>
      <t>r</t>
    </r>
    <r>
      <rPr>
        <sz val="10"/>
        <rFont val="Times New Roman"/>
        <family val="1"/>
      </rPr>
      <t xml:space="preserve">  We estimate that it will take each respondent 16 hours to provide refresher training each year for personnel at all 104 existing mills.</t>
    </r>
  </si>
  <si>
    <r>
      <t>s</t>
    </r>
    <r>
      <rPr>
        <sz val="10"/>
        <rFont val="Times New Roman"/>
        <family val="1"/>
      </rPr>
      <t xml:space="preserve">  Over the period October 11, 2017 through October 11, 2020, due to the RTR amendments published on October 11, 2017, we estimated that it would take each respondent 80 hours to make a one-time adjustment to existing data acquisition systems to include startup and shutdown periods and the revised opacity monitoring allowances, and to transition to electronic excess emissions reporting. This ICR includes the burden for the period January 1, 2022 through December 31, 2024, and assumes that existing sources are no longer performing this one-time implementation activity.</t>
    </r>
  </si>
  <si>
    <r>
      <t>v</t>
    </r>
    <r>
      <rPr>
        <sz val="10"/>
        <rFont val="Times New Roman"/>
        <family val="1"/>
      </rPr>
      <t xml:space="preserve">  Totals have been rounded to 3 significant figures. Figures may not add exactly due to rounding.</t>
    </r>
  </si>
  <si>
    <r>
      <t>a</t>
    </r>
    <r>
      <rPr>
        <sz val="10"/>
        <rFont val="Times New Roman"/>
        <family val="1"/>
      </rPr>
      <t xml:space="preserve">  We estimate that the number of existing sources subject to the rule is 104 pulp mills. We also estimate that new equipment will be installed at three existing pulp mills and become subject to the rule over the 3 years of this ICR (two new recovery furnaces, two new SDTs, and one new lime kiln). Based on these estimates, over the 3 years of this ICR, there will be an average of 104 pulp mills per year  and new source requirements for an average of 1 pulp mills per year.</t>
    </r>
  </si>
  <si>
    <r>
      <t>d</t>
    </r>
    <r>
      <rPr>
        <sz val="10"/>
        <rFont val="Times New Roman"/>
        <family val="1"/>
      </rPr>
      <t xml:space="preserve">  We estimate that it will take the respondent 24 hours to prepare for initial/periodic performance test (e.g., prepare test plan) and 24 hours to attend the test. We also estimate 2 plant personnel will attend the test. We estimate that 74 mills will need to conduct a test (the rest of the 104 existing mills are already required under existing state rules to conduct tests); this will occur once during the 3-year ICR period (74 respondents/3 years = 25). In addition, we estimate that 20% of respondents (20% x 25 respondents =5) will repeat performance test due to failure.</t>
    </r>
  </si>
  <si>
    <r>
      <t>h</t>
    </r>
    <r>
      <rPr>
        <sz val="10"/>
        <rFont val="Times New Roman"/>
        <family val="1"/>
      </rPr>
      <t xml:space="preserve">  We estimate that 5% of respondents (5% x 104 respondents = 5) will each take 16 hours two times per year to complete reports of monitoring exceedances and periods of noncompliance and submit them through the EPA's CEDRI. We estimate that 95% of respondents (95% x 104 respondents = 99) will each take 8 hours two times per year to write reports of no exceedances and submit them through the EPA's CEDRI.</t>
    </r>
  </si>
  <si>
    <r>
      <t>i</t>
    </r>
    <r>
      <rPr>
        <sz val="10"/>
        <rFont val="Times New Roman"/>
        <family val="1"/>
      </rPr>
      <t xml:space="preserve">  We estimate that it will take one respondent 40 hours to develop a record system to comply with monitoring requirements. </t>
    </r>
  </si>
  <si>
    <r>
      <t>k</t>
    </r>
    <r>
      <rPr>
        <sz val="10"/>
        <rFont val="Times New Roman"/>
        <family val="1"/>
      </rPr>
      <t xml:space="preserve">  We estimate that 2 existing mills will install new recovery furnaces over 3 years, for an average of 1 mill with new recovery furnaces per year over the ICR period (2 mills/3 years= 0.67, or 1, rounded).  Based on current industry trends, the new furnaces are expected to be a non-direct contact evaporator (NDCE) recovery furnace equipped with a dry ESP system. We estimate that it will take the respondent 2 hours to record this information.</t>
    </r>
  </si>
  <si>
    <r>
      <t>l</t>
    </r>
    <r>
      <rPr>
        <sz val="10"/>
        <color rgb="FF7030A0"/>
        <rFont val="Times New Roman"/>
        <family val="1"/>
      </rPr>
      <t xml:space="preserve">  </t>
    </r>
    <r>
      <rPr>
        <sz val="10"/>
        <rFont val="Times New Roman"/>
        <family val="1"/>
      </rPr>
      <t>We estimate that it will take 8 hours per semiannual period each year to keep records demonstrating compliance with the requirement to maintain proper operation of the ESP AVC for 178 recovery furnace and lime kiln ESPs</t>
    </r>
    <r>
      <rPr>
        <sz val="10"/>
        <color rgb="FF7030A0"/>
        <rFont val="Times New Roman"/>
        <family val="1"/>
      </rPr>
      <t>.</t>
    </r>
  </si>
  <si>
    <r>
      <t>m</t>
    </r>
    <r>
      <rPr>
        <sz val="10"/>
        <rFont val="Times New Roman"/>
        <family val="1"/>
      </rPr>
      <t xml:space="preserve">  We estimate that 5% of respondents (5% x 104 respondents = 5) will fail to meet standards each year. We estimate that each respondent will take 2 hours 12 times per year to keep records of failures to meet the standards.</t>
    </r>
  </si>
  <si>
    <r>
      <t>p</t>
    </r>
    <r>
      <rPr>
        <sz val="10"/>
        <rFont val="Times New Roman"/>
        <family val="1"/>
      </rPr>
      <t xml:space="preserve">   We estimate that each respondent will take 0.5 hours 1,050 times per year to record wet scrubber and regenerative thermal oxidizer (RTO) parameters at all existing 104 mills.</t>
    </r>
  </si>
  <si>
    <r>
      <t>t</t>
    </r>
    <r>
      <rPr>
        <sz val="10"/>
        <rFont val="Times New Roman"/>
        <family val="1"/>
      </rPr>
      <t xml:space="preserve">  We estimate that each respondent will take 96 hours per semiannual period to compile data for all 104 mills.</t>
    </r>
  </si>
  <si>
    <r>
      <t>u</t>
    </r>
    <r>
      <rPr>
        <sz val="10"/>
        <rFont val="Times New Roman"/>
        <family val="1"/>
      </rPr>
      <t xml:space="preserve">  We estimate that each respondent will take 8 hours two times per year to verify information for reports for all 104 mills.</t>
    </r>
  </si>
  <si>
    <r>
      <t xml:space="preserve">(D) 
Plants per year </t>
    </r>
    <r>
      <rPr>
        <b/>
        <vertAlign val="superscript"/>
        <sz val="12"/>
        <rFont val="Times New Roman"/>
        <family val="1"/>
      </rPr>
      <t>a</t>
    </r>
  </si>
  <si>
    <r>
      <t xml:space="preserve">(H) 
Cost, $ </t>
    </r>
    <r>
      <rPr>
        <b/>
        <vertAlign val="superscript"/>
        <sz val="12"/>
        <rFont val="Times New Roman"/>
        <family val="1"/>
      </rPr>
      <t>b</t>
    </r>
  </si>
  <si>
    <r>
      <t xml:space="preserve">1. Attend initial/periodic performance test </t>
    </r>
    <r>
      <rPr>
        <vertAlign val="superscript"/>
        <sz val="10"/>
        <rFont val="Times New Roman"/>
        <family val="1"/>
      </rPr>
      <t>c</t>
    </r>
  </si>
  <si>
    <r>
      <t xml:space="preserve">2. Attend retest </t>
    </r>
    <r>
      <rPr>
        <vertAlign val="superscript"/>
        <sz val="10"/>
        <rFont val="Times New Roman"/>
        <family val="1"/>
      </rPr>
      <t>c,d</t>
    </r>
  </si>
  <si>
    <r>
      <t xml:space="preserve">Notification of construction/reconstruction </t>
    </r>
    <r>
      <rPr>
        <vertAlign val="superscript"/>
        <sz val="10"/>
        <rFont val="Times New Roman"/>
        <family val="1"/>
      </rPr>
      <t>e</t>
    </r>
  </si>
  <si>
    <r>
      <t xml:space="preserve">Notification of actual startup </t>
    </r>
    <r>
      <rPr>
        <vertAlign val="superscript"/>
        <sz val="10"/>
        <rFont val="Times New Roman"/>
        <family val="1"/>
      </rPr>
      <t>e</t>
    </r>
  </si>
  <si>
    <r>
      <t xml:space="preserve">Notification of applicability of standard </t>
    </r>
    <r>
      <rPr>
        <vertAlign val="superscript"/>
        <sz val="10"/>
        <rFont val="Times New Roman"/>
        <family val="1"/>
      </rPr>
      <t>e</t>
    </r>
  </si>
  <si>
    <r>
      <t xml:space="preserve">Notification of initial/periodic performance test </t>
    </r>
    <r>
      <rPr>
        <vertAlign val="superscript"/>
        <sz val="10"/>
        <rFont val="Times New Roman"/>
        <family val="1"/>
      </rPr>
      <t>f</t>
    </r>
  </si>
  <si>
    <r>
      <t xml:space="preserve">Notification of performance evaluation </t>
    </r>
    <r>
      <rPr>
        <vertAlign val="superscript"/>
        <sz val="10"/>
        <rFont val="Times New Roman"/>
        <family val="1"/>
      </rPr>
      <t>f</t>
    </r>
  </si>
  <si>
    <r>
      <t xml:space="preserve">Review of notification of compliance status </t>
    </r>
    <r>
      <rPr>
        <vertAlign val="superscript"/>
        <sz val="10"/>
        <rFont val="Times New Roman"/>
        <family val="1"/>
      </rPr>
      <t>e</t>
    </r>
  </si>
  <si>
    <r>
      <t>Semiannual reports of monitoring exceedances and periods of noncompliance</t>
    </r>
    <r>
      <rPr>
        <vertAlign val="superscript"/>
        <sz val="10"/>
        <rFont val="Times New Roman"/>
        <family val="1"/>
      </rPr>
      <t xml:space="preserve"> g</t>
    </r>
  </si>
  <si>
    <r>
      <t xml:space="preserve">Semiannual reports of no exceedances </t>
    </r>
    <r>
      <rPr>
        <vertAlign val="superscript"/>
        <sz val="10"/>
        <rFont val="Times New Roman"/>
        <family val="1"/>
      </rPr>
      <t>h</t>
    </r>
  </si>
  <si>
    <r>
      <t xml:space="preserve">   Travel Expenses for Tests Attended </t>
    </r>
    <r>
      <rPr>
        <vertAlign val="superscript"/>
        <sz val="10"/>
        <rFont val="Times New Roman"/>
        <family val="1"/>
      </rPr>
      <t>i</t>
    </r>
  </si>
  <si>
    <r>
      <t>a</t>
    </r>
    <r>
      <rPr>
        <sz val="10"/>
        <rFont val="Times New Roman"/>
        <family val="1"/>
      </rPr>
      <t xml:space="preserve">  We estimate that the number of existing sources subject to the rule is 104 pulp mills. We also estimate that new equipment will be installed at three existing pulp mills and become subject to the rule over the 3 years of this ICR (two new recovery furnaces, two new SDTs, and one new lime kiln). Based on these estimates, over the 3 years of this ICR, there will be an average of 104 pulp mills per year </t>
    </r>
    <r>
      <rPr>
        <strike/>
        <sz val="10"/>
        <color rgb="FF7030A0"/>
        <rFont val="Times New Roman"/>
        <family val="1"/>
      </rPr>
      <t xml:space="preserve"> </t>
    </r>
    <r>
      <rPr>
        <sz val="10"/>
        <rFont val="Times New Roman"/>
        <family val="1"/>
      </rPr>
      <t>and new source requirements for an average of 1 pulp mills per year.</t>
    </r>
  </si>
  <si>
    <r>
      <t xml:space="preserve">c </t>
    </r>
    <r>
      <rPr>
        <sz val="10"/>
        <rFont val="Times New Roman"/>
        <family val="1"/>
      </rPr>
      <t xml:space="preserve"> Assume EPA will attend tests at 3.5 plants per year. We estimate that it will take EPA personnel 24 hours once per year to attend initial and periodic performance tests at 10% of plants (0.10 x 104/3 years = 3.5), assuming 104 existing plants will test.</t>
    </r>
  </si>
  <si>
    <r>
      <t>d</t>
    </r>
    <r>
      <rPr>
        <sz val="10"/>
        <rFont val="Times New Roman"/>
        <family val="1"/>
      </rPr>
      <t xml:space="preserve">  Assume EPA will attend retests at 0.7 plants per year. We estimate that 20% of respondents will repeat performance test due to failure and that EPA personnel will attend 10% of retests (0.20 x 0.10 x 104/3 years = 0.7), assuming 104 existing plants and 1 new plant will test. </t>
    </r>
  </si>
  <si>
    <r>
      <t>e</t>
    </r>
    <r>
      <rPr>
        <sz val="10"/>
        <rFont val="Times New Roman"/>
        <family val="1"/>
      </rPr>
      <t xml:space="preserve">  We estimate that it will take EPA personnel 2 hours once per year to complete review of the initial notifications (construction/reconstruction, actual startup, applicability of standard) and 4 hours once per year to review the notification of compliance status for new process units (</t>
    </r>
    <r>
      <rPr>
        <sz val="10"/>
        <color rgb="FF7030A0"/>
        <rFont val="Times New Roman"/>
        <family val="1"/>
      </rPr>
      <t>3</t>
    </r>
    <r>
      <rPr>
        <sz val="10"/>
        <rFont val="Times New Roman"/>
        <family val="1"/>
      </rPr>
      <t xml:space="preserve"> mills with new process units/3 years = 1).</t>
    </r>
  </si>
  <si>
    <r>
      <t>f</t>
    </r>
    <r>
      <rPr>
        <sz val="10"/>
        <rFont val="Times New Roman"/>
        <family val="1"/>
      </rPr>
      <t xml:space="preserve">  We estimate that it will take EPA personnel 2 hours once per year to complete review of the initial and periodic notifications of performance test/retest and performance evaluation. We estimate that 42 mills will submit notifications of initial/periodic performance test/retest and performance evaluation over the 3-year ICR period (test: 104 existing respondents/3 years = 35; retest: 20% x 35 = 7; total: 35 + 7 = 42).</t>
    </r>
  </si>
  <si>
    <r>
      <t>g</t>
    </r>
    <r>
      <rPr>
        <sz val="10"/>
        <rFont val="Times New Roman"/>
        <family val="1"/>
      </rPr>
      <t xml:space="preserve">  We estimate that it will take EPA personnel 8 hours two times per year to review the monitoring exceedances and periods of noncompliance in the excess emissions report for 5% of respondents (5% x 104</t>
    </r>
    <r>
      <rPr>
        <strike/>
        <sz val="10"/>
        <color rgb="FF7030A0"/>
        <rFont val="Times New Roman"/>
        <family val="1"/>
      </rPr>
      <t xml:space="preserve"> </t>
    </r>
    <r>
      <rPr>
        <sz val="10"/>
        <rFont val="Times New Roman"/>
        <family val="1"/>
      </rPr>
      <t>= 5).</t>
    </r>
  </si>
  <si>
    <r>
      <t>h</t>
    </r>
    <r>
      <rPr>
        <sz val="10"/>
        <rFont val="Times New Roman"/>
        <family val="1"/>
      </rPr>
      <t xml:space="preserve">  We estimate that it will take EPA personnel 2 hours two times per year to review the no exceedances report for 95% of respondents (95% x 104 = 99).</t>
    </r>
  </si>
  <si>
    <r>
      <t>i</t>
    </r>
    <r>
      <rPr>
        <sz val="10"/>
        <rFont val="Times New Roman"/>
        <family val="1"/>
      </rPr>
      <t xml:space="preserve">  We estimate that it will take EPA personnel 1 day per plant plus time for travel, at $50 per diem per day, and $400 transportation expense per round trip. Assuming an average of 4.3 tests/retests each year (3.5 tests + 0.7 retests = 4.2)(see footnotes c and d), the annual cost for travel expenses is $1,890 (4.2 tests/retests*($400+$50) = $1,890).</t>
    </r>
  </si>
  <si>
    <r>
      <t>a</t>
    </r>
    <r>
      <rPr>
        <sz val="11"/>
        <rFont val="Times New Roman"/>
        <family val="1"/>
      </rPr>
      <t xml:space="preserve"> We estimate that 20% of respondents will repeat the performance test due to failure. Estimate assumes 104 existing facilities with 254 sources, and 6 new sources at 3 existing facilities, 5 of which require THC testing.</t>
    </r>
  </si>
  <si>
    <r>
      <t xml:space="preserve">Total Annualized Capital/ Startup Cost </t>
    </r>
    <r>
      <rPr>
        <b/>
        <strike/>
        <vertAlign val="superscript"/>
        <sz val="11"/>
        <rFont val="Times New Roman"/>
        <family val="1"/>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</si>
</sst>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0.000"/>
  </numFmts>
  <fonts count="51" x14ac:knownFonts="1">
    <font>
      <sz val="11"/>
      <color theme="1"/>
      <name val="Calibri"/>
      <family val="2"/>
      <scheme val="minor"/>
    </font>
    <font>
      <b/>
      <sz val="12"/>
      <color rgb="FF000000"/>
      <name val="Times New Roman"/>
      <family val="1"/>
    </font>
    <font>
      <b/>
      <sz val="8"/>
      <color rgb="FF000000"/>
      <name val="Times New Roman"/>
      <family val="1"/>
    </font>
    <font>
      <sz val="8"/>
      <color rgb="FF000000"/>
      <name val="Times New Roman"/>
      <family val="1"/>
    </font>
    <font>
      <vertAlign val="superscript"/>
      <sz val="8"/>
      <color theme="1"/>
      <name val="Times New Roman"/>
      <family val="1"/>
    </font>
    <font>
      <sz val="10"/>
      <color theme="1"/>
      <name val="Times New Roman"/>
      <family val="1"/>
    </font>
    <font>
      <b/>
      <sz val="11"/>
      <color rgb="FF000000"/>
      <name val="Times New Roman"/>
      <family val="1"/>
    </font>
    <font>
      <sz val="11"/>
      <color theme="1"/>
      <name val="Times New Roman"/>
      <family val="1"/>
    </font>
    <font>
      <sz val="11"/>
      <color rgb="FF000000"/>
      <name val="Times New Roman"/>
      <family val="1"/>
    </font>
    <font>
      <vertAlign val="superscript"/>
      <sz val="11"/>
      <color theme="1"/>
      <name val="Times New Roman"/>
      <family val="1"/>
    </font>
    <font>
      <b/>
      <sz val="11"/>
      <color theme="1"/>
      <name val="Times New Roman"/>
      <family val="1"/>
    </font>
    <font>
      <b/>
      <sz val="10"/>
      <name val="Times New Roman"/>
      <family val="1"/>
    </font>
    <font>
      <sz val="10"/>
      <name val="Times New Roman"/>
      <family val="1"/>
    </font>
    <font>
      <sz val="11"/>
      <name val="Calibri"/>
      <family val="2"/>
    </font>
    <font>
      <sz val="8"/>
      <name val="Times New Roman"/>
      <family val="1"/>
    </font>
    <font>
      <sz val="10"/>
      <name val="Calibri"/>
      <family val="2"/>
    </font>
    <font>
      <b/>
      <vertAlign val="superscript"/>
      <sz val="11"/>
      <color rgb="FF000000"/>
      <name val="Times New Roman"/>
      <family val="1"/>
    </font>
    <font>
      <sz val="8"/>
      <name val="Courier"/>
      <family val="3"/>
    </font>
    <font>
      <sz val="11"/>
      <color rgb="FFFF0000"/>
      <name val="Calibri"/>
      <family val="2"/>
      <scheme val="minor"/>
    </font>
    <font>
      <sz val="10"/>
      <color theme="1"/>
      <name val="Calibri"/>
      <family val="2"/>
      <scheme val="minor"/>
    </font>
    <font>
      <b/>
      <vertAlign val="superscript"/>
      <sz val="1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sz val="10"/>
      <color rgb="FFFF0000"/>
      <name val="Calibri"/>
      <family val="2"/>
      <scheme val="minor"/>
    </font>
    <font>
      <sz val="11"/>
      <name val="Calibri"/>
      <family val="2"/>
      <scheme val="minor"/>
    </font>
    <font>
      <vertAlign val="superscript"/>
      <sz val="10"/>
      <name val="Times New Roman"/>
      <family val="1"/>
    </font>
    <font>
      <b/>
      <sz val="11"/>
      <color rgb="FFFF0000"/>
      <name val="Times New Roman"/>
      <family val="1"/>
    </font>
    <font>
      <sz val="10"/>
      <name val="Calibri"/>
      <family val="2"/>
      <scheme val="minor"/>
    </font>
    <font>
      <sz val="8"/>
      <color theme="1"/>
      <name val="Calibri"/>
      <family val="2"/>
      <scheme val="minor"/>
    </font>
    <font>
      <sz val="8"/>
      <color rgb="FFFF0000"/>
      <name val="Calibri"/>
      <family val="2"/>
      <scheme val="minor"/>
    </font>
    <font>
      <sz val="8"/>
      <name val="Calibri"/>
      <family val="2"/>
      <scheme val="minor"/>
    </font>
    <font>
      <b/>
      <sz val="11"/>
      <color theme="1"/>
      <name val="Calibri"/>
      <family val="2"/>
      <scheme val="minor"/>
    </font>
    <font>
      <b/>
      <sz val="8"/>
      <color rgb="FFFF0000"/>
      <name val="Calibri"/>
      <family val="2"/>
      <scheme val="minor"/>
    </font>
    <font>
      <i/>
      <sz val="10"/>
      <color rgb="FF000000"/>
      <name val="Times New Roman"/>
      <family val="1"/>
    </font>
    <font>
      <b/>
      <sz val="11"/>
      <color rgb="FF000000"/>
      <name val="Calibri"/>
      <family val="2"/>
      <scheme val="minor"/>
    </font>
    <font>
      <sz val="11"/>
      <color rgb="FF000000"/>
      <name val="Calibri"/>
      <family val="2"/>
      <scheme val="minor"/>
    </font>
    <font>
      <b/>
      <vertAlign val="superscript"/>
      <sz val="11"/>
      <color rgb="FF000000"/>
      <name val="Calibri"/>
      <family val="2"/>
      <scheme val="minor"/>
    </font>
    <font>
      <b/>
      <sz val="11"/>
      <name val="Times New Roman"/>
      <family val="1"/>
    </font>
    <font>
      <b/>
      <vertAlign val="superscript"/>
      <sz val="11"/>
      <name val="Times New Roman"/>
      <family val="1"/>
    </font>
    <font>
      <sz val="10"/>
      <color rgb="FF7030A0"/>
      <name val="Times New Roman"/>
      <family val="1"/>
    </font>
    <font>
      <sz val="11"/>
      <color rgb="FF7030A0"/>
      <name val="Calibri"/>
      <family val="2"/>
      <scheme val="minor"/>
    </font>
    <font>
      <sz val="10"/>
      <color rgb="FF7030A0"/>
      <name val="Calibri"/>
      <family val="2"/>
      <scheme val="minor"/>
    </font>
    <font>
      <sz val="11"/>
      <color rgb="FF7030A0"/>
      <name val="Times New Roman"/>
      <family val="1"/>
    </font>
    <font>
      <strike/>
      <sz val="10"/>
      <color rgb="FF7030A0"/>
      <name val="Times New Roman"/>
      <family val="1"/>
    </font>
    <font>
      <vertAlign val="superscript"/>
      <sz val="10"/>
      <color rgb="FF7030A0"/>
      <name val="Times New Roman"/>
      <family val="1"/>
    </font>
    <font>
      <b/>
      <vertAlign val="superscript"/>
      <sz val="12"/>
      <name val="Times New Roman"/>
      <family val="1"/>
    </font>
    <font>
      <b/>
      <i/>
      <sz val="10"/>
      <name val="Times New Roman"/>
      <family val="1"/>
    </font>
    <font>
      <sz val="11"/>
      <name val="Times New Roman"/>
      <family val="1"/>
    </font>
    <font>
      <vertAlign val="superscript"/>
      <sz val="11"/>
      <name val="Times New Roman"/>
      <family val="1"/>
    </font>
    <font>
      <b/>
      <strike/>
      <vertAlign val="superscript"/>
      <sz val="11"/>
      <name val="Times New Roman"/>
      <family val="1"/>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indexed="64"/>
      </right>
      <top style="medium">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17" fillId="0" borderId="0"/>
  </cellStyleXfs>
  <cellXfs count="187">
    <xf numFmtId="0" fontId="0" fillId="0" borderId="0" xfId="0"/>
    <xf numFmtId="0" fontId="4" fillId="0" borderId="0" xfId="0" applyFont="1"/>
    <xf numFmtId="0" fontId="0" fillId="0" borderId="0" xfId="0" applyBorder="1"/>
    <xf numFmtId="0" fontId="2" fillId="0" borderId="0" xfId="0" applyFont="1" applyBorder="1" applyAlignment="1">
      <alignment vertical="center"/>
    </xf>
    <xf numFmtId="0" fontId="3" fillId="0" borderId="0" xfId="0" applyFont="1" applyBorder="1" applyAlignment="1">
      <alignment horizontal="center" vertical="center" wrapText="1"/>
    </xf>
    <xf numFmtId="3" fontId="2" fillId="0" borderId="0" xfId="0" applyNumberFormat="1" applyFont="1" applyBorder="1" applyAlignment="1">
      <alignment horizontal="center" vertical="center" wrapText="1"/>
    </xf>
    <xf numFmtId="6" fontId="2" fillId="0" borderId="0" xfId="0" applyNumberFormat="1" applyFont="1" applyBorder="1" applyAlignment="1">
      <alignment horizontal="right" vertical="center" wrapText="1"/>
    </xf>
    <xf numFmtId="0" fontId="2" fillId="0" borderId="0" xfId="0" applyFont="1" applyBorder="1" applyAlignment="1">
      <alignment horizontal="center" vertical="center" wrapText="1"/>
    </xf>
    <xf numFmtId="6" fontId="0" fillId="0" borderId="0" xfId="0" applyNumberFormat="1"/>
    <xf numFmtId="0" fontId="12" fillId="0" borderId="0" xfId="0" applyFont="1"/>
    <xf numFmtId="0" fontId="13" fillId="0" borderId="0" xfId="0" applyFont="1"/>
    <xf numFmtId="165" fontId="12" fillId="0" borderId="0" xfId="0" applyNumberFormat="1" applyFont="1"/>
    <xf numFmtId="1" fontId="15" fillId="0" borderId="1" xfId="0" applyNumberFormat="1" applyFont="1" applyFill="1" applyBorder="1"/>
    <xf numFmtId="0" fontId="15" fillId="0" borderId="1" xfId="0" applyFont="1" applyFill="1" applyBorder="1"/>
    <xf numFmtId="3" fontId="0" fillId="0" borderId="0" xfId="0" applyNumberFormat="1"/>
    <xf numFmtId="0" fontId="6" fillId="0" borderId="2" xfId="0" applyFont="1" applyBorder="1" applyAlignment="1">
      <alignment horizontal="center" vertical="center" wrapText="1"/>
    </xf>
    <xf numFmtId="0" fontId="0" fillId="0" borderId="2" xfId="0" applyBorder="1" applyAlignment="1">
      <alignment wrapText="1"/>
    </xf>
    <xf numFmtId="0" fontId="7" fillId="0" borderId="2" xfId="0" applyFont="1" applyBorder="1" applyAlignment="1">
      <alignment vertical="center" wrapText="1"/>
    </xf>
    <xf numFmtId="0" fontId="8" fillId="0" borderId="2" xfId="0" applyFont="1" applyBorder="1" applyAlignment="1">
      <alignment horizontal="center" vertical="center" wrapText="1"/>
    </xf>
    <xf numFmtId="0" fontId="7" fillId="0" borderId="2" xfId="0" applyFont="1" applyBorder="1" applyAlignment="1">
      <alignment horizontal="left" vertical="center" wrapText="1" indent="1"/>
    </xf>
    <xf numFmtId="6" fontId="8" fillId="0" borderId="2" xfId="0" applyNumberFormat="1" applyFont="1" applyBorder="1" applyAlignment="1">
      <alignment horizontal="center" vertical="center" wrapText="1"/>
    </xf>
    <xf numFmtId="6" fontId="7" fillId="0" borderId="2" xfId="0" applyNumberFormat="1" applyFont="1" applyBorder="1" applyAlignment="1">
      <alignment horizontal="center" vertical="center" wrapText="1"/>
    </xf>
    <xf numFmtId="6" fontId="10"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horizontal="left" vertical="center"/>
    </xf>
    <xf numFmtId="165" fontId="13" fillId="0" borderId="0" xfId="0" applyNumberFormat="1" applyFont="1"/>
    <xf numFmtId="0" fontId="0" fillId="0" borderId="0" xfId="0" applyFill="1"/>
    <xf numFmtId="0" fontId="7" fillId="0" borderId="2" xfId="0" applyFont="1" applyFill="1" applyBorder="1" applyAlignment="1">
      <alignment vertical="center" wrapText="1"/>
    </xf>
    <xf numFmtId="0" fontId="19" fillId="0" borderId="0" xfId="0" applyFont="1"/>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21" fillId="0" borderId="1" xfId="0" applyFont="1" applyBorder="1" applyAlignment="1">
      <alignment vertical="center"/>
    </xf>
    <xf numFmtId="0" fontId="21" fillId="0" borderId="1" xfId="0" applyFont="1" applyBorder="1" applyAlignment="1">
      <alignment horizontal="center" vertical="center" wrapText="1"/>
    </xf>
    <xf numFmtId="0" fontId="21" fillId="0" borderId="1" xfId="0" applyFont="1" applyBorder="1" applyAlignment="1">
      <alignment horizontal="right" vertical="center" wrapText="1"/>
    </xf>
    <xf numFmtId="0" fontId="21" fillId="0" borderId="1" xfId="0" applyFont="1" applyBorder="1" applyAlignment="1">
      <alignment horizontal="left" vertical="center" indent="1"/>
    </xf>
    <xf numFmtId="0" fontId="21" fillId="0" borderId="1" xfId="0" applyFont="1" applyBorder="1" applyAlignment="1">
      <alignment horizontal="left" vertical="center" indent="2"/>
    </xf>
    <xf numFmtId="0" fontId="1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Border="1" applyAlignment="1">
      <alignment horizontal="left" vertical="center" wrapText="1" indent="2"/>
    </xf>
    <xf numFmtId="3" fontId="21" fillId="0" borderId="1" xfId="0" applyNumberFormat="1" applyFont="1" applyBorder="1" applyAlignment="1">
      <alignment horizontal="center" vertical="center" wrapText="1"/>
    </xf>
    <xf numFmtId="0" fontId="21" fillId="0" borderId="1" xfId="0" applyFont="1" applyBorder="1" applyAlignment="1">
      <alignment horizontal="left" vertical="center" wrapText="1" indent="1"/>
    </xf>
    <xf numFmtId="0" fontId="11" fillId="0" borderId="1" xfId="0" applyFont="1" applyBorder="1" applyAlignment="1">
      <alignment horizontal="left" vertical="center" wrapText="1"/>
    </xf>
    <xf numFmtId="0" fontId="12" fillId="0" borderId="1" xfId="0" applyFont="1" applyBorder="1"/>
    <xf numFmtId="0" fontId="11" fillId="0" borderId="1" xfId="0" applyFont="1" applyBorder="1" applyAlignment="1">
      <alignment horizontal="left" vertical="center"/>
    </xf>
    <xf numFmtId="0" fontId="21" fillId="0" borderId="1" xfId="0" applyFont="1" applyFill="1" applyBorder="1" applyAlignment="1">
      <alignment horizontal="left" vertical="center" wrapText="1" indent="3"/>
    </xf>
    <xf numFmtId="0" fontId="21" fillId="0" borderId="1" xfId="0" applyFont="1" applyFill="1" applyBorder="1" applyAlignment="1">
      <alignment horizontal="left" vertical="center" indent="2"/>
    </xf>
    <xf numFmtId="0" fontId="21" fillId="0" borderId="1" xfId="0" applyFont="1" applyFill="1" applyBorder="1" applyAlignment="1">
      <alignment horizontal="left" vertical="center" indent="3"/>
    </xf>
    <xf numFmtId="0" fontId="12" fillId="0" borderId="0" xfId="0" applyFont="1" applyFill="1"/>
    <xf numFmtId="0" fontId="21" fillId="0" borderId="1" xfId="0" applyFont="1" applyFill="1" applyBorder="1" applyAlignment="1">
      <alignment horizontal="left" vertical="center" wrapText="1" indent="2"/>
    </xf>
    <xf numFmtId="6" fontId="11" fillId="0" borderId="1" xfId="0" applyNumberFormat="1" applyFont="1" applyBorder="1" applyAlignment="1">
      <alignment horizontal="right" vertical="center" wrapText="1"/>
    </xf>
    <xf numFmtId="6" fontId="11" fillId="0" borderId="1" xfId="0" applyNumberFormat="1" applyFont="1" applyBorder="1" applyAlignment="1">
      <alignment horizontal="right"/>
    </xf>
    <xf numFmtId="0" fontId="12" fillId="0" borderId="0" xfId="0" applyFont="1" applyFill="1" applyBorder="1"/>
    <xf numFmtId="0" fontId="13" fillId="0" borderId="0" xfId="0" applyFont="1" applyFill="1" applyBorder="1"/>
    <xf numFmtId="0" fontId="18" fillId="0" borderId="0" xfId="0" applyFont="1"/>
    <xf numFmtId="165" fontId="12" fillId="0" borderId="0" xfId="1" applyNumberFormat="1" applyFont="1" applyBorder="1"/>
    <xf numFmtId="0" fontId="18" fillId="0" borderId="0" xfId="0" applyFont="1" applyFill="1"/>
    <xf numFmtId="0" fontId="25" fillId="0" borderId="0" xfId="0" applyFont="1" applyFill="1"/>
    <xf numFmtId="3" fontId="0" fillId="0" borderId="0" xfId="0" applyNumberFormat="1" applyFill="1"/>
    <xf numFmtId="0" fontId="19" fillId="0" borderId="0" xfId="0" applyFont="1" applyFill="1"/>
    <xf numFmtId="3" fontId="19" fillId="0" borderId="0" xfId="0" applyNumberFormat="1" applyFont="1"/>
    <xf numFmtId="1" fontId="10" fillId="0" borderId="2" xfId="0" applyNumberFormat="1" applyFont="1" applyBorder="1" applyAlignment="1">
      <alignment horizontal="center" vertical="center" wrapText="1"/>
    </xf>
    <xf numFmtId="8" fontId="0" fillId="0" borderId="0" xfId="0" applyNumberFormat="1"/>
    <xf numFmtId="166" fontId="5" fillId="0" borderId="0"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166" fontId="23" fillId="0" borderId="8" xfId="0" applyNumberFormat="1" applyFont="1" applyFill="1" applyBorder="1" applyAlignment="1">
      <alignment horizontal="center" vertical="center"/>
    </xf>
    <xf numFmtId="0" fontId="25" fillId="0" borderId="0" xfId="0" applyFont="1"/>
    <xf numFmtId="0" fontId="25" fillId="0" borderId="0" xfId="0" applyFont="1" applyFill="1" applyBorder="1"/>
    <xf numFmtId="0" fontId="14" fillId="0" borderId="0" xfId="0" applyFont="1" applyBorder="1" applyAlignment="1">
      <alignment horizontal="center" vertical="center" wrapText="1"/>
    </xf>
    <xf numFmtId="3" fontId="14" fillId="0" borderId="0" xfId="0" applyNumberFormat="1" applyFont="1" applyBorder="1" applyAlignment="1">
      <alignment horizontal="center" vertical="center" wrapText="1"/>
    </xf>
    <xf numFmtId="3" fontId="25" fillId="0" borderId="0" xfId="0" applyNumberFormat="1" applyFont="1"/>
    <xf numFmtId="6" fontId="25" fillId="0" borderId="0" xfId="0" applyNumberFormat="1" applyFont="1"/>
    <xf numFmtId="0" fontId="28" fillId="0" borderId="0" xfId="0" applyFont="1"/>
    <xf numFmtId="3" fontId="12" fillId="0" borderId="0" xfId="0" applyNumberFormat="1" applyFont="1" applyBorder="1" applyAlignment="1">
      <alignment horizontal="center" vertical="center" wrapText="1"/>
    </xf>
    <xf numFmtId="3" fontId="28" fillId="0" borderId="0" xfId="0" applyNumberFormat="1" applyFont="1"/>
    <xf numFmtId="0" fontId="12" fillId="0" borderId="0" xfId="0" applyFont="1" applyBorder="1" applyAlignment="1">
      <alignment horizontal="center" vertical="center" wrapText="1"/>
    </xf>
    <xf numFmtId="0" fontId="28" fillId="0" borderId="0" xfId="0" applyFont="1" applyFill="1"/>
    <xf numFmtId="6" fontId="28" fillId="0" borderId="0" xfId="0" applyNumberFormat="1" applyFont="1" applyFill="1"/>
    <xf numFmtId="0" fontId="21" fillId="0" borderId="1" xfId="0" applyFont="1" applyFill="1" applyBorder="1" applyAlignment="1">
      <alignment horizontal="left" vertical="center" wrapText="1" indent="1"/>
    </xf>
    <xf numFmtId="0" fontId="29" fillId="0" borderId="0" xfId="0" applyFont="1"/>
    <xf numFmtId="0" fontId="30" fillId="2" borderId="0" xfId="0" applyFont="1" applyFill="1"/>
    <xf numFmtId="0" fontId="29" fillId="0" borderId="0" xfId="0" applyFont="1" applyFill="1"/>
    <xf numFmtId="0" fontId="30" fillId="0" borderId="0" xfId="0" applyFont="1" applyFill="1"/>
    <xf numFmtId="0" fontId="30" fillId="2" borderId="0" xfId="0" applyFont="1" applyFill="1" applyBorder="1"/>
    <xf numFmtId="0" fontId="29" fillId="0" borderId="0" xfId="0" applyFont="1" applyBorder="1"/>
    <xf numFmtId="0" fontId="31" fillId="0" borderId="0" xfId="0" applyFont="1" applyFill="1"/>
    <xf numFmtId="0" fontId="30" fillId="2" borderId="0" xfId="0" applyFont="1" applyFill="1" applyAlignment="1">
      <alignment wrapText="1"/>
    </xf>
    <xf numFmtId="0" fontId="33" fillId="2" borderId="4" xfId="0" applyFont="1" applyFill="1" applyBorder="1" applyAlignment="1">
      <alignment horizontal="center" vertical="center" wrapText="1"/>
    </xf>
    <xf numFmtId="0" fontId="30" fillId="2" borderId="0" xfId="0" applyFont="1" applyFill="1" applyBorder="1" applyAlignment="1">
      <alignment wrapText="1"/>
    </xf>
    <xf numFmtId="0" fontId="34" fillId="0" borderId="1" xfId="0" applyFont="1" applyFill="1" applyBorder="1" applyAlignment="1">
      <alignment vertical="center"/>
    </xf>
    <xf numFmtId="0" fontId="34" fillId="0" borderId="1" xfId="0" applyFont="1" applyBorder="1" applyAlignment="1">
      <alignment vertical="center"/>
    </xf>
    <xf numFmtId="0" fontId="32" fillId="0" borderId="5" xfId="0" applyFont="1" applyFill="1" applyBorder="1"/>
    <xf numFmtId="0" fontId="32" fillId="0" borderId="10" xfId="0" applyFont="1" applyFill="1" applyBorder="1"/>
    <xf numFmtId="0" fontId="32" fillId="0" borderId="0" xfId="0" applyFont="1"/>
    <xf numFmtId="0" fontId="0" fillId="0" borderId="0" xfId="0" applyFont="1"/>
    <xf numFmtId="0" fontId="0" fillId="0" borderId="1" xfId="0" applyFont="1" applyFill="1" applyBorder="1"/>
    <xf numFmtId="0" fontId="0" fillId="0" borderId="12" xfId="0" applyFont="1" applyFill="1" applyBorder="1"/>
    <xf numFmtId="0" fontId="0" fillId="0" borderId="14" xfId="0" applyFont="1" applyFill="1" applyBorder="1"/>
    <xf numFmtId="0" fontId="0" fillId="0" borderId="15" xfId="0" applyFont="1" applyFill="1" applyBorder="1"/>
    <xf numFmtId="0" fontId="0" fillId="0" borderId="3" xfId="0" applyFont="1" applyFill="1" applyBorder="1"/>
    <xf numFmtId="0" fontId="0" fillId="0" borderId="17" xfId="0" applyFont="1" applyFill="1" applyBorder="1"/>
    <xf numFmtId="0" fontId="0" fillId="0" borderId="19" xfId="0" applyFont="1" applyFill="1" applyBorder="1"/>
    <xf numFmtId="0" fontId="0" fillId="0" borderId="20" xfId="0" applyFont="1" applyFill="1" applyBorder="1"/>
    <xf numFmtId="0" fontId="32" fillId="0" borderId="9" xfId="0" applyFont="1" applyFill="1" applyBorder="1" applyAlignment="1">
      <alignment wrapText="1"/>
    </xf>
    <xf numFmtId="0" fontId="32" fillId="0" borderId="5" xfId="0" applyFont="1" applyFill="1" applyBorder="1" applyAlignment="1">
      <alignment wrapText="1"/>
    </xf>
    <xf numFmtId="0" fontId="0" fillId="0" borderId="11" xfId="0" applyFont="1" applyFill="1" applyBorder="1" applyAlignment="1">
      <alignment horizontal="left"/>
    </xf>
    <xf numFmtId="0" fontId="0" fillId="0" borderId="1" xfId="0" applyNumberFormat="1" applyFont="1" applyFill="1" applyBorder="1"/>
    <xf numFmtId="0" fontId="0" fillId="0" borderId="13" xfId="0" applyFont="1" applyFill="1" applyBorder="1" applyAlignment="1">
      <alignment horizontal="left"/>
    </xf>
    <xf numFmtId="0" fontId="0" fillId="0" borderId="14" xfId="0" applyNumberFormat="1" applyFont="1" applyFill="1" applyBorder="1"/>
    <xf numFmtId="0" fontId="0" fillId="0" borderId="16" xfId="0" applyFont="1" applyFill="1" applyBorder="1" applyAlignment="1">
      <alignment horizontal="left"/>
    </xf>
    <xf numFmtId="0" fontId="0" fillId="0" borderId="3" xfId="0" applyNumberFormat="1" applyFont="1" applyFill="1" applyBorder="1"/>
    <xf numFmtId="0" fontId="32" fillId="0" borderId="18" xfId="0" applyFont="1" applyFill="1" applyBorder="1" applyAlignment="1">
      <alignment horizontal="left"/>
    </xf>
    <xf numFmtId="0" fontId="32" fillId="0" borderId="19" xfId="0" applyNumberFormat="1" applyFont="1" applyFill="1" applyBorder="1"/>
    <xf numFmtId="2" fontId="12" fillId="0" borderId="1" xfId="0" applyNumberFormat="1" applyFont="1" applyFill="1" applyBorder="1" applyAlignment="1">
      <alignment horizontal="center" vertical="center" wrapText="1"/>
    </xf>
    <xf numFmtId="0" fontId="26" fillId="0" borderId="0" xfId="0" applyFont="1" applyFill="1" applyAlignment="1">
      <alignment vertical="center"/>
    </xf>
    <xf numFmtId="0" fontId="38" fillId="0" borderId="2" xfId="0" applyFont="1" applyBorder="1" applyAlignment="1">
      <alignment vertical="center" wrapText="1"/>
    </xf>
    <xf numFmtId="0" fontId="41" fillId="0" borderId="0" xfId="0" applyFont="1"/>
    <xf numFmtId="0" fontId="15" fillId="0" borderId="0" xfId="0" applyFont="1" applyFill="1" applyBorder="1"/>
    <xf numFmtId="0" fontId="41" fillId="0" borderId="0" xfId="0" applyFont="1" applyFill="1"/>
    <xf numFmtId="0" fontId="27" fillId="0" borderId="4" xfId="0" applyFont="1" applyFill="1" applyBorder="1" applyAlignment="1">
      <alignment horizontal="center" vertical="center" wrapText="1"/>
    </xf>
    <xf numFmtId="0" fontId="36" fillId="0" borderId="1" xfId="0" applyFont="1" applyBorder="1" applyAlignment="1">
      <alignment vertical="center"/>
    </xf>
    <xf numFmtId="0" fontId="35" fillId="0" borderId="1" xfId="0" applyFont="1" applyBorder="1" applyAlignment="1">
      <alignment horizontal="center" vertical="center" wrapText="1"/>
    </xf>
    <xf numFmtId="0" fontId="0" fillId="0" borderId="1" xfId="0" applyNumberFormat="1" applyFont="1" applyBorder="1" applyAlignment="1">
      <alignment horizontal="center" vertical="center"/>
    </xf>
    <xf numFmtId="0" fontId="35" fillId="0" borderId="21" xfId="0" applyFont="1" applyBorder="1" applyAlignment="1">
      <alignment horizontal="center" vertical="center" wrapText="1"/>
    </xf>
    <xf numFmtId="0" fontId="36" fillId="0" borderId="9" xfId="0" applyNumberFormat="1" applyFont="1" applyBorder="1" applyAlignment="1">
      <alignment horizontal="center" vertical="center"/>
    </xf>
    <xf numFmtId="0" fontId="0" fillId="0" borderId="5" xfId="0" applyNumberFormat="1" applyFont="1" applyBorder="1" applyAlignment="1">
      <alignment horizontal="center" vertical="center"/>
    </xf>
    <xf numFmtId="0" fontId="0" fillId="0" borderId="10" xfId="0" applyNumberFormat="1" applyFont="1" applyBorder="1" applyAlignment="1">
      <alignment horizontal="center" vertical="center"/>
    </xf>
    <xf numFmtId="0" fontId="36"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35" fillId="0" borderId="13" xfId="0" applyNumberFormat="1" applyFont="1" applyBorder="1" applyAlignment="1">
      <alignment horizontal="center" vertical="center"/>
    </xf>
    <xf numFmtId="0" fontId="32" fillId="0" borderId="14" xfId="0" applyNumberFormat="1" applyFont="1" applyBorder="1" applyAlignment="1">
      <alignment horizontal="center" vertical="center"/>
    </xf>
    <xf numFmtId="1" fontId="32" fillId="0" borderId="14" xfId="0" applyNumberFormat="1" applyFont="1" applyBorder="1" applyAlignment="1">
      <alignment horizontal="center" vertical="center"/>
    </xf>
    <xf numFmtId="1" fontId="32" fillId="0" borderId="15" xfId="0" applyNumberFormat="1" applyFont="1" applyBorder="1" applyAlignment="1">
      <alignment horizontal="center" vertical="center"/>
    </xf>
    <xf numFmtId="0" fontId="24" fillId="0" borderId="0" xfId="0" applyFont="1" applyFill="1"/>
    <xf numFmtId="0" fontId="19" fillId="0" borderId="0" xfId="0" applyFont="1" applyBorder="1"/>
    <xf numFmtId="0" fontId="28" fillId="0" borderId="0" xfId="0" applyFont="1" applyBorder="1"/>
    <xf numFmtId="1" fontId="0" fillId="0" borderId="0" xfId="0" applyNumberFormat="1" applyBorder="1"/>
    <xf numFmtId="0" fontId="25" fillId="0" borderId="0" xfId="0" applyFont="1" applyBorder="1"/>
    <xf numFmtId="3" fontId="12" fillId="0" borderId="1" xfId="0" applyNumberFormat="1" applyFont="1" applyFill="1" applyBorder="1" applyAlignment="1">
      <alignment horizontal="center" vertical="center" wrapText="1"/>
    </xf>
    <xf numFmtId="8" fontId="12" fillId="0" borderId="1" xfId="0" applyNumberFormat="1" applyFont="1" applyFill="1" applyBorder="1" applyAlignment="1">
      <alignment horizontal="right" vertical="center" wrapText="1"/>
    </xf>
    <xf numFmtId="164" fontId="12" fillId="0" borderId="1" xfId="0" applyNumberFormat="1" applyFont="1" applyFill="1" applyBorder="1" applyAlignment="1">
      <alignment horizontal="center" vertical="center" wrapText="1"/>
    </xf>
    <xf numFmtId="0" fontId="12" fillId="0" borderId="1" xfId="0" applyFont="1" applyFill="1" applyBorder="1" applyAlignment="1">
      <alignment horizontal="right" vertical="center" wrapText="1"/>
    </xf>
    <xf numFmtId="6" fontId="12" fillId="0" borderId="1" xfId="0" applyNumberFormat="1" applyFont="1" applyFill="1" applyBorder="1" applyAlignment="1">
      <alignment horizontal="right" vertical="center" wrapText="1"/>
    </xf>
    <xf numFmtId="1"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6" fontId="11" fillId="0" borderId="1" xfId="0" applyNumberFormat="1" applyFont="1" applyFill="1" applyBorder="1" applyAlignment="1">
      <alignment horizontal="righ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8" fontId="12" fillId="0" borderId="1" xfId="0" applyNumberFormat="1" applyFont="1" applyFill="1" applyBorder="1" applyAlignment="1">
      <alignment horizontal="right" vertical="center" wrapText="1" indent="1"/>
    </xf>
    <xf numFmtId="0" fontId="12" fillId="0" borderId="1" xfId="0" applyFont="1" applyFill="1" applyBorder="1" applyAlignment="1">
      <alignment vertical="center"/>
    </xf>
    <xf numFmtId="0" fontId="12" fillId="0" borderId="1" xfId="0" applyFont="1" applyFill="1" applyBorder="1" applyAlignment="1">
      <alignment horizontal="right" vertical="center" wrapText="1" indent="1"/>
    </xf>
    <xf numFmtId="0" fontId="12" fillId="0" borderId="1" xfId="0" applyFont="1" applyFill="1" applyBorder="1" applyAlignment="1">
      <alignment horizontal="left" vertical="center" indent="1"/>
    </xf>
    <xf numFmtId="0" fontId="12" fillId="0" borderId="1" xfId="0" applyFont="1" applyFill="1" applyBorder="1" applyAlignment="1">
      <alignment horizontal="left" vertical="center" wrapText="1" indent="2"/>
    </xf>
    <xf numFmtId="0" fontId="12" fillId="0" borderId="1" xfId="0" applyFont="1" applyFill="1" applyBorder="1" applyAlignment="1">
      <alignment horizontal="left" vertical="center" indent="2"/>
    </xf>
    <xf numFmtId="0" fontId="47" fillId="0" borderId="1" xfId="0" applyFont="1" applyFill="1" applyBorder="1" applyAlignment="1">
      <alignment vertical="center"/>
    </xf>
    <xf numFmtId="0" fontId="11" fillId="0" borderId="1" xfId="0" applyFont="1" applyFill="1" applyBorder="1" applyAlignment="1">
      <alignment vertical="center"/>
    </xf>
    <xf numFmtId="0" fontId="48" fillId="0" borderId="2" xfId="0" applyFont="1" applyFill="1" applyBorder="1" applyAlignment="1">
      <alignment horizontal="center" vertical="center" wrapText="1"/>
    </xf>
    <xf numFmtId="1" fontId="43"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41" fillId="0" borderId="1" xfId="0" applyNumberFormat="1" applyFont="1" applyFill="1" applyBorder="1" applyAlignment="1">
      <alignment horizontal="center" vertical="center"/>
    </xf>
    <xf numFmtId="0" fontId="38" fillId="0" borderId="2" xfId="0" applyFont="1" applyBorder="1" applyAlignment="1">
      <alignment horizontal="center" vertical="center" wrapText="1"/>
    </xf>
    <xf numFmtId="0" fontId="6" fillId="0" borderId="4" xfId="0" applyFont="1" applyFill="1" applyBorder="1" applyAlignment="1">
      <alignment horizontal="center" vertical="center" wrapText="1"/>
    </xf>
    <xf numFmtId="0" fontId="26" fillId="0" borderId="0" xfId="0" applyFont="1" applyFill="1" applyAlignment="1">
      <alignment vertical="center" wrapText="1"/>
    </xf>
    <xf numFmtId="0" fontId="28" fillId="0" borderId="0" xfId="0" applyFont="1" applyFill="1" applyAlignment="1">
      <alignment wrapText="1"/>
    </xf>
    <xf numFmtId="0" fontId="40" fillId="0" borderId="0" xfId="0" applyFont="1" applyFill="1" applyAlignment="1">
      <alignment vertical="center" wrapText="1"/>
    </xf>
    <xf numFmtId="0" fontId="42" fillId="0" borderId="0" xfId="0" applyFont="1" applyFill="1" applyAlignment="1">
      <alignment wrapText="1"/>
    </xf>
    <xf numFmtId="3" fontId="11" fillId="0" borderId="1" xfId="0" applyNumberFormat="1" applyFont="1" applyFill="1" applyBorder="1" applyAlignment="1">
      <alignment horizontal="center" vertical="center" wrapText="1"/>
    </xf>
    <xf numFmtId="0" fontId="15" fillId="0" borderId="1" xfId="0" applyFont="1" applyFill="1" applyBorder="1" applyAlignment="1"/>
    <xf numFmtId="0" fontId="26" fillId="0" borderId="0" xfId="0" applyFont="1" applyFill="1" applyAlignment="1">
      <alignment horizontal="left" vertical="center" wrapText="1"/>
    </xf>
    <xf numFmtId="0" fontId="45" fillId="0" borderId="0" xfId="0" applyFont="1" applyFill="1" applyAlignment="1">
      <alignment vertical="center" wrapText="1"/>
    </xf>
    <xf numFmtId="0" fontId="11" fillId="0" borderId="1" xfId="0" applyFont="1" applyFill="1" applyBorder="1" applyAlignment="1">
      <alignment horizontal="center" vertical="center" wrapText="1"/>
    </xf>
    <xf numFmtId="0" fontId="25" fillId="0" borderId="0" xfId="0" applyFont="1" applyFill="1" applyAlignment="1">
      <alignment wrapText="1"/>
    </xf>
    <xf numFmtId="0" fontId="25" fillId="0" borderId="0" xfId="0" applyFont="1" applyAlignment="1">
      <alignment wrapText="1"/>
    </xf>
    <xf numFmtId="0" fontId="6" fillId="0" borderId="2" xfId="0" applyFont="1" applyBorder="1" applyAlignment="1">
      <alignment horizontal="left" vertical="center" wrapText="1"/>
    </xf>
    <xf numFmtId="0" fontId="49" fillId="0" borderId="6" xfId="0" applyFont="1" applyFill="1" applyBorder="1" applyAlignment="1">
      <alignment vertical="center" wrapText="1"/>
    </xf>
    <xf numFmtId="0" fontId="25" fillId="0" borderId="6" xfId="0" applyFont="1" applyFill="1" applyBorder="1" applyAlignment="1">
      <alignment wrapText="1"/>
    </xf>
    <xf numFmtId="0" fontId="9" fillId="0" borderId="0" xfId="0" applyFont="1" applyAlignment="1">
      <alignment vertical="center" wrapText="1"/>
    </xf>
    <xf numFmtId="0" fontId="0" fillId="0" borderId="0" xfId="0" applyAlignment="1">
      <alignment wrapText="1"/>
    </xf>
    <xf numFmtId="0" fontId="6" fillId="0" borderId="2" xfId="0" applyFont="1" applyBorder="1" applyAlignment="1">
      <alignment horizontal="center" vertical="center" wrapText="1"/>
    </xf>
    <xf numFmtId="0" fontId="3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35" fillId="0" borderId="1" xfId="0" applyFont="1" applyBorder="1" applyAlignment="1">
      <alignment horizontal="center" vertical="center"/>
    </xf>
    <xf numFmtId="0" fontId="0"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2" xfId="0" applyFont="1" applyBorder="1" applyAlignment="1">
      <alignment horizontal="center" vertical="center"/>
    </xf>
    <xf numFmtId="0" fontId="35" fillId="0" borderId="8" xfId="0" applyFont="1" applyBorder="1" applyAlignment="1">
      <alignment horizontal="center" vertical="center"/>
    </xf>
  </cellXfs>
  <cellStyles count="2">
    <cellStyle name="Normal" xfId="0" builtinId="0"/>
    <cellStyle name="Normal_HMIWI EG S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5"/>
  <sheetViews>
    <sheetView tabSelected="1" topLeftCell="A40" zoomScaleNormal="100" workbookViewId="0">
      <selection activeCell="K68" sqref="K68:S68"/>
    </sheetView>
  </sheetViews>
  <sheetFormatPr defaultRowHeight="14.5" x14ac:dyDescent="0.35"/>
  <cols>
    <col min="1" max="1" width="47.7265625" customWidth="1"/>
    <col min="2" max="2" width="9.26953125" customWidth="1"/>
    <col min="3" max="3" width="10.26953125" customWidth="1"/>
    <col min="4" max="4" width="10.1796875" customWidth="1"/>
    <col min="5" max="5" width="11" customWidth="1"/>
    <col min="6" max="6" width="10.54296875" customWidth="1"/>
    <col min="7" max="7" width="11.54296875" customWidth="1"/>
    <col min="8" max="8" width="11" customWidth="1"/>
    <col min="9" max="9" width="13.26953125" customWidth="1"/>
    <col min="10" max="10" width="29.54296875" style="79" hidden="1" customWidth="1"/>
    <col min="11" max="11" width="10.81640625" customWidth="1"/>
    <col min="12" max="12" width="12" customWidth="1"/>
    <col min="13" max="13" width="12.7265625" style="66" customWidth="1"/>
    <col min="14" max="14" width="12.453125" style="66" customWidth="1"/>
    <col min="15" max="15" width="10" style="66" bestFit="1" customWidth="1"/>
    <col min="16" max="16" width="5.1796875" style="66" customWidth="1"/>
    <col min="17" max="17" width="7.26953125" customWidth="1"/>
    <col min="19" max="19" width="25.7265625" customWidth="1"/>
  </cols>
  <sheetData>
    <row r="1" spans="1:16" ht="15" x14ac:dyDescent="0.35">
      <c r="A1" s="25" t="s">
        <v>72</v>
      </c>
      <c r="B1" s="29"/>
      <c r="C1" s="29"/>
      <c r="D1" s="29"/>
      <c r="E1" s="29"/>
      <c r="F1" s="29"/>
      <c r="G1" s="29"/>
      <c r="H1" s="29"/>
      <c r="I1" s="29"/>
    </row>
    <row r="2" spans="1:16" ht="78" x14ac:dyDescent="0.35">
      <c r="A2" s="30" t="s">
        <v>0</v>
      </c>
      <c r="B2" s="31" t="s">
        <v>48</v>
      </c>
      <c r="C2" s="31" t="s">
        <v>49</v>
      </c>
      <c r="D2" s="31" t="s">
        <v>50</v>
      </c>
      <c r="E2" s="31" t="s">
        <v>80</v>
      </c>
      <c r="F2" s="31" t="s">
        <v>51</v>
      </c>
      <c r="G2" s="31" t="s">
        <v>52</v>
      </c>
      <c r="H2" s="31" t="s">
        <v>53</v>
      </c>
      <c r="I2" s="31" t="s">
        <v>81</v>
      </c>
      <c r="J2" s="87" t="s">
        <v>151</v>
      </c>
      <c r="K2" s="48"/>
      <c r="L2" s="9"/>
      <c r="M2" s="52"/>
      <c r="N2" s="53"/>
      <c r="O2" s="10"/>
      <c r="P2" s="10"/>
    </row>
    <row r="3" spans="1:16" x14ac:dyDescent="0.35">
      <c r="A3" s="32" t="s">
        <v>6</v>
      </c>
      <c r="B3" s="33" t="s">
        <v>7</v>
      </c>
      <c r="C3" s="33"/>
      <c r="D3" s="33"/>
      <c r="E3" s="33"/>
      <c r="F3" s="33"/>
      <c r="G3" s="33"/>
      <c r="H3" s="33"/>
      <c r="I3" s="34"/>
      <c r="K3" s="9" t="s">
        <v>54</v>
      </c>
      <c r="L3" s="11">
        <v>122.66</v>
      </c>
      <c r="M3" s="67"/>
      <c r="N3" s="67"/>
      <c r="P3" s="11"/>
    </row>
    <row r="4" spans="1:16" x14ac:dyDescent="0.35">
      <c r="A4" s="32" t="s">
        <v>8</v>
      </c>
      <c r="B4" s="33" t="s">
        <v>7</v>
      </c>
      <c r="C4" s="33"/>
      <c r="D4" s="33"/>
      <c r="E4" s="33"/>
      <c r="F4" s="33"/>
      <c r="G4" s="33"/>
      <c r="H4" s="33"/>
      <c r="I4" s="34"/>
      <c r="K4" s="9" t="s">
        <v>55</v>
      </c>
      <c r="L4" s="11">
        <v>149.84</v>
      </c>
      <c r="M4" s="67"/>
      <c r="N4" s="67"/>
      <c r="P4" s="11"/>
    </row>
    <row r="5" spans="1:16" x14ac:dyDescent="0.35">
      <c r="A5" s="32" t="s">
        <v>9</v>
      </c>
      <c r="B5" s="33"/>
      <c r="C5" s="33"/>
      <c r="D5" s="33"/>
      <c r="E5" s="33"/>
      <c r="F5" s="33"/>
      <c r="G5" s="33"/>
      <c r="H5" s="33"/>
      <c r="I5" s="34"/>
      <c r="K5" s="9" t="s">
        <v>56</v>
      </c>
      <c r="L5" s="11">
        <v>60.88</v>
      </c>
      <c r="M5" s="67"/>
      <c r="N5" s="67"/>
      <c r="P5" s="11"/>
    </row>
    <row r="6" spans="1:16" ht="53.5" x14ac:dyDescent="0.35">
      <c r="A6" s="35" t="s">
        <v>105</v>
      </c>
      <c r="B6" s="38">
        <v>1</v>
      </c>
      <c r="C6" s="38">
        <v>1</v>
      </c>
      <c r="D6" s="37">
        <f>B6*C6</f>
        <v>1</v>
      </c>
      <c r="E6" s="37">
        <f>'Count of Respondents'!C7</f>
        <v>104</v>
      </c>
      <c r="F6" s="138">
        <f>D6*E6</f>
        <v>104</v>
      </c>
      <c r="G6" s="37">
        <f>F6*0.05</f>
        <v>5.2</v>
      </c>
      <c r="H6" s="37">
        <f>F6*0.1</f>
        <v>10.4</v>
      </c>
      <c r="I6" s="139">
        <f>F6*$L$3+G6*$L$4+H6*$L$5</f>
        <v>14168.96</v>
      </c>
      <c r="J6" s="86" t="s">
        <v>145</v>
      </c>
    </row>
    <row r="7" spans="1:16" ht="45.75" customHeight="1" x14ac:dyDescent="0.35">
      <c r="A7" s="35" t="s">
        <v>82</v>
      </c>
      <c r="B7" s="38"/>
      <c r="C7" s="38"/>
      <c r="D7" s="37"/>
      <c r="E7" s="37"/>
      <c r="F7" s="37"/>
      <c r="G7" s="37"/>
      <c r="H7" s="37"/>
      <c r="I7" s="141"/>
      <c r="K7" s="66"/>
      <c r="L7" s="66"/>
      <c r="M7"/>
      <c r="N7"/>
      <c r="O7"/>
      <c r="P7"/>
    </row>
    <row r="8" spans="1:16" x14ac:dyDescent="0.35">
      <c r="A8" s="36" t="s">
        <v>10</v>
      </c>
      <c r="B8" s="38">
        <v>24</v>
      </c>
      <c r="C8" s="38">
        <v>1</v>
      </c>
      <c r="D8" s="37">
        <f t="shared" ref="D8:D11" si="0">B8*C8</f>
        <v>24</v>
      </c>
      <c r="E8" s="37">
        <v>25</v>
      </c>
      <c r="F8" s="138">
        <f>D8*E8</f>
        <v>600</v>
      </c>
      <c r="G8" s="37">
        <f>F8*0.05</f>
        <v>30</v>
      </c>
      <c r="H8" s="37">
        <f>F8*0.1</f>
        <v>60</v>
      </c>
      <c r="I8" s="142">
        <v>71559</v>
      </c>
      <c r="J8" s="80" t="s">
        <v>106</v>
      </c>
      <c r="K8" s="66"/>
      <c r="L8" s="66"/>
      <c r="N8"/>
      <c r="O8"/>
      <c r="P8"/>
    </row>
    <row r="9" spans="1:16" x14ac:dyDescent="0.35">
      <c r="A9" s="36" t="s">
        <v>11</v>
      </c>
      <c r="B9" s="38">
        <v>24</v>
      </c>
      <c r="C9" s="38">
        <v>2</v>
      </c>
      <c r="D9" s="37">
        <f t="shared" si="0"/>
        <v>48</v>
      </c>
      <c r="E9" s="37">
        <v>25</v>
      </c>
      <c r="F9" s="138">
        <f>D9*E9</f>
        <v>1200</v>
      </c>
      <c r="G9" s="37">
        <f>F9*0.05</f>
        <v>60</v>
      </c>
      <c r="H9" s="37">
        <f>F9*0.1</f>
        <v>120</v>
      </c>
      <c r="I9" s="139">
        <f>F9*$L$3+G9*$L$4+H9*$L$5</f>
        <v>163488</v>
      </c>
      <c r="K9" s="66"/>
      <c r="L9" s="66"/>
      <c r="N9"/>
      <c r="O9"/>
      <c r="P9"/>
    </row>
    <row r="10" spans="1:16" x14ac:dyDescent="0.35">
      <c r="A10" s="36" t="s">
        <v>12</v>
      </c>
      <c r="B10" s="38">
        <v>24</v>
      </c>
      <c r="C10" s="38">
        <v>1</v>
      </c>
      <c r="D10" s="37">
        <f t="shared" si="0"/>
        <v>24</v>
      </c>
      <c r="E10" s="37">
        <v>5</v>
      </c>
      <c r="F10" s="138">
        <f>D10*E10</f>
        <v>120</v>
      </c>
      <c r="G10" s="37">
        <f>F10*0.05</f>
        <v>6</v>
      </c>
      <c r="H10" s="37">
        <f>F10*0.1</f>
        <v>12</v>
      </c>
      <c r="I10" s="139">
        <f>F10*$L$3+G10*$L$4+H10*$L$5</f>
        <v>16348.799999999997</v>
      </c>
      <c r="J10" s="81"/>
      <c r="K10" s="66"/>
      <c r="L10" s="66"/>
      <c r="N10"/>
      <c r="O10"/>
      <c r="P10"/>
    </row>
    <row r="11" spans="1:16" x14ac:dyDescent="0.35">
      <c r="A11" s="36" t="s">
        <v>13</v>
      </c>
      <c r="B11" s="38">
        <v>24</v>
      </c>
      <c r="C11" s="38">
        <v>2</v>
      </c>
      <c r="D11" s="37">
        <f t="shared" si="0"/>
        <v>48</v>
      </c>
      <c r="E11" s="37">
        <v>5</v>
      </c>
      <c r="F11" s="138">
        <f>D11*E11</f>
        <v>240</v>
      </c>
      <c r="G11" s="37">
        <f>F11*0.05</f>
        <v>12</v>
      </c>
      <c r="H11" s="37">
        <f>F11*0.1</f>
        <v>24</v>
      </c>
      <c r="I11" s="139">
        <f>F11*$L$3+G11*$L$4+H11*$L$5</f>
        <v>32697.599999999995</v>
      </c>
      <c r="K11" s="66"/>
      <c r="L11" s="66"/>
      <c r="N11"/>
      <c r="O11"/>
      <c r="P11"/>
    </row>
    <row r="12" spans="1:16" x14ac:dyDescent="0.35">
      <c r="A12" s="35" t="s">
        <v>14</v>
      </c>
      <c r="B12" s="38" t="s">
        <v>15</v>
      </c>
      <c r="C12" s="38"/>
      <c r="D12" s="37"/>
      <c r="E12" s="37"/>
      <c r="F12" s="37"/>
      <c r="G12" s="37"/>
      <c r="H12" s="37"/>
      <c r="I12" s="141"/>
    </row>
    <row r="13" spans="1:16" x14ac:dyDescent="0.35">
      <c r="A13" s="35" t="s">
        <v>16</v>
      </c>
      <c r="B13" s="38" t="s">
        <v>15</v>
      </c>
      <c r="C13" s="38"/>
      <c r="D13" s="37"/>
      <c r="E13" s="37"/>
      <c r="F13" s="37"/>
      <c r="G13" s="37"/>
      <c r="H13" s="37"/>
      <c r="I13" s="141"/>
    </row>
    <row r="14" spans="1:16" x14ac:dyDescent="0.35">
      <c r="A14" s="35" t="s">
        <v>113</v>
      </c>
      <c r="B14" s="38"/>
      <c r="C14" s="38"/>
      <c r="D14" s="37"/>
      <c r="E14" s="37"/>
      <c r="F14" s="37"/>
      <c r="G14" s="37"/>
      <c r="H14" s="37"/>
      <c r="I14" s="141"/>
      <c r="K14" s="168" t="s">
        <v>57</v>
      </c>
      <c r="L14" s="168"/>
    </row>
    <row r="15" spans="1:16" ht="15.5" x14ac:dyDescent="0.35">
      <c r="A15" s="39" t="s">
        <v>146</v>
      </c>
      <c r="B15" s="38"/>
      <c r="C15" s="38"/>
      <c r="D15" s="37"/>
      <c r="E15" s="37"/>
      <c r="F15" s="37"/>
      <c r="G15" s="37"/>
      <c r="H15" s="37"/>
      <c r="I15" s="141"/>
      <c r="K15" s="12">
        <f>F50</f>
        <v>117000</v>
      </c>
      <c r="L15" s="13" t="s">
        <v>58</v>
      </c>
    </row>
    <row r="16" spans="1:16" x14ac:dyDescent="0.35">
      <c r="A16" s="45" t="s">
        <v>17</v>
      </c>
      <c r="B16" s="38">
        <v>2</v>
      </c>
      <c r="C16" s="38">
        <v>1</v>
      </c>
      <c r="D16" s="37">
        <f t="shared" ref="D16:D22" si="1">B16*C16</f>
        <v>2</v>
      </c>
      <c r="E16" s="143">
        <f>'Count of Respondents'!B7</f>
        <v>1</v>
      </c>
      <c r="F16" s="138">
        <f t="shared" ref="F16:F22" si="2">D16*E16</f>
        <v>2</v>
      </c>
      <c r="G16" s="113">
        <f t="shared" ref="G16:G22" si="3">F16*0.05</f>
        <v>0.1</v>
      </c>
      <c r="H16" s="113">
        <f t="shared" ref="H16:H22" si="4">F16*0.1</f>
        <v>0.2</v>
      </c>
      <c r="I16" s="139">
        <f t="shared" ref="I16:I22" si="5">F16*$L$3+G16*$L$4+H16*$L$5</f>
        <v>272.47999999999996</v>
      </c>
      <c r="J16" s="80" t="s">
        <v>107</v>
      </c>
      <c r="K16" s="12">
        <f>'# Responses'!E14</f>
        <v>338</v>
      </c>
      <c r="L16" s="13" t="s">
        <v>59</v>
      </c>
    </row>
    <row r="17" spans="1:12" x14ac:dyDescent="0.35">
      <c r="A17" s="45" t="s">
        <v>18</v>
      </c>
      <c r="B17" s="38">
        <v>2</v>
      </c>
      <c r="C17" s="38">
        <v>1</v>
      </c>
      <c r="D17" s="37">
        <f t="shared" si="1"/>
        <v>2</v>
      </c>
      <c r="E17" s="143">
        <f>'Count of Respondents'!B7</f>
        <v>1</v>
      </c>
      <c r="F17" s="138">
        <f t="shared" si="2"/>
        <v>2</v>
      </c>
      <c r="G17" s="113">
        <f t="shared" si="3"/>
        <v>0.1</v>
      </c>
      <c r="H17" s="113">
        <f t="shared" si="4"/>
        <v>0.2</v>
      </c>
      <c r="I17" s="139">
        <f t="shared" si="5"/>
        <v>272.47999999999996</v>
      </c>
      <c r="J17" s="80" t="s">
        <v>107</v>
      </c>
      <c r="K17" s="12">
        <f>K15/K16</f>
        <v>346.15384615384613</v>
      </c>
      <c r="L17" s="13" t="s">
        <v>60</v>
      </c>
    </row>
    <row r="18" spans="1:12" x14ac:dyDescent="0.35">
      <c r="A18" s="45" t="s">
        <v>19</v>
      </c>
      <c r="B18" s="38">
        <v>2</v>
      </c>
      <c r="C18" s="38">
        <v>1</v>
      </c>
      <c r="D18" s="37">
        <f t="shared" si="1"/>
        <v>2</v>
      </c>
      <c r="E18" s="143">
        <f>'Count of Respondents'!B7</f>
        <v>1</v>
      </c>
      <c r="F18" s="138">
        <f t="shared" si="2"/>
        <v>2</v>
      </c>
      <c r="G18" s="113">
        <f t="shared" si="3"/>
        <v>0.1</v>
      </c>
      <c r="H18" s="113">
        <f t="shared" si="4"/>
        <v>0.2</v>
      </c>
      <c r="I18" s="139">
        <f t="shared" si="5"/>
        <v>272.47999999999996</v>
      </c>
      <c r="J18" s="80" t="s">
        <v>107</v>
      </c>
    </row>
    <row r="19" spans="1:12" x14ac:dyDescent="0.35">
      <c r="A19" s="45" t="s">
        <v>20</v>
      </c>
      <c r="B19" s="38">
        <v>80</v>
      </c>
      <c r="C19" s="38">
        <v>1</v>
      </c>
      <c r="D19" s="37">
        <f t="shared" si="1"/>
        <v>80</v>
      </c>
      <c r="E19" s="143">
        <f>'Count of Respondents'!B7</f>
        <v>1</v>
      </c>
      <c r="F19" s="138">
        <f t="shared" si="2"/>
        <v>80</v>
      </c>
      <c r="G19" s="113">
        <f t="shared" si="3"/>
        <v>4</v>
      </c>
      <c r="H19" s="113">
        <f t="shared" si="4"/>
        <v>8</v>
      </c>
      <c r="I19" s="139">
        <f t="shared" si="5"/>
        <v>10899.2</v>
      </c>
      <c r="J19" s="80" t="s">
        <v>107</v>
      </c>
    </row>
    <row r="20" spans="1:12" x14ac:dyDescent="0.35">
      <c r="A20" s="45" t="s">
        <v>21</v>
      </c>
      <c r="B20" s="38">
        <v>2</v>
      </c>
      <c r="C20" s="38">
        <v>1</v>
      </c>
      <c r="D20" s="37">
        <f t="shared" si="1"/>
        <v>2</v>
      </c>
      <c r="E20" s="37">
        <v>42</v>
      </c>
      <c r="F20" s="138">
        <f t="shared" si="2"/>
        <v>84</v>
      </c>
      <c r="G20" s="37">
        <f t="shared" si="3"/>
        <v>4.2</v>
      </c>
      <c r="H20" s="37">
        <f t="shared" si="4"/>
        <v>8.4</v>
      </c>
      <c r="I20" s="139">
        <f t="shared" si="5"/>
        <v>11444.16</v>
      </c>
      <c r="L20" s="117"/>
    </row>
    <row r="21" spans="1:12" x14ac:dyDescent="0.35">
      <c r="A21" s="45" t="s">
        <v>22</v>
      </c>
      <c r="B21" s="38">
        <v>2</v>
      </c>
      <c r="C21" s="38">
        <v>1</v>
      </c>
      <c r="D21" s="37">
        <f t="shared" si="1"/>
        <v>2</v>
      </c>
      <c r="E21" s="37">
        <v>42</v>
      </c>
      <c r="F21" s="138">
        <f t="shared" si="2"/>
        <v>84</v>
      </c>
      <c r="G21" s="37">
        <f t="shared" si="3"/>
        <v>4.2</v>
      </c>
      <c r="H21" s="37">
        <f t="shared" si="4"/>
        <v>8.4</v>
      </c>
      <c r="I21" s="139">
        <f t="shared" si="5"/>
        <v>11444.16</v>
      </c>
    </row>
    <row r="22" spans="1:12" ht="28.5" x14ac:dyDescent="0.35">
      <c r="A22" s="49" t="s">
        <v>98</v>
      </c>
      <c r="B22" s="38">
        <v>8</v>
      </c>
      <c r="C22" s="38">
        <v>1</v>
      </c>
      <c r="D22" s="37">
        <f t="shared" si="1"/>
        <v>8</v>
      </c>
      <c r="E22" s="37">
        <v>42</v>
      </c>
      <c r="F22" s="138">
        <f t="shared" si="2"/>
        <v>336</v>
      </c>
      <c r="G22" s="37">
        <f t="shared" si="3"/>
        <v>16.8</v>
      </c>
      <c r="H22" s="37">
        <f t="shared" si="4"/>
        <v>33.6</v>
      </c>
      <c r="I22" s="139">
        <f t="shared" si="5"/>
        <v>45776.639999999999</v>
      </c>
    </row>
    <row r="23" spans="1:12" ht="15.5" x14ac:dyDescent="0.35">
      <c r="A23" s="46" t="s">
        <v>99</v>
      </c>
      <c r="B23" s="38"/>
      <c r="C23" s="38"/>
      <c r="D23" s="37"/>
      <c r="E23" s="37"/>
      <c r="F23" s="37"/>
      <c r="G23" s="37"/>
      <c r="H23" s="37"/>
      <c r="I23" s="141"/>
    </row>
    <row r="24" spans="1:12" ht="26" x14ac:dyDescent="0.35">
      <c r="A24" s="45" t="s">
        <v>100</v>
      </c>
      <c r="B24" s="38">
        <v>16</v>
      </c>
      <c r="C24" s="38">
        <v>2</v>
      </c>
      <c r="D24" s="37">
        <f t="shared" ref="D24:D25" si="6">B24*C24</f>
        <v>32</v>
      </c>
      <c r="E24" s="37">
        <v>5</v>
      </c>
      <c r="F24" s="138">
        <f>D24*E24</f>
        <v>160</v>
      </c>
      <c r="G24" s="37">
        <f>F24*0.05</f>
        <v>8</v>
      </c>
      <c r="H24" s="37">
        <f>F24*0.1</f>
        <v>16</v>
      </c>
      <c r="I24" s="139">
        <f>F24*$L$3+G24*$L$4+H24*$L$5</f>
        <v>21798.400000000001</v>
      </c>
    </row>
    <row r="25" spans="1:12" x14ac:dyDescent="0.35">
      <c r="A25" s="47" t="s">
        <v>101</v>
      </c>
      <c r="B25" s="38">
        <v>8</v>
      </c>
      <c r="C25" s="38">
        <v>2</v>
      </c>
      <c r="D25" s="37">
        <f t="shared" si="6"/>
        <v>16</v>
      </c>
      <c r="E25" s="37">
        <v>99</v>
      </c>
      <c r="F25" s="138">
        <f>D25*E25</f>
        <v>1584</v>
      </c>
      <c r="G25" s="37">
        <f>F25*0.05</f>
        <v>79.2</v>
      </c>
      <c r="H25" s="37">
        <f>F25*0.1</f>
        <v>158.4</v>
      </c>
      <c r="I25" s="139">
        <f>F25*$L$3+G25*$L$4+H25*$L$5</f>
        <v>215804.16</v>
      </c>
      <c r="J25" s="81"/>
    </row>
    <row r="26" spans="1:12" x14ac:dyDescent="0.35">
      <c r="A26" s="89" t="s">
        <v>23</v>
      </c>
      <c r="B26" s="38"/>
      <c r="C26" s="38"/>
      <c r="D26" s="37"/>
      <c r="E26" s="144"/>
      <c r="F26" s="167">
        <f>SUM(F6:H25)</f>
        <v>5287.699999999998</v>
      </c>
      <c r="G26" s="167"/>
      <c r="H26" s="167"/>
      <c r="I26" s="145">
        <f>SUM(I6:I25)</f>
        <v>616246.5199999999</v>
      </c>
      <c r="J26" s="81"/>
      <c r="K26" s="14"/>
      <c r="L26" s="8"/>
    </row>
    <row r="27" spans="1:12" x14ac:dyDescent="0.35">
      <c r="A27" s="32" t="s">
        <v>24</v>
      </c>
      <c r="B27" s="33"/>
      <c r="C27" s="33"/>
      <c r="D27" s="37"/>
      <c r="E27" s="37"/>
      <c r="F27" s="37"/>
      <c r="G27" s="37"/>
      <c r="H27" s="37"/>
      <c r="I27" s="141"/>
    </row>
    <row r="28" spans="1:12" x14ac:dyDescent="0.35">
      <c r="A28" s="35" t="s">
        <v>25</v>
      </c>
      <c r="B28" s="33" t="s">
        <v>26</v>
      </c>
      <c r="C28" s="33"/>
      <c r="D28" s="37"/>
      <c r="E28" s="37"/>
      <c r="F28" s="37"/>
      <c r="G28" s="37"/>
      <c r="H28" s="37"/>
      <c r="I28" s="141"/>
    </row>
    <row r="29" spans="1:12" x14ac:dyDescent="0.35">
      <c r="A29" s="35" t="s">
        <v>27</v>
      </c>
      <c r="B29" s="33" t="s">
        <v>15</v>
      </c>
      <c r="C29" s="33"/>
      <c r="D29" s="37"/>
      <c r="E29" s="37"/>
      <c r="F29" s="37"/>
      <c r="G29" s="37"/>
      <c r="H29" s="37"/>
      <c r="I29" s="141"/>
    </row>
    <row r="30" spans="1:12" x14ac:dyDescent="0.35">
      <c r="A30" s="35" t="s">
        <v>28</v>
      </c>
      <c r="B30" s="33" t="s">
        <v>15</v>
      </c>
      <c r="C30" s="33"/>
      <c r="D30" s="37"/>
      <c r="E30" s="37"/>
      <c r="F30" s="37"/>
      <c r="G30" s="37"/>
      <c r="H30" s="37"/>
      <c r="I30" s="141"/>
    </row>
    <row r="31" spans="1:12" ht="15.5" x14ac:dyDescent="0.35">
      <c r="A31" s="35" t="s">
        <v>83</v>
      </c>
      <c r="B31" s="38">
        <v>40</v>
      </c>
      <c r="C31" s="33">
        <v>1</v>
      </c>
      <c r="D31" s="37">
        <f>B31*C31</f>
        <v>40</v>
      </c>
      <c r="E31" s="143">
        <f>'Count of Respondents'!B7</f>
        <v>1</v>
      </c>
      <c r="F31" s="138">
        <f>D31*E31</f>
        <v>40</v>
      </c>
      <c r="G31" s="37">
        <v>2</v>
      </c>
      <c r="H31" s="113">
        <f>F31*0.1</f>
        <v>4</v>
      </c>
      <c r="I31" s="139">
        <f>F31*$L$3+G31*$L$4+H31*$L$5</f>
        <v>5449.6</v>
      </c>
      <c r="J31" s="80" t="s">
        <v>107</v>
      </c>
    </row>
    <row r="32" spans="1:12" x14ac:dyDescent="0.35">
      <c r="A32" s="35" t="s">
        <v>29</v>
      </c>
      <c r="B32" s="38"/>
      <c r="C32" s="33"/>
      <c r="D32" s="37"/>
      <c r="E32" s="37"/>
      <c r="F32" s="37"/>
      <c r="G32" s="37"/>
      <c r="H32" s="37"/>
      <c r="I32" s="141"/>
    </row>
    <row r="33" spans="1:16" ht="28.5" x14ac:dyDescent="0.35">
      <c r="A33" s="39" t="s">
        <v>84</v>
      </c>
      <c r="B33" s="38">
        <v>8</v>
      </c>
      <c r="C33" s="33">
        <v>1</v>
      </c>
      <c r="D33" s="37">
        <f t="shared" ref="D33:D47" si="7">B33*C33</f>
        <v>8</v>
      </c>
      <c r="E33" s="37">
        <v>42</v>
      </c>
      <c r="F33" s="138">
        <f t="shared" ref="F33:F40" si="8">D33*E33</f>
        <v>336</v>
      </c>
      <c r="G33" s="37">
        <v>17</v>
      </c>
      <c r="H33" s="37">
        <f t="shared" ref="H33:H40" si="9">F33*0.1</f>
        <v>33.6</v>
      </c>
      <c r="I33" s="139">
        <f t="shared" ref="I33:I40" si="10">F33*$L$3+G33*$L$4+H33*$L$5</f>
        <v>45806.608</v>
      </c>
      <c r="J33" s="81"/>
    </row>
    <row r="34" spans="1:16" x14ac:dyDescent="0.35">
      <c r="A34" s="39" t="s">
        <v>30</v>
      </c>
      <c r="B34" s="38">
        <v>2</v>
      </c>
      <c r="C34" s="33">
        <v>1</v>
      </c>
      <c r="D34" s="37">
        <f t="shared" si="7"/>
        <v>2</v>
      </c>
      <c r="E34" s="37">
        <v>42</v>
      </c>
      <c r="F34" s="138">
        <f t="shared" si="8"/>
        <v>84</v>
      </c>
      <c r="G34" s="37">
        <v>4.3</v>
      </c>
      <c r="H34" s="37">
        <f t="shared" si="9"/>
        <v>8.4</v>
      </c>
      <c r="I34" s="139">
        <f t="shared" si="10"/>
        <v>11459.144</v>
      </c>
      <c r="J34" s="81"/>
    </row>
    <row r="35" spans="1:16" ht="62.25" customHeight="1" x14ac:dyDescent="0.35">
      <c r="A35" s="39" t="s">
        <v>85</v>
      </c>
      <c r="B35" s="38">
        <v>2</v>
      </c>
      <c r="C35" s="33">
        <v>1</v>
      </c>
      <c r="D35" s="37">
        <f t="shared" si="7"/>
        <v>2</v>
      </c>
      <c r="E35" s="37">
        <v>1</v>
      </c>
      <c r="F35" s="140">
        <f t="shared" si="8"/>
        <v>2</v>
      </c>
      <c r="G35" s="37">
        <v>7.0000000000000007E-2</v>
      </c>
      <c r="H35" s="37">
        <f t="shared" si="9"/>
        <v>0.2</v>
      </c>
      <c r="I35" s="139">
        <f t="shared" si="10"/>
        <v>267.98480000000001</v>
      </c>
      <c r="J35" s="80" t="s">
        <v>108</v>
      </c>
      <c r="O35" s="68"/>
      <c r="P35" s="68"/>
    </row>
    <row r="36" spans="1:16" ht="39.75" customHeight="1" x14ac:dyDescent="0.35">
      <c r="A36" s="39" t="s">
        <v>102</v>
      </c>
      <c r="B36" s="38">
        <v>8</v>
      </c>
      <c r="C36" s="33">
        <v>2</v>
      </c>
      <c r="D36" s="37">
        <f t="shared" si="7"/>
        <v>16</v>
      </c>
      <c r="E36" s="37">
        <v>178</v>
      </c>
      <c r="F36" s="138">
        <f t="shared" si="8"/>
        <v>2848</v>
      </c>
      <c r="G36" s="37">
        <v>146</v>
      </c>
      <c r="H36" s="37">
        <f t="shared" si="9"/>
        <v>284.8</v>
      </c>
      <c r="I36" s="139">
        <f t="shared" si="10"/>
        <v>388550.94400000002</v>
      </c>
      <c r="J36" s="80" t="s">
        <v>109</v>
      </c>
      <c r="O36" s="68"/>
      <c r="P36" s="68"/>
    </row>
    <row r="37" spans="1:16" ht="15.5" x14ac:dyDescent="0.35">
      <c r="A37" s="36" t="s">
        <v>86</v>
      </c>
      <c r="B37" s="38">
        <v>2</v>
      </c>
      <c r="C37" s="33">
        <v>12</v>
      </c>
      <c r="D37" s="37">
        <f t="shared" si="7"/>
        <v>24</v>
      </c>
      <c r="E37" s="37">
        <v>5</v>
      </c>
      <c r="F37" s="138">
        <f t="shared" si="8"/>
        <v>120</v>
      </c>
      <c r="G37" s="37">
        <v>6</v>
      </c>
      <c r="H37" s="37">
        <f t="shared" si="9"/>
        <v>12</v>
      </c>
      <c r="I37" s="139">
        <f t="shared" si="10"/>
        <v>16348.799999999997</v>
      </c>
      <c r="J37" s="81"/>
      <c r="O37" s="68"/>
      <c r="P37" s="68"/>
    </row>
    <row r="38" spans="1:16" ht="28.5" x14ac:dyDescent="0.35">
      <c r="A38" s="39" t="s">
        <v>87</v>
      </c>
      <c r="B38" s="38">
        <v>1.5</v>
      </c>
      <c r="C38" s="33">
        <v>52</v>
      </c>
      <c r="D38" s="37">
        <f t="shared" si="7"/>
        <v>78</v>
      </c>
      <c r="E38" s="37">
        <v>104</v>
      </c>
      <c r="F38" s="138">
        <f t="shared" si="8"/>
        <v>8112</v>
      </c>
      <c r="G38" s="37">
        <v>406</v>
      </c>
      <c r="H38" s="37">
        <f t="shared" si="9"/>
        <v>811.2</v>
      </c>
      <c r="I38" s="139">
        <f t="shared" si="10"/>
        <v>1105238.8159999999</v>
      </c>
      <c r="J38" s="81"/>
      <c r="O38" s="68"/>
      <c r="P38" s="68"/>
    </row>
    <row r="39" spans="1:16" ht="15.5" x14ac:dyDescent="0.35">
      <c r="A39" s="36" t="s">
        <v>88</v>
      </c>
      <c r="B39" s="38">
        <v>1.5</v>
      </c>
      <c r="C39" s="33">
        <v>52</v>
      </c>
      <c r="D39" s="37">
        <f t="shared" si="7"/>
        <v>78</v>
      </c>
      <c r="E39" s="37">
        <v>95</v>
      </c>
      <c r="F39" s="138">
        <f t="shared" si="8"/>
        <v>7410</v>
      </c>
      <c r="G39" s="37">
        <v>382</v>
      </c>
      <c r="H39" s="37">
        <f t="shared" si="9"/>
        <v>741</v>
      </c>
      <c r="I39" s="139">
        <f t="shared" si="10"/>
        <v>1011261.5599999999</v>
      </c>
      <c r="J39" s="81"/>
      <c r="O39" s="68"/>
      <c r="P39" s="68"/>
    </row>
    <row r="40" spans="1:16" ht="15.5" x14ac:dyDescent="0.35">
      <c r="A40" s="36" t="s">
        <v>89</v>
      </c>
      <c r="B40" s="38">
        <v>0.5</v>
      </c>
      <c r="C40" s="40">
        <v>1050</v>
      </c>
      <c r="D40" s="37">
        <f t="shared" si="7"/>
        <v>525</v>
      </c>
      <c r="E40" s="143">
        <f>'Count of Respondents'!F7</f>
        <v>104</v>
      </c>
      <c r="F40" s="138">
        <f t="shared" si="8"/>
        <v>54600</v>
      </c>
      <c r="G40" s="138">
        <v>2809</v>
      </c>
      <c r="H40" s="37">
        <f t="shared" si="9"/>
        <v>5460</v>
      </c>
      <c r="I40" s="139">
        <f t="shared" si="10"/>
        <v>7450541.3599999994</v>
      </c>
      <c r="J40" s="80" t="s">
        <v>110</v>
      </c>
      <c r="O40" s="69"/>
      <c r="P40" s="68"/>
    </row>
    <row r="41" spans="1:16" x14ac:dyDescent="0.35">
      <c r="A41" s="41" t="s">
        <v>31</v>
      </c>
      <c r="B41" s="38"/>
      <c r="C41" s="33"/>
      <c r="D41" s="37"/>
      <c r="E41" s="37"/>
      <c r="F41" s="37"/>
      <c r="G41" s="37"/>
      <c r="H41" s="37"/>
      <c r="I41" s="141"/>
      <c r="J41" s="81"/>
      <c r="O41" s="68"/>
      <c r="P41" s="68"/>
    </row>
    <row r="42" spans="1:16" ht="15.5" x14ac:dyDescent="0.35">
      <c r="A42" s="49" t="s">
        <v>90</v>
      </c>
      <c r="B42" s="38">
        <v>40</v>
      </c>
      <c r="C42" s="33">
        <v>1</v>
      </c>
      <c r="D42" s="37">
        <f t="shared" si="7"/>
        <v>40</v>
      </c>
      <c r="E42" s="143">
        <f>'Count of Respondents'!B7</f>
        <v>1</v>
      </c>
      <c r="F42" s="138">
        <f>D42*E42</f>
        <v>40</v>
      </c>
      <c r="G42" s="37">
        <v>2</v>
      </c>
      <c r="H42" s="113">
        <f>F42*0.1</f>
        <v>4</v>
      </c>
      <c r="I42" s="139">
        <f>F42*$L$3+G42*$L$4+H42*$L$5</f>
        <v>5449.6</v>
      </c>
      <c r="J42" s="80" t="s">
        <v>107</v>
      </c>
      <c r="M42" s="70"/>
      <c r="N42" s="71"/>
      <c r="O42" s="69"/>
      <c r="P42" s="68"/>
    </row>
    <row r="43" spans="1:16" ht="15.5" x14ac:dyDescent="0.35">
      <c r="A43" s="46" t="s">
        <v>91</v>
      </c>
      <c r="B43" s="33">
        <v>16</v>
      </c>
      <c r="C43" s="33">
        <v>1</v>
      </c>
      <c r="D43" s="37">
        <f t="shared" si="7"/>
        <v>16</v>
      </c>
      <c r="E43" s="37">
        <f>'Count of Respondents'!C7</f>
        <v>104</v>
      </c>
      <c r="F43" s="138">
        <f>D43*E43</f>
        <v>1664</v>
      </c>
      <c r="G43" s="37">
        <v>86</v>
      </c>
      <c r="H43" s="37">
        <f>F43*0.1</f>
        <v>166.4</v>
      </c>
      <c r="I43" s="139">
        <f>F43*$L$3+G43*$L$4+H43*$L$5</f>
        <v>227122.91199999998</v>
      </c>
      <c r="J43" s="81"/>
      <c r="N43" s="71"/>
      <c r="O43" s="69"/>
      <c r="P43" s="68"/>
    </row>
    <row r="44" spans="1:16" ht="83.25" customHeight="1" x14ac:dyDescent="0.35">
      <c r="A44" s="78" t="s">
        <v>92</v>
      </c>
      <c r="B44" s="38">
        <v>17.8</v>
      </c>
      <c r="C44" s="33">
        <v>1</v>
      </c>
      <c r="D44" s="37">
        <f t="shared" si="7"/>
        <v>17.8</v>
      </c>
      <c r="E44" s="37">
        <v>0</v>
      </c>
      <c r="F44" s="138">
        <f>D44*E44</f>
        <v>0</v>
      </c>
      <c r="G44" s="37">
        <v>144</v>
      </c>
      <c r="H44" s="37">
        <f>F44*0.1</f>
        <v>0</v>
      </c>
      <c r="I44" s="139">
        <f>F44*$L$3+G44*$L$4+H44*$L$5</f>
        <v>21576.959999999999</v>
      </c>
      <c r="J44" s="86" t="s">
        <v>150</v>
      </c>
    </row>
    <row r="45" spans="1:16" x14ac:dyDescent="0.35">
      <c r="A45" s="35" t="s">
        <v>32</v>
      </c>
      <c r="B45" s="33"/>
      <c r="C45" s="33"/>
      <c r="D45" s="37"/>
      <c r="E45" s="37"/>
      <c r="F45" s="37"/>
      <c r="G45" s="37"/>
      <c r="H45" s="37"/>
      <c r="I45" s="141"/>
      <c r="J45" s="81"/>
    </row>
    <row r="46" spans="1:16" ht="15.5" x14ac:dyDescent="0.35">
      <c r="A46" s="36" t="s">
        <v>93</v>
      </c>
      <c r="B46" s="38">
        <v>96</v>
      </c>
      <c r="C46" s="33">
        <v>2</v>
      </c>
      <c r="D46" s="37">
        <f t="shared" si="7"/>
        <v>192</v>
      </c>
      <c r="E46" s="143">
        <f>'Count of Respondents'!F7</f>
        <v>104</v>
      </c>
      <c r="F46" s="138">
        <f>D46*E46</f>
        <v>19968</v>
      </c>
      <c r="G46" s="138">
        <v>1027</v>
      </c>
      <c r="H46" s="37">
        <f>F46*0.1</f>
        <v>1996.8000000000002</v>
      </c>
      <c r="I46" s="139">
        <f>F46*$L$3+G46*$L$4+H46*$L$5</f>
        <v>2724725.7439999999</v>
      </c>
      <c r="J46" s="80" t="s">
        <v>110</v>
      </c>
    </row>
    <row r="47" spans="1:16" ht="15.5" x14ac:dyDescent="0.35">
      <c r="A47" s="36" t="s">
        <v>94</v>
      </c>
      <c r="B47" s="38">
        <v>8</v>
      </c>
      <c r="C47" s="33">
        <v>2</v>
      </c>
      <c r="D47" s="37">
        <f t="shared" si="7"/>
        <v>16</v>
      </c>
      <c r="E47" s="143">
        <f>'Count of Respondents'!F7</f>
        <v>104</v>
      </c>
      <c r="F47" s="138">
        <f>D47*E47</f>
        <v>1664</v>
      </c>
      <c r="G47" s="37">
        <v>86</v>
      </c>
      <c r="H47" s="113">
        <f>F47*0.1</f>
        <v>166.4</v>
      </c>
      <c r="I47" s="139">
        <f>F47*$L$3+G47*$L$4+H47*$L$5</f>
        <v>227122.91199999998</v>
      </c>
      <c r="J47" s="80" t="s">
        <v>110</v>
      </c>
    </row>
    <row r="48" spans="1:16" x14ac:dyDescent="0.35">
      <c r="A48" s="35" t="s">
        <v>33</v>
      </c>
      <c r="B48" s="33" t="s">
        <v>7</v>
      </c>
      <c r="C48" s="33"/>
      <c r="D48" s="37"/>
      <c r="E48" s="37"/>
      <c r="F48" s="37"/>
      <c r="G48" s="37"/>
      <c r="H48" s="37"/>
      <c r="I48" s="141"/>
      <c r="O48" s="69"/>
      <c r="P48" s="68"/>
    </row>
    <row r="49" spans="1:22" x14ac:dyDescent="0.35">
      <c r="A49" s="90" t="s">
        <v>34</v>
      </c>
      <c r="B49" s="33"/>
      <c r="C49" s="33"/>
      <c r="D49" s="37"/>
      <c r="E49" s="37"/>
      <c r="F49" s="167">
        <f>SUM(F31:H48)</f>
        <v>111694.17</v>
      </c>
      <c r="G49" s="167"/>
      <c r="H49" s="167"/>
      <c r="I49" s="145">
        <f>SUM(I31:I47)</f>
        <v>13240922.944800001</v>
      </c>
      <c r="J49" s="82"/>
      <c r="O49" s="68"/>
      <c r="P49" s="68"/>
    </row>
    <row r="50" spans="1:22" ht="78.75" customHeight="1" x14ac:dyDescent="0.35">
      <c r="A50" s="42" t="s">
        <v>95</v>
      </c>
      <c r="B50" s="33"/>
      <c r="C50" s="33"/>
      <c r="D50" s="37"/>
      <c r="E50" s="37"/>
      <c r="F50" s="167">
        <f>ROUND(SUM(F49,F26), -3)</f>
        <v>117000</v>
      </c>
      <c r="G50" s="167"/>
      <c r="H50" s="167"/>
      <c r="I50" s="145">
        <f>ROUND(SUM(I49,I26), -5)</f>
        <v>13900000</v>
      </c>
      <c r="J50" s="88" t="s">
        <v>143</v>
      </c>
      <c r="K50" s="60"/>
      <c r="L50" s="134"/>
      <c r="M50" s="135"/>
      <c r="N50" s="72"/>
      <c r="O50" s="73"/>
      <c r="P50" s="73"/>
      <c r="Q50" s="59"/>
      <c r="R50" s="29"/>
      <c r="S50" s="29"/>
      <c r="T50" s="29"/>
      <c r="U50" s="29"/>
      <c r="V50" s="29"/>
    </row>
    <row r="51" spans="1:22" ht="15" x14ac:dyDescent="0.35">
      <c r="A51" s="42" t="s">
        <v>96</v>
      </c>
      <c r="B51" s="43"/>
      <c r="C51" s="43"/>
      <c r="D51" s="43"/>
      <c r="E51" s="43"/>
      <c r="F51" s="43"/>
      <c r="G51" s="43"/>
      <c r="H51" s="43"/>
      <c r="I51" s="50">
        <f>ROUND('CapitalStartup Costs'!D10, -2)</f>
        <v>788000</v>
      </c>
      <c r="J51" s="83" t="s">
        <v>112</v>
      </c>
      <c r="K51" s="14"/>
      <c r="L51" s="136"/>
      <c r="M51" s="137"/>
      <c r="O51" s="68"/>
      <c r="P51" s="68"/>
    </row>
    <row r="52" spans="1:22" ht="15" x14ac:dyDescent="0.35">
      <c r="A52" s="44" t="s">
        <v>97</v>
      </c>
      <c r="B52" s="43"/>
      <c r="C52" s="43"/>
      <c r="D52" s="43"/>
      <c r="E52" s="43"/>
      <c r="F52" s="43"/>
      <c r="G52" s="43"/>
      <c r="H52" s="43"/>
      <c r="I52" s="51">
        <f>ROUND(I50+I51, -5)</f>
        <v>14700000</v>
      </c>
      <c r="J52" s="83" t="s">
        <v>111</v>
      </c>
      <c r="K52" s="14"/>
      <c r="L52" s="29"/>
      <c r="M52" s="74"/>
      <c r="N52" s="72"/>
      <c r="O52" s="75"/>
      <c r="P52" s="68"/>
    </row>
    <row r="53" spans="1:22" x14ac:dyDescent="0.35">
      <c r="A53" s="3"/>
      <c r="B53" s="4"/>
      <c r="C53" s="4"/>
      <c r="D53" s="4"/>
      <c r="E53" s="4"/>
      <c r="F53" s="5"/>
      <c r="G53" s="5"/>
      <c r="H53" s="5"/>
      <c r="I53" s="6"/>
      <c r="J53" s="84"/>
      <c r="K53" s="14"/>
      <c r="L53" s="29"/>
      <c r="M53" s="72"/>
      <c r="N53" s="72"/>
      <c r="O53" s="73"/>
      <c r="P53" s="68"/>
    </row>
    <row r="54" spans="1:22" s="27" customFormat="1" ht="72" customHeight="1" x14ac:dyDescent="0.35">
      <c r="A54" s="163" t="s">
        <v>168</v>
      </c>
      <c r="B54" s="164"/>
      <c r="C54" s="164"/>
      <c r="D54" s="164"/>
      <c r="E54" s="164"/>
      <c r="F54" s="164"/>
      <c r="G54" s="164"/>
      <c r="H54" s="164"/>
      <c r="I54" s="164"/>
      <c r="J54" s="81"/>
      <c r="K54" s="58"/>
      <c r="L54" s="59"/>
      <c r="M54" s="76"/>
      <c r="N54" s="77"/>
      <c r="O54" s="76"/>
      <c r="P54" s="57"/>
    </row>
    <row r="55" spans="1:22" ht="42" customHeight="1" x14ac:dyDescent="0.35">
      <c r="A55" s="163" t="s">
        <v>155</v>
      </c>
      <c r="B55" s="164"/>
      <c r="C55" s="164"/>
      <c r="D55" s="164"/>
      <c r="E55" s="164"/>
      <c r="F55" s="164"/>
      <c r="G55" s="164"/>
      <c r="H55" s="164"/>
      <c r="I55" s="164"/>
      <c r="L55" s="29"/>
      <c r="M55" s="72"/>
      <c r="N55" s="72"/>
      <c r="O55" s="72"/>
      <c r="S55" s="116"/>
    </row>
    <row r="56" spans="1:22" ht="15.5" x14ac:dyDescent="0.35">
      <c r="A56" s="114" t="s">
        <v>156</v>
      </c>
      <c r="B56" s="76"/>
      <c r="C56" s="76"/>
      <c r="D56" s="76"/>
      <c r="E56" s="76"/>
      <c r="F56" s="76"/>
      <c r="G56" s="76"/>
      <c r="H56" s="76"/>
      <c r="I56" s="76"/>
      <c r="J56" s="81"/>
    </row>
    <row r="57" spans="1:22" ht="65.25" customHeight="1" x14ac:dyDescent="0.35">
      <c r="A57" s="163" t="s">
        <v>169</v>
      </c>
      <c r="B57" s="164"/>
      <c r="C57" s="164"/>
      <c r="D57" s="164"/>
      <c r="E57" s="164"/>
      <c r="F57" s="164"/>
      <c r="G57" s="164"/>
      <c r="H57" s="164"/>
      <c r="I57" s="164"/>
      <c r="K57" s="165"/>
      <c r="L57" s="166"/>
      <c r="M57" s="166"/>
      <c r="N57" s="166"/>
      <c r="O57" s="166"/>
      <c r="P57" s="166"/>
      <c r="Q57" s="166"/>
      <c r="R57" s="166"/>
      <c r="S57" s="166"/>
    </row>
    <row r="58" spans="1:22" ht="55.15" customHeight="1" x14ac:dyDescent="0.35">
      <c r="A58" s="169" t="s">
        <v>157</v>
      </c>
      <c r="B58" s="169"/>
      <c r="C58" s="169"/>
      <c r="D58" s="169"/>
      <c r="E58" s="169"/>
      <c r="F58" s="169"/>
      <c r="G58" s="169"/>
      <c r="H58" s="169"/>
      <c r="I58" s="169"/>
    </row>
    <row r="59" spans="1:22" ht="15.5" x14ac:dyDescent="0.35">
      <c r="A59" s="114" t="s">
        <v>158</v>
      </c>
      <c r="B59" s="76"/>
      <c r="C59" s="76"/>
      <c r="D59" s="76"/>
      <c r="E59" s="76"/>
      <c r="F59" s="76"/>
      <c r="G59" s="76"/>
      <c r="H59" s="76"/>
      <c r="I59" s="76"/>
    </row>
    <row r="60" spans="1:22" ht="26.25" customHeight="1" x14ac:dyDescent="0.35">
      <c r="A60" s="163" t="s">
        <v>160</v>
      </c>
      <c r="B60" s="164"/>
      <c r="C60" s="164"/>
      <c r="D60" s="164"/>
      <c r="E60" s="164"/>
      <c r="F60" s="164"/>
      <c r="G60" s="164"/>
      <c r="H60" s="164"/>
      <c r="I60" s="164"/>
    </row>
    <row r="61" spans="1:22" ht="45" customHeight="1" x14ac:dyDescent="0.35">
      <c r="A61" s="163" t="s">
        <v>170</v>
      </c>
      <c r="B61" s="164"/>
      <c r="C61" s="164"/>
      <c r="D61" s="164"/>
      <c r="E61" s="164"/>
      <c r="F61" s="164"/>
      <c r="G61" s="164"/>
      <c r="H61" s="164"/>
      <c r="I61" s="164"/>
      <c r="J61" s="85"/>
    </row>
    <row r="62" spans="1:22" ht="15.5" x14ac:dyDescent="0.35">
      <c r="A62" s="114" t="s">
        <v>171</v>
      </c>
      <c r="B62" s="76"/>
      <c r="C62" s="76"/>
      <c r="D62" s="76"/>
      <c r="E62" s="76"/>
      <c r="F62" s="76"/>
      <c r="G62" s="76"/>
      <c r="H62" s="76"/>
      <c r="I62" s="76"/>
    </row>
    <row r="63" spans="1:22" ht="41.25" customHeight="1" x14ac:dyDescent="0.35">
      <c r="A63" s="163" t="s">
        <v>161</v>
      </c>
      <c r="B63" s="164"/>
      <c r="C63" s="164"/>
      <c r="D63" s="164"/>
      <c r="E63" s="164"/>
      <c r="F63" s="164"/>
      <c r="G63" s="164"/>
      <c r="H63" s="164"/>
      <c r="I63" s="164"/>
    </row>
    <row r="64" spans="1:22" ht="41.5" customHeight="1" x14ac:dyDescent="0.35">
      <c r="A64" s="163" t="s">
        <v>172</v>
      </c>
      <c r="B64" s="164"/>
      <c r="C64" s="164"/>
      <c r="D64" s="164"/>
      <c r="E64" s="164"/>
      <c r="F64" s="164"/>
      <c r="G64" s="164"/>
      <c r="H64" s="164"/>
      <c r="I64" s="164"/>
      <c r="J64" s="81"/>
    </row>
    <row r="65" spans="1:19" ht="42.65" customHeight="1" x14ac:dyDescent="0.35">
      <c r="A65" s="170" t="s">
        <v>173</v>
      </c>
      <c r="B65" s="166"/>
      <c r="C65" s="166"/>
      <c r="D65" s="166"/>
      <c r="E65" s="166"/>
      <c r="F65" s="166"/>
      <c r="G65" s="166"/>
      <c r="H65" s="166"/>
      <c r="I65" s="166"/>
      <c r="J65" s="80" t="s">
        <v>147</v>
      </c>
      <c r="K65" s="165" t="s">
        <v>154</v>
      </c>
      <c r="L65" s="166"/>
      <c r="M65" s="166"/>
      <c r="N65" s="166"/>
      <c r="O65" s="166"/>
      <c r="P65" s="166"/>
      <c r="Q65" s="166"/>
      <c r="R65" s="166"/>
      <c r="S65" s="166"/>
    </row>
    <row r="66" spans="1:19" ht="35.15" customHeight="1" x14ac:dyDescent="0.35">
      <c r="A66" s="163" t="s">
        <v>174</v>
      </c>
      <c r="B66" s="164"/>
      <c r="C66" s="164"/>
      <c r="D66" s="164"/>
      <c r="E66" s="164"/>
      <c r="F66" s="164"/>
      <c r="G66" s="164"/>
      <c r="H66" s="164"/>
      <c r="I66" s="164"/>
      <c r="J66" s="81"/>
      <c r="K66" s="27"/>
    </row>
    <row r="67" spans="1:19" ht="40.5" customHeight="1" x14ac:dyDescent="0.35">
      <c r="A67" s="163" t="s">
        <v>162</v>
      </c>
      <c r="B67" s="164"/>
      <c r="C67" s="164"/>
      <c r="D67" s="164"/>
      <c r="E67" s="164"/>
      <c r="F67" s="164"/>
      <c r="G67" s="164"/>
      <c r="H67" s="164"/>
      <c r="I67" s="164"/>
      <c r="J67" s="86" t="s">
        <v>148</v>
      </c>
    </row>
    <row r="68" spans="1:19" ht="33.75" customHeight="1" x14ac:dyDescent="0.35">
      <c r="A68" s="114" t="s">
        <v>163</v>
      </c>
      <c r="B68" s="76"/>
      <c r="C68" s="76"/>
      <c r="D68" s="76"/>
      <c r="E68" s="76"/>
      <c r="F68" s="76"/>
      <c r="G68" s="76"/>
      <c r="H68" s="76"/>
      <c r="I68" s="76"/>
      <c r="J68" s="80" t="s">
        <v>149</v>
      </c>
      <c r="K68" s="165" t="s">
        <v>153</v>
      </c>
      <c r="L68" s="166"/>
      <c r="M68" s="166"/>
      <c r="N68" s="166"/>
      <c r="O68" s="166"/>
      <c r="P68" s="166"/>
      <c r="Q68" s="166"/>
      <c r="R68" s="166"/>
      <c r="S68" s="166"/>
    </row>
    <row r="69" spans="1:19" ht="43.9" customHeight="1" x14ac:dyDescent="0.35">
      <c r="A69" s="163" t="s">
        <v>175</v>
      </c>
      <c r="B69" s="164"/>
      <c r="C69" s="164"/>
      <c r="D69" s="164"/>
      <c r="E69" s="164"/>
      <c r="F69" s="164"/>
      <c r="G69" s="164"/>
      <c r="H69" s="164"/>
      <c r="I69" s="164"/>
      <c r="J69" s="82"/>
    </row>
    <row r="70" spans="1:19" ht="16" customHeight="1" x14ac:dyDescent="0.35">
      <c r="A70" s="114" t="s">
        <v>164</v>
      </c>
      <c r="B70" s="76"/>
      <c r="C70" s="76"/>
      <c r="D70" s="76"/>
      <c r="E70" s="76"/>
      <c r="F70" s="76"/>
      <c r="G70" s="76"/>
      <c r="H70" s="76"/>
      <c r="I70" s="76"/>
    </row>
    <row r="71" spans="1:19" ht="20.5" customHeight="1" x14ac:dyDescent="0.35">
      <c r="A71" s="114" t="s">
        <v>165</v>
      </c>
      <c r="B71" s="76"/>
      <c r="C71" s="76"/>
      <c r="D71" s="76"/>
      <c r="E71" s="76"/>
      <c r="F71" s="76"/>
      <c r="G71" s="76"/>
      <c r="H71" s="76"/>
      <c r="I71" s="76"/>
    </row>
    <row r="72" spans="1:19" ht="72" customHeight="1" x14ac:dyDescent="0.35">
      <c r="A72" s="163" t="s">
        <v>166</v>
      </c>
      <c r="B72" s="164"/>
      <c r="C72" s="164"/>
      <c r="D72" s="164"/>
      <c r="E72" s="164"/>
      <c r="F72" s="164"/>
      <c r="G72" s="164"/>
      <c r="H72" s="164"/>
      <c r="I72" s="164"/>
    </row>
    <row r="73" spans="1:19" ht="15.5" x14ac:dyDescent="0.35">
      <c r="A73" s="114" t="s">
        <v>176</v>
      </c>
      <c r="B73" s="76"/>
      <c r="C73" s="76"/>
      <c r="D73" s="76"/>
      <c r="E73" s="76"/>
      <c r="F73" s="76"/>
      <c r="G73" s="76"/>
      <c r="H73" s="76"/>
      <c r="I73" s="76"/>
    </row>
    <row r="74" spans="1:19" ht="15.5" x14ac:dyDescent="0.35">
      <c r="A74" s="114" t="s">
        <v>177</v>
      </c>
      <c r="B74" s="76"/>
      <c r="C74" s="76"/>
      <c r="D74" s="76"/>
      <c r="E74" s="76"/>
      <c r="F74" s="76"/>
      <c r="G74" s="76"/>
      <c r="H74" s="76"/>
      <c r="I74" s="76"/>
    </row>
    <row r="75" spans="1:19" ht="15.5" x14ac:dyDescent="0.35">
      <c r="A75" s="114" t="s">
        <v>167</v>
      </c>
      <c r="B75" s="76"/>
      <c r="C75" s="76"/>
      <c r="D75" s="76"/>
      <c r="E75" s="76"/>
      <c r="F75" s="76"/>
      <c r="G75" s="76"/>
      <c r="H75" s="76"/>
      <c r="I75" s="76"/>
    </row>
  </sheetData>
  <mergeCells count="20">
    <mergeCell ref="K68:S68"/>
    <mergeCell ref="A72:I72"/>
    <mergeCell ref="A60:I60"/>
    <mergeCell ref="A65:I65"/>
    <mergeCell ref="A67:I67"/>
    <mergeCell ref="A69:I69"/>
    <mergeCell ref="A66:I66"/>
    <mergeCell ref="A61:I61"/>
    <mergeCell ref="A64:I64"/>
    <mergeCell ref="A63:I63"/>
    <mergeCell ref="A58:I58"/>
    <mergeCell ref="K65:S65"/>
    <mergeCell ref="A55:I55"/>
    <mergeCell ref="K57:S57"/>
    <mergeCell ref="F26:H26"/>
    <mergeCell ref="K14:L14"/>
    <mergeCell ref="F49:H49"/>
    <mergeCell ref="F50:H50"/>
    <mergeCell ref="A54:I54"/>
    <mergeCell ref="A57:I57"/>
  </mergeCells>
  <pageMargins left="0.7" right="0.7" top="0.75" bottom="0.75" header="0.3" footer="0.3"/>
  <pageSetup orientation="portrait" horizontalDpi="4294967293" r:id="rId1"/>
  <ignoredErrors>
    <ignoredError sqref="E16:E19 E31 E40 E42:E43 E46:E47 E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topLeftCell="A16" zoomScaleNormal="100" workbookViewId="0">
      <selection activeCell="J2" sqref="J2"/>
    </sheetView>
  </sheetViews>
  <sheetFormatPr defaultRowHeight="14.5" x14ac:dyDescent="0.35"/>
  <cols>
    <col min="1" max="1" width="37.81640625" customWidth="1"/>
    <col min="9" max="9" width="12.1796875" customWidth="1"/>
    <col min="11" max="11" width="19.81640625" customWidth="1"/>
  </cols>
  <sheetData>
    <row r="1" spans="1:13" ht="15" x14ac:dyDescent="0.35">
      <c r="A1" s="25" t="s">
        <v>78</v>
      </c>
    </row>
    <row r="2" spans="1:13" ht="91" x14ac:dyDescent="0.35">
      <c r="A2" s="146" t="s">
        <v>35</v>
      </c>
      <c r="B2" s="144" t="s">
        <v>73</v>
      </c>
      <c r="C2" s="144" t="s">
        <v>74</v>
      </c>
      <c r="D2" s="144" t="s">
        <v>75</v>
      </c>
      <c r="E2" s="144" t="s">
        <v>178</v>
      </c>
      <c r="F2" s="144" t="s">
        <v>51</v>
      </c>
      <c r="G2" s="144" t="s">
        <v>76</v>
      </c>
      <c r="H2" s="144" t="s">
        <v>77</v>
      </c>
      <c r="I2" s="144" t="s">
        <v>179</v>
      </c>
      <c r="J2" s="119"/>
    </row>
    <row r="3" spans="1:13" ht="15.5" x14ac:dyDescent="0.35">
      <c r="A3" s="147" t="s">
        <v>180</v>
      </c>
      <c r="B3" s="37">
        <v>24</v>
      </c>
      <c r="C3" s="37">
        <v>1</v>
      </c>
      <c r="D3" s="37">
        <f>B3*C3</f>
        <v>24</v>
      </c>
      <c r="E3" s="37">
        <v>3.5</v>
      </c>
      <c r="F3" s="37">
        <f>D3*E3</f>
        <v>84</v>
      </c>
      <c r="G3" s="37">
        <f>F3*0.05</f>
        <v>4.2</v>
      </c>
      <c r="H3" s="37">
        <f>F3*0.1</f>
        <v>8.4</v>
      </c>
      <c r="I3" s="148">
        <f>F3*$L$4+G3*$L$5+H3*$L$6</f>
        <v>4826.2199999999993</v>
      </c>
      <c r="J3" s="27"/>
    </row>
    <row r="4" spans="1:13" ht="15.5" x14ac:dyDescent="0.35">
      <c r="A4" s="147" t="s">
        <v>181</v>
      </c>
      <c r="B4" s="37">
        <v>24</v>
      </c>
      <c r="C4" s="37">
        <v>1</v>
      </c>
      <c r="D4" s="37">
        <f>B4*C4</f>
        <v>24</v>
      </c>
      <c r="E4" s="37">
        <v>0.7</v>
      </c>
      <c r="F4" s="37">
        <f>D4*E4</f>
        <v>16.799999999999997</v>
      </c>
      <c r="G4" s="37">
        <f>F4*0.05</f>
        <v>0.83999999999999986</v>
      </c>
      <c r="H4" s="37">
        <f>F4*0.1</f>
        <v>1.6799999999999997</v>
      </c>
      <c r="I4" s="148">
        <f>F4*$L$4+G4*$L$5+H4*$L$6</f>
        <v>965.2439999999998</v>
      </c>
      <c r="J4" s="27"/>
      <c r="K4" s="9" t="s">
        <v>54</v>
      </c>
      <c r="L4" s="26">
        <v>51.23</v>
      </c>
      <c r="M4" s="10"/>
    </row>
    <row r="5" spans="1:13" x14ac:dyDescent="0.35">
      <c r="A5" s="149" t="s">
        <v>36</v>
      </c>
      <c r="B5" s="147"/>
      <c r="C5" s="147"/>
      <c r="D5" s="147"/>
      <c r="E5" s="147"/>
      <c r="F5" s="147"/>
      <c r="G5" s="147"/>
      <c r="H5" s="147"/>
      <c r="I5" s="150"/>
      <c r="J5" s="27"/>
      <c r="K5" s="9" t="s">
        <v>55</v>
      </c>
      <c r="L5" s="26">
        <v>69.040000000000006</v>
      </c>
      <c r="M5" s="10"/>
    </row>
    <row r="6" spans="1:13" ht="15.5" x14ac:dyDescent="0.35">
      <c r="A6" s="151" t="s">
        <v>182</v>
      </c>
      <c r="B6" s="37">
        <v>2</v>
      </c>
      <c r="C6" s="37">
        <v>1</v>
      </c>
      <c r="D6" s="37">
        <f t="shared" ref="D6:D11" si="0">B6*C6</f>
        <v>2</v>
      </c>
      <c r="E6" s="143">
        <f>'Table 1'!E16</f>
        <v>1</v>
      </c>
      <c r="F6" s="113">
        <f t="shared" ref="F6:F11" si="1">D6*E6</f>
        <v>2</v>
      </c>
      <c r="G6" s="113">
        <f t="shared" ref="G6:G11" si="2">F6*0.05</f>
        <v>0.1</v>
      </c>
      <c r="H6" s="113">
        <f t="shared" ref="H6:H11" si="3">F6*0.1</f>
        <v>0.2</v>
      </c>
      <c r="I6" s="148">
        <f t="shared" ref="I6:I11" si="4">F6*$L$4+G6*$L$5+H6*$L$6</f>
        <v>114.91</v>
      </c>
      <c r="J6" s="56"/>
      <c r="K6" s="9" t="s">
        <v>56</v>
      </c>
      <c r="L6" s="26">
        <v>27.73</v>
      </c>
      <c r="M6" s="10"/>
    </row>
    <row r="7" spans="1:13" ht="63" customHeight="1" x14ac:dyDescent="0.35">
      <c r="A7" s="151" t="s">
        <v>183</v>
      </c>
      <c r="B7" s="37">
        <v>2</v>
      </c>
      <c r="C7" s="37">
        <v>1</v>
      </c>
      <c r="D7" s="37">
        <f t="shared" si="0"/>
        <v>2</v>
      </c>
      <c r="E7" s="143">
        <f>'Table 1'!E17</f>
        <v>1</v>
      </c>
      <c r="F7" s="113">
        <f t="shared" si="1"/>
        <v>2</v>
      </c>
      <c r="G7" s="113">
        <f t="shared" si="2"/>
        <v>0.1</v>
      </c>
      <c r="H7" s="113">
        <f t="shared" si="3"/>
        <v>0.2</v>
      </c>
      <c r="I7" s="148">
        <f t="shared" si="4"/>
        <v>114.91</v>
      </c>
      <c r="J7" s="56"/>
    </row>
    <row r="8" spans="1:13" ht="15.5" x14ac:dyDescent="0.35">
      <c r="A8" s="151" t="s">
        <v>184</v>
      </c>
      <c r="B8" s="37">
        <v>2</v>
      </c>
      <c r="C8" s="37">
        <v>1</v>
      </c>
      <c r="D8" s="37">
        <f t="shared" si="0"/>
        <v>2</v>
      </c>
      <c r="E8" s="143">
        <f>'Table 1'!E18</f>
        <v>1</v>
      </c>
      <c r="F8" s="113">
        <f t="shared" si="1"/>
        <v>2</v>
      </c>
      <c r="G8" s="113">
        <f t="shared" si="2"/>
        <v>0.1</v>
      </c>
      <c r="H8" s="113">
        <f t="shared" si="3"/>
        <v>0.2</v>
      </c>
      <c r="I8" s="148">
        <f t="shared" si="4"/>
        <v>114.91</v>
      </c>
      <c r="J8" s="56"/>
    </row>
    <row r="9" spans="1:13" ht="15.5" x14ac:dyDescent="0.35">
      <c r="A9" s="151" t="s">
        <v>185</v>
      </c>
      <c r="B9" s="37">
        <v>2</v>
      </c>
      <c r="C9" s="37">
        <v>1</v>
      </c>
      <c r="D9" s="37">
        <f t="shared" si="0"/>
        <v>2</v>
      </c>
      <c r="E9" s="37">
        <f>'Table 1'!E20</f>
        <v>42</v>
      </c>
      <c r="F9" s="37">
        <f t="shared" si="1"/>
        <v>84</v>
      </c>
      <c r="G9" s="37">
        <f t="shared" si="2"/>
        <v>4.2</v>
      </c>
      <c r="H9" s="37">
        <f t="shared" si="3"/>
        <v>8.4</v>
      </c>
      <c r="I9" s="148">
        <f t="shared" si="4"/>
        <v>4826.2199999999993</v>
      </c>
      <c r="J9" s="27"/>
      <c r="L9" s="2"/>
      <c r="M9" s="55"/>
    </row>
    <row r="10" spans="1:13" ht="15.5" x14ac:dyDescent="0.35">
      <c r="A10" s="151" t="s">
        <v>186</v>
      </c>
      <c r="B10" s="37">
        <v>2</v>
      </c>
      <c r="C10" s="37">
        <v>1</v>
      </c>
      <c r="D10" s="37">
        <f t="shared" si="0"/>
        <v>2</v>
      </c>
      <c r="E10" s="37">
        <f>'Table 1'!E21</f>
        <v>42</v>
      </c>
      <c r="F10" s="37">
        <f t="shared" si="1"/>
        <v>84</v>
      </c>
      <c r="G10" s="37">
        <f t="shared" si="2"/>
        <v>4.2</v>
      </c>
      <c r="H10" s="37">
        <f t="shared" si="3"/>
        <v>8.4</v>
      </c>
      <c r="I10" s="148">
        <f t="shared" si="4"/>
        <v>4826.2199999999993</v>
      </c>
      <c r="J10" s="27"/>
      <c r="L10" s="2"/>
      <c r="M10" s="55"/>
    </row>
    <row r="11" spans="1:13" ht="15.5" x14ac:dyDescent="0.35">
      <c r="A11" s="151" t="s">
        <v>187</v>
      </c>
      <c r="B11" s="37">
        <v>4</v>
      </c>
      <c r="C11" s="37">
        <v>1</v>
      </c>
      <c r="D11" s="37">
        <f t="shared" si="0"/>
        <v>4</v>
      </c>
      <c r="E11" s="143">
        <f>'Table 1'!E19</f>
        <v>1</v>
      </c>
      <c r="F11" s="113">
        <f t="shared" si="1"/>
        <v>4</v>
      </c>
      <c r="G11" s="113">
        <f t="shared" si="2"/>
        <v>0.2</v>
      </c>
      <c r="H11" s="113">
        <f t="shared" si="3"/>
        <v>0.4</v>
      </c>
      <c r="I11" s="148">
        <f t="shared" si="4"/>
        <v>229.82</v>
      </c>
      <c r="J11" s="56"/>
      <c r="L11" s="2"/>
      <c r="M11" s="55"/>
    </row>
    <row r="12" spans="1:13" x14ac:dyDescent="0.35">
      <c r="A12" s="151" t="s">
        <v>37</v>
      </c>
      <c r="B12" s="147"/>
      <c r="C12" s="147"/>
      <c r="D12" s="37"/>
      <c r="E12" s="147"/>
      <c r="F12" s="37"/>
      <c r="G12" s="37"/>
      <c r="H12" s="37"/>
      <c r="I12" s="141"/>
    </row>
    <row r="13" spans="1:13" ht="28.5" x14ac:dyDescent="0.35">
      <c r="A13" s="152" t="s">
        <v>188</v>
      </c>
      <c r="B13" s="37">
        <v>8</v>
      </c>
      <c r="C13" s="37">
        <v>2</v>
      </c>
      <c r="D13" s="37">
        <f t="shared" ref="D13:D14" si="5">B13*C13</f>
        <v>16</v>
      </c>
      <c r="E13" s="37">
        <f>'Table 1'!E24</f>
        <v>5</v>
      </c>
      <c r="F13" s="37">
        <f>D13*E13</f>
        <v>80</v>
      </c>
      <c r="G13" s="37">
        <f>F13*0.05</f>
        <v>4</v>
      </c>
      <c r="H13" s="37">
        <f>F13*0.1</f>
        <v>8</v>
      </c>
      <c r="I13" s="148">
        <f>F13*$L$4+G13*$L$5+H13*$L$6</f>
        <v>4596.3999999999996</v>
      </c>
    </row>
    <row r="14" spans="1:13" ht="15.5" x14ac:dyDescent="0.35">
      <c r="A14" s="153" t="s">
        <v>189</v>
      </c>
      <c r="B14" s="37">
        <v>2</v>
      </c>
      <c r="C14" s="37">
        <v>2</v>
      </c>
      <c r="D14" s="37">
        <f t="shared" si="5"/>
        <v>4</v>
      </c>
      <c r="E14" s="37">
        <f>'Table 1'!E25</f>
        <v>99</v>
      </c>
      <c r="F14" s="37">
        <f>D14*E14</f>
        <v>396</v>
      </c>
      <c r="G14" s="37">
        <f>F14*0.05</f>
        <v>19.8</v>
      </c>
      <c r="H14" s="37">
        <f>F14*0.1</f>
        <v>39.6</v>
      </c>
      <c r="I14" s="148">
        <f>F14*$L$4+G14*$L$5+H14*$L$6</f>
        <v>22752.18</v>
      </c>
    </row>
    <row r="15" spans="1:13" x14ac:dyDescent="0.35">
      <c r="A15" s="154" t="s">
        <v>114</v>
      </c>
      <c r="B15" s="155"/>
      <c r="C15" s="155"/>
      <c r="D15" s="155"/>
      <c r="E15" s="155"/>
      <c r="F15" s="171">
        <f>ROUND(SUM(F3:H14),0)</f>
        <v>868</v>
      </c>
      <c r="G15" s="171"/>
      <c r="H15" s="171"/>
      <c r="I15" s="145">
        <f>SUM(I3:I14)</f>
        <v>43367.034</v>
      </c>
      <c r="J15" s="27"/>
    </row>
    <row r="16" spans="1:13" ht="15.5" x14ac:dyDescent="0.35">
      <c r="A16" s="149" t="s">
        <v>190</v>
      </c>
      <c r="B16" s="155"/>
      <c r="C16" s="155"/>
      <c r="D16" s="155"/>
      <c r="E16" s="155"/>
      <c r="F16" s="144"/>
      <c r="G16" s="144"/>
      <c r="H16" s="144"/>
      <c r="I16" s="145">
        <v>1890</v>
      </c>
      <c r="J16" s="76"/>
    </row>
    <row r="17" spans="1:14" ht="15" x14ac:dyDescent="0.35">
      <c r="A17" s="146" t="s">
        <v>115</v>
      </c>
      <c r="B17" s="155"/>
      <c r="C17" s="155"/>
      <c r="D17" s="155"/>
      <c r="E17" s="155"/>
      <c r="F17" s="144"/>
      <c r="G17" s="144"/>
      <c r="H17" s="144"/>
      <c r="I17" s="145">
        <f>ROUND(SUM(I15:I16), -2)</f>
        <v>45300</v>
      </c>
      <c r="J17" s="133"/>
      <c r="N17" s="14"/>
    </row>
    <row r="18" spans="1:14" x14ac:dyDescent="0.35">
      <c r="A18" s="3"/>
      <c r="B18" s="3"/>
      <c r="C18" s="3"/>
      <c r="D18" s="3"/>
      <c r="E18" s="3"/>
      <c r="F18" s="7"/>
      <c r="G18" s="7"/>
      <c r="H18" s="7"/>
      <c r="I18" s="6"/>
    </row>
    <row r="19" spans="1:14" ht="69" customHeight="1" x14ac:dyDescent="0.35">
      <c r="A19" s="163" t="s">
        <v>191</v>
      </c>
      <c r="B19" s="164"/>
      <c r="C19" s="164"/>
      <c r="D19" s="164"/>
      <c r="E19" s="164"/>
      <c r="F19" s="164"/>
      <c r="G19" s="164"/>
      <c r="H19" s="164"/>
      <c r="I19" s="164"/>
    </row>
    <row r="20" spans="1:14" ht="47.25" customHeight="1" x14ac:dyDescent="0.35">
      <c r="A20" s="163" t="s">
        <v>159</v>
      </c>
      <c r="B20" s="164"/>
      <c r="C20" s="164"/>
      <c r="D20" s="164"/>
      <c r="E20" s="164"/>
      <c r="F20" s="164"/>
      <c r="G20" s="164"/>
      <c r="H20" s="164"/>
      <c r="I20" s="164"/>
    </row>
    <row r="21" spans="1:14" ht="32.25" customHeight="1" x14ac:dyDescent="0.35">
      <c r="A21" s="163" t="s">
        <v>192</v>
      </c>
      <c r="B21" s="164"/>
      <c r="C21" s="164"/>
      <c r="D21" s="164"/>
      <c r="E21" s="164"/>
      <c r="F21" s="164"/>
      <c r="G21" s="164"/>
      <c r="H21" s="164"/>
      <c r="I21" s="164"/>
    </row>
    <row r="22" spans="1:14" ht="33.75" customHeight="1" x14ac:dyDescent="0.35">
      <c r="A22" s="163" t="s">
        <v>193</v>
      </c>
      <c r="B22" s="164"/>
      <c r="C22" s="164"/>
      <c r="D22" s="164"/>
      <c r="E22" s="164"/>
      <c r="F22" s="164"/>
      <c r="G22" s="164"/>
      <c r="H22" s="164"/>
      <c r="I22" s="164"/>
    </row>
    <row r="23" spans="1:14" ht="44.25" customHeight="1" x14ac:dyDescent="0.35">
      <c r="A23" s="163" t="s">
        <v>194</v>
      </c>
      <c r="B23" s="164"/>
      <c r="C23" s="164"/>
      <c r="D23" s="164"/>
      <c r="E23" s="164"/>
      <c r="F23" s="164"/>
      <c r="G23" s="164"/>
      <c r="H23" s="164"/>
      <c r="I23" s="164"/>
    </row>
    <row r="24" spans="1:14" ht="46.5" customHeight="1" x14ac:dyDescent="0.35">
      <c r="A24" s="163" t="s">
        <v>195</v>
      </c>
      <c r="B24" s="172"/>
      <c r="C24" s="172"/>
      <c r="D24" s="172"/>
      <c r="E24" s="172"/>
      <c r="F24" s="172"/>
      <c r="G24" s="172"/>
      <c r="H24" s="172"/>
      <c r="I24" s="172"/>
    </row>
    <row r="25" spans="1:14" ht="33" customHeight="1" x14ac:dyDescent="0.35">
      <c r="A25" s="163" t="s">
        <v>196</v>
      </c>
      <c r="B25" s="172"/>
      <c r="C25" s="172"/>
      <c r="D25" s="172"/>
      <c r="E25" s="172"/>
      <c r="F25" s="172"/>
      <c r="G25" s="172"/>
      <c r="H25" s="172"/>
      <c r="I25" s="172"/>
    </row>
    <row r="26" spans="1:14" ht="30.75" customHeight="1" x14ac:dyDescent="0.35">
      <c r="A26" s="163" t="s">
        <v>197</v>
      </c>
      <c r="B26" s="172"/>
      <c r="C26" s="172"/>
      <c r="D26" s="172"/>
      <c r="E26" s="172"/>
      <c r="F26" s="172"/>
      <c r="G26" s="172"/>
      <c r="H26" s="172"/>
      <c r="I26" s="172"/>
    </row>
    <row r="27" spans="1:14" ht="42.75" customHeight="1" x14ac:dyDescent="0.35">
      <c r="A27" s="163" t="s">
        <v>198</v>
      </c>
      <c r="B27" s="172"/>
      <c r="C27" s="172"/>
      <c r="D27" s="172"/>
      <c r="E27" s="172"/>
      <c r="F27" s="172"/>
      <c r="G27" s="172"/>
      <c r="H27" s="172"/>
      <c r="I27" s="172"/>
    </row>
    <row r="28" spans="1:14" x14ac:dyDescent="0.35">
      <c r="A28" s="163" t="s">
        <v>144</v>
      </c>
      <c r="B28" s="173"/>
      <c r="C28" s="173"/>
      <c r="D28" s="173"/>
      <c r="E28" s="173"/>
      <c r="F28" s="173"/>
      <c r="G28" s="173"/>
      <c r="H28" s="173"/>
      <c r="I28" s="173"/>
    </row>
    <row r="29" spans="1:14" x14ac:dyDescent="0.35">
      <c r="A29" s="29"/>
      <c r="B29" s="29"/>
      <c r="C29" s="29"/>
      <c r="D29" s="29"/>
      <c r="E29" s="29"/>
      <c r="F29" s="29"/>
      <c r="G29" s="29"/>
      <c r="H29" s="29"/>
      <c r="I29" s="29"/>
    </row>
  </sheetData>
  <mergeCells count="11">
    <mergeCell ref="A28:I28"/>
    <mergeCell ref="A21:I21"/>
    <mergeCell ref="A22:I22"/>
    <mergeCell ref="A23:I23"/>
    <mergeCell ref="A24:I24"/>
    <mergeCell ref="A25:I25"/>
    <mergeCell ref="F15:H15"/>
    <mergeCell ref="A19:I19"/>
    <mergeCell ref="A20:I20"/>
    <mergeCell ref="A26:I26"/>
    <mergeCell ref="A27:I27"/>
  </mergeCells>
  <pageMargins left="0.7" right="0.7" top="0.75" bottom="0.75" header="0.3" footer="0.3"/>
  <pageSetup orientation="portrait" horizontalDpi="4294967293" r:id="rId1"/>
  <ignoredErrors>
    <ignoredError sqref="E6:E11 E13:E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workbookViewId="0">
      <selection activeCell="E11" sqref="E11"/>
    </sheetView>
  </sheetViews>
  <sheetFormatPr defaultRowHeight="14.5" x14ac:dyDescent="0.35"/>
  <cols>
    <col min="1" max="1" width="46" customWidth="1"/>
    <col min="2" max="3" width="16" customWidth="1"/>
    <col min="4" max="4" width="19" customWidth="1"/>
    <col min="5" max="5" width="9.7265625" customWidth="1"/>
    <col min="6" max="6" width="24" customWidth="1"/>
    <col min="8" max="9" width="11.81640625" bestFit="1" customWidth="1"/>
  </cols>
  <sheetData>
    <row r="1" spans="1:14" x14ac:dyDescent="0.35">
      <c r="A1" s="174" t="s">
        <v>38</v>
      </c>
      <c r="B1" s="174"/>
      <c r="C1" s="174"/>
      <c r="D1" s="174"/>
    </row>
    <row r="2" spans="1:14" ht="28" x14ac:dyDescent="0.35">
      <c r="A2" s="15" t="s">
        <v>1</v>
      </c>
      <c r="B2" s="15" t="s">
        <v>2</v>
      </c>
      <c r="C2" s="15" t="s">
        <v>3</v>
      </c>
      <c r="D2" s="15" t="s">
        <v>4</v>
      </c>
      <c r="E2" s="162" t="s">
        <v>79</v>
      </c>
    </row>
    <row r="3" spans="1:14" ht="44.5" x14ac:dyDescent="0.35">
      <c r="A3" s="15" t="s">
        <v>39</v>
      </c>
      <c r="B3" s="15" t="s">
        <v>40</v>
      </c>
      <c r="C3" s="15" t="s">
        <v>41</v>
      </c>
      <c r="D3" s="161" t="s">
        <v>200</v>
      </c>
      <c r="F3" s="64" t="s">
        <v>104</v>
      </c>
      <c r="G3" s="65">
        <f>(0.07*(1+0.07)^5)/((1+0.07)^5-1)</f>
        <v>0.24389069444137401</v>
      </c>
      <c r="H3" s="62"/>
    </row>
    <row r="4" spans="1:14" x14ac:dyDescent="0.35">
      <c r="A4" s="16"/>
      <c r="B4" s="16"/>
      <c r="C4" s="16"/>
      <c r="D4" s="15" t="s">
        <v>42</v>
      </c>
      <c r="I4" s="62"/>
    </row>
    <row r="5" spans="1:14" x14ac:dyDescent="0.35">
      <c r="A5" s="17" t="s">
        <v>43</v>
      </c>
      <c r="B5" s="18"/>
      <c r="C5" s="18"/>
      <c r="D5" s="18"/>
    </row>
    <row r="6" spans="1:14" x14ac:dyDescent="0.35">
      <c r="A6" s="19" t="s">
        <v>44</v>
      </c>
      <c r="B6" s="20">
        <f>10000*G3</f>
        <v>2438.9069444137399</v>
      </c>
      <c r="C6" s="156">
        <f>254</f>
        <v>254</v>
      </c>
      <c r="D6" s="21">
        <f>B6*C6</f>
        <v>619482.36388108996</v>
      </c>
      <c r="E6" s="54"/>
    </row>
    <row r="7" spans="1:14" x14ac:dyDescent="0.35">
      <c r="A7" s="19" t="s">
        <v>45</v>
      </c>
      <c r="B7" s="20">
        <f>14000*G3</f>
        <v>3414.4697221792362</v>
      </c>
      <c r="C7" s="156">
        <f>5</f>
        <v>5</v>
      </c>
      <c r="D7" s="21">
        <f>B7*C7</f>
        <v>17072.348610896181</v>
      </c>
      <c r="E7" s="54"/>
    </row>
    <row r="8" spans="1:14" x14ac:dyDescent="0.35">
      <c r="A8" s="19" t="s">
        <v>46</v>
      </c>
      <c r="B8" s="20">
        <f>14000*G3</f>
        <v>3414.4697221792362</v>
      </c>
      <c r="C8" s="156">
        <f>6</f>
        <v>6</v>
      </c>
      <c r="D8" s="21">
        <f>B8*C8</f>
        <v>20486.818333075418</v>
      </c>
      <c r="E8" s="54"/>
    </row>
    <row r="9" spans="1:14" ht="14.25" customHeight="1" x14ac:dyDescent="0.35">
      <c r="A9" s="19" t="s">
        <v>47</v>
      </c>
      <c r="B9" s="18"/>
      <c r="C9" s="18"/>
      <c r="D9" s="21">
        <f>(SUM(D6,D7,D8)*0.2)</f>
        <v>131408.3061650123</v>
      </c>
    </row>
    <row r="10" spans="1:14" ht="16.5" x14ac:dyDescent="0.35">
      <c r="A10" s="115" t="s">
        <v>152</v>
      </c>
      <c r="B10" s="15"/>
      <c r="C10" s="15"/>
      <c r="D10" s="22">
        <f>ROUND(SUM(D6:D9),-3)</f>
        <v>788000</v>
      </c>
      <c r="E10" s="56"/>
      <c r="F10" s="8"/>
    </row>
    <row r="11" spans="1:14" ht="51" customHeight="1" x14ac:dyDescent="0.35">
      <c r="A11" s="175" t="s">
        <v>199</v>
      </c>
      <c r="B11" s="176"/>
      <c r="C11" s="176"/>
      <c r="D11" s="176"/>
      <c r="E11" s="118"/>
      <c r="N11" s="14"/>
    </row>
    <row r="12" spans="1:14" ht="38.25" customHeight="1" x14ac:dyDescent="0.35">
      <c r="A12" s="177" t="s">
        <v>103</v>
      </c>
      <c r="B12" s="178"/>
      <c r="C12" s="178"/>
      <c r="D12" s="178"/>
      <c r="G12" s="63"/>
    </row>
    <row r="13" spans="1:14" x14ac:dyDescent="0.35">
      <c r="A13" s="1"/>
      <c r="N13" s="14"/>
    </row>
    <row r="20" spans="8:8" x14ac:dyDescent="0.35">
      <c r="H20" s="8"/>
    </row>
  </sheetData>
  <mergeCells count="3">
    <mergeCell ref="A1:D1"/>
    <mergeCell ref="A11:D11"/>
    <mergeCell ref="A12:D12"/>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workbookViewId="0">
      <selection activeCell="C19" sqref="C19"/>
    </sheetView>
  </sheetViews>
  <sheetFormatPr defaultRowHeight="14.5" x14ac:dyDescent="0.35"/>
  <cols>
    <col min="1" max="1" width="35.26953125" customWidth="1"/>
    <col min="2" max="2" width="13.453125" customWidth="1"/>
    <col min="3" max="3" width="13.81640625" customWidth="1"/>
    <col min="4" max="4" width="19.1796875" customWidth="1"/>
    <col min="5" max="5" width="17.26953125" customWidth="1"/>
  </cols>
  <sheetData>
    <row r="1" spans="1:5" x14ac:dyDescent="0.35">
      <c r="A1" s="179" t="s">
        <v>61</v>
      </c>
      <c r="B1" s="179"/>
      <c r="C1" s="179"/>
      <c r="D1" s="179"/>
      <c r="E1" s="179"/>
    </row>
    <row r="2" spans="1:5" x14ac:dyDescent="0.35">
      <c r="A2" s="15" t="s">
        <v>1</v>
      </c>
      <c r="B2" s="15" t="s">
        <v>2</v>
      </c>
      <c r="C2" s="15" t="s">
        <v>3</v>
      </c>
      <c r="D2" s="15" t="s">
        <v>4</v>
      </c>
      <c r="E2" s="15" t="s">
        <v>5</v>
      </c>
    </row>
    <row r="3" spans="1:5" ht="70" x14ac:dyDescent="0.35">
      <c r="A3" s="15" t="s">
        <v>62</v>
      </c>
      <c r="B3" s="15" t="s">
        <v>41</v>
      </c>
      <c r="C3" s="15" t="s">
        <v>63</v>
      </c>
      <c r="D3" s="15" t="s">
        <v>64</v>
      </c>
      <c r="E3" s="15" t="s">
        <v>61</v>
      </c>
    </row>
    <row r="4" spans="1:5" x14ac:dyDescent="0.35">
      <c r="A4" s="16"/>
      <c r="B4" s="16"/>
      <c r="C4" s="16"/>
      <c r="D4" s="16"/>
      <c r="E4" s="15" t="s">
        <v>65</v>
      </c>
    </row>
    <row r="5" spans="1:5" ht="28" x14ac:dyDescent="0.35">
      <c r="A5" s="28" t="s">
        <v>66</v>
      </c>
      <c r="B5" s="157">
        <f>'Table 1'!E16</f>
        <v>1</v>
      </c>
      <c r="C5" s="158">
        <f>'Table 1'!C16</f>
        <v>1</v>
      </c>
      <c r="D5" s="158">
        <v>0</v>
      </c>
      <c r="E5" s="157">
        <f>(B5*C5)+D5</f>
        <v>1</v>
      </c>
    </row>
    <row r="6" spans="1:5" x14ac:dyDescent="0.35">
      <c r="A6" s="28" t="s">
        <v>18</v>
      </c>
      <c r="B6" s="157">
        <f>'Table 1'!E17</f>
        <v>1</v>
      </c>
      <c r="C6" s="158">
        <f>'Table 1'!C17</f>
        <v>1</v>
      </c>
      <c r="D6" s="158">
        <v>0</v>
      </c>
      <c r="E6" s="157">
        <f t="shared" ref="E6:E13" si="0">(B6*C6)+D6</f>
        <v>1</v>
      </c>
    </row>
    <row r="7" spans="1:5" x14ac:dyDescent="0.35">
      <c r="A7" s="28" t="s">
        <v>19</v>
      </c>
      <c r="B7" s="157">
        <f>'Table 1'!E18</f>
        <v>1</v>
      </c>
      <c r="C7" s="158">
        <f>'Table 1'!C18</f>
        <v>1</v>
      </c>
      <c r="D7" s="158">
        <v>0</v>
      </c>
      <c r="E7" s="157">
        <f t="shared" si="0"/>
        <v>1</v>
      </c>
    </row>
    <row r="8" spans="1:5" x14ac:dyDescent="0.35">
      <c r="A8" s="28" t="s">
        <v>67</v>
      </c>
      <c r="B8" s="158">
        <f>'Table 1'!E20</f>
        <v>42</v>
      </c>
      <c r="C8" s="158">
        <f>'Table 1'!C20</f>
        <v>1</v>
      </c>
      <c r="D8" s="158">
        <v>0</v>
      </c>
      <c r="E8" s="158">
        <f t="shared" si="0"/>
        <v>42</v>
      </c>
    </row>
    <row r="9" spans="1:5" x14ac:dyDescent="0.35">
      <c r="A9" s="28" t="s">
        <v>22</v>
      </c>
      <c r="B9" s="158">
        <f>'Table 1'!E21</f>
        <v>42</v>
      </c>
      <c r="C9" s="158">
        <f>'Table 1'!C21</f>
        <v>1</v>
      </c>
      <c r="D9" s="158">
        <v>0</v>
      </c>
      <c r="E9" s="158">
        <f t="shared" si="0"/>
        <v>42</v>
      </c>
    </row>
    <row r="10" spans="1:5" x14ac:dyDescent="0.35">
      <c r="A10" s="28" t="s">
        <v>20</v>
      </c>
      <c r="B10" s="157">
        <f>'Table 1'!E19</f>
        <v>1</v>
      </c>
      <c r="C10" s="158">
        <f>'Table 1'!C19</f>
        <v>1</v>
      </c>
      <c r="D10" s="158">
        <v>0</v>
      </c>
      <c r="E10" s="157">
        <f t="shared" si="0"/>
        <v>1</v>
      </c>
    </row>
    <row r="11" spans="1:5" x14ac:dyDescent="0.35">
      <c r="A11" s="28" t="s">
        <v>68</v>
      </c>
      <c r="B11" s="23">
        <f>'Table 1'!E22</f>
        <v>42</v>
      </c>
      <c r="C11" s="23">
        <f>'Table 1'!C22</f>
        <v>1</v>
      </c>
      <c r="D11" s="23">
        <v>0</v>
      </c>
      <c r="E11" s="23">
        <f t="shared" si="0"/>
        <v>42</v>
      </c>
    </row>
    <row r="12" spans="1:5" ht="42" x14ac:dyDescent="0.35">
      <c r="A12" s="28" t="s">
        <v>69</v>
      </c>
      <c r="B12" s="23">
        <f>'Table 1'!E24</f>
        <v>5</v>
      </c>
      <c r="C12" s="23">
        <f>'Table 1'!C24</f>
        <v>2</v>
      </c>
      <c r="D12" s="23">
        <v>0</v>
      </c>
      <c r="E12" s="23">
        <f t="shared" si="0"/>
        <v>10</v>
      </c>
    </row>
    <row r="13" spans="1:5" x14ac:dyDescent="0.35">
      <c r="A13" s="28" t="s">
        <v>70</v>
      </c>
      <c r="B13" s="23">
        <f>'Table 1'!E25</f>
        <v>99</v>
      </c>
      <c r="C13" s="23">
        <f>'Table 1'!C25</f>
        <v>2</v>
      </c>
      <c r="D13" s="23">
        <v>0</v>
      </c>
      <c r="E13" s="23">
        <f t="shared" si="0"/>
        <v>198</v>
      </c>
    </row>
    <row r="14" spans="1:5" x14ac:dyDescent="0.35">
      <c r="A14" s="24"/>
      <c r="B14" s="15"/>
      <c r="C14" s="15"/>
      <c r="D14" s="15" t="s">
        <v>71</v>
      </c>
      <c r="E14" s="61">
        <f>SUM(E5:E13)</f>
        <v>338</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workbookViewId="0">
      <selection activeCell="I21" sqref="I21"/>
    </sheetView>
  </sheetViews>
  <sheetFormatPr defaultRowHeight="14.5" x14ac:dyDescent="0.35"/>
  <cols>
    <col min="1" max="1" width="28.26953125" customWidth="1"/>
    <col min="2" max="2" width="18.26953125" customWidth="1"/>
    <col min="3" max="3" width="18.54296875" customWidth="1"/>
    <col min="4" max="4" width="24.81640625" customWidth="1"/>
    <col min="5" max="5" width="18.1796875" customWidth="1"/>
    <col min="6" max="6" width="16.1796875" customWidth="1"/>
  </cols>
  <sheetData>
    <row r="1" spans="1:7" ht="16.5" customHeight="1" x14ac:dyDescent="0.35">
      <c r="A1" s="184" t="s">
        <v>41</v>
      </c>
      <c r="B1" s="185"/>
      <c r="C1" s="185"/>
      <c r="D1" s="185"/>
      <c r="E1" s="185"/>
      <c r="F1" s="186"/>
      <c r="G1" s="94"/>
    </row>
    <row r="2" spans="1:7" ht="29" x14ac:dyDescent="0.35">
      <c r="A2" s="120"/>
      <c r="B2" s="180" t="s">
        <v>134</v>
      </c>
      <c r="C2" s="181"/>
      <c r="D2" s="121" t="s">
        <v>135</v>
      </c>
      <c r="E2" s="182"/>
      <c r="F2" s="183"/>
      <c r="G2" s="94"/>
    </row>
    <row r="3" spans="1:7" ht="82.5" customHeight="1" thickBot="1" x14ac:dyDescent="0.4">
      <c r="A3" s="123" t="s">
        <v>136</v>
      </c>
      <c r="B3" s="123" t="s">
        <v>142</v>
      </c>
      <c r="C3" s="123" t="s">
        <v>138</v>
      </c>
      <c r="D3" s="123" t="s">
        <v>139</v>
      </c>
      <c r="E3" s="123" t="s">
        <v>140</v>
      </c>
      <c r="F3" s="123" t="s">
        <v>141</v>
      </c>
      <c r="G3" s="94"/>
    </row>
    <row r="4" spans="1:7" x14ac:dyDescent="0.35">
      <c r="A4" s="124">
        <v>1</v>
      </c>
      <c r="B4" s="125">
        <v>1</v>
      </c>
      <c r="C4" s="125">
        <f>B24</f>
        <v>104</v>
      </c>
      <c r="D4" s="125">
        <v>0</v>
      </c>
      <c r="E4" s="125">
        <v>1</v>
      </c>
      <c r="F4" s="126">
        <f>B4+C4+D4-E4</f>
        <v>104</v>
      </c>
      <c r="G4" s="94"/>
    </row>
    <row r="5" spans="1:7" x14ac:dyDescent="0.35">
      <c r="A5" s="127">
        <v>2</v>
      </c>
      <c r="B5" s="159">
        <v>1</v>
      </c>
      <c r="C5" s="159">
        <v>104</v>
      </c>
      <c r="D5" s="122">
        <v>0</v>
      </c>
      <c r="E5" s="122">
        <v>1</v>
      </c>
      <c r="F5" s="128">
        <f>B5+C5+D5-E5</f>
        <v>104</v>
      </c>
      <c r="G5" s="94"/>
    </row>
    <row r="6" spans="1:7" x14ac:dyDescent="0.35">
      <c r="A6" s="127">
        <v>3</v>
      </c>
      <c r="B6" s="160">
        <v>1</v>
      </c>
      <c r="C6" s="159">
        <v>104</v>
      </c>
      <c r="D6" s="122">
        <v>0</v>
      </c>
      <c r="E6" s="122">
        <v>1</v>
      </c>
      <c r="F6" s="128">
        <f>B6+C6+D6-E6</f>
        <v>104</v>
      </c>
      <c r="G6" s="94"/>
    </row>
    <row r="7" spans="1:7" ht="15" thickBot="1" x14ac:dyDescent="0.4">
      <c r="A7" s="129" t="s">
        <v>137</v>
      </c>
      <c r="B7" s="131">
        <f>AVERAGE(B4:B6)</f>
        <v>1</v>
      </c>
      <c r="C7" s="130">
        <f>AVERAGE(C4:C6)</f>
        <v>104</v>
      </c>
      <c r="D7" s="130">
        <f>AVERAGE(D4:D6)</f>
        <v>0</v>
      </c>
      <c r="E7" s="130">
        <f>AVERAGE(E4:E6)</f>
        <v>1</v>
      </c>
      <c r="F7" s="132">
        <f>AVERAGE(F4:F6)</f>
        <v>104</v>
      </c>
      <c r="G7" s="94"/>
    </row>
    <row r="8" spans="1:7" x14ac:dyDescent="0.35">
      <c r="A8" s="94"/>
      <c r="B8" s="94"/>
      <c r="C8" s="94"/>
      <c r="D8" s="94"/>
      <c r="E8" s="94"/>
      <c r="F8" s="94"/>
      <c r="G8" s="94"/>
    </row>
    <row r="9" spans="1:7" x14ac:dyDescent="0.35">
      <c r="A9" s="94"/>
      <c r="B9" s="94"/>
      <c r="C9" s="94"/>
      <c r="D9" s="94"/>
      <c r="E9" s="94"/>
      <c r="F9" s="94"/>
      <c r="G9" s="94"/>
    </row>
    <row r="10" spans="1:7" ht="15" thickBot="1" x14ac:dyDescent="0.4">
      <c r="A10" s="93" t="s">
        <v>133</v>
      </c>
      <c r="B10" s="94"/>
      <c r="C10" s="94"/>
      <c r="D10" s="94"/>
      <c r="E10" s="94"/>
      <c r="F10" s="94"/>
      <c r="G10" s="94"/>
    </row>
    <row r="11" spans="1:7" ht="29" x14ac:dyDescent="0.35">
      <c r="A11" s="103" t="s">
        <v>116</v>
      </c>
      <c r="B11" s="104" t="s">
        <v>133</v>
      </c>
      <c r="C11" s="91"/>
      <c r="D11" s="92"/>
      <c r="E11" s="94"/>
      <c r="F11" s="94"/>
      <c r="G11" s="94"/>
    </row>
    <row r="12" spans="1:7" x14ac:dyDescent="0.35">
      <c r="A12" s="105" t="s">
        <v>117</v>
      </c>
      <c r="B12" s="106">
        <v>62</v>
      </c>
      <c r="C12" s="95"/>
      <c r="D12" s="96"/>
      <c r="E12" s="94"/>
      <c r="F12" s="94"/>
      <c r="G12" s="94"/>
    </row>
    <row r="13" spans="1:7" x14ac:dyDescent="0.35">
      <c r="A13" s="105" t="s">
        <v>118</v>
      </c>
      <c r="B13" s="106">
        <v>4</v>
      </c>
      <c r="C13" s="95"/>
      <c r="D13" s="96"/>
      <c r="E13" s="94"/>
      <c r="F13" s="94"/>
      <c r="G13" s="94"/>
    </row>
    <row r="14" spans="1:7" x14ac:dyDescent="0.35">
      <c r="A14" s="105" t="s">
        <v>119</v>
      </c>
      <c r="B14" s="106">
        <v>2</v>
      </c>
      <c r="C14" s="95"/>
      <c r="D14" s="96"/>
      <c r="E14" s="94"/>
      <c r="F14" s="94"/>
      <c r="G14" s="94"/>
    </row>
    <row r="15" spans="1:7" x14ac:dyDescent="0.35">
      <c r="A15" s="105" t="s">
        <v>120</v>
      </c>
      <c r="B15" s="106">
        <v>17</v>
      </c>
      <c r="C15" s="95"/>
      <c r="D15" s="96"/>
      <c r="E15" s="94"/>
      <c r="F15" s="94"/>
      <c r="G15" s="94"/>
    </row>
    <row r="16" spans="1:7" x14ac:dyDescent="0.35">
      <c r="A16" s="105" t="s">
        <v>121</v>
      </c>
      <c r="B16" s="106">
        <v>5</v>
      </c>
      <c r="C16" s="95"/>
      <c r="D16" s="96"/>
      <c r="E16" s="94"/>
      <c r="F16" s="94"/>
      <c r="G16" s="94"/>
    </row>
    <row r="17" spans="1:7" x14ac:dyDescent="0.35">
      <c r="A17" s="105" t="s">
        <v>122</v>
      </c>
      <c r="B17" s="106">
        <v>3</v>
      </c>
      <c r="C17" s="95"/>
      <c r="D17" s="96"/>
      <c r="E17" s="94"/>
      <c r="F17" s="94"/>
      <c r="G17" s="94"/>
    </row>
    <row r="18" spans="1:7" x14ac:dyDescent="0.35">
      <c r="A18" s="105" t="s">
        <v>123</v>
      </c>
      <c r="B18" s="106">
        <v>1</v>
      </c>
      <c r="C18" s="95"/>
      <c r="D18" s="96"/>
      <c r="E18" s="94"/>
      <c r="F18" s="94"/>
      <c r="G18" s="94"/>
    </row>
    <row r="19" spans="1:7" ht="15" thickBot="1" x14ac:dyDescent="0.4">
      <c r="A19" s="107" t="s">
        <v>124</v>
      </c>
      <c r="B19" s="108">
        <v>1</v>
      </c>
      <c r="C19" s="97">
        <f>SUM(B12:B19)</f>
        <v>95</v>
      </c>
      <c r="D19" s="98" t="s">
        <v>125</v>
      </c>
      <c r="E19" s="94"/>
      <c r="F19" s="94"/>
      <c r="G19" s="94"/>
    </row>
    <row r="20" spans="1:7" x14ac:dyDescent="0.35">
      <c r="A20" s="109" t="s">
        <v>126</v>
      </c>
      <c r="B20" s="110">
        <v>4</v>
      </c>
      <c r="C20" s="99"/>
      <c r="D20" s="100"/>
      <c r="E20" s="94"/>
      <c r="F20" s="94"/>
      <c r="G20" s="94"/>
    </row>
    <row r="21" spans="1:7" ht="15" thickBot="1" x14ac:dyDescent="0.4">
      <c r="A21" s="107" t="s">
        <v>127</v>
      </c>
      <c r="B21" s="108">
        <v>2</v>
      </c>
      <c r="C21" s="97">
        <f>SUM(B20:B21)</f>
        <v>6</v>
      </c>
      <c r="D21" s="98" t="s">
        <v>128</v>
      </c>
      <c r="E21" s="94"/>
      <c r="F21" s="94"/>
      <c r="G21" s="94"/>
    </row>
    <row r="22" spans="1:7" x14ac:dyDescent="0.35">
      <c r="A22" s="109" t="s">
        <v>129</v>
      </c>
      <c r="B22" s="110">
        <v>1</v>
      </c>
      <c r="C22" s="99"/>
      <c r="D22" s="100"/>
      <c r="E22" s="94"/>
      <c r="F22" s="94"/>
      <c r="G22" s="94"/>
    </row>
    <row r="23" spans="1:7" ht="15" thickBot="1" x14ac:dyDescent="0.4">
      <c r="A23" s="107" t="s">
        <v>130</v>
      </c>
      <c r="B23" s="108">
        <v>2</v>
      </c>
      <c r="C23" s="97">
        <f>SUM(B22:B23)</f>
        <v>3</v>
      </c>
      <c r="D23" s="98" t="s">
        <v>131</v>
      </c>
      <c r="E23" s="94"/>
      <c r="F23" s="94"/>
      <c r="G23" s="94"/>
    </row>
    <row r="24" spans="1:7" ht="15" thickBot="1" x14ac:dyDescent="0.4">
      <c r="A24" s="111" t="s">
        <v>132</v>
      </c>
      <c r="B24" s="112">
        <f>SUM(B12:B23)</f>
        <v>104</v>
      </c>
      <c r="C24" s="101">
        <f>SUM(C12:C23)</f>
        <v>104</v>
      </c>
      <c r="D24" s="102"/>
      <c r="E24" s="94"/>
      <c r="F24" s="94"/>
      <c r="G24" s="94"/>
    </row>
    <row r="25" spans="1:7" x14ac:dyDescent="0.35">
      <c r="A25" s="94"/>
      <c r="B25" s="94"/>
      <c r="C25" s="94"/>
      <c r="D25" s="94"/>
      <c r="E25" s="94"/>
      <c r="F25" s="94"/>
      <c r="G25" s="94"/>
    </row>
  </sheetData>
  <mergeCells count="3">
    <mergeCell ref="B2:C2"/>
    <mergeCell ref="E2:F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vt:lpstr>
      <vt:lpstr>Table 2</vt:lpstr>
      <vt:lpstr>CapitalStartup Costs</vt:lpstr>
      <vt:lpstr># Responses</vt:lpstr>
      <vt:lpstr>Count of 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dcterms:created xsi:type="dcterms:W3CDTF">2018-09-13T23:15:00Z</dcterms:created>
  <dcterms:modified xsi:type="dcterms:W3CDTF">2021-06-23T16:17:40Z</dcterms:modified>
</cp:coreProperties>
</file>