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DD365BE-6D7D-4A8A-BFD1-E055077B1142}" xr6:coauthVersionLast="46" xr6:coauthVersionMax="46" xr10:uidLastSave="{00000000-0000-0000-0000-000000000000}"/>
  <bookViews>
    <workbookView xWindow="-110" yWindow="-110" windowWidth="19420" windowHeight="10420" tabRatio="660" xr2:uid="{00000000-000D-0000-FFFF-FFFF00000000}"/>
  </bookViews>
  <sheets>
    <sheet name="Table 1.1" sheetId="1" r:id="rId1"/>
    <sheet name="Table 1.2" sheetId="2" r:id="rId2"/>
    <sheet name="Table 1.3" sheetId="3" r:id="rId3"/>
    <sheet name="Table 1.4" sheetId="4" r:id="rId4"/>
    <sheet name="Table 1.5" sheetId="5" r:id="rId5"/>
    <sheet name="Table 1.6 Total" sheetId="7" r:id="rId6"/>
    <sheet name="Table 2" sheetId="6" r:id="rId7"/>
    <sheet name="Summary Table" sheetId="10" r:id="rId8"/>
    <sheet name="Tot Ann Resp" sheetId="8" r:id="rId9"/>
    <sheet name="O&amp;M (Bulk Terminals Only)" sheetId="11" r:id="rId10"/>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0" l="1"/>
  <c r="H8" i="10"/>
  <c r="D14" i="7"/>
  <c r="D6" i="7"/>
  <c r="I6" i="1"/>
  <c r="C8" i="10"/>
  <c r="D8" i="10"/>
  <c r="G8" i="10"/>
  <c r="H9" i="11" l="1"/>
  <c r="I16" i="1" l="1"/>
  <c r="C4" i="7"/>
  <c r="E6" i="4"/>
  <c r="E5" i="4"/>
  <c r="E6" i="6" l="1"/>
  <c r="E4" i="6"/>
  <c r="D6" i="6"/>
  <c r="D5" i="6"/>
  <c r="D4" i="6"/>
  <c r="F6" i="6" l="1"/>
  <c r="H6" i="6" s="1"/>
  <c r="F4" i="6"/>
  <c r="H4" i="6" l="1"/>
  <c r="G6" i="6"/>
  <c r="I6" i="6" s="1"/>
  <c r="G4" i="6"/>
  <c r="I4" i="6" l="1"/>
  <c r="B6" i="8" l="1"/>
  <c r="E6" i="8" s="1"/>
  <c r="B5" i="8"/>
  <c r="E5" i="8" s="1"/>
  <c r="B7" i="8"/>
  <c r="E7" i="8" s="1"/>
  <c r="B4" i="8"/>
  <c r="B9" i="8" s="1"/>
  <c r="E9" i="8" s="1"/>
  <c r="E11" i="4"/>
  <c r="F8" i="10" s="1"/>
  <c r="E10" i="3"/>
  <c r="E8" i="10" s="1"/>
  <c r="D10" i="5"/>
  <c r="F10" i="5" s="1"/>
  <c r="D9" i="5"/>
  <c r="F9" i="5" s="1"/>
  <c r="D8" i="5"/>
  <c r="F8" i="5" s="1"/>
  <c r="D7" i="5"/>
  <c r="F7" i="5" s="1"/>
  <c r="D6" i="5"/>
  <c r="F6" i="5" s="1"/>
  <c r="D5" i="5"/>
  <c r="F5" i="5" s="1"/>
  <c r="D11" i="4"/>
  <c r="F11" i="4" s="1"/>
  <c r="D10" i="4"/>
  <c r="F10" i="4" s="1"/>
  <c r="D9" i="4"/>
  <c r="F9" i="4" s="1"/>
  <c r="D8" i="4"/>
  <c r="F8" i="4" s="1"/>
  <c r="D7" i="4"/>
  <c r="F7" i="4" s="1"/>
  <c r="D6" i="4"/>
  <c r="F6" i="4" s="1"/>
  <c r="D5" i="4"/>
  <c r="F5" i="4" s="1"/>
  <c r="D6" i="3"/>
  <c r="F6" i="3" s="1"/>
  <c r="D7" i="3"/>
  <c r="F7" i="3" s="1"/>
  <c r="D8" i="3"/>
  <c r="F8" i="3" s="1"/>
  <c r="D9" i="3"/>
  <c r="F9" i="3" s="1"/>
  <c r="D10" i="3"/>
  <c r="D5" i="3"/>
  <c r="F5" i="3" s="1"/>
  <c r="D11" i="2"/>
  <c r="F11" i="2" s="1"/>
  <c r="D10" i="2"/>
  <c r="F10" i="2" s="1"/>
  <c r="D9" i="2"/>
  <c r="F9" i="2" s="1"/>
  <c r="D8" i="2"/>
  <c r="F8" i="2" s="1"/>
  <c r="D7" i="2"/>
  <c r="F7" i="2" s="1"/>
  <c r="D6" i="2"/>
  <c r="F6" i="2" s="1"/>
  <c r="D5" i="2"/>
  <c r="F5" i="2" s="1"/>
  <c r="F12" i="1"/>
  <c r="F11" i="1"/>
  <c r="H11" i="1" s="1"/>
  <c r="F10" i="1"/>
  <c r="G10" i="1" s="1"/>
  <c r="F9" i="1"/>
  <c r="F8" i="1"/>
  <c r="G8" i="1" s="1"/>
  <c r="F7" i="1"/>
  <c r="H7" i="1" s="1"/>
  <c r="F6" i="1"/>
  <c r="G5" i="2" l="1"/>
  <c r="G6" i="4"/>
  <c r="G5" i="3"/>
  <c r="H11" i="4"/>
  <c r="H8" i="2"/>
  <c r="H6" i="3"/>
  <c r="G6" i="3"/>
  <c r="H9" i="2"/>
  <c r="I9" i="2" s="1"/>
  <c r="G9" i="2"/>
  <c r="G9" i="4"/>
  <c r="G10" i="4"/>
  <c r="H10" i="4"/>
  <c r="H11" i="2"/>
  <c r="F10" i="3"/>
  <c r="G10" i="3" s="1"/>
  <c r="E5" i="6"/>
  <c r="F5" i="6" s="1"/>
  <c r="E4" i="8"/>
  <c r="G12" i="1"/>
  <c r="F13" i="1" s="1"/>
  <c r="G10" i="5"/>
  <c r="I10" i="5" s="1"/>
  <c r="I11" i="5" s="1"/>
  <c r="H10" i="5"/>
  <c r="H9" i="5"/>
  <c r="G9" i="5"/>
  <c r="G8" i="5"/>
  <c r="H8" i="5"/>
  <c r="G7" i="5"/>
  <c r="H7" i="5"/>
  <c r="G6" i="5"/>
  <c r="H6" i="5"/>
  <c r="G5" i="5"/>
  <c r="H5" i="5"/>
  <c r="G8" i="4"/>
  <c r="H8" i="4"/>
  <c r="G7" i="4"/>
  <c r="H7" i="4"/>
  <c r="G5" i="4"/>
  <c r="I5" i="4" s="1"/>
  <c r="H5" i="4"/>
  <c r="H9" i="4"/>
  <c r="I9" i="4" s="1"/>
  <c r="H6" i="4"/>
  <c r="I6" i="4" s="1"/>
  <c r="B8" i="8"/>
  <c r="E8" i="8" s="1"/>
  <c r="G11" i="4"/>
  <c r="F12" i="4" s="1"/>
  <c r="G8" i="2"/>
  <c r="H7" i="3"/>
  <c r="G7" i="3"/>
  <c r="G8" i="3"/>
  <c r="H8" i="3"/>
  <c r="G9" i="3"/>
  <c r="H9" i="3"/>
  <c r="H5" i="3"/>
  <c r="H10" i="3"/>
  <c r="G11" i="2"/>
  <c r="G10" i="2"/>
  <c r="H10" i="2"/>
  <c r="G7" i="2"/>
  <c r="H7" i="2"/>
  <c r="I7" i="2" s="1"/>
  <c r="H6" i="2"/>
  <c r="G6" i="2"/>
  <c r="H5" i="2"/>
  <c r="I5" i="2" s="1"/>
  <c r="G11" i="1"/>
  <c r="I11" i="1" s="1"/>
  <c r="H10" i="1"/>
  <c r="I10" i="1" s="1"/>
  <c r="G7" i="1"/>
  <c r="I7" i="1" s="1"/>
  <c r="H6" i="1"/>
  <c r="G6" i="1"/>
  <c r="H9" i="1"/>
  <c r="G9" i="1"/>
  <c r="H8" i="1"/>
  <c r="I8" i="1" s="1"/>
  <c r="H12" i="1"/>
  <c r="I12" i="1" s="1"/>
  <c r="I13" i="1" s="1"/>
  <c r="D5" i="1"/>
  <c r="F5" i="1" s="1"/>
  <c r="F13" i="3" l="1"/>
  <c r="F12" i="2"/>
  <c r="F13" i="2"/>
  <c r="I8" i="2"/>
  <c r="F14" i="2"/>
  <c r="F12" i="3"/>
  <c r="F14" i="4"/>
  <c r="I7" i="4"/>
  <c r="F15" i="3"/>
  <c r="E5" i="10" s="1"/>
  <c r="F13" i="4"/>
  <c r="F16" i="4"/>
  <c r="F5" i="10" s="1"/>
  <c r="F11" i="3"/>
  <c r="F11" i="5"/>
  <c r="F12" i="5"/>
  <c r="F13" i="5"/>
  <c r="I6" i="5"/>
  <c r="F15" i="5"/>
  <c r="G5" i="10" s="1"/>
  <c r="I6" i="3"/>
  <c r="I5" i="3"/>
  <c r="I6" i="2"/>
  <c r="F16" i="2"/>
  <c r="D5" i="10" s="1"/>
  <c r="I10" i="4"/>
  <c r="I13" i="4" s="1"/>
  <c r="I7" i="5"/>
  <c r="G5" i="6"/>
  <c r="H5" i="6"/>
  <c r="I8" i="4"/>
  <c r="I8" i="5"/>
  <c r="I11" i="2"/>
  <c r="I12" i="2" s="1"/>
  <c r="I5" i="5"/>
  <c r="E10" i="8"/>
  <c r="I9" i="5"/>
  <c r="I11" i="4"/>
  <c r="I8" i="3"/>
  <c r="I7" i="3"/>
  <c r="I9" i="3"/>
  <c r="I10" i="3"/>
  <c r="I11" i="3" s="1"/>
  <c r="I10" i="2"/>
  <c r="I13" i="2" s="1"/>
  <c r="I9" i="1"/>
  <c r="G5" i="1"/>
  <c r="F15" i="1" s="1"/>
  <c r="H5" i="1"/>
  <c r="D4" i="7" l="1"/>
  <c r="I14" i="4"/>
  <c r="F6" i="10" s="1"/>
  <c r="I16" i="2"/>
  <c r="D7" i="10" s="1"/>
  <c r="I12" i="3"/>
  <c r="I13" i="3"/>
  <c r="E6" i="10" s="1"/>
  <c r="I14" i="2"/>
  <c r="D6" i="10" s="1"/>
  <c r="I16" i="4"/>
  <c r="F7" i="10" s="1"/>
  <c r="F14" i="1"/>
  <c r="D5" i="7" s="1"/>
  <c r="F17" i="1"/>
  <c r="C5" i="10" s="1"/>
  <c r="H5" i="10" s="1"/>
  <c r="I13" i="5"/>
  <c r="G6" i="10" s="1"/>
  <c r="I12" i="5"/>
  <c r="F7" i="6"/>
  <c r="I15" i="3"/>
  <c r="E7" i="10" s="1"/>
  <c r="I5" i="6"/>
  <c r="I7" i="6" s="1"/>
  <c r="I12" i="4"/>
  <c r="E4" i="7" s="1"/>
  <c r="I5" i="1"/>
  <c r="D7" i="7" l="1"/>
  <c r="I15" i="5"/>
  <c r="G7" i="10" s="1"/>
  <c r="I14" i="1"/>
  <c r="E5" i="7" s="1"/>
  <c r="E6" i="7" s="1"/>
  <c r="E7" i="7" s="1"/>
  <c r="I15" i="1"/>
  <c r="I17" i="1" l="1"/>
  <c r="C7" i="10" s="1"/>
  <c r="C6" i="10"/>
  <c r="H6" i="10" s="1"/>
  <c r="E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Curtis</author>
  </authors>
  <commentList>
    <comment ref="B5" authorId="0" shapeId="0" xr:uid="{034756CC-D1DB-4515-8A63-0C1A4F9F8D57}">
      <text>
        <r>
          <rPr>
            <b/>
            <sz val="9"/>
            <color indexed="81"/>
            <rFont val="Tahoma"/>
            <family val="2"/>
          </rPr>
          <t>Tracy Curtis:</t>
        </r>
        <r>
          <rPr>
            <sz val="9"/>
            <color indexed="81"/>
            <rFont val="Tahoma"/>
            <family val="2"/>
          </rPr>
          <t xml:space="preserve">
Previously 4
</t>
        </r>
      </text>
    </comment>
  </commentList>
</comments>
</file>

<file path=xl/sharedStrings.xml><?xml version="1.0" encoding="utf-8"?>
<sst xmlns="http://schemas.openxmlformats.org/spreadsheetml/2006/main" count="227" uniqueCount="166">
  <si>
    <t>Burden Item</t>
  </si>
  <si>
    <t>(C)</t>
  </si>
  <si>
    <t>(D)</t>
  </si>
  <si>
    <t>(E)</t>
  </si>
  <si>
    <t>1.1  Bulk Terminals</t>
  </si>
  <si>
    <t>(h)  Submit semiannual compliance report</t>
  </si>
  <si>
    <t>Burden item</t>
  </si>
  <si>
    <t>(A) Person hours per occurrence</t>
  </si>
  <si>
    <t>(B) No. of occurrences per respondent per year</t>
  </si>
  <si>
    <t>(C) Person hours per respondent per year (C=AxB)</t>
  </si>
  <si>
    <t>(E) Technical person- hours per year (E=CxD)</t>
  </si>
  <si>
    <t>(F) Management person hours per year (Ex0.05)</t>
  </si>
  <si>
    <t>(G) Clerical person hours per year (Ex0.1)</t>
  </si>
  <si>
    <t xml:space="preserve">Average Number of Respondents per year </t>
  </si>
  <si>
    <t>1.2  Pipeline Breakout Stations</t>
  </si>
  <si>
    <t>(g)  Submit semiannual compliance report</t>
  </si>
  <si>
    <t>Assumptions for Table 1.1:</t>
  </si>
  <si>
    <t>Assumptions  for Table 1.2:</t>
  </si>
  <si>
    <t>1.3 Pipeline Pumping Stations</t>
  </si>
  <si>
    <t>(d)  Perform equipment leak inspections</t>
  </si>
  <si>
    <t>Assumptions for Table 1.3:</t>
  </si>
  <si>
    <t>1.4 Bulk Plants</t>
  </si>
  <si>
    <t>Assumptions for Table 1.4:</t>
  </si>
  <si>
    <t>1.5 Gasoline Dispensing Facilities</t>
  </si>
  <si>
    <t>Assumptions for Table 1.5:</t>
  </si>
  <si>
    <r>
      <t xml:space="preserve">(H) Total Cost per year </t>
    </r>
    <r>
      <rPr>
        <b/>
        <vertAlign val="superscript"/>
        <sz val="10"/>
        <color theme="1"/>
        <rFont val="Times New Roman"/>
        <family val="1"/>
      </rPr>
      <t>b</t>
    </r>
  </si>
  <si>
    <r>
      <t xml:space="preserve">(D) Respondents per year </t>
    </r>
    <r>
      <rPr>
        <b/>
        <vertAlign val="superscript"/>
        <sz val="10"/>
        <color theme="1"/>
        <rFont val="Times New Roman"/>
        <family val="1"/>
      </rPr>
      <t>a</t>
    </r>
  </si>
  <si>
    <r>
      <t xml:space="preserve">(b)  Prepare Initial Notification </t>
    </r>
    <r>
      <rPr>
        <vertAlign val="superscript"/>
        <sz val="8"/>
        <color theme="1"/>
        <rFont val="Times New Roman"/>
        <family val="1"/>
      </rPr>
      <t>c</t>
    </r>
  </si>
  <si>
    <r>
      <t xml:space="preserve">(c)  Perform Initial Performance Test </t>
    </r>
    <r>
      <rPr>
        <vertAlign val="superscript"/>
        <sz val="8"/>
        <color theme="1"/>
        <rFont val="Times New Roman"/>
        <family val="1"/>
      </rPr>
      <t>c</t>
    </r>
  </si>
  <si>
    <r>
      <t xml:space="preserve">(d)  Prepare Notification of Compliance Status </t>
    </r>
    <r>
      <rPr>
        <vertAlign val="superscript"/>
        <sz val="8"/>
        <color theme="1"/>
        <rFont val="Times New Roman"/>
        <family val="1"/>
      </rPr>
      <t>c</t>
    </r>
  </si>
  <si>
    <r>
      <t xml:space="preserve">(f)  Perform equipment leak inspections </t>
    </r>
    <r>
      <rPr>
        <vertAlign val="superscript"/>
        <sz val="8"/>
        <color theme="1"/>
        <rFont val="Times New Roman"/>
        <family val="1"/>
      </rPr>
      <t>d</t>
    </r>
  </si>
  <si>
    <r>
      <t xml:space="preserve">(e)  Perform annual storage tank inspection </t>
    </r>
    <r>
      <rPr>
        <vertAlign val="superscript"/>
        <sz val="8"/>
        <color theme="1"/>
        <rFont val="Times New Roman"/>
        <family val="1"/>
      </rPr>
      <t>d</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</si>
  <si>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1,100 existing bulk terminals.</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</si>
  <si>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460 existing pipeline breakout stations.</t>
    </r>
  </si>
  <si>
    <r>
      <rPr>
        <vertAlign val="superscript"/>
        <sz val="10"/>
        <color theme="1"/>
        <rFont val="Arial"/>
        <family val="2"/>
      </rPr>
      <t>d</t>
    </r>
    <r>
      <rPr>
        <sz val="10"/>
        <color theme="1"/>
        <rFont val="Arial"/>
        <family val="2"/>
      </rPr>
      <t xml:space="preserve"> </t>
    </r>
    <r>
      <rPr>
        <sz val="10"/>
        <color theme="1"/>
        <rFont val="Times New Roman"/>
        <family val="1"/>
      </rPr>
      <t>Assumed that all respondents are currently performing annual storage tank inspections; and, that all are currently performing equipment leak inspections at least once per month.</t>
    </r>
  </si>
  <si>
    <t>Total Annual Responses</t>
  </si>
  <si>
    <t>Information Collection Activity</t>
  </si>
  <si>
    <t>Number of Respondents</t>
  </si>
  <si>
    <t>Number of Responses</t>
  </si>
  <si>
    <t>Number of Existing…</t>
  </si>
  <si>
    <t>Total</t>
  </si>
  <si>
    <t>Initial Notification</t>
  </si>
  <si>
    <t>Initial Performance Test</t>
  </si>
  <si>
    <t>Notification of Compliance Status</t>
  </si>
  <si>
    <t>Semiannual Compliance Report</t>
  </si>
  <si>
    <r>
      <t xml:space="preserve">(D) Respondents per year  </t>
    </r>
    <r>
      <rPr>
        <b/>
        <vertAlign val="superscript"/>
        <sz val="10"/>
        <color theme="1"/>
        <rFont val="Times New Roman"/>
        <family val="1"/>
      </rPr>
      <t>a</t>
    </r>
  </si>
  <si>
    <r>
      <t>(b)  Prepare Initial Notification</t>
    </r>
    <r>
      <rPr>
        <vertAlign val="superscript"/>
        <sz val="8"/>
        <color theme="1"/>
        <rFont val="Times New Roman"/>
        <family val="1"/>
      </rPr>
      <t>c</t>
    </r>
  </si>
  <si>
    <r>
      <t>(c)  Prepare Notification of Compliance Status</t>
    </r>
    <r>
      <rPr>
        <vertAlign val="superscript"/>
        <sz val="8"/>
        <color theme="1"/>
        <rFont val="Times New Roman"/>
        <family val="1"/>
      </rPr>
      <t>c</t>
    </r>
  </si>
  <si>
    <r>
      <t>(d)  Perform annual storage tank inspection</t>
    </r>
    <r>
      <rPr>
        <vertAlign val="superscript"/>
        <sz val="8"/>
        <color theme="1"/>
        <rFont val="Times New Roman"/>
        <family val="1"/>
      </rPr>
      <t>d</t>
    </r>
  </si>
  <si>
    <r>
      <t>(e)  Perform equipment leak inspections</t>
    </r>
    <r>
      <rPr>
        <vertAlign val="superscript"/>
        <sz val="8"/>
        <color theme="1"/>
        <rFont val="Times New Roman"/>
        <family val="1"/>
      </rPr>
      <t>d</t>
    </r>
  </si>
  <si>
    <r>
      <t>(f)  Keep records of storage tank and equipment leak inspections</t>
    </r>
    <r>
      <rPr>
        <vertAlign val="superscript"/>
        <sz val="8"/>
        <color theme="1"/>
        <rFont val="Times New Roman"/>
        <family val="1"/>
      </rPr>
      <t>d</t>
    </r>
  </si>
  <si>
    <r>
      <rPr>
        <vertAlign val="superscript"/>
        <sz val="10"/>
        <color theme="1"/>
        <rFont val="Times New Roman"/>
        <family val="1"/>
      </rPr>
      <t>a</t>
    </r>
    <r>
      <rPr>
        <sz val="7"/>
        <color theme="1"/>
        <rFont val="Times New Roman"/>
        <family val="1"/>
      </rPr>
      <t> </t>
    </r>
    <r>
      <rPr>
        <sz val="10"/>
        <color theme="1"/>
        <rFont val="Times New Roman"/>
        <family val="1"/>
      </rPr>
      <t>We expect no new affected sources the next 3 years of this ICR.  Therefore, the estimated number of respondents remains unchanged as 1,800 existing pipeline pumping stations.</t>
    </r>
  </si>
  <si>
    <r>
      <rPr>
        <vertAlign val="superscript"/>
        <sz val="10"/>
        <color theme="1"/>
        <rFont val="Arial"/>
        <family val="2"/>
      </rPr>
      <t>e</t>
    </r>
    <r>
      <rPr>
        <sz val="10"/>
        <color theme="1"/>
        <rFont val="Arial"/>
        <family val="2"/>
      </rPr>
      <t xml:space="preserve"> </t>
    </r>
    <r>
      <rPr>
        <sz val="10"/>
        <color theme="1"/>
        <rFont val="Times New Roman"/>
        <family val="1"/>
      </rPr>
      <t>Assumed that, on an annual average basis, 2 percent of facilities (36) will be required to submit a semiannual compliance report because of delays in repairing equipment leaks.</t>
    </r>
  </si>
  <si>
    <r>
      <rPr>
        <vertAlign val="superscript"/>
        <sz val="10"/>
        <color theme="1"/>
        <rFont val="Arial"/>
        <family val="2"/>
      </rPr>
      <t>d</t>
    </r>
    <r>
      <rPr>
        <sz val="10"/>
        <color theme="1"/>
        <rFont val="Arial"/>
        <family val="2"/>
      </rPr>
      <t xml:space="preserve"> </t>
    </r>
    <r>
      <rPr>
        <sz val="10"/>
        <color theme="1"/>
        <rFont val="Times New Roman"/>
        <family val="1"/>
      </rPr>
      <t>Assumed that all respondents are currently performing equipment leak inspections at least once per month.</t>
    </r>
  </si>
  <si>
    <r>
      <t>(e)  Keep records of equipment leak inspections</t>
    </r>
    <r>
      <rPr>
        <vertAlign val="superscript"/>
        <sz val="8"/>
        <color theme="1"/>
        <rFont val="Times New Roman"/>
        <family val="1"/>
      </rPr>
      <t>d</t>
    </r>
  </si>
  <si>
    <r>
      <t xml:space="preserve">(f)  Submit semiannual compliance report </t>
    </r>
    <r>
      <rPr>
        <vertAlign val="superscript"/>
        <sz val="8"/>
        <color theme="1"/>
        <rFont val="Times New Roman"/>
        <family val="1"/>
      </rPr>
      <t>e</t>
    </r>
  </si>
  <si>
    <r>
      <rPr>
        <vertAlign val="superscript"/>
        <sz val="10"/>
        <color theme="1"/>
        <rFont val="Arial"/>
        <family val="2"/>
      </rPr>
      <t>e</t>
    </r>
    <r>
      <rPr>
        <sz val="10"/>
        <color theme="1"/>
        <rFont val="Arial"/>
        <family val="2"/>
      </rPr>
      <t xml:space="preserve"> </t>
    </r>
    <r>
      <rPr>
        <sz val="10"/>
        <color theme="1"/>
        <rFont val="Times New Roman"/>
        <family val="1"/>
      </rPr>
      <t>Assumed that, on an annual average basis, 2 percent of facilities (118) will be required to submit a semiannual compliance report because of delays in repairing equipment leaks.</t>
    </r>
  </si>
  <si>
    <r>
      <rPr>
        <vertAlign val="superscript"/>
        <sz val="10"/>
        <color theme="1"/>
        <rFont val="Times New Roman"/>
        <family val="1"/>
      </rPr>
      <t>a</t>
    </r>
    <r>
      <rPr>
        <sz val="7"/>
        <color theme="1"/>
        <rFont val="Times New Roman"/>
        <family val="1"/>
      </rPr>
      <t> </t>
    </r>
    <r>
      <rPr>
        <sz val="10"/>
        <color theme="1"/>
        <rFont val="Times New Roman"/>
        <family val="1"/>
      </rPr>
      <t xml:space="preserve">We expect no new affected sources the next 3 years of this ICR.  Therefore, the estimated number of respondents remains unchanged as 5,900 existing bulk plants.  </t>
    </r>
  </si>
  <si>
    <r>
      <t>(D) Respondents per year</t>
    </r>
    <r>
      <rPr>
        <b/>
        <vertAlign val="superscript"/>
        <sz val="10"/>
        <color theme="1"/>
        <rFont val="Times New Roman"/>
        <family val="1"/>
      </rPr>
      <t xml:space="preserve">  a</t>
    </r>
  </si>
  <si>
    <r>
      <t>(H) Total Cost per year</t>
    </r>
    <r>
      <rPr>
        <b/>
        <vertAlign val="superscript"/>
        <sz val="10"/>
        <color theme="1"/>
        <rFont val="Times New Roman"/>
        <family val="1"/>
      </rPr>
      <t xml:space="preserve"> b</t>
    </r>
  </si>
  <si>
    <r>
      <t>(c)  Prepare Initial Notification</t>
    </r>
    <r>
      <rPr>
        <vertAlign val="superscript"/>
        <sz val="8"/>
        <color theme="1"/>
        <rFont val="Times New Roman"/>
        <family val="1"/>
      </rPr>
      <t>c</t>
    </r>
  </si>
  <si>
    <r>
      <t>(d)  Prepare Notification of Compliance Status</t>
    </r>
    <r>
      <rPr>
        <vertAlign val="superscript"/>
        <sz val="8"/>
        <color theme="1"/>
        <rFont val="Times New Roman"/>
        <family val="1"/>
      </rPr>
      <t>c</t>
    </r>
  </si>
  <si>
    <r>
      <t>(g)  Submit semiannual compliance report</t>
    </r>
    <r>
      <rPr>
        <vertAlign val="superscript"/>
        <sz val="8"/>
        <color theme="1"/>
        <rFont val="Times New Roman"/>
        <family val="1"/>
      </rPr>
      <t>e</t>
    </r>
  </si>
  <si>
    <r>
      <t>(f)  Keep records of equipment leak inspections</t>
    </r>
    <r>
      <rPr>
        <vertAlign val="superscript"/>
        <sz val="8"/>
        <color theme="1"/>
        <rFont val="Times New Roman"/>
        <family val="1"/>
      </rPr>
      <t>d</t>
    </r>
  </si>
  <si>
    <r>
      <t xml:space="preserve">(D) Respondents per year </t>
    </r>
    <r>
      <rPr>
        <b/>
        <vertAlign val="superscript"/>
        <sz val="10"/>
        <color theme="1"/>
        <rFont val="Times New Roman"/>
        <family val="1"/>
      </rPr>
      <t xml:space="preserve"> a</t>
    </r>
  </si>
  <si>
    <r>
      <t>(d)  Prepare Initial Notification</t>
    </r>
    <r>
      <rPr>
        <vertAlign val="superscript"/>
        <sz val="8"/>
        <color theme="1"/>
        <rFont val="Times New Roman"/>
        <family val="1"/>
      </rPr>
      <t>c</t>
    </r>
  </si>
  <si>
    <t>hr per resp</t>
  </si>
  <si>
    <t>Subtotal for Recordkeeping Requirements</t>
  </si>
  <si>
    <t>Subtotal for Reporting Requirements</t>
  </si>
  <si>
    <t>Total person-hours per year</t>
  </si>
  <si>
    <t>Total Cost per year</t>
  </si>
  <si>
    <t>TOTAL LABOR  BURDEN AND COST</t>
  </si>
  <si>
    <t>(A)</t>
  </si>
  <si>
    <t>(B)</t>
  </si>
  <si>
    <t>Review of storage tank inspection reports</t>
  </si>
  <si>
    <t>Review semiannual compliance reports</t>
  </si>
  <si>
    <t>Activity</t>
  </si>
  <si>
    <t>(A) EPA person-hours per occurrence</t>
  </si>
  <si>
    <t>(B) No. of occurrences per plant per year</t>
  </si>
  <si>
    <t>(C) EPA person hours per plant per year (AxB)</t>
  </si>
  <si>
    <r>
      <t xml:space="preserve">(D) Plants per year </t>
    </r>
    <r>
      <rPr>
        <b/>
        <vertAlign val="superscript"/>
        <sz val="10"/>
        <color theme="1"/>
        <rFont val="Times New Roman"/>
        <family val="1"/>
      </rPr>
      <t>a</t>
    </r>
    <r>
      <rPr>
        <b/>
        <sz val="10"/>
        <color theme="1"/>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</si>
  <si>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</si>
  <si>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</si>
  <si>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</si>
  <si>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10"/>
        <color theme="1"/>
        <rFont val="Times New Roman"/>
        <family val="1"/>
      </rPr>
      <t>b</t>
    </r>
  </si>
  <si>
    <t>Assumptions for Table 2:</t>
  </si>
  <si>
    <t>Non-routine reports</t>
  </si>
  <si>
    <t>Storage Tank Inspections (Annual Report)</t>
  </si>
  <si>
    <r>
      <rPr>
        <vertAlign val="superscript"/>
        <sz val="10"/>
        <color theme="1"/>
        <rFont val="Times New Roman"/>
        <family val="1"/>
      </rPr>
      <t xml:space="preserve">a </t>
    </r>
    <r>
      <rPr>
        <sz val="10"/>
        <color theme="1"/>
        <rFont val="Times New Roman"/>
        <family val="1"/>
      </rPr>
      <t>Number of activities per year is the sum of the number of applicable respondents from Tables 1.1 through 1.5.</t>
    </r>
  </si>
  <si>
    <r>
      <t>Review of other, non-routine reports</t>
    </r>
    <r>
      <rPr>
        <vertAlign val="superscript"/>
        <sz val="10"/>
        <color theme="1"/>
        <rFont val="Times New Roman"/>
        <family val="1"/>
      </rPr>
      <t>c</t>
    </r>
  </si>
  <si>
    <r>
      <rPr>
        <vertAlign val="superscript"/>
        <sz val="10"/>
        <color theme="1"/>
        <rFont val="Times New Roman"/>
        <family val="1"/>
      </rPr>
      <t xml:space="preserve">c </t>
    </r>
    <r>
      <rPr>
        <sz val="10"/>
        <color theme="1"/>
        <rFont val="Times New Roman"/>
        <family val="1"/>
      </rPr>
      <t>Assumed that 10 percent of affected facilities industry-wide will submit non-routine reports each year. (19,120 x 10% = 1,912)</t>
    </r>
  </si>
  <si>
    <t>Subtotal Recordkeeping [(e) - (g)]</t>
  </si>
  <si>
    <t>Subtotal Reporting [(h)]</t>
  </si>
  <si>
    <t>Subtotal Reporting [(g)]</t>
  </si>
  <si>
    <t>Subtotal Recordkeeping [(d) - (f)]</t>
  </si>
  <si>
    <t>Subtotal Reporting [(f)]</t>
  </si>
  <si>
    <t>Subtotal Recordkeeping [(d) - (e)]</t>
  </si>
  <si>
    <t>Subtotal Recordkeeping [(e) - (f)]</t>
  </si>
  <si>
    <t>Subtotal Reporting [(e)]</t>
  </si>
  <si>
    <t>Subtotal Recordkeeping [NA]</t>
  </si>
  <si>
    <r>
      <t xml:space="preserve">Table 1.2: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</si>
  <si>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1.3: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</si>
  <si>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1.4: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</si>
  <si>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1.5: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</si>
  <si>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r>
      <t xml:space="preserve">Table 1.6: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</si>
  <si>
    <t>Table 2: Average Annual EPA Burden and Cost – NESHAP for Source Categories: Gasoline Distribution Bulk Terminals, Bulk Plants, Pipeline Facilities, and Gasoline Dispensing Facilities (40 CFR Part 63, Subparts BBBBBB and CCCCCC) (Renewal)</t>
  </si>
  <si>
    <t xml:space="preserve">Table 1: NESHAP for Source Categories: Gasoline Distribution Bulk Terminals, Bulk Plants, Pipeline Facilities, and Gasoline Dispensing Facilities (40 CFR Part 63, Subparts BBBBBB and CCCCCC) </t>
  </si>
  <si>
    <t>Sector</t>
  </si>
  <si>
    <t>Burden Hours</t>
  </si>
  <si>
    <t>Labor Cost</t>
  </si>
  <si>
    <t>Bulk Terminals</t>
  </si>
  <si>
    <t>Pipeline Breakout Stations</t>
  </si>
  <si>
    <t>Pipeline Pumping Stations</t>
  </si>
  <si>
    <t>Bulk Plants</t>
  </si>
  <si>
    <t>Gasoline Dispensing Facilities</t>
  </si>
  <si>
    <r>
      <t>TOTAL LABOR BURDEN AND COST (rounded)</t>
    </r>
    <r>
      <rPr>
        <vertAlign val="superscript"/>
        <sz val="10"/>
        <color rgb="FF000000"/>
        <rFont val="Times New Roman"/>
        <family val="1"/>
      </rPr>
      <t>e</t>
    </r>
  </si>
  <si>
    <r>
      <t>TOTAL CAPITAL AND O&amp;M COST (rounded)</t>
    </r>
    <r>
      <rPr>
        <vertAlign val="superscript"/>
        <sz val="10"/>
        <color theme="1"/>
        <rFont val="Times New Roman"/>
        <family val="1"/>
      </rPr>
      <t>e</t>
    </r>
  </si>
  <si>
    <r>
      <t xml:space="preserve">e </t>
    </r>
    <r>
      <rPr>
        <sz val="10"/>
        <color theme="1"/>
        <rFont val="Times New Roman"/>
        <family val="1"/>
      </rPr>
      <t>Totals have been rounded to 3 significant figures. Figures may not add exactly due to rounding.</t>
    </r>
  </si>
  <si>
    <r>
      <t>GRAND TOTAL (rounded)</t>
    </r>
    <r>
      <rPr>
        <b/>
        <vertAlign val="superscript"/>
        <sz val="8"/>
        <color theme="1"/>
        <rFont val="Times New Roman"/>
        <family val="1"/>
      </rPr>
      <t>e</t>
    </r>
  </si>
  <si>
    <r>
      <t>GRAND TOTAL (rounded)</t>
    </r>
    <r>
      <rPr>
        <b/>
        <vertAlign val="superscript"/>
        <sz val="8"/>
        <color theme="1"/>
        <rFont val="Times New Roman"/>
        <family val="1"/>
      </rPr>
      <t>f</t>
    </r>
  </si>
  <si>
    <r>
      <t>f</t>
    </r>
    <r>
      <rPr>
        <sz val="11"/>
        <color theme="1"/>
        <rFont val="Calibri"/>
        <family val="2"/>
        <scheme val="minor"/>
      </rPr>
      <t xml:space="preserve"> </t>
    </r>
    <r>
      <rPr>
        <sz val="10"/>
        <color theme="1"/>
        <rFont val="Times New Roman"/>
        <family val="1"/>
      </rPr>
      <t>Totals have been rounded to 3 significant figures. Figures may not add exactly due to rounding.</t>
    </r>
  </si>
  <si>
    <r>
      <t>TOTAL LABOR  BURDEN AND COST (rounded)</t>
    </r>
    <r>
      <rPr>
        <b/>
        <vertAlign val="superscript"/>
        <sz val="10"/>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</si>
  <si>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</si>
  <si>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t>(g) Keep records of performance tests, storage tank and equipment leak inspections, and cargo tank vapor  tightness documentation</t>
  </si>
  <si>
    <r>
      <t>GRAND TOTAL (rounded)</t>
    </r>
    <r>
      <rPr>
        <b/>
        <vertAlign val="superscript"/>
        <sz val="10"/>
        <color theme="1"/>
        <rFont val="Times New Roman"/>
        <family val="1"/>
      </rPr>
      <t>e</t>
    </r>
  </si>
  <si>
    <r>
      <t>TOTAL LABOR BURDEN AND COST (rounded)</t>
    </r>
    <r>
      <rPr>
        <vertAlign val="superscript"/>
        <sz val="8"/>
        <color rgb="FF000000"/>
        <rFont val="Times New Roman"/>
        <family val="1"/>
      </rPr>
      <t>f</t>
    </r>
  </si>
  <si>
    <r>
      <t>TOTAL CAPITAL AND O&amp;M COST (rounded)</t>
    </r>
    <r>
      <rPr>
        <vertAlign val="superscript"/>
        <sz val="8"/>
        <color theme="1"/>
        <rFont val="Times New Roman"/>
        <family val="1"/>
      </rPr>
      <t>f</t>
    </r>
  </si>
  <si>
    <r>
      <t>TOTAL LABOR BURDEN AND COST (rounded)</t>
    </r>
    <r>
      <rPr>
        <vertAlign val="superscript"/>
        <sz val="8"/>
        <color rgb="FF000000"/>
        <rFont val="Times New Roman"/>
        <family val="1"/>
      </rPr>
      <t>e</t>
    </r>
  </si>
  <si>
    <r>
      <t>TOTAL CAPITAL AND O&amp;M COST (rounded)</t>
    </r>
    <r>
      <rPr>
        <vertAlign val="superscript"/>
        <sz val="8"/>
        <color theme="1"/>
        <rFont val="Times New Roman"/>
        <family val="1"/>
      </rPr>
      <t>e</t>
    </r>
  </si>
  <si>
    <r>
      <rPr>
        <vertAlign val="superscript"/>
        <sz val="10"/>
        <color theme="1"/>
        <rFont val="Times New Roman"/>
        <family val="1"/>
      </rPr>
      <t>a</t>
    </r>
    <r>
      <rPr>
        <sz val="7"/>
        <color theme="1"/>
        <rFont val="Times New Roman"/>
        <family val="1"/>
      </rPr>
      <t> </t>
    </r>
    <r>
      <rPr>
        <sz val="10"/>
        <color theme="1"/>
        <rFont val="Times New Roman"/>
        <family val="1"/>
      </rPr>
      <t xml:space="preserve">We expect no new affected sources the next 3 years of this ICR.  Of the total 340,000 facilities, 243,587 facilities with throughputs of &lt;100,000 gpm that are complying with a SLT submerged fill requirement, and for the 85,340 facilities with throughputs of &gt;100,000 gpm that are complying with a state (SLT) vapor balancing requirement, there are no other reporting or recordkeeping requirements associated with this rule for this ICR.   Therefore, the estimated number of respondents with recordkeeping and reporting requirements remains unchanged from the previous ICR as 11,073 gasoline dispensing facilities, of which 9,860 install vapor balance system and 1,213 must add submerged filled as a result of this rulemaking. </t>
    </r>
  </si>
  <si>
    <t>(c) Initial vapor balance system testing</t>
  </si>
  <si>
    <r>
      <t xml:space="preserve"> (e) Vapor balance system testing </t>
    </r>
    <r>
      <rPr>
        <vertAlign val="superscript"/>
        <sz val="8"/>
        <color theme="1"/>
        <rFont val="Times New Roman"/>
        <family val="1"/>
      </rPr>
      <t>d</t>
    </r>
  </si>
  <si>
    <r>
      <t xml:space="preserve">a </t>
    </r>
    <r>
      <rPr>
        <sz val="10"/>
        <color theme="1"/>
        <rFont val="Times New Roman"/>
        <family val="1"/>
      </rPr>
      <t>Totals have been rounded to 3 significant figures. Figures may not add exactly due to rounding.</t>
    </r>
  </si>
  <si>
    <r>
      <t>GRAND TOTAL (Rounded)</t>
    </r>
    <r>
      <rPr>
        <b/>
        <vertAlign val="superscript"/>
        <sz val="10"/>
        <rFont val="Times New Roman"/>
        <family val="1"/>
      </rPr>
      <t>a</t>
    </r>
  </si>
  <si>
    <r>
      <t>TOTAL CAPITAL AND O&amp;M COST(Rounded)</t>
    </r>
    <r>
      <rPr>
        <b/>
        <vertAlign val="superscript"/>
        <sz val="10"/>
        <rFont val="Times New Roman"/>
        <family val="1"/>
      </rPr>
      <t>a</t>
    </r>
  </si>
  <si>
    <r>
      <t>TOTAL LABOR  BURDEN AND COST (Rounded)</t>
    </r>
    <r>
      <rPr>
        <b/>
        <vertAlign val="superscript"/>
        <sz val="10"/>
        <rFont val="Times New Roman"/>
        <family val="1"/>
      </rPr>
      <t>a</t>
    </r>
  </si>
  <si>
    <t>Total Cost (Labor + O&amp;M)</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</si>
  <si>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</si>
  <si>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</si>
  <si>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</si>
  <si>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</si>
  <si>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</si>
  <si>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</si>
  <si>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</si>
  <si>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Number of Respondents  with O&amp;M</t>
  </si>
  <si>
    <t>(G)</t>
  </si>
  <si>
    <t>Total O&amp;M,</t>
  </si>
  <si>
    <t>(E X F)</t>
  </si>
  <si>
    <t>CPMS for  vapor processors</t>
  </si>
  <si>
    <t>110 ( 10% of Bulk Terminals)</t>
  </si>
  <si>
    <r>
      <rPr>
        <vertAlign val="superscript"/>
        <sz val="10"/>
        <color theme="1"/>
        <rFont val="Times New Roman"/>
        <family val="1"/>
      </rPr>
      <t>c</t>
    </r>
    <r>
      <rPr>
        <sz val="10"/>
        <color theme="1"/>
        <rFont val="Times New Roman"/>
        <family val="1"/>
      </rPr>
      <t xml:space="preserve"> Preparing Initial Notification, performing initial performance test, and preparing Notification of Compliance Status are one-time activities.  </t>
    </r>
  </si>
  <si>
    <t>(a) Familiarization with rule requirements</t>
  </si>
  <si>
    <r>
      <rPr>
        <vertAlign val="superscript"/>
        <sz val="10"/>
        <color theme="1"/>
        <rFont val="Times New Roman"/>
        <family val="1"/>
      </rPr>
      <t>c</t>
    </r>
    <r>
      <rPr>
        <sz val="10"/>
        <color theme="1"/>
        <rFont val="Times New Roman"/>
        <family val="1"/>
      </rPr>
      <t xml:space="preserve"> Preparing Initial Notification, and preparing Notification of Compliance Status are one-time activities.  Note: 25% of the respondents are in States without bulk plant rules and 75% are in States with rules.</t>
    </r>
  </si>
  <si>
    <r>
      <rPr>
        <vertAlign val="superscript"/>
        <sz val="10"/>
        <color theme="1"/>
        <rFont val="Times New Roman"/>
        <family val="1"/>
      </rPr>
      <t>c</t>
    </r>
    <r>
      <rPr>
        <sz val="10"/>
        <color theme="1"/>
        <rFont val="Times New Roman"/>
        <family val="1"/>
      </rPr>
      <t xml:space="preserve"> Preparing Initial Notification, conducting an initial vapor balance system test, and preparing Notification of Compliance Status are one-time activities.  </t>
    </r>
  </si>
  <si>
    <t xml:space="preserve">(a)  Familiarization with rule requirements (facilities &gt;100k already in compliance) </t>
  </si>
  <si>
    <t>(b)  Familiarization with rule requirements (facilities &lt;100k already in compliance)</t>
  </si>
  <si>
    <t>(a)  Familiarization with rule requirements (in States without submerged fill rules)</t>
  </si>
  <si>
    <t>(b)  Familiarization with rule requirements (in States with submerged fill rules)</t>
  </si>
  <si>
    <t>(a)  Familiarization with rule requirements</t>
  </si>
  <si>
    <t>September 2020:</t>
  </si>
  <si>
    <t>2021:</t>
  </si>
  <si>
    <r>
      <rPr>
        <vertAlign val="superscript"/>
        <sz val="10"/>
        <rFont val="Times New Roman"/>
        <family val="1"/>
      </rPr>
      <t xml:space="preserve">b </t>
    </r>
    <r>
      <rPr>
        <sz val="10"/>
        <rFont val="Times New Roman"/>
        <family val="1"/>
      </rPr>
      <t>This cost is based on the following labor rates: $69.04 for Managerial, $51.23 for Technical, and $27.73 for Clerical. These rates are from the Office of Personnel Management (OPM), 2021 General Schedule, which excludes locality rates of pay. The rates have been increased by 60 percent to account for the benefit packages available to government employees.</t>
    </r>
  </si>
  <si>
    <r>
      <rPr>
        <vertAlign val="superscript"/>
        <sz val="10"/>
        <color theme="1"/>
        <rFont val="Times New Roman"/>
        <family val="1"/>
      </rPr>
      <t>b</t>
    </r>
    <r>
      <rPr>
        <sz val="10"/>
        <color theme="1"/>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</si>
  <si>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10"/>
        <rFont val="Times New Roman"/>
        <family val="1"/>
      </rPr>
      <t>b</t>
    </r>
    <r>
      <rPr>
        <sz val="10"/>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</si>
  <si>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10"/>
        <color theme="1"/>
        <rFont val="Times New Roman"/>
        <family val="1"/>
      </rPr>
      <t xml:space="preserve">d </t>
    </r>
    <r>
      <rPr>
        <sz val="10"/>
        <color theme="1"/>
        <rFont val="Times New Roman"/>
        <family val="1"/>
      </rPr>
      <t xml:space="preserve">Assume vapor balance pressure retesting require every three years.  There are 9,860 gasoline dispensing facilities would have to retest.   </t>
    </r>
  </si>
  <si>
    <r>
      <t xml:space="preserve">Table 1.1: Annual Respondent Burden and Cost – </t>
    </r>
    <r>
      <rPr>
        <b/>
        <sz val="12"/>
        <color theme="1"/>
        <rFont val="Times New Roman"/>
        <family val="1"/>
      </rPr>
      <t>NESHAP for Source Categories: Gasoline Distribution Bulk Terminals, Bulk Plants, Pipeline Facilities, and Gasoline Dispensing Facilities</t>
    </r>
    <r>
      <rPr>
        <b/>
        <sz val="12"/>
        <color rgb="FF000000"/>
        <rFont val="Times New Roman"/>
        <family val="1"/>
      </rPr>
      <t xml:space="preserve"> (40 CFR Part 63, Subparts BBBBBB and CCCCCC) (Renewal)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</si>
</sst>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3" formatCode="_(* #,##0.00_);_(* \(#,##0.00\);_(* &quot;-&quot;??_);_(@_)"/>
    <numFmt numFmtId="164" formatCode="&quot;$&quot;#,##0.00"/>
    <numFmt numFmtId="165" formatCode="#,##0.0"/>
    <numFmt numFmtId="166" formatCode="&quot;$&quot;#,##0"/>
    <numFmt numFmtId="167" formatCode="0.0"/>
  </numFmts>
  <fonts count="41" x14ac:knownFonts="1">
    <font>
      <sz val="11"/>
      <color theme="1"/>
      <name val="Calibri"/>
      <family val="2"/>
      <scheme val="minor"/>
    </font>
    <font>
      <sz val="11"/>
      <color rgb="FFFF0000"/>
      <name val="Calibri"/>
      <family val="2"/>
      <scheme val="minor"/>
    </font>
    <font>
      <sz val="12"/>
      <color theme="1"/>
      <name val="Times New Roman"/>
      <family val="1"/>
    </font>
    <font>
      <b/>
      <sz val="8"/>
      <color theme="1"/>
      <name val="Times New Roman"/>
      <family val="1"/>
    </font>
    <font>
      <i/>
      <sz val="8"/>
      <color theme="1"/>
      <name val="Times New Roman"/>
      <family val="1"/>
    </font>
    <font>
      <sz val="10"/>
      <color theme="1"/>
      <name val="Arial"/>
      <family val="2"/>
    </font>
    <font>
      <sz val="8"/>
      <color theme="1"/>
      <name val="Times New Roman"/>
      <family val="1"/>
    </font>
    <font>
      <sz val="8"/>
      <color rgb="FFFF0000"/>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sz val="8"/>
      <name val="Times New Roman"/>
      <family val="1"/>
    </font>
    <font>
      <b/>
      <u/>
      <sz val="10"/>
      <color theme="1"/>
      <name val="Times New Roman"/>
      <family val="1"/>
    </font>
    <font>
      <sz val="7"/>
      <color theme="1"/>
      <name val="Times New Roman"/>
      <family val="1"/>
    </font>
    <font>
      <sz val="8"/>
      <color theme="1"/>
      <name val="Arial"/>
      <family val="2"/>
    </font>
    <font>
      <b/>
      <sz val="11"/>
      <color theme="1"/>
      <name val="Calibri"/>
      <family val="2"/>
      <scheme val="minor"/>
    </font>
    <font>
      <vertAlign val="superscript"/>
      <sz val="8"/>
      <color theme="1"/>
      <name val="Times New Roman"/>
      <family val="1"/>
    </font>
    <font>
      <sz val="9"/>
      <color indexed="81"/>
      <name val="Tahoma"/>
      <family val="2"/>
    </font>
    <font>
      <b/>
      <sz val="9"/>
      <color indexed="81"/>
      <name val="Tahoma"/>
      <family val="2"/>
    </font>
    <font>
      <vertAlign val="superscript"/>
      <sz val="10"/>
      <color theme="1"/>
      <name val="Times New Roman"/>
      <family val="1"/>
    </font>
    <font>
      <vertAlign val="superscript"/>
      <sz val="10"/>
      <color theme="1"/>
      <name val="Arial"/>
      <family val="2"/>
    </font>
    <font>
      <b/>
      <sz val="16"/>
      <color theme="1"/>
      <name val="Calibri"/>
      <family val="2"/>
      <scheme val="minor"/>
    </font>
    <font>
      <sz val="11"/>
      <color theme="1"/>
      <name val="Times New Roman"/>
      <family val="1"/>
    </font>
    <font>
      <b/>
      <i/>
      <sz val="10"/>
      <name val="Times New Roman"/>
      <family val="1"/>
    </font>
    <font>
      <b/>
      <sz val="10"/>
      <name val="Times New Roman"/>
      <family val="1"/>
    </font>
    <font>
      <b/>
      <i/>
      <sz val="8"/>
      <color theme="1"/>
      <name val="Times New Roman"/>
      <family val="1"/>
    </font>
    <font>
      <b/>
      <sz val="12"/>
      <color rgb="FF000000"/>
      <name val="Times New Roman"/>
      <family val="1"/>
    </font>
    <font>
      <b/>
      <sz val="12"/>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vertAlign val="superscript"/>
      <sz val="8"/>
      <color theme="1"/>
      <name val="Times New Roman"/>
      <family val="1"/>
    </font>
    <font>
      <vertAlign val="superscript"/>
      <sz val="11"/>
      <color theme="1"/>
      <name val="Calibri"/>
      <family val="2"/>
      <scheme val="minor"/>
    </font>
    <font>
      <b/>
      <vertAlign val="superscript"/>
      <sz val="10"/>
      <name val="Times New Roman"/>
      <family val="1"/>
    </font>
    <font>
      <b/>
      <sz val="8"/>
      <color rgb="FF000000"/>
      <name val="Times New Roman"/>
      <family val="1"/>
    </font>
    <font>
      <vertAlign val="superscript"/>
      <sz val="8"/>
      <color rgb="FF000000"/>
      <name val="Times New Roman"/>
      <family val="1"/>
    </font>
    <font>
      <sz val="10"/>
      <name val="Times New Roman"/>
      <family val="1"/>
    </font>
    <font>
      <sz val="12"/>
      <color rgb="FF000000"/>
      <name val="Times New Roman"/>
      <family val="1"/>
    </font>
    <font>
      <vertAlign val="superscript"/>
      <sz val="10"/>
      <name val="Times New Roman"/>
      <family val="1"/>
    </font>
    <font>
      <sz val="11"/>
      <name val="Calibri"/>
      <family val="2"/>
      <scheme val="minor"/>
    </font>
    <font>
      <sz val="11"/>
      <color theme="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style="medium">
        <color rgb="FF000000"/>
      </bottom>
      <diagonal/>
    </border>
    <border>
      <left style="medium">
        <color rgb="FF000000"/>
      </left>
      <right style="medium">
        <color rgb="FFFFFFFF"/>
      </right>
      <top/>
      <bottom/>
      <diagonal/>
    </border>
    <border>
      <left/>
      <right style="medium">
        <color rgb="FFFFFFFF"/>
      </right>
      <top/>
      <bottom style="medium">
        <color rgb="FF000000"/>
      </bottom>
      <diagonal/>
    </border>
    <border>
      <left/>
      <right style="medium">
        <color rgb="FFFFFFFF"/>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thin">
        <color indexed="64"/>
      </top>
      <bottom/>
      <diagonal/>
    </border>
  </borders>
  <cellStyleXfs count="2">
    <xf numFmtId="0" fontId="0" fillId="0" borderId="0"/>
    <xf numFmtId="43" fontId="40" fillId="0" borderId="0" applyFont="0" applyFill="0" applyBorder="0" applyAlignment="0" applyProtection="0"/>
  </cellStyleXfs>
  <cellXfs count="206">
    <xf numFmtId="0" fontId="0" fillId="0" borderId="0" xfId="0"/>
    <xf numFmtId="3" fontId="0" fillId="0" borderId="0" xfId="0" applyNumberFormat="1"/>
    <xf numFmtId="0" fontId="15" fillId="0" borderId="5" xfId="0" applyFont="1" applyBorder="1"/>
    <xf numFmtId="0" fontId="21" fillId="0" borderId="0" xfId="0" applyFont="1"/>
    <xf numFmtId="0" fontId="24" fillId="0" borderId="1" xfId="0" applyFont="1" applyFill="1" applyBorder="1" applyAlignment="1">
      <alignment horizontal="center" vertical="center" wrapText="1"/>
    </xf>
    <xf numFmtId="3" fontId="11" fillId="0" borderId="1" xfId="0" applyNumberFormat="1" applyFont="1" applyFill="1" applyBorder="1" applyAlignment="1">
      <alignment horizontal="center"/>
    </xf>
    <xf numFmtId="0" fontId="9" fillId="0" borderId="1" xfId="0" applyFont="1" applyFill="1" applyBorder="1" applyAlignment="1">
      <alignment vertical="top"/>
    </xf>
    <xf numFmtId="0" fontId="3" fillId="0" borderId="1" xfId="0" applyFont="1" applyFill="1" applyBorder="1" applyAlignment="1">
      <alignment vertical="top"/>
    </xf>
    <xf numFmtId="0" fontId="0" fillId="0" borderId="0" xfId="0" applyFill="1"/>
    <xf numFmtId="0" fontId="26" fillId="0" borderId="14" xfId="0" applyFont="1" applyBorder="1" applyAlignment="1">
      <alignment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0" fillId="0" borderId="13" xfId="0" applyBorder="1" applyAlignment="1">
      <alignment vertical="top" wrapText="1"/>
    </xf>
    <xf numFmtId="0" fontId="30" fillId="0" borderId="16" xfId="0" applyFont="1" applyBorder="1" applyAlignment="1">
      <alignment vertical="center" wrapText="1"/>
    </xf>
    <xf numFmtId="0" fontId="30" fillId="0" borderId="16" xfId="0" applyFont="1" applyBorder="1" applyAlignment="1">
      <alignment horizontal="center" vertical="center" wrapText="1"/>
    </xf>
    <xf numFmtId="0" fontId="0" fillId="0" borderId="15" xfId="0" applyBorder="1" applyAlignment="1">
      <alignment vertical="top" wrapText="1"/>
    </xf>
    <xf numFmtId="0" fontId="30" fillId="0" borderId="18" xfId="0" applyFont="1" applyBorder="1" applyAlignment="1">
      <alignment vertical="center" wrapText="1"/>
    </xf>
    <xf numFmtId="0" fontId="30" fillId="0" borderId="18" xfId="0" applyFont="1" applyBorder="1" applyAlignment="1">
      <alignment horizontal="center" vertical="center" wrapText="1"/>
    </xf>
    <xf numFmtId="0" fontId="30" fillId="0" borderId="17" xfId="0" applyFont="1" applyBorder="1" applyAlignment="1">
      <alignment vertical="center" wrapText="1"/>
    </xf>
    <xf numFmtId="0" fontId="30" fillId="0" borderId="20" xfId="0" applyFont="1" applyBorder="1" applyAlignment="1">
      <alignment vertical="center" wrapText="1"/>
    </xf>
    <xf numFmtId="0" fontId="8" fillId="0" borderId="19" xfId="0" applyFont="1" applyBorder="1" applyAlignment="1">
      <alignment vertical="center" wrapText="1"/>
    </xf>
    <xf numFmtId="6" fontId="30" fillId="0" borderId="17" xfId="0" applyNumberFormat="1" applyFont="1" applyBorder="1" applyAlignment="1">
      <alignment horizontal="center" vertical="center" wrapText="1"/>
    </xf>
    <xf numFmtId="0" fontId="30" fillId="0" borderId="17" xfId="0" applyFont="1" applyBorder="1" applyAlignment="1">
      <alignment horizontal="center" vertical="center" wrapText="1"/>
    </xf>
    <xf numFmtId="3" fontId="6" fillId="0" borderId="1" xfId="0" applyNumberFormat="1" applyFont="1" applyFill="1" applyBorder="1" applyAlignment="1">
      <alignment horizontal="center"/>
    </xf>
    <xf numFmtId="0" fontId="26" fillId="0" borderId="0" xfId="0" applyFont="1" applyFill="1"/>
    <xf numFmtId="0" fontId="1" fillId="0" borderId="0" xfId="0" applyFont="1" applyFill="1"/>
    <xf numFmtId="0" fontId="9" fillId="0" borderId="1" xfId="0" applyFont="1" applyFill="1" applyBorder="1" applyAlignment="1">
      <alignment horizontal="center" vertical="center" wrapText="1"/>
    </xf>
    <xf numFmtId="0" fontId="4" fillId="0" borderId="1" xfId="0" applyFont="1" applyFill="1" applyBorder="1" applyAlignment="1">
      <alignment vertical="top"/>
    </xf>
    <xf numFmtId="0" fontId="0" fillId="0" borderId="1" xfId="0" applyFill="1" applyBorder="1" applyAlignment="1"/>
    <xf numFmtId="0" fontId="5" fillId="0" borderId="1" xfId="0" applyFont="1" applyFill="1" applyBorder="1" applyAlignment="1">
      <alignment horizontal="center"/>
    </xf>
    <xf numFmtId="0" fontId="6" fillId="0" borderId="1" xfId="0" applyFont="1" applyFill="1" applyBorder="1" applyAlignment="1">
      <alignment vertical="top"/>
    </xf>
    <xf numFmtId="0" fontId="6" fillId="0" borderId="1" xfId="0" applyFont="1" applyFill="1" applyBorder="1" applyAlignment="1">
      <alignment horizontal="center"/>
    </xf>
    <xf numFmtId="164" fontId="11" fillId="0" borderId="1" xfId="0" applyNumberFormat="1" applyFont="1" applyFill="1" applyBorder="1" applyAlignment="1">
      <alignment horizontal="right"/>
    </xf>
    <xf numFmtId="0" fontId="11" fillId="0" borderId="1" xfId="0" applyFont="1" applyFill="1" applyBorder="1" applyAlignment="1">
      <alignment horizontal="center"/>
    </xf>
    <xf numFmtId="0" fontId="15" fillId="0" borderId="0" xfId="0" applyFont="1" applyFill="1"/>
    <xf numFmtId="0" fontId="6" fillId="0" borderId="1" xfId="0" applyFont="1" applyFill="1" applyBorder="1" applyAlignment="1">
      <alignment vertical="top" wrapText="1"/>
    </xf>
    <xf numFmtId="0" fontId="25" fillId="0" borderId="1" xfId="0" applyFont="1" applyFill="1" applyBorder="1" applyAlignment="1">
      <alignment vertical="top"/>
    </xf>
    <xf numFmtId="166" fontId="11" fillId="0" borderId="1" xfId="0" applyNumberFormat="1" applyFont="1" applyFill="1" applyBorder="1" applyAlignment="1">
      <alignment horizontal="right"/>
    </xf>
    <xf numFmtId="0" fontId="34" fillId="0" borderId="4" xfId="0" applyFont="1" applyFill="1" applyBorder="1"/>
    <xf numFmtId="166" fontId="3" fillId="0" borderId="1" xfId="0" applyNumberFormat="1" applyFont="1" applyFill="1" applyBorder="1" applyAlignment="1">
      <alignment horizontal="right"/>
    </xf>
    <xf numFmtId="0" fontId="3" fillId="0" borderId="6" xfId="0" applyFont="1" applyFill="1" applyBorder="1" applyAlignment="1">
      <alignment vertical="center" wrapText="1"/>
    </xf>
    <xf numFmtId="166" fontId="34" fillId="0" borderId="1" xfId="0" applyNumberFormat="1" applyFont="1" applyFill="1" applyBorder="1"/>
    <xf numFmtId="166" fontId="3" fillId="0" borderId="1" xfId="0" applyNumberFormat="1" applyFont="1" applyFill="1" applyBorder="1"/>
    <xf numFmtId="0" fontId="12" fillId="0" borderId="0" xfId="0" applyFont="1" applyFill="1"/>
    <xf numFmtId="3" fontId="0" fillId="0" borderId="0" xfId="0" applyNumberFormat="1" applyFill="1"/>
    <xf numFmtId="0" fontId="8" fillId="0" borderId="0" xfId="0" applyFont="1" applyFill="1" applyAlignment="1">
      <alignment vertical="top" wrapText="1"/>
    </xf>
    <xf numFmtId="0" fontId="19" fillId="0" borderId="0" xfId="0" applyFont="1" applyFill="1" applyAlignment="1">
      <alignment horizontal="left"/>
    </xf>
    <xf numFmtId="0" fontId="0" fillId="0" borderId="1" xfId="0" applyFill="1" applyBorder="1"/>
    <xf numFmtId="0" fontId="0" fillId="0" borderId="0" xfId="0" applyFill="1" applyAlignment="1"/>
    <xf numFmtId="164" fontId="6" fillId="0" borderId="1" xfId="0" applyNumberFormat="1" applyFont="1" applyFill="1" applyBorder="1" applyAlignment="1">
      <alignment horizontal="right"/>
    </xf>
    <xf numFmtId="0" fontId="15" fillId="0" borderId="0" xfId="0" applyFont="1" applyFill="1" applyBorder="1"/>
    <xf numFmtId="0" fontId="0" fillId="0" borderId="0" xfId="0" applyFill="1" applyBorder="1"/>
    <xf numFmtId="0" fontId="3" fillId="0" borderId="0" xfId="0" applyFont="1" applyFill="1" applyBorder="1" applyAlignment="1">
      <alignment horizontal="center" vertical="top" wrapText="1"/>
    </xf>
    <xf numFmtId="0" fontId="0" fillId="0" borderId="0" xfId="0" applyFill="1" applyBorder="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wrapText="1"/>
    </xf>
    <xf numFmtId="0" fontId="6" fillId="0" borderId="0" xfId="0" applyFont="1" applyFill="1" applyBorder="1" applyAlignment="1">
      <alignment vertical="top"/>
    </xf>
    <xf numFmtId="0" fontId="6" fillId="0" borderId="0" xfId="0" applyFont="1" applyFill="1" applyBorder="1" applyAlignment="1">
      <alignment horizontal="center"/>
    </xf>
    <xf numFmtId="0" fontId="6" fillId="0" borderId="0" xfId="0" applyFont="1" applyFill="1" applyBorder="1" applyAlignment="1">
      <alignment horizontal="right"/>
    </xf>
    <xf numFmtId="0" fontId="0" fillId="0" borderId="0" xfId="0" applyFill="1" applyBorder="1" applyAlignment="1"/>
    <xf numFmtId="164"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3" fontId="6" fillId="0" borderId="0" xfId="0" applyNumberFormat="1" applyFont="1" applyFill="1" applyBorder="1" applyAlignment="1">
      <alignment horizontal="center"/>
    </xf>
    <xf numFmtId="0" fontId="12" fillId="0" borderId="0" xfId="0" applyFont="1" applyFill="1" applyBorder="1"/>
    <xf numFmtId="0" fontId="8" fillId="0" borderId="0" xfId="0" applyFont="1" applyFill="1" applyBorder="1" applyAlignment="1">
      <alignment horizontal="left" indent="4"/>
    </xf>
    <xf numFmtId="0" fontId="5" fillId="0" borderId="0" xfId="0" applyFont="1" applyFill="1" applyBorder="1" applyAlignment="1">
      <alignment horizontal="left" indent="4"/>
    </xf>
    <xf numFmtId="0" fontId="11" fillId="0" borderId="1" xfId="0" applyFont="1" applyFill="1" applyBorder="1" applyAlignment="1">
      <alignment vertical="top"/>
    </xf>
    <xf numFmtId="0" fontId="26" fillId="0" borderId="0" xfId="0" applyFont="1" applyFill="1" applyAlignment="1">
      <alignment horizontal="left" vertical="center"/>
    </xf>
    <xf numFmtId="0" fontId="5" fillId="0" borderId="1" xfId="0" applyFont="1" applyFill="1" applyBorder="1" applyAlignment="1"/>
    <xf numFmtId="0" fontId="5" fillId="0" borderId="1" xfId="0" applyFont="1" applyFill="1" applyBorder="1" applyAlignment="1">
      <alignment vertical="top"/>
    </xf>
    <xf numFmtId="0" fontId="7" fillId="0" borderId="1" xfId="0" applyFont="1" applyFill="1" applyBorder="1" applyAlignment="1">
      <alignment horizontal="center"/>
    </xf>
    <xf numFmtId="166" fontId="6" fillId="0" borderId="1" xfId="0" applyNumberFormat="1" applyFont="1" applyFill="1" applyBorder="1" applyAlignment="1">
      <alignment horizontal="right"/>
    </xf>
    <xf numFmtId="0" fontId="15" fillId="0" borderId="0" xfId="0" applyFont="1" applyFill="1" applyAlignment="1"/>
    <xf numFmtId="0" fontId="28" fillId="0" borderId="4" xfId="0" applyFont="1" applyFill="1" applyBorder="1"/>
    <xf numFmtId="0" fontId="9" fillId="0" borderId="6" xfId="0" applyFont="1" applyFill="1" applyBorder="1" applyAlignment="1">
      <alignment vertical="center" wrapText="1"/>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0" fontId="4" fillId="0" borderId="0" xfId="0" applyFont="1" applyFill="1" applyBorder="1" applyAlignment="1">
      <alignment vertical="top"/>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vertical="top"/>
    </xf>
    <xf numFmtId="4" fontId="6"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0" fontId="8" fillId="0" borderId="0" xfId="0" applyFont="1" applyFill="1" applyBorder="1" applyAlignment="1">
      <alignment horizontal="left" indent="8"/>
    </xf>
    <xf numFmtId="0" fontId="1" fillId="0" borderId="0" xfId="0" applyFont="1" applyFill="1" applyAlignment="1"/>
    <xf numFmtId="3" fontId="7" fillId="0" borderId="1"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8" fillId="0" borderId="1" xfId="0" applyFont="1" applyFill="1" applyBorder="1" applyAlignment="1"/>
    <xf numFmtId="0" fontId="8" fillId="0" borderId="0" xfId="0" applyFont="1" applyFill="1" applyAlignment="1">
      <alignment horizontal="left" indent="5"/>
    </xf>
    <xf numFmtId="0" fontId="2" fillId="0" borderId="0" xfId="0" applyFont="1" applyFill="1"/>
    <xf numFmtId="0" fontId="3" fillId="0" borderId="0" xfId="0" applyFont="1" applyFill="1" applyBorder="1" applyAlignment="1">
      <alignment horizontal="right"/>
    </xf>
    <xf numFmtId="0" fontId="8" fillId="0" borderId="0" xfId="0" applyFont="1" applyFill="1" applyBorder="1" applyAlignment="1"/>
    <xf numFmtId="0" fontId="8" fillId="0" borderId="0" xfId="0" applyFont="1" applyFill="1" applyBorder="1" applyAlignment="1">
      <alignment horizontal="left" indent="5"/>
    </xf>
    <xf numFmtId="0" fontId="11" fillId="0" borderId="1" xfId="0" applyFont="1" applyFill="1" applyBorder="1" applyAlignment="1">
      <alignment horizontal="center" wrapText="1"/>
    </xf>
    <xf numFmtId="0" fontId="1"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6" fillId="0" borderId="0" xfId="0" applyFont="1" applyFill="1" applyBorder="1" applyAlignment="1"/>
    <xf numFmtId="4" fontId="6" fillId="0" borderId="0" xfId="0" applyNumberFormat="1" applyFont="1" applyFill="1" applyBorder="1" applyAlignment="1">
      <alignment horizontal="center"/>
    </xf>
    <xf numFmtId="4"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2"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1" fontId="6" fillId="0" borderId="1"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xf numFmtId="3"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14" fillId="0" borderId="0" xfId="0" applyFont="1" applyFill="1" applyBorder="1"/>
    <xf numFmtId="164" fontId="6" fillId="0" borderId="0" xfId="0" applyNumberFormat="1"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xf numFmtId="0" fontId="6" fillId="0" borderId="0" xfId="0" applyFont="1" applyFill="1" applyBorder="1" applyAlignment="1">
      <alignment horizontal="center" vertical="top"/>
    </xf>
    <xf numFmtId="0" fontId="11" fillId="0" borderId="1" xfId="0" applyFont="1" applyFill="1" applyBorder="1" applyAlignment="1">
      <alignment vertical="top"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top" wrapText="1"/>
    </xf>
    <xf numFmtId="0" fontId="23" fillId="0" borderId="1" xfId="0" applyFont="1" applyFill="1" applyBorder="1" applyAlignment="1">
      <alignment horizontal="left"/>
    </xf>
    <xf numFmtId="3"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3" fontId="0" fillId="0" borderId="0" xfId="0" applyNumberFormat="1" applyFill="1" applyAlignment="1"/>
    <xf numFmtId="0" fontId="24"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xf>
    <xf numFmtId="6" fontId="8"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6" fontId="9"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164" fontId="0" fillId="0" borderId="0" xfId="0" applyNumberFormat="1" applyFill="1"/>
    <xf numFmtId="1" fontId="0" fillId="0" borderId="0" xfId="0" applyNumberFormat="1" applyFill="1"/>
    <xf numFmtId="3" fontId="8" fillId="0" borderId="1" xfId="0" applyNumberFormat="1" applyFont="1" applyFill="1" applyBorder="1" applyAlignment="1"/>
    <xf numFmtId="3" fontId="36" fillId="0" borderId="1" xfId="0" applyNumberFormat="1" applyFont="1" applyFill="1" applyBorder="1" applyAlignment="1"/>
    <xf numFmtId="164" fontId="8" fillId="0" borderId="1" xfId="0" applyNumberFormat="1" applyFont="1" applyFill="1" applyBorder="1" applyAlignment="1"/>
    <xf numFmtId="3" fontId="9" fillId="0" borderId="1" xfId="0" applyNumberFormat="1" applyFont="1" applyFill="1" applyBorder="1" applyAlignment="1"/>
    <xf numFmtId="0" fontId="9" fillId="0" borderId="0" xfId="0" applyFont="1" applyFill="1"/>
    <xf numFmtId="0" fontId="39" fillId="0" borderId="0" xfId="0" applyFont="1" applyFill="1"/>
    <xf numFmtId="0" fontId="9"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Font="1" applyFill="1" applyBorder="1"/>
    <xf numFmtId="3" fontId="8" fillId="0" borderId="0" xfId="0" applyNumberFormat="1" applyFont="1" applyFill="1" applyBorder="1"/>
    <xf numFmtId="4" fontId="8" fillId="0" borderId="0" xfId="0" applyNumberFormat="1" applyFont="1" applyFill="1" applyBorder="1"/>
    <xf numFmtId="4" fontId="9" fillId="0" borderId="0" xfId="0" applyNumberFormat="1" applyFont="1" applyFill="1" applyBorder="1"/>
    <xf numFmtId="3" fontId="9" fillId="0" borderId="0" xfId="0" applyNumberFormat="1" applyFont="1" applyFill="1" applyBorder="1"/>
    <xf numFmtId="4" fontId="0" fillId="0" borderId="0" xfId="0" applyNumberFormat="1" applyFill="1" applyBorder="1"/>
    <xf numFmtId="0" fontId="9" fillId="0" borderId="0" xfId="0" applyFont="1" applyFill="1" applyBorder="1"/>
    <xf numFmtId="0" fontId="8" fillId="0" borderId="0" xfId="0" applyFont="1"/>
    <xf numFmtId="0" fontId="8" fillId="0" borderId="0" xfId="0" applyFont="1" applyAlignment="1">
      <alignment vertical="center"/>
    </xf>
    <xf numFmtId="0" fontId="9" fillId="0" borderId="1" xfId="0" applyFont="1" applyBorder="1" applyAlignment="1">
      <alignment horizontal="center" vertical="center" wrapText="1"/>
    </xf>
    <xf numFmtId="0" fontId="8" fillId="0" borderId="1" xfId="0" applyFont="1" applyFill="1" applyBorder="1" applyAlignment="1">
      <alignment vertical="center" wrapText="1"/>
    </xf>
    <xf numFmtId="3" fontId="8" fillId="0" borderId="1" xfId="0" applyNumberFormat="1" applyFont="1" applyBorder="1" applyAlignment="1">
      <alignment vertical="center"/>
    </xf>
    <xf numFmtId="166" fontId="8" fillId="0" borderId="1" xfId="0" applyNumberFormat="1" applyFont="1" applyBorder="1" applyAlignment="1">
      <alignment vertical="center"/>
    </xf>
    <xf numFmtId="0" fontId="8" fillId="0" borderId="1" xfId="0" applyFont="1" applyBorder="1" applyAlignment="1">
      <alignment vertical="center"/>
    </xf>
    <xf numFmtId="3" fontId="9" fillId="0" borderId="1" xfId="0" applyNumberFormat="1" applyFont="1" applyBorder="1" applyAlignment="1">
      <alignment vertical="center"/>
    </xf>
    <xf numFmtId="166" fontId="9" fillId="0" borderId="1" xfId="0" applyNumberFormat="1" applyFont="1" applyBorder="1" applyAlignment="1">
      <alignment vertical="center"/>
    </xf>
    <xf numFmtId="0" fontId="36" fillId="0" borderId="0" xfId="0" applyFont="1" applyFill="1" applyAlignment="1">
      <alignment vertical="top" wrapText="1"/>
    </xf>
    <xf numFmtId="0" fontId="8" fillId="0" borderId="0" xfId="0" applyFont="1" applyFill="1" applyAlignment="1">
      <alignment wrapText="1"/>
    </xf>
    <xf numFmtId="3" fontId="6" fillId="0" borderId="1" xfId="1" applyNumberFormat="1" applyFont="1" applyFill="1" applyBorder="1" applyAlignment="1">
      <alignment horizontal="center"/>
    </xf>
    <xf numFmtId="37" fontId="6" fillId="0" borderId="1" xfId="1" applyNumberFormat="1" applyFont="1" applyFill="1" applyBorder="1" applyAlignment="1">
      <alignment horizontal="center"/>
    </xf>
    <xf numFmtId="37" fontId="11" fillId="0" borderId="1" xfId="1" applyNumberFormat="1" applyFont="1" applyFill="1" applyBorder="1" applyAlignment="1">
      <alignment horizontal="center"/>
    </xf>
    <xf numFmtId="3" fontId="11" fillId="0" borderId="1" xfId="0" applyNumberFormat="1" applyFont="1" applyFill="1" applyBorder="1" applyAlignment="1">
      <alignment horizontal="center" wrapText="1"/>
    </xf>
    <xf numFmtId="166" fontId="8" fillId="0" borderId="1" xfId="0" applyNumberFormat="1" applyFont="1" applyFill="1" applyBorder="1" applyAlignment="1"/>
    <xf numFmtId="5" fontId="11" fillId="0" borderId="1" xfId="0" applyNumberFormat="1" applyFont="1" applyFill="1" applyBorder="1" applyAlignment="1">
      <alignment horizontal="right" wrapText="1"/>
    </xf>
    <xf numFmtId="166" fontId="9" fillId="0" borderId="1" xfId="0" applyNumberFormat="1" applyFont="1" applyFill="1" applyBorder="1" applyAlignment="1">
      <alignment vertical="center"/>
    </xf>
    <xf numFmtId="46" fontId="39" fillId="0" borderId="0" xfId="0" quotePrefix="1" applyNumberFormat="1" applyFont="1" applyFill="1"/>
    <xf numFmtId="0" fontId="3" fillId="0" borderId="0" xfId="0" applyFont="1" applyFill="1" applyBorder="1" applyAlignment="1">
      <alignment horizontal="center" vertical="top" wrapText="1"/>
    </xf>
    <xf numFmtId="3" fontId="3" fillId="0" borderId="1" xfId="0" applyNumberFormat="1" applyFont="1" applyFill="1" applyBorder="1" applyAlignment="1">
      <alignment horizontal="center"/>
    </xf>
    <xf numFmtId="3" fontId="11" fillId="0" borderId="2" xfId="0" applyNumberFormat="1" applyFont="1" applyFill="1" applyBorder="1" applyAlignment="1">
      <alignment horizontal="center"/>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0" fontId="8" fillId="0" borderId="0" xfId="0" applyFont="1" applyFill="1" applyAlignment="1">
      <alignment horizontal="left" vertical="top" wrapText="1"/>
    </xf>
    <xf numFmtId="0" fontId="5" fillId="0" borderId="0" xfId="0" applyFont="1" applyFill="1" applyAlignment="1">
      <alignment horizontal="left" wrapText="1"/>
    </xf>
    <xf numFmtId="0" fontId="8" fillId="0" borderId="0" xfId="0" applyFont="1" applyFill="1" applyAlignment="1">
      <alignment horizontal="left" wrapText="1"/>
    </xf>
    <xf numFmtId="0" fontId="19" fillId="0" borderId="0" xfId="0" applyFont="1" applyFill="1" applyAlignment="1">
      <alignment horizontal="left" wrapText="1"/>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4"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9" fillId="0" borderId="0" xfId="0" applyFont="1" applyFill="1" applyBorder="1" applyAlignment="1">
      <alignment horizontal="center" vertical="top" wrapText="1"/>
    </xf>
    <xf numFmtId="0" fontId="36" fillId="0" borderId="0" xfId="0" applyFont="1" applyFill="1" applyAlignment="1">
      <alignment horizontal="left" vertical="top" wrapText="1"/>
    </xf>
    <xf numFmtId="0" fontId="32" fillId="0" borderId="0" xfId="0" applyFont="1" applyFill="1" applyAlignment="1">
      <alignment horizontal="left" wrapText="1"/>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8" fillId="0" borderId="0" xfId="0" applyFont="1" applyFill="1" applyBorder="1" applyAlignment="1">
      <alignment horizontal="left" wrapText="1"/>
    </xf>
    <xf numFmtId="3" fontId="8" fillId="0" borderId="1"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8" fillId="0" borderId="1" xfId="0" applyNumberFormat="1" applyFont="1" applyFill="1" applyBorder="1" applyAlignment="1">
      <alignment horizontal="center"/>
    </xf>
    <xf numFmtId="0" fontId="9" fillId="0" borderId="0" xfId="0" applyFont="1" applyFill="1" applyBorder="1" applyAlignment="1">
      <alignment horizontal="center" wrapText="1"/>
    </xf>
    <xf numFmtId="0" fontId="36" fillId="0" borderId="0" xfId="0" applyFont="1" applyFill="1" applyAlignment="1">
      <alignment horizontal="left"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zoomScaleNormal="100" workbookViewId="0">
      <selection activeCell="M15" sqref="M15"/>
    </sheetView>
  </sheetViews>
  <sheetFormatPr defaultColWidth="9.1796875" defaultRowHeight="14.5" x14ac:dyDescent="0.35"/>
  <cols>
    <col min="1" max="1" width="45" style="8" customWidth="1"/>
    <col min="2" max="2" width="10.1796875" style="8" customWidth="1"/>
    <col min="3" max="4" width="9.1796875" style="8"/>
    <col min="5" max="5" width="11" style="8" customWidth="1"/>
    <col min="6" max="6" width="9.1796875" style="8"/>
    <col min="7" max="7" width="10.81640625" style="8" bestFit="1" customWidth="1"/>
    <col min="8" max="8" width="9.54296875" style="8" bestFit="1" customWidth="1"/>
    <col min="9" max="9" width="13.81640625" style="8" customWidth="1"/>
    <col min="10" max="10" width="10.81640625" style="8" bestFit="1" customWidth="1"/>
    <col min="11" max="16384" width="9.1796875" style="8"/>
  </cols>
  <sheetData>
    <row r="1" spans="1:13" ht="15.5" x14ac:dyDescent="0.35">
      <c r="A1" s="24" t="s">
        <v>165</v>
      </c>
    </row>
    <row r="2" spans="1:13" x14ac:dyDescent="0.35">
      <c r="D2" s="139" t="s">
        <v>159</v>
      </c>
      <c r="E2" s="139"/>
      <c r="F2" s="139">
        <v>122.66</v>
      </c>
      <c r="G2" s="139">
        <v>149.84</v>
      </c>
      <c r="H2" s="139">
        <v>60.88</v>
      </c>
      <c r="J2" s="25"/>
    </row>
    <row r="3" spans="1:13" ht="78" x14ac:dyDescent="0.35">
      <c r="A3" s="26" t="s">
        <v>6</v>
      </c>
      <c r="B3" s="26" t="s">
        <v>7</v>
      </c>
      <c r="C3" s="26" t="s">
        <v>8</v>
      </c>
      <c r="D3" s="26" t="s">
        <v>9</v>
      </c>
      <c r="E3" s="26" t="s">
        <v>26</v>
      </c>
      <c r="F3" s="26" t="s">
        <v>10</v>
      </c>
      <c r="G3" s="26" t="s">
        <v>11</v>
      </c>
      <c r="H3" s="26" t="s">
        <v>12</v>
      </c>
      <c r="I3" s="26" t="s">
        <v>25</v>
      </c>
    </row>
    <row r="4" spans="1:13" x14ac:dyDescent="0.35">
      <c r="A4" s="27" t="s">
        <v>4</v>
      </c>
      <c r="B4" s="28"/>
      <c r="C4" s="28"/>
      <c r="D4" s="28"/>
      <c r="E4" s="28"/>
      <c r="F4" s="28"/>
      <c r="G4" s="29"/>
      <c r="H4" s="29"/>
      <c r="I4" s="29"/>
    </row>
    <row r="5" spans="1:13" x14ac:dyDescent="0.35">
      <c r="A5" s="67" t="s">
        <v>151</v>
      </c>
      <c r="B5" s="31">
        <v>6</v>
      </c>
      <c r="C5" s="31">
        <v>1</v>
      </c>
      <c r="D5" s="31">
        <f>B5*C5</f>
        <v>6</v>
      </c>
      <c r="E5" s="23">
        <v>1100</v>
      </c>
      <c r="F5" s="160">
        <f t="shared" ref="F5:F11" si="0">D5*E5</f>
        <v>6600</v>
      </c>
      <c r="G5" s="31">
        <f t="shared" ref="G5:G11" si="1">F5*0.05</f>
        <v>330</v>
      </c>
      <c r="H5" s="31">
        <f t="shared" ref="H5:H11" si="2">F5*0.1</f>
        <v>660</v>
      </c>
      <c r="I5" s="37">
        <f>F5*F$2+G5*G$2+H5*H$2</f>
        <v>899184</v>
      </c>
      <c r="J5" s="25"/>
    </row>
    <row r="6" spans="1:13" x14ac:dyDescent="0.35">
      <c r="A6" s="30" t="s">
        <v>27</v>
      </c>
      <c r="B6" s="31">
        <v>4</v>
      </c>
      <c r="C6" s="31">
        <v>0</v>
      </c>
      <c r="D6" s="31">
        <v>4</v>
      </c>
      <c r="E6" s="31">
        <v>0</v>
      </c>
      <c r="F6" s="31">
        <f t="shared" si="0"/>
        <v>0</v>
      </c>
      <c r="G6" s="31">
        <f t="shared" si="1"/>
        <v>0</v>
      </c>
      <c r="H6" s="31">
        <f t="shared" si="2"/>
        <v>0</v>
      </c>
      <c r="I6" s="37">
        <f>F6*F$2+G6*G$2+H6*H$2</f>
        <v>0</v>
      </c>
    </row>
    <row r="7" spans="1:13" x14ac:dyDescent="0.35">
      <c r="A7" s="30" t="s">
        <v>28</v>
      </c>
      <c r="B7" s="31">
        <v>175</v>
      </c>
      <c r="C7" s="31">
        <v>0</v>
      </c>
      <c r="D7" s="31">
        <v>175</v>
      </c>
      <c r="E7" s="31">
        <v>0</v>
      </c>
      <c r="F7" s="31">
        <f t="shared" si="0"/>
        <v>0</v>
      </c>
      <c r="G7" s="31">
        <f t="shared" si="1"/>
        <v>0</v>
      </c>
      <c r="H7" s="31">
        <f t="shared" si="2"/>
        <v>0</v>
      </c>
      <c r="I7" s="37">
        <f t="shared" ref="I7:I11" si="3">F7*F$2+G7*G$2+H7*H$2</f>
        <v>0</v>
      </c>
    </row>
    <row r="8" spans="1:13" x14ac:dyDescent="0.35">
      <c r="A8" s="30" t="s">
        <v>29</v>
      </c>
      <c r="B8" s="31">
        <v>4</v>
      </c>
      <c r="C8" s="31">
        <v>0</v>
      </c>
      <c r="D8" s="31">
        <v>4</v>
      </c>
      <c r="E8" s="31">
        <v>0</v>
      </c>
      <c r="F8" s="31">
        <f t="shared" si="0"/>
        <v>0</v>
      </c>
      <c r="G8" s="31">
        <f t="shared" si="1"/>
        <v>0</v>
      </c>
      <c r="H8" s="31">
        <f t="shared" si="2"/>
        <v>0</v>
      </c>
      <c r="I8" s="37">
        <f t="shared" si="3"/>
        <v>0</v>
      </c>
    </row>
    <row r="9" spans="1:13" x14ac:dyDescent="0.35">
      <c r="A9" s="30" t="s">
        <v>31</v>
      </c>
      <c r="B9" s="31">
        <v>12</v>
      </c>
      <c r="C9" s="31">
        <v>1</v>
      </c>
      <c r="D9" s="31">
        <v>12</v>
      </c>
      <c r="E9" s="5">
        <v>1100</v>
      </c>
      <c r="F9" s="5">
        <f t="shared" si="0"/>
        <v>13200</v>
      </c>
      <c r="G9" s="33">
        <f t="shared" si="1"/>
        <v>660</v>
      </c>
      <c r="H9" s="160">
        <f t="shared" si="2"/>
        <v>1320</v>
      </c>
      <c r="I9" s="37">
        <f t="shared" si="3"/>
        <v>1798368</v>
      </c>
      <c r="J9" s="25"/>
      <c r="M9" s="34"/>
    </row>
    <row r="10" spans="1:13" x14ac:dyDescent="0.35">
      <c r="A10" s="30" t="s">
        <v>30</v>
      </c>
      <c r="B10" s="31">
        <v>2</v>
      </c>
      <c r="C10" s="31">
        <v>12</v>
      </c>
      <c r="D10" s="31">
        <v>24</v>
      </c>
      <c r="E10" s="5">
        <v>1100</v>
      </c>
      <c r="F10" s="5">
        <f t="shared" si="0"/>
        <v>26400</v>
      </c>
      <c r="G10" s="5">
        <f t="shared" si="1"/>
        <v>1320</v>
      </c>
      <c r="H10" s="5">
        <f t="shared" si="2"/>
        <v>2640</v>
      </c>
      <c r="I10" s="37">
        <f t="shared" si="3"/>
        <v>3596736</v>
      </c>
      <c r="J10" s="25"/>
      <c r="M10" s="34"/>
    </row>
    <row r="11" spans="1:13" ht="21" x14ac:dyDescent="0.35">
      <c r="A11" s="35" t="s">
        <v>123</v>
      </c>
      <c r="B11" s="31">
        <v>0.75</v>
      </c>
      <c r="C11" s="31">
        <v>12</v>
      </c>
      <c r="D11" s="31">
        <v>9</v>
      </c>
      <c r="E11" s="5">
        <v>1100</v>
      </c>
      <c r="F11" s="5">
        <f t="shared" si="0"/>
        <v>9900</v>
      </c>
      <c r="G11" s="33">
        <f t="shared" si="1"/>
        <v>495</v>
      </c>
      <c r="H11" s="33">
        <f t="shared" si="2"/>
        <v>990</v>
      </c>
      <c r="I11" s="37">
        <f t="shared" si="3"/>
        <v>1348776</v>
      </c>
      <c r="J11" s="25"/>
      <c r="M11" s="34"/>
    </row>
    <row r="12" spans="1:13" x14ac:dyDescent="0.35">
      <c r="A12" s="30" t="s">
        <v>5</v>
      </c>
      <c r="B12" s="31">
        <v>4</v>
      </c>
      <c r="C12" s="31">
        <v>2</v>
      </c>
      <c r="D12" s="31">
        <v>8</v>
      </c>
      <c r="E12" s="5">
        <v>1100</v>
      </c>
      <c r="F12" s="5">
        <f>D12*E12</f>
        <v>8800</v>
      </c>
      <c r="G12" s="33">
        <f>F12*0.05</f>
        <v>440</v>
      </c>
      <c r="H12" s="33">
        <f>F12*0.1</f>
        <v>880</v>
      </c>
      <c r="I12" s="37">
        <f>F12*F$2+G12*G$2+H12*H$2</f>
        <v>1198912</v>
      </c>
      <c r="J12" s="25"/>
      <c r="M12" s="34"/>
    </row>
    <row r="13" spans="1:13" x14ac:dyDescent="0.35">
      <c r="A13" s="36" t="s">
        <v>92</v>
      </c>
      <c r="B13" s="31"/>
      <c r="C13" s="31"/>
      <c r="D13" s="31"/>
      <c r="E13" s="5"/>
      <c r="F13" s="170">
        <f>SUM(F12:H12)</f>
        <v>10120</v>
      </c>
      <c r="G13" s="171"/>
      <c r="H13" s="172"/>
      <c r="I13" s="37">
        <f>I12</f>
        <v>1198912</v>
      </c>
      <c r="J13" s="25"/>
      <c r="M13" s="34"/>
    </row>
    <row r="14" spans="1:13" x14ac:dyDescent="0.35">
      <c r="A14" s="36" t="s">
        <v>91</v>
      </c>
      <c r="B14" s="31"/>
      <c r="C14" s="31"/>
      <c r="D14" s="31"/>
      <c r="E14" s="5"/>
      <c r="F14" s="170">
        <f>SUM(F5:H5,F9:H11)</f>
        <v>64515</v>
      </c>
      <c r="G14" s="171"/>
      <c r="H14" s="172"/>
      <c r="I14" s="37">
        <f>SUM(I5, I9:I11)</f>
        <v>7643064</v>
      </c>
      <c r="J14" s="25"/>
      <c r="M14" s="34"/>
    </row>
    <row r="15" spans="1:13" x14ac:dyDescent="0.35">
      <c r="A15" s="38" t="s">
        <v>127</v>
      </c>
      <c r="B15" s="31"/>
      <c r="C15" s="31"/>
      <c r="D15" s="31"/>
      <c r="E15" s="5"/>
      <c r="F15" s="169">
        <f>ROUND(SUM(F5:H12),-2)</f>
        <v>74600</v>
      </c>
      <c r="G15" s="169"/>
      <c r="H15" s="169"/>
      <c r="I15" s="39">
        <f>ROUND(SUM(I5:I12),-4)</f>
        <v>8840000</v>
      </c>
      <c r="J15" s="25"/>
      <c r="M15" s="34"/>
    </row>
    <row r="16" spans="1:13" x14ac:dyDescent="0.35">
      <c r="A16" s="40" t="s">
        <v>128</v>
      </c>
      <c r="B16" s="31"/>
      <c r="C16" s="31"/>
      <c r="D16" s="31"/>
      <c r="E16" s="5"/>
      <c r="F16" s="170"/>
      <c r="G16" s="171"/>
      <c r="H16" s="172"/>
      <c r="I16" s="41">
        <f>'O&amp;M (Bulk Terminals Only)'!H9</f>
        <v>110000</v>
      </c>
      <c r="J16" s="25"/>
      <c r="M16" s="34"/>
    </row>
    <row r="17" spans="1:10" x14ac:dyDescent="0.35">
      <c r="A17" s="7" t="s">
        <v>118</v>
      </c>
      <c r="B17" s="28"/>
      <c r="C17" s="28"/>
      <c r="D17" s="28"/>
      <c r="E17" s="28"/>
      <c r="F17" s="169">
        <f>ROUND(SUM(F5:H12),-2)</f>
        <v>74600</v>
      </c>
      <c r="G17" s="169"/>
      <c r="H17" s="169"/>
      <c r="I17" s="42">
        <f>ROUND(SUM(I15:I16),-4)</f>
        <v>8950000</v>
      </c>
    </row>
    <row r="19" spans="1:10" x14ac:dyDescent="0.35">
      <c r="A19" s="43" t="s">
        <v>16</v>
      </c>
      <c r="G19" s="44"/>
    </row>
    <row r="20" spans="1:10" x14ac:dyDescent="0.35">
      <c r="A20" s="175" t="s">
        <v>32</v>
      </c>
      <c r="B20" s="175"/>
      <c r="C20" s="175"/>
      <c r="D20" s="175"/>
      <c r="E20" s="175"/>
      <c r="F20" s="175"/>
      <c r="G20" s="175"/>
      <c r="H20" s="175"/>
      <c r="I20" s="175"/>
    </row>
    <row r="21" spans="1:10" ht="57" customHeight="1" x14ac:dyDescent="0.35">
      <c r="A21" s="173" t="s">
        <v>162</v>
      </c>
      <c r="B21" s="173"/>
      <c r="C21" s="173"/>
      <c r="D21" s="173"/>
      <c r="E21" s="173"/>
      <c r="F21" s="173"/>
      <c r="G21" s="173"/>
      <c r="H21" s="173"/>
      <c r="I21" s="173"/>
      <c r="J21" s="45"/>
    </row>
    <row r="22" spans="1:10" x14ac:dyDescent="0.35">
      <c r="A22" s="175" t="s">
        <v>150</v>
      </c>
      <c r="B22" s="175"/>
      <c r="C22" s="175"/>
      <c r="D22" s="175"/>
      <c r="E22" s="175"/>
      <c r="F22" s="175"/>
      <c r="G22" s="175"/>
      <c r="H22" s="175"/>
      <c r="I22" s="175"/>
    </row>
    <row r="23" spans="1:10" ht="28.5" customHeight="1" x14ac:dyDescent="0.35">
      <c r="A23" s="174" t="s">
        <v>34</v>
      </c>
      <c r="B23" s="174"/>
      <c r="C23" s="174"/>
      <c r="D23" s="174"/>
      <c r="E23" s="174"/>
      <c r="F23" s="174"/>
      <c r="G23" s="174"/>
      <c r="H23" s="174"/>
      <c r="I23" s="174"/>
    </row>
    <row r="24" spans="1:10" ht="16" x14ac:dyDescent="0.35">
      <c r="A24" s="176" t="s">
        <v>117</v>
      </c>
      <c r="B24" s="176"/>
      <c r="C24" s="176"/>
      <c r="D24" s="176"/>
      <c r="E24" s="176"/>
      <c r="F24" s="176"/>
      <c r="G24" s="176"/>
      <c r="H24" s="176"/>
      <c r="I24" s="176"/>
    </row>
    <row r="25" spans="1:10" ht="16" x14ac:dyDescent="0.35">
      <c r="A25" s="46"/>
    </row>
    <row r="26" spans="1:10" s="51" customFormat="1" x14ac:dyDescent="0.35">
      <c r="A26" s="50"/>
    </row>
    <row r="27" spans="1:10" s="51" customFormat="1" x14ac:dyDescent="0.35">
      <c r="A27" s="168"/>
      <c r="B27" s="168"/>
      <c r="C27" s="168"/>
      <c r="D27" s="52"/>
      <c r="E27" s="52"/>
      <c r="F27" s="52"/>
      <c r="G27" s="52"/>
      <c r="H27" s="52"/>
      <c r="I27" s="52"/>
      <c r="J27" s="168"/>
    </row>
    <row r="28" spans="1:10" s="51" customFormat="1" x14ac:dyDescent="0.35">
      <c r="A28" s="168"/>
      <c r="B28" s="168"/>
      <c r="C28" s="168"/>
      <c r="D28" s="52"/>
      <c r="E28" s="52"/>
      <c r="F28" s="52"/>
      <c r="G28" s="52"/>
      <c r="H28" s="52"/>
      <c r="I28" s="52"/>
      <c r="J28" s="168"/>
    </row>
    <row r="29" spans="1:10" s="51" customFormat="1" x14ac:dyDescent="0.35">
      <c r="A29" s="168"/>
      <c r="B29" s="168"/>
      <c r="C29" s="168"/>
      <c r="D29" s="53"/>
      <c r="E29" s="53"/>
      <c r="F29" s="52"/>
      <c r="G29" s="53"/>
      <c r="H29" s="53"/>
      <c r="I29" s="53"/>
      <c r="J29" s="168"/>
    </row>
    <row r="30" spans="1:10" s="51" customFormat="1" x14ac:dyDescent="0.35">
      <c r="A30" s="54"/>
      <c r="G30" s="55"/>
      <c r="H30" s="56"/>
      <c r="I30" s="56"/>
      <c r="J30" s="56"/>
    </row>
    <row r="31" spans="1:10" s="60" customFormat="1" x14ac:dyDescent="0.35">
      <c r="A31" s="57"/>
      <c r="B31" s="58"/>
      <c r="C31" s="58"/>
      <c r="D31" s="58"/>
      <c r="E31" s="58"/>
      <c r="F31" s="58"/>
      <c r="G31" s="59"/>
      <c r="H31" s="59"/>
      <c r="I31" s="59"/>
      <c r="J31" s="59"/>
    </row>
    <row r="32" spans="1:10" s="60" customFormat="1" x14ac:dyDescent="0.35">
      <c r="A32" s="57"/>
      <c r="B32" s="58"/>
      <c r="C32" s="58"/>
      <c r="D32" s="58"/>
      <c r="E32" s="58"/>
      <c r="F32" s="58"/>
      <c r="G32" s="59"/>
      <c r="H32" s="59"/>
      <c r="I32" s="59"/>
      <c r="J32" s="59"/>
    </row>
    <row r="33" spans="1:10" s="60" customFormat="1" x14ac:dyDescent="0.35">
      <c r="A33" s="57"/>
      <c r="B33" s="58"/>
      <c r="C33" s="58"/>
      <c r="D33" s="58"/>
      <c r="E33" s="58"/>
      <c r="F33" s="58"/>
      <c r="G33" s="59"/>
      <c r="H33" s="59"/>
      <c r="I33" s="59"/>
      <c r="J33" s="59"/>
    </row>
    <row r="34" spans="1:10" s="60" customFormat="1" x14ac:dyDescent="0.35">
      <c r="A34" s="57"/>
      <c r="B34" s="58"/>
      <c r="C34" s="58"/>
      <c r="D34" s="58"/>
      <c r="E34" s="58"/>
      <c r="F34" s="58"/>
      <c r="G34" s="59"/>
      <c r="H34" s="59"/>
      <c r="I34" s="59"/>
      <c r="J34" s="59"/>
    </row>
    <row r="35" spans="1:10" s="60" customFormat="1" x14ac:dyDescent="0.35">
      <c r="A35" s="57"/>
      <c r="B35" s="58"/>
      <c r="C35" s="58"/>
      <c r="D35" s="58"/>
      <c r="E35" s="58"/>
      <c r="F35" s="58"/>
      <c r="G35" s="61"/>
      <c r="H35" s="61"/>
      <c r="I35" s="61"/>
      <c r="J35" s="61"/>
    </row>
    <row r="36" spans="1:10" s="60" customFormat="1" x14ac:dyDescent="0.35">
      <c r="A36" s="57"/>
      <c r="B36" s="58"/>
      <c r="C36" s="58"/>
      <c r="D36" s="58"/>
      <c r="E36" s="58"/>
      <c r="F36" s="58"/>
      <c r="G36" s="59"/>
      <c r="H36" s="59"/>
      <c r="I36" s="59"/>
      <c r="J36" s="59"/>
    </row>
    <row r="37" spans="1:10" s="60" customFormat="1" x14ac:dyDescent="0.35">
      <c r="A37" s="57"/>
      <c r="B37" s="58"/>
      <c r="C37" s="58"/>
      <c r="D37" s="58"/>
      <c r="E37" s="58"/>
      <c r="F37" s="58"/>
      <c r="G37" s="61"/>
      <c r="H37" s="61"/>
      <c r="I37" s="61"/>
      <c r="J37" s="61"/>
    </row>
    <row r="38" spans="1:10" s="60" customFormat="1" x14ac:dyDescent="0.35">
      <c r="A38" s="57"/>
      <c r="B38" s="58"/>
      <c r="C38" s="58"/>
      <c r="D38" s="58"/>
      <c r="E38" s="58"/>
      <c r="F38" s="58"/>
      <c r="G38" s="61"/>
      <c r="H38" s="61"/>
      <c r="I38" s="61"/>
      <c r="J38" s="61"/>
    </row>
    <row r="39" spans="1:10" s="60" customFormat="1" x14ac:dyDescent="0.35">
      <c r="A39" s="57"/>
      <c r="B39" s="58"/>
      <c r="C39" s="58"/>
      <c r="D39" s="58"/>
      <c r="E39" s="58"/>
      <c r="F39" s="58"/>
      <c r="G39" s="61"/>
      <c r="H39" s="61"/>
      <c r="I39" s="61"/>
      <c r="J39" s="61"/>
    </row>
    <row r="40" spans="1:10" s="60" customFormat="1" x14ac:dyDescent="0.35">
      <c r="A40" s="57"/>
      <c r="B40" s="58"/>
      <c r="C40" s="58"/>
      <c r="D40" s="58"/>
      <c r="E40" s="58"/>
      <c r="F40" s="58"/>
      <c r="G40" s="62"/>
      <c r="H40" s="61"/>
      <c r="I40" s="61"/>
      <c r="J40" s="61"/>
    </row>
    <row r="41" spans="1:10" s="60" customFormat="1" x14ac:dyDescent="0.35">
      <c r="A41" s="57"/>
      <c r="F41" s="63"/>
      <c r="G41" s="61"/>
      <c r="H41" s="61"/>
      <c r="I41" s="61"/>
      <c r="J41" s="61"/>
    </row>
    <row r="42" spans="1:10" s="51" customFormat="1" x14ac:dyDescent="0.35"/>
    <row r="43" spans="1:10" s="51" customFormat="1" x14ac:dyDescent="0.35">
      <c r="A43" s="64"/>
    </row>
    <row r="44" spans="1:10" s="51" customFormat="1" x14ac:dyDescent="0.35">
      <c r="A44" s="65"/>
    </row>
    <row r="45" spans="1:10" s="51" customFormat="1" x14ac:dyDescent="0.35">
      <c r="A45" s="65"/>
    </row>
    <row r="46" spans="1:10" s="51" customFormat="1" x14ac:dyDescent="0.35">
      <c r="A46" s="65"/>
    </row>
    <row r="47" spans="1:10" s="51" customFormat="1" x14ac:dyDescent="0.35">
      <c r="A47" s="66"/>
    </row>
    <row r="48" spans="1:10" s="51" customFormat="1" x14ac:dyDescent="0.35"/>
    <row r="49" s="51" customFormat="1" x14ac:dyDescent="0.35"/>
    <row r="50" s="51" customFormat="1" x14ac:dyDescent="0.35"/>
    <row r="51" s="51" customFormat="1" x14ac:dyDescent="0.35"/>
    <row r="52" s="51" customFormat="1" x14ac:dyDescent="0.35"/>
  </sheetData>
  <mergeCells count="14">
    <mergeCell ref="J27:J29"/>
    <mergeCell ref="F15:H15"/>
    <mergeCell ref="F13:H13"/>
    <mergeCell ref="F14:H14"/>
    <mergeCell ref="A27:A29"/>
    <mergeCell ref="B27:B29"/>
    <mergeCell ref="C27:C29"/>
    <mergeCell ref="F16:H16"/>
    <mergeCell ref="F17:H17"/>
    <mergeCell ref="A21:I21"/>
    <mergeCell ref="A23:I23"/>
    <mergeCell ref="A20:I20"/>
    <mergeCell ref="A22:I22"/>
    <mergeCell ref="A24:I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8834-2DD1-47BF-82B4-EA4F175D8F94}">
  <dimension ref="B1:H9"/>
  <sheetViews>
    <sheetView workbookViewId="0">
      <selection activeCell="E24" sqref="E24"/>
    </sheetView>
  </sheetViews>
  <sheetFormatPr defaultRowHeight="14.5" x14ac:dyDescent="0.35"/>
  <cols>
    <col min="2" max="2" width="11" customWidth="1"/>
    <col min="4" max="4" width="16.7265625" customWidth="1"/>
    <col min="5" max="5" width="10.54296875" customWidth="1"/>
    <col min="6" max="6" width="18.54296875" customWidth="1"/>
    <col min="8" max="8" width="16.1796875" customWidth="1"/>
  </cols>
  <sheetData>
    <row r="1" spans="2:8" ht="15" thickBot="1" x14ac:dyDescent="0.4"/>
    <row r="2" spans="2:8" ht="15.5" x14ac:dyDescent="0.35">
      <c r="B2" s="200"/>
      <c r="C2" s="201"/>
      <c r="D2" s="201"/>
      <c r="E2" s="201"/>
      <c r="F2" s="201"/>
      <c r="G2" s="201"/>
      <c r="H2" s="202"/>
    </row>
    <row r="3" spans="2:8" ht="15.5" thickBot="1" x14ac:dyDescent="0.4">
      <c r="B3" s="203" t="s">
        <v>137</v>
      </c>
      <c r="C3" s="204"/>
      <c r="D3" s="204"/>
      <c r="E3" s="204"/>
      <c r="F3" s="204"/>
      <c r="G3" s="204"/>
      <c r="H3" s="205"/>
    </row>
    <row r="4" spans="2:8" ht="15" x14ac:dyDescent="0.35">
      <c r="B4" s="9"/>
      <c r="C4" s="13"/>
      <c r="D4" s="13"/>
      <c r="E4" s="13"/>
      <c r="F4" s="13"/>
      <c r="G4" s="13"/>
      <c r="H4" s="16"/>
    </row>
    <row r="5" spans="2:8" x14ac:dyDescent="0.35">
      <c r="B5" s="10" t="s">
        <v>72</v>
      </c>
      <c r="C5" s="14" t="s">
        <v>73</v>
      </c>
      <c r="D5" s="14" t="s">
        <v>1</v>
      </c>
      <c r="E5" s="14" t="s">
        <v>2</v>
      </c>
      <c r="F5" s="14" t="s">
        <v>3</v>
      </c>
      <c r="G5" s="14" t="s">
        <v>143</v>
      </c>
      <c r="H5" s="17" t="s">
        <v>145</v>
      </c>
    </row>
    <row r="6" spans="2:8" ht="65" x14ac:dyDescent="0.35">
      <c r="B6" s="11" t="s">
        <v>138</v>
      </c>
      <c r="C6" s="13" t="s">
        <v>139</v>
      </c>
      <c r="D6" s="13" t="s">
        <v>140</v>
      </c>
      <c r="E6" s="13" t="s">
        <v>141</v>
      </c>
      <c r="F6" s="13" t="s">
        <v>142</v>
      </c>
      <c r="G6" s="13" t="s">
        <v>144</v>
      </c>
      <c r="H6" s="16" t="s">
        <v>146</v>
      </c>
    </row>
    <row r="7" spans="2:8" ht="15" thickBot="1" x14ac:dyDescent="0.4">
      <c r="B7" s="12"/>
      <c r="C7" s="15"/>
      <c r="D7" s="15"/>
      <c r="E7" s="15"/>
      <c r="F7" s="15"/>
      <c r="G7" s="15"/>
      <c r="H7" s="18" t="s">
        <v>147</v>
      </c>
    </row>
    <row r="8" spans="2:8" x14ac:dyDescent="0.35">
      <c r="B8" s="19"/>
      <c r="C8" s="17"/>
      <c r="D8" s="17"/>
      <c r="E8" s="17"/>
      <c r="F8" s="17"/>
      <c r="G8" s="17"/>
      <c r="H8" s="17"/>
    </row>
    <row r="9" spans="2:8" ht="39.5" thickBot="1" x14ac:dyDescent="0.4">
      <c r="B9" s="20" t="s">
        <v>148</v>
      </c>
      <c r="C9" s="21">
        <v>0</v>
      </c>
      <c r="D9" s="22">
        <v>0</v>
      </c>
      <c r="E9" s="21">
        <v>0</v>
      </c>
      <c r="F9" s="21">
        <v>1000</v>
      </c>
      <c r="G9" s="22" t="s">
        <v>149</v>
      </c>
      <c r="H9" s="21">
        <f>F9*110</f>
        <v>110000</v>
      </c>
    </row>
  </sheetData>
  <mergeCells count="2">
    <mergeCell ref="B2:H2"/>
    <mergeCell ref="B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106" zoomScaleNormal="106" workbookViewId="0">
      <selection activeCell="A2" sqref="A2:XFD2"/>
    </sheetView>
  </sheetViews>
  <sheetFormatPr defaultColWidth="9.1796875" defaultRowHeight="14.5" x14ac:dyDescent="0.35"/>
  <cols>
    <col min="1" max="1" width="44.54296875" style="8" customWidth="1"/>
    <col min="2" max="8" width="9.1796875" style="8"/>
    <col min="9" max="9" width="11.81640625" style="8" customWidth="1"/>
    <col min="10" max="10" width="10" style="8" bestFit="1" customWidth="1"/>
    <col min="11" max="16384" width="9.1796875" style="8"/>
  </cols>
  <sheetData>
    <row r="1" spans="1:16" ht="15" x14ac:dyDescent="0.35">
      <c r="A1" s="68" t="s">
        <v>100</v>
      </c>
    </row>
    <row r="2" spans="1:16" s="139" customFormat="1" x14ac:dyDescent="0.35">
      <c r="D2" s="139" t="s">
        <v>159</v>
      </c>
      <c r="F2" s="139">
        <v>122.66</v>
      </c>
      <c r="G2" s="139">
        <v>149.84</v>
      </c>
      <c r="H2" s="139">
        <v>60.88</v>
      </c>
    </row>
    <row r="3" spans="1:16" ht="78" x14ac:dyDescent="0.35">
      <c r="A3" s="26" t="s">
        <v>6</v>
      </c>
      <c r="B3" s="26" t="s">
        <v>7</v>
      </c>
      <c r="C3" s="26" t="s">
        <v>8</v>
      </c>
      <c r="D3" s="26" t="s">
        <v>9</v>
      </c>
      <c r="E3" s="26" t="s">
        <v>45</v>
      </c>
      <c r="F3" s="26" t="s">
        <v>10</v>
      </c>
      <c r="G3" s="26" t="s">
        <v>11</v>
      </c>
      <c r="H3" s="26" t="s">
        <v>12</v>
      </c>
      <c r="I3" s="26" t="s">
        <v>25</v>
      </c>
    </row>
    <row r="4" spans="1:16" x14ac:dyDescent="0.35">
      <c r="A4" s="27" t="s">
        <v>14</v>
      </c>
      <c r="B4" s="69"/>
      <c r="C4" s="69"/>
      <c r="D4" s="69"/>
      <c r="E4" s="69"/>
      <c r="F4" s="29"/>
      <c r="G4" s="70"/>
      <c r="H4" s="69"/>
      <c r="I4" s="69"/>
    </row>
    <row r="5" spans="1:16" x14ac:dyDescent="0.35">
      <c r="A5" s="67" t="s">
        <v>158</v>
      </c>
      <c r="B5" s="31">
        <v>6</v>
      </c>
      <c r="C5" s="31">
        <v>1</v>
      </c>
      <c r="D5" s="31">
        <f t="shared" ref="D5:D11" si="0">B5*C5</f>
        <v>6</v>
      </c>
      <c r="E5" s="31">
        <v>460</v>
      </c>
      <c r="F5" s="161">
        <f t="shared" ref="F5:F11" si="1">D5*E5</f>
        <v>2760</v>
      </c>
      <c r="G5" s="31">
        <f t="shared" ref="G5:G11" si="2">F5*0.05</f>
        <v>138</v>
      </c>
      <c r="H5" s="31">
        <f t="shared" ref="H5:H11" si="3">F5*0.1</f>
        <v>276</v>
      </c>
      <c r="I5" s="49">
        <f>F5*F$2+G5*G$2+H5*H$2</f>
        <v>376022.39999999997</v>
      </c>
      <c r="J5" s="25"/>
    </row>
    <row r="6" spans="1:16" x14ac:dyDescent="0.35">
      <c r="A6" s="30" t="s">
        <v>46</v>
      </c>
      <c r="B6" s="31">
        <v>8</v>
      </c>
      <c r="C6" s="31">
        <v>1</v>
      </c>
      <c r="D6" s="31">
        <f t="shared" si="0"/>
        <v>8</v>
      </c>
      <c r="E6" s="31">
        <v>0</v>
      </c>
      <c r="F6" s="31">
        <f t="shared" si="1"/>
        <v>0</v>
      </c>
      <c r="G6" s="31">
        <f t="shared" si="2"/>
        <v>0</v>
      </c>
      <c r="H6" s="31">
        <f t="shared" si="3"/>
        <v>0</v>
      </c>
      <c r="I6" s="72">
        <f t="shared" ref="I6:I9" si="4">F6*F$2+G6*G$2+H6*H$2</f>
        <v>0</v>
      </c>
    </row>
    <row r="7" spans="1:16" x14ac:dyDescent="0.35">
      <c r="A7" s="30" t="s">
        <v>47</v>
      </c>
      <c r="B7" s="31">
        <v>8</v>
      </c>
      <c r="C7" s="31">
        <v>1</v>
      </c>
      <c r="D7" s="31">
        <f t="shared" si="0"/>
        <v>8</v>
      </c>
      <c r="E7" s="31">
        <v>0</v>
      </c>
      <c r="F7" s="31">
        <f t="shared" si="1"/>
        <v>0</v>
      </c>
      <c r="G7" s="31">
        <f t="shared" si="2"/>
        <v>0</v>
      </c>
      <c r="H7" s="31">
        <f t="shared" si="3"/>
        <v>0</v>
      </c>
      <c r="I7" s="72">
        <f t="shared" si="4"/>
        <v>0</v>
      </c>
    </row>
    <row r="8" spans="1:16" x14ac:dyDescent="0.35">
      <c r="A8" s="30" t="s">
        <v>48</v>
      </c>
      <c r="B8" s="33">
        <v>12</v>
      </c>
      <c r="C8" s="33">
        <v>1</v>
      </c>
      <c r="D8" s="33">
        <f t="shared" si="0"/>
        <v>12</v>
      </c>
      <c r="E8" s="33">
        <v>460</v>
      </c>
      <c r="F8" s="5">
        <f t="shared" si="1"/>
        <v>5520</v>
      </c>
      <c r="G8" s="33">
        <f t="shared" si="2"/>
        <v>276</v>
      </c>
      <c r="H8" s="33">
        <f t="shared" si="3"/>
        <v>552</v>
      </c>
      <c r="I8" s="49">
        <f t="shared" si="4"/>
        <v>752044.79999999993</v>
      </c>
    </row>
    <row r="9" spans="1:16" x14ac:dyDescent="0.35">
      <c r="A9" s="30" t="s">
        <v>49</v>
      </c>
      <c r="B9" s="33">
        <v>2</v>
      </c>
      <c r="C9" s="33">
        <v>12</v>
      </c>
      <c r="D9" s="33">
        <f t="shared" si="0"/>
        <v>24</v>
      </c>
      <c r="E9" s="33">
        <v>460</v>
      </c>
      <c r="F9" s="162">
        <f t="shared" si="1"/>
        <v>11040</v>
      </c>
      <c r="G9" s="33">
        <f t="shared" si="2"/>
        <v>552</v>
      </c>
      <c r="H9" s="162">
        <f t="shared" si="3"/>
        <v>1104</v>
      </c>
      <c r="I9" s="49">
        <f t="shared" si="4"/>
        <v>1504089.5999999999</v>
      </c>
    </row>
    <row r="10" spans="1:16" x14ac:dyDescent="0.35">
      <c r="A10" s="30" t="s">
        <v>50</v>
      </c>
      <c r="B10" s="33">
        <v>16</v>
      </c>
      <c r="C10" s="33">
        <v>1</v>
      </c>
      <c r="D10" s="33">
        <f t="shared" si="0"/>
        <v>16</v>
      </c>
      <c r="E10" s="33">
        <v>460</v>
      </c>
      <c r="F10" s="5">
        <f t="shared" si="1"/>
        <v>7360</v>
      </c>
      <c r="G10" s="33">
        <f t="shared" si="2"/>
        <v>368</v>
      </c>
      <c r="H10" s="33">
        <f t="shared" si="3"/>
        <v>736</v>
      </c>
      <c r="I10" s="32">
        <f>F10*F$2+G10*G$2+H10*H$2</f>
        <v>1002726.4</v>
      </c>
      <c r="J10" s="25"/>
    </row>
    <row r="11" spans="1:16" x14ac:dyDescent="0.35">
      <c r="A11" s="30" t="s">
        <v>15</v>
      </c>
      <c r="B11" s="33">
        <v>4</v>
      </c>
      <c r="C11" s="33">
        <v>2</v>
      </c>
      <c r="D11" s="33">
        <f t="shared" si="0"/>
        <v>8</v>
      </c>
      <c r="E11" s="33">
        <v>460</v>
      </c>
      <c r="F11" s="5">
        <f t="shared" si="1"/>
        <v>3680</v>
      </c>
      <c r="G11" s="33">
        <f t="shared" si="2"/>
        <v>184</v>
      </c>
      <c r="H11" s="33">
        <f t="shared" si="3"/>
        <v>368</v>
      </c>
      <c r="I11" s="49">
        <f>F11*F$2+G11*G$2+H11*H$2</f>
        <v>501363.20000000001</v>
      </c>
    </row>
    <row r="12" spans="1:16" x14ac:dyDescent="0.35">
      <c r="A12" s="36" t="s">
        <v>93</v>
      </c>
      <c r="B12" s="31"/>
      <c r="C12" s="31"/>
      <c r="D12" s="31"/>
      <c r="E12" s="71"/>
      <c r="F12" s="177">
        <f>SUM(F11:H11)</f>
        <v>4232</v>
      </c>
      <c r="G12" s="178"/>
      <c r="H12" s="179"/>
      <c r="I12" s="72">
        <f>I11</f>
        <v>501363.20000000001</v>
      </c>
      <c r="J12" s="25"/>
      <c r="K12" s="48"/>
      <c r="L12" s="48"/>
      <c r="M12" s="73"/>
      <c r="N12" s="48"/>
      <c r="O12" s="48"/>
      <c r="P12" s="48"/>
    </row>
    <row r="13" spans="1:16" x14ac:dyDescent="0.35">
      <c r="A13" s="36" t="s">
        <v>94</v>
      </c>
      <c r="B13" s="31"/>
      <c r="C13" s="31"/>
      <c r="D13" s="31"/>
      <c r="E13" s="71"/>
      <c r="F13" s="177">
        <f>SUM(F5:H5, F8:H10)</f>
        <v>30682</v>
      </c>
      <c r="G13" s="178"/>
      <c r="H13" s="179"/>
      <c r="I13" s="72">
        <f>SUM(I5,I8:I10)</f>
        <v>3634883.1999999997</v>
      </c>
    </row>
    <row r="14" spans="1:16" ht="16" x14ac:dyDescent="0.35">
      <c r="A14" s="74" t="s">
        <v>115</v>
      </c>
      <c r="B14" s="31"/>
      <c r="C14" s="31"/>
      <c r="D14" s="31"/>
      <c r="E14" s="71"/>
      <c r="F14" s="177">
        <f>ROUND(SUM(F5:H11),-2)</f>
        <v>34900</v>
      </c>
      <c r="G14" s="178"/>
      <c r="H14" s="179"/>
      <c r="I14" s="72">
        <f>ROUND(SUM(I5:I11),-4)</f>
        <v>4140000</v>
      </c>
      <c r="J14" s="25"/>
    </row>
    <row r="15" spans="1:16" ht="15.5" x14ac:dyDescent="0.35">
      <c r="A15" s="75" t="s">
        <v>116</v>
      </c>
      <c r="B15" s="31"/>
      <c r="C15" s="31"/>
      <c r="D15" s="31"/>
      <c r="E15" s="71"/>
      <c r="F15" s="76"/>
      <c r="G15" s="77"/>
      <c r="H15" s="78"/>
      <c r="I15" s="72">
        <v>0</v>
      </c>
      <c r="J15" s="25"/>
    </row>
    <row r="16" spans="1:16" ht="15" x14ac:dyDescent="0.35">
      <c r="A16" s="6" t="s">
        <v>124</v>
      </c>
      <c r="B16" s="28"/>
      <c r="C16" s="28"/>
      <c r="D16" s="28"/>
      <c r="E16" s="28"/>
      <c r="F16" s="169">
        <f>ROUND(SUM(F5:H11),-2)</f>
        <v>34900</v>
      </c>
      <c r="G16" s="169"/>
      <c r="H16" s="169"/>
      <c r="I16" s="39">
        <f>ROUND(SUM(I5:I11),-4)</f>
        <v>4140000</v>
      </c>
    </row>
    <row r="17" spans="1:10" x14ac:dyDescent="0.35">
      <c r="A17" s="43" t="s">
        <v>17</v>
      </c>
    </row>
    <row r="18" spans="1:10" ht="16.5" customHeight="1" x14ac:dyDescent="0.35">
      <c r="A18" s="175" t="s">
        <v>33</v>
      </c>
      <c r="B18" s="175"/>
      <c r="C18" s="175"/>
      <c r="D18" s="175"/>
      <c r="E18" s="175"/>
      <c r="F18" s="175"/>
      <c r="G18" s="175"/>
      <c r="H18" s="175"/>
      <c r="I18" s="175"/>
    </row>
    <row r="19" spans="1:10" x14ac:dyDescent="0.35">
      <c r="A19" s="175"/>
      <c r="B19" s="175"/>
      <c r="C19" s="175"/>
      <c r="D19" s="175"/>
      <c r="E19" s="175"/>
      <c r="F19" s="175"/>
      <c r="G19" s="175"/>
      <c r="H19" s="175"/>
      <c r="I19" s="175"/>
    </row>
    <row r="20" spans="1:10" ht="55.5" customHeight="1" x14ac:dyDescent="0.35">
      <c r="A20" s="173" t="s">
        <v>162</v>
      </c>
      <c r="B20" s="173"/>
      <c r="C20" s="173"/>
      <c r="D20" s="173"/>
      <c r="E20" s="173"/>
      <c r="F20" s="173"/>
      <c r="G20" s="173"/>
      <c r="H20" s="173"/>
      <c r="I20" s="173"/>
    </row>
    <row r="21" spans="1:10" x14ac:dyDescent="0.35">
      <c r="A21" s="175" t="s">
        <v>150</v>
      </c>
      <c r="B21" s="175"/>
      <c r="C21" s="175"/>
      <c r="D21" s="175"/>
      <c r="E21" s="175"/>
      <c r="F21" s="175"/>
      <c r="G21" s="175"/>
      <c r="H21" s="175"/>
      <c r="I21" s="175"/>
    </row>
    <row r="22" spans="1:10" x14ac:dyDescent="0.35">
      <c r="A22" s="174" t="s">
        <v>34</v>
      </c>
      <c r="B22" s="174"/>
      <c r="C22" s="174"/>
      <c r="D22" s="174"/>
      <c r="E22" s="174"/>
      <c r="F22" s="174"/>
      <c r="G22" s="174"/>
      <c r="H22" s="174"/>
      <c r="I22" s="174"/>
    </row>
    <row r="23" spans="1:10" x14ac:dyDescent="0.35">
      <c r="A23" s="174"/>
      <c r="B23" s="174"/>
      <c r="C23" s="174"/>
      <c r="D23" s="174"/>
      <c r="E23" s="174"/>
      <c r="F23" s="174"/>
      <c r="G23" s="174"/>
      <c r="H23" s="174"/>
      <c r="I23" s="174"/>
    </row>
    <row r="24" spans="1:10" ht="16" x14ac:dyDescent="0.35">
      <c r="A24" s="176" t="s">
        <v>117</v>
      </c>
      <c r="B24" s="176"/>
      <c r="C24" s="176"/>
      <c r="D24" s="176"/>
      <c r="E24" s="176"/>
      <c r="F24" s="176"/>
      <c r="G24" s="176"/>
      <c r="H24" s="176"/>
      <c r="I24" s="176"/>
    </row>
    <row r="25" spans="1:10" s="51" customFormat="1" x14ac:dyDescent="0.35">
      <c r="A25" s="50"/>
    </row>
    <row r="26" spans="1:10" s="51" customFormat="1" x14ac:dyDescent="0.35">
      <c r="A26" s="52"/>
      <c r="B26" s="168"/>
      <c r="C26" s="168"/>
      <c r="D26" s="52"/>
      <c r="E26" s="52"/>
      <c r="F26" s="52"/>
      <c r="G26" s="52"/>
      <c r="H26" s="168"/>
      <c r="I26" s="168"/>
      <c r="J26" s="168"/>
    </row>
    <row r="27" spans="1:10" s="51" customFormat="1" x14ac:dyDescent="0.35">
      <c r="A27" s="52"/>
      <c r="B27" s="168"/>
      <c r="C27" s="168"/>
      <c r="D27" s="52"/>
      <c r="E27" s="52"/>
      <c r="F27" s="52"/>
      <c r="G27" s="52"/>
      <c r="H27" s="168"/>
      <c r="I27" s="168"/>
      <c r="J27" s="168"/>
    </row>
    <row r="28" spans="1:10" s="51" customFormat="1" x14ac:dyDescent="0.35">
      <c r="A28" s="53"/>
      <c r="B28" s="168"/>
      <c r="C28" s="168"/>
      <c r="D28" s="53"/>
      <c r="E28" s="53"/>
      <c r="F28" s="52"/>
      <c r="G28" s="53"/>
      <c r="H28" s="168"/>
      <c r="I28" s="168"/>
      <c r="J28" s="168"/>
    </row>
    <row r="29" spans="1:10" s="60" customFormat="1" x14ac:dyDescent="0.35">
      <c r="A29" s="79"/>
      <c r="B29" s="80"/>
      <c r="C29" s="80"/>
      <c r="D29" s="80"/>
      <c r="E29" s="80"/>
      <c r="F29" s="81"/>
      <c r="G29" s="82"/>
      <c r="H29" s="82"/>
      <c r="I29" s="80"/>
      <c r="J29" s="80"/>
    </row>
    <row r="30" spans="1:10" s="60" customFormat="1" x14ac:dyDescent="0.35">
      <c r="A30" s="57"/>
      <c r="B30" s="58"/>
      <c r="C30" s="58"/>
      <c r="D30" s="58"/>
      <c r="E30" s="58"/>
      <c r="F30" s="58"/>
      <c r="G30" s="59"/>
      <c r="H30" s="59"/>
      <c r="I30" s="59"/>
      <c r="J30" s="59"/>
    </row>
    <row r="31" spans="1:10" s="60" customFormat="1" x14ac:dyDescent="0.35">
      <c r="A31" s="57"/>
      <c r="B31" s="58"/>
      <c r="C31" s="58"/>
      <c r="D31" s="58"/>
      <c r="E31" s="58"/>
      <c r="F31" s="58"/>
      <c r="G31" s="59"/>
      <c r="H31" s="59"/>
      <c r="I31" s="59"/>
      <c r="J31" s="59"/>
    </row>
    <row r="32" spans="1:10" s="60" customFormat="1" x14ac:dyDescent="0.35">
      <c r="A32" s="57"/>
      <c r="B32" s="58"/>
      <c r="C32" s="58"/>
      <c r="D32" s="58"/>
      <c r="E32" s="58"/>
      <c r="F32" s="58"/>
      <c r="G32" s="59"/>
      <c r="H32" s="59"/>
      <c r="I32" s="59"/>
      <c r="J32" s="59"/>
    </row>
    <row r="33" spans="1:10" s="60" customFormat="1" x14ac:dyDescent="0.35">
      <c r="A33" s="57"/>
      <c r="B33" s="58"/>
      <c r="C33" s="58"/>
      <c r="D33" s="58"/>
      <c r="E33" s="58"/>
      <c r="F33" s="63"/>
      <c r="G33" s="83"/>
      <c r="H33" s="83"/>
      <c r="I33" s="83"/>
      <c r="J33" s="83"/>
    </row>
    <row r="34" spans="1:10" s="60" customFormat="1" x14ac:dyDescent="0.35">
      <c r="A34" s="57"/>
      <c r="B34" s="58"/>
      <c r="C34" s="58"/>
      <c r="D34" s="58"/>
      <c r="E34" s="58"/>
      <c r="F34" s="58"/>
      <c r="G34" s="59"/>
      <c r="H34" s="59"/>
      <c r="I34" s="59"/>
      <c r="J34" s="59"/>
    </row>
    <row r="35" spans="1:10" s="60" customFormat="1" x14ac:dyDescent="0.35">
      <c r="A35" s="57"/>
      <c r="B35" s="58"/>
      <c r="C35" s="58"/>
      <c r="D35" s="58"/>
      <c r="E35" s="58"/>
      <c r="F35" s="63"/>
      <c r="G35" s="83"/>
      <c r="H35" s="83"/>
      <c r="I35" s="83"/>
      <c r="J35" s="83"/>
    </row>
    <row r="36" spans="1:10" s="60" customFormat="1" x14ac:dyDescent="0.35">
      <c r="A36" s="57"/>
      <c r="B36" s="58"/>
      <c r="C36" s="58"/>
      <c r="D36" s="58"/>
      <c r="E36" s="58"/>
      <c r="F36" s="84"/>
      <c r="G36" s="83"/>
      <c r="H36" s="83"/>
      <c r="I36" s="83"/>
      <c r="J36" s="83"/>
    </row>
    <row r="37" spans="1:10" s="60" customFormat="1" x14ac:dyDescent="0.35">
      <c r="A37" s="57"/>
      <c r="B37" s="58"/>
      <c r="C37" s="58"/>
      <c r="D37" s="58"/>
      <c r="E37" s="58"/>
      <c r="F37" s="63"/>
      <c r="G37" s="83"/>
      <c r="H37" s="83"/>
      <c r="I37" s="83"/>
      <c r="J37" s="83"/>
    </row>
    <row r="38" spans="1:10" s="60" customFormat="1" x14ac:dyDescent="0.35">
      <c r="A38" s="57"/>
      <c r="F38" s="63"/>
      <c r="G38" s="83"/>
      <c r="H38" s="83"/>
      <c r="I38" s="83"/>
      <c r="J38" s="83"/>
    </row>
    <row r="39" spans="1:10" s="51" customFormat="1" x14ac:dyDescent="0.35">
      <c r="A39" s="64"/>
    </row>
    <row r="40" spans="1:10" s="51" customFormat="1" x14ac:dyDescent="0.35">
      <c r="A40" s="85"/>
    </row>
    <row r="41" spans="1:10" s="51" customFormat="1" x14ac:dyDescent="0.35">
      <c r="A41" s="85"/>
    </row>
  </sheetData>
  <mergeCells count="14">
    <mergeCell ref="F12:H12"/>
    <mergeCell ref="F13:H13"/>
    <mergeCell ref="J26:J28"/>
    <mergeCell ref="F16:H16"/>
    <mergeCell ref="B26:B28"/>
    <mergeCell ref="C26:C28"/>
    <mergeCell ref="H26:H28"/>
    <mergeCell ref="I26:I28"/>
    <mergeCell ref="F14:H14"/>
    <mergeCell ref="A20:I20"/>
    <mergeCell ref="A18:I19"/>
    <mergeCell ref="A22:I23"/>
    <mergeCell ref="A21:I21"/>
    <mergeCell ref="A24:I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zoomScale="90" zoomScaleNormal="90" workbookViewId="0">
      <selection activeCell="J2" sqref="J2"/>
    </sheetView>
  </sheetViews>
  <sheetFormatPr defaultColWidth="9.1796875" defaultRowHeight="14.5" x14ac:dyDescent="0.35"/>
  <cols>
    <col min="1" max="1" width="33.1796875" style="8" customWidth="1"/>
    <col min="2" max="8" width="9.1796875" style="8"/>
    <col min="9" max="9" width="12.54296875" style="8" customWidth="1"/>
    <col min="10" max="16384" width="9.1796875" style="8"/>
  </cols>
  <sheetData>
    <row r="1" spans="1:16" ht="16.5" customHeight="1" x14ac:dyDescent="0.35">
      <c r="A1" s="68" t="s">
        <v>101</v>
      </c>
    </row>
    <row r="2" spans="1:16" s="139" customFormat="1" x14ac:dyDescent="0.35">
      <c r="D2" s="139" t="s">
        <v>159</v>
      </c>
      <c r="F2" s="139">
        <v>122.66</v>
      </c>
      <c r="G2" s="139">
        <v>149.84</v>
      </c>
      <c r="H2" s="139">
        <v>60.88</v>
      </c>
    </row>
    <row r="3" spans="1:16" ht="78" x14ac:dyDescent="0.35">
      <c r="A3" s="26" t="s">
        <v>6</v>
      </c>
      <c r="B3" s="26" t="s">
        <v>7</v>
      </c>
      <c r="C3" s="26" t="s">
        <v>8</v>
      </c>
      <c r="D3" s="26" t="s">
        <v>9</v>
      </c>
      <c r="E3" s="26" t="s">
        <v>45</v>
      </c>
      <c r="F3" s="26" t="s">
        <v>10</v>
      </c>
      <c r="G3" s="26" t="s">
        <v>11</v>
      </c>
      <c r="H3" s="26" t="s">
        <v>12</v>
      </c>
      <c r="I3" s="26" t="s">
        <v>25</v>
      </c>
    </row>
    <row r="4" spans="1:16" s="48" customFormat="1" x14ac:dyDescent="0.35">
      <c r="A4" s="27" t="s">
        <v>18</v>
      </c>
      <c r="B4" s="69"/>
      <c r="C4" s="69"/>
      <c r="D4" s="69"/>
      <c r="E4" s="69"/>
      <c r="F4" s="29"/>
      <c r="G4" s="70"/>
      <c r="H4" s="69"/>
      <c r="I4" s="69"/>
    </row>
    <row r="5" spans="1:16" s="48" customFormat="1" x14ac:dyDescent="0.35">
      <c r="A5" s="67" t="s">
        <v>158</v>
      </c>
      <c r="B5" s="31">
        <v>4</v>
      </c>
      <c r="C5" s="31">
        <v>1</v>
      </c>
      <c r="D5" s="31">
        <f>B5*C5</f>
        <v>4</v>
      </c>
      <c r="E5" s="23">
        <v>1800</v>
      </c>
      <c r="F5" s="23">
        <f t="shared" ref="F5:F10" si="0">D5*E5</f>
        <v>7200</v>
      </c>
      <c r="G5" s="31">
        <f t="shared" ref="G5:G10" si="1">F5*0.05</f>
        <v>360</v>
      </c>
      <c r="H5" s="31">
        <f t="shared" ref="H5:H10" si="2">F5*0.1</f>
        <v>720</v>
      </c>
      <c r="I5" s="72">
        <f t="shared" ref="I5:I10" si="3">F5*F$2+G5*G$2+H5*H$2</f>
        <v>980928</v>
      </c>
      <c r="J5" s="25"/>
    </row>
    <row r="6" spans="1:16" s="48" customFormat="1" x14ac:dyDescent="0.35">
      <c r="A6" s="30" t="s">
        <v>46</v>
      </c>
      <c r="B6" s="31">
        <v>1</v>
      </c>
      <c r="C6" s="31">
        <v>1</v>
      </c>
      <c r="D6" s="31">
        <f t="shared" ref="D6:D10" si="4">B6*C6</f>
        <v>1</v>
      </c>
      <c r="E6" s="31">
        <v>0</v>
      </c>
      <c r="F6" s="31">
        <f t="shared" si="0"/>
        <v>0</v>
      </c>
      <c r="G6" s="31">
        <f t="shared" si="1"/>
        <v>0</v>
      </c>
      <c r="H6" s="31">
        <f t="shared" si="2"/>
        <v>0</v>
      </c>
      <c r="I6" s="72">
        <f t="shared" si="3"/>
        <v>0</v>
      </c>
    </row>
    <row r="7" spans="1:16" s="48" customFormat="1" x14ac:dyDescent="0.35">
      <c r="A7" s="30" t="s">
        <v>47</v>
      </c>
      <c r="B7" s="31">
        <v>1</v>
      </c>
      <c r="C7" s="31">
        <v>1</v>
      </c>
      <c r="D7" s="31">
        <f t="shared" si="4"/>
        <v>1</v>
      </c>
      <c r="E7" s="31">
        <v>0</v>
      </c>
      <c r="F7" s="31">
        <f t="shared" si="0"/>
        <v>0</v>
      </c>
      <c r="G7" s="31">
        <f t="shared" si="1"/>
        <v>0</v>
      </c>
      <c r="H7" s="31">
        <f t="shared" si="2"/>
        <v>0</v>
      </c>
      <c r="I7" s="72">
        <f t="shared" si="3"/>
        <v>0</v>
      </c>
    </row>
    <row r="8" spans="1:16" s="48" customFormat="1" x14ac:dyDescent="0.35">
      <c r="A8" s="30" t="s">
        <v>19</v>
      </c>
      <c r="B8" s="31">
        <v>1</v>
      </c>
      <c r="C8" s="31">
        <v>12</v>
      </c>
      <c r="D8" s="31">
        <f t="shared" si="4"/>
        <v>12</v>
      </c>
      <c r="E8" s="5">
        <v>1800</v>
      </c>
      <c r="F8" s="23">
        <f t="shared" si="0"/>
        <v>21600</v>
      </c>
      <c r="G8" s="23">
        <f t="shared" si="1"/>
        <v>1080</v>
      </c>
      <c r="H8" s="23">
        <f t="shared" si="2"/>
        <v>2160</v>
      </c>
      <c r="I8" s="72">
        <f t="shared" si="3"/>
        <v>2942784</v>
      </c>
      <c r="J8" s="86"/>
      <c r="M8" s="73"/>
    </row>
    <row r="9" spans="1:16" s="48" customFormat="1" x14ac:dyDescent="0.35">
      <c r="A9" s="30" t="s">
        <v>54</v>
      </c>
      <c r="B9" s="31">
        <v>0.1</v>
      </c>
      <c r="C9" s="31">
        <v>12</v>
      </c>
      <c r="D9" s="31">
        <f t="shared" si="4"/>
        <v>1.2000000000000002</v>
      </c>
      <c r="E9" s="5">
        <v>1800</v>
      </c>
      <c r="F9" s="23">
        <f t="shared" si="0"/>
        <v>2160.0000000000005</v>
      </c>
      <c r="G9" s="31">
        <f t="shared" si="1"/>
        <v>108.00000000000003</v>
      </c>
      <c r="H9" s="31">
        <f t="shared" si="2"/>
        <v>216.00000000000006</v>
      </c>
      <c r="I9" s="49">
        <f t="shared" si="3"/>
        <v>294278.40000000008</v>
      </c>
      <c r="J9" s="25"/>
      <c r="M9" s="73"/>
    </row>
    <row r="10" spans="1:16" s="48" customFormat="1" x14ac:dyDescent="0.35">
      <c r="A10" s="30" t="s">
        <v>55</v>
      </c>
      <c r="B10" s="31">
        <v>0.25</v>
      </c>
      <c r="C10" s="31">
        <v>2</v>
      </c>
      <c r="D10" s="31">
        <f t="shared" si="4"/>
        <v>0.5</v>
      </c>
      <c r="E10" s="5">
        <f>1800*0.02</f>
        <v>36</v>
      </c>
      <c r="F10" s="31">
        <f t="shared" si="0"/>
        <v>18</v>
      </c>
      <c r="G10" s="31">
        <f t="shared" si="1"/>
        <v>0.9</v>
      </c>
      <c r="H10" s="31">
        <f t="shared" si="2"/>
        <v>1.8</v>
      </c>
      <c r="I10" s="49">
        <f t="shared" si="3"/>
        <v>2452.3199999999997</v>
      </c>
      <c r="J10" s="25"/>
      <c r="M10" s="73"/>
    </row>
    <row r="11" spans="1:16" s="48" customFormat="1" x14ac:dyDescent="0.35">
      <c r="A11" s="36" t="s">
        <v>95</v>
      </c>
      <c r="B11" s="31"/>
      <c r="C11" s="31"/>
      <c r="D11" s="31"/>
      <c r="E11" s="87"/>
      <c r="F11" s="180">
        <f>SUM(F10:H10)</f>
        <v>20.7</v>
      </c>
      <c r="G11" s="181"/>
      <c r="H11" s="182"/>
      <c r="I11" s="72">
        <f>I10</f>
        <v>2452.3199999999997</v>
      </c>
      <c r="J11" s="25"/>
      <c r="K11" s="25"/>
      <c r="L11" s="25"/>
      <c r="M11" s="25"/>
      <c r="N11" s="25"/>
      <c r="O11" s="25"/>
      <c r="P11" s="25"/>
    </row>
    <row r="12" spans="1:16" s="48" customFormat="1" x14ac:dyDescent="0.35">
      <c r="A12" s="36" t="s">
        <v>96</v>
      </c>
      <c r="B12" s="31"/>
      <c r="C12" s="31"/>
      <c r="D12" s="31"/>
      <c r="E12" s="87"/>
      <c r="F12" s="177">
        <f>SUM(F5:H5, F8:H9)</f>
        <v>35604</v>
      </c>
      <c r="G12" s="183"/>
      <c r="H12" s="184"/>
      <c r="I12" s="72">
        <f>SUM(I5, I8:I9)</f>
        <v>4217990.4000000004</v>
      </c>
      <c r="K12" s="8"/>
      <c r="L12" s="8"/>
      <c r="M12" s="8"/>
      <c r="N12" s="8"/>
      <c r="O12" s="8"/>
    </row>
    <row r="13" spans="1:16" s="48" customFormat="1" x14ac:dyDescent="0.35">
      <c r="A13" s="38" t="s">
        <v>125</v>
      </c>
      <c r="B13" s="31"/>
      <c r="C13" s="31"/>
      <c r="D13" s="31"/>
      <c r="E13" s="87"/>
      <c r="F13" s="177">
        <f>ROUND(SUM(F5:H10),-2)</f>
        <v>35600</v>
      </c>
      <c r="G13" s="183"/>
      <c r="H13" s="184"/>
      <c r="I13" s="72">
        <f>ROUND(SUM(I5:I10),-4)</f>
        <v>4220000</v>
      </c>
      <c r="J13" s="25"/>
      <c r="K13" s="8"/>
      <c r="L13" s="8"/>
      <c r="M13" s="8"/>
      <c r="N13" s="8"/>
      <c r="O13" s="8"/>
    </row>
    <row r="14" spans="1:16" s="48" customFormat="1" x14ac:dyDescent="0.35">
      <c r="A14" s="40" t="s">
        <v>126</v>
      </c>
      <c r="B14" s="31"/>
      <c r="C14" s="31"/>
      <c r="D14" s="31"/>
      <c r="E14" s="87"/>
      <c r="F14" s="76"/>
      <c r="G14" s="88"/>
      <c r="H14" s="89"/>
      <c r="I14" s="72">
        <v>0</v>
      </c>
      <c r="J14" s="25"/>
      <c r="K14" s="8"/>
      <c r="L14" s="8"/>
      <c r="M14" s="8"/>
      <c r="N14" s="8"/>
      <c r="O14" s="8"/>
    </row>
    <row r="15" spans="1:16" s="48" customFormat="1" ht="17.25" customHeight="1" x14ac:dyDescent="0.35">
      <c r="A15" s="7" t="s">
        <v>119</v>
      </c>
      <c r="B15" s="90"/>
      <c r="C15" s="90"/>
      <c r="D15" s="90"/>
      <c r="E15" s="90"/>
      <c r="F15" s="185">
        <f>ROUND(SUM(F5:H10),-2)</f>
        <v>35600</v>
      </c>
      <c r="G15" s="186"/>
      <c r="H15" s="187"/>
      <c r="I15" s="39">
        <f>ROUND(SUM(I5:I10),-4)</f>
        <v>4220000</v>
      </c>
    </row>
    <row r="16" spans="1:16" x14ac:dyDescent="0.35">
      <c r="A16" s="43" t="s">
        <v>20</v>
      </c>
    </row>
    <row r="17" spans="1:10" ht="16.5" customHeight="1" x14ac:dyDescent="0.35">
      <c r="A17" s="175" t="s">
        <v>51</v>
      </c>
      <c r="B17" s="175"/>
      <c r="C17" s="175"/>
      <c r="D17" s="175"/>
      <c r="E17" s="175"/>
      <c r="F17" s="175"/>
      <c r="G17" s="175"/>
      <c r="H17" s="175"/>
      <c r="I17" s="175"/>
    </row>
    <row r="18" spans="1:10" x14ac:dyDescent="0.35">
      <c r="A18" s="175"/>
      <c r="B18" s="175"/>
      <c r="C18" s="175"/>
      <c r="D18" s="175"/>
      <c r="E18" s="175"/>
      <c r="F18" s="175"/>
      <c r="G18" s="175"/>
      <c r="H18" s="175"/>
      <c r="I18" s="175"/>
    </row>
    <row r="19" spans="1:10" ht="53.5" customHeight="1" x14ac:dyDescent="0.35">
      <c r="A19" s="189" t="s">
        <v>163</v>
      </c>
      <c r="B19" s="189"/>
      <c r="C19" s="189"/>
      <c r="D19" s="189"/>
      <c r="E19" s="189"/>
      <c r="F19" s="189"/>
      <c r="G19" s="189"/>
      <c r="H19" s="189"/>
      <c r="I19" s="189"/>
      <c r="J19" s="158"/>
    </row>
    <row r="20" spans="1:10" x14ac:dyDescent="0.35">
      <c r="A20" s="175" t="s">
        <v>150</v>
      </c>
      <c r="B20" s="175"/>
      <c r="C20" s="175"/>
      <c r="D20" s="175"/>
      <c r="E20" s="175"/>
      <c r="F20" s="175"/>
      <c r="G20" s="175"/>
      <c r="H20" s="175"/>
      <c r="I20" s="175"/>
    </row>
    <row r="21" spans="1:10" x14ac:dyDescent="0.35">
      <c r="A21" s="174" t="s">
        <v>53</v>
      </c>
      <c r="B21" s="174"/>
      <c r="C21" s="174"/>
      <c r="D21" s="174"/>
      <c r="E21" s="174"/>
      <c r="F21" s="174"/>
      <c r="G21" s="174"/>
      <c r="H21" s="174"/>
      <c r="I21" s="174"/>
    </row>
    <row r="22" spans="1:10" x14ac:dyDescent="0.35">
      <c r="A22" s="174" t="s">
        <v>52</v>
      </c>
      <c r="B22" s="174"/>
      <c r="C22" s="174"/>
      <c r="D22" s="174"/>
      <c r="E22" s="174"/>
      <c r="F22" s="174"/>
      <c r="G22" s="174"/>
      <c r="H22" s="174"/>
      <c r="I22" s="174"/>
    </row>
    <row r="23" spans="1:10" x14ac:dyDescent="0.35">
      <c r="A23" s="174"/>
      <c r="B23" s="174"/>
      <c r="C23" s="174"/>
      <c r="D23" s="174"/>
      <c r="E23" s="174"/>
      <c r="F23" s="174"/>
      <c r="G23" s="174"/>
      <c r="H23" s="174"/>
      <c r="I23" s="174"/>
    </row>
    <row r="24" spans="1:10" ht="16.5" x14ac:dyDescent="0.35">
      <c r="A24" s="190" t="s">
        <v>120</v>
      </c>
      <c r="B24" s="190"/>
      <c r="C24" s="190"/>
      <c r="D24" s="190"/>
      <c r="E24" s="190"/>
      <c r="F24" s="190"/>
      <c r="G24" s="190"/>
      <c r="H24" s="190"/>
      <c r="I24" s="190"/>
    </row>
    <row r="26" spans="1:10" s="51" customFormat="1" x14ac:dyDescent="0.35">
      <c r="A26" s="50"/>
    </row>
    <row r="27" spans="1:10" s="51" customFormat="1" x14ac:dyDescent="0.35">
      <c r="A27" s="188"/>
      <c r="B27" s="188"/>
      <c r="C27" s="188"/>
      <c r="D27" s="52"/>
      <c r="E27" s="52"/>
      <c r="F27" s="52"/>
      <c r="G27" s="52"/>
      <c r="H27" s="168"/>
      <c r="I27" s="52"/>
      <c r="J27" s="168"/>
    </row>
    <row r="28" spans="1:10" s="51" customFormat="1" x14ac:dyDescent="0.35">
      <c r="A28" s="188"/>
      <c r="B28" s="188"/>
      <c r="C28" s="188"/>
      <c r="D28" s="52"/>
      <c r="E28" s="52"/>
      <c r="F28" s="52"/>
      <c r="G28" s="52"/>
      <c r="H28" s="168"/>
      <c r="I28" s="52"/>
      <c r="J28" s="168"/>
    </row>
    <row r="29" spans="1:10" s="51" customFormat="1" x14ac:dyDescent="0.35">
      <c r="A29" s="188"/>
      <c r="B29" s="188"/>
      <c r="C29" s="188"/>
      <c r="D29" s="53"/>
      <c r="E29" s="53"/>
      <c r="F29" s="52"/>
      <c r="G29" s="53"/>
      <c r="H29" s="168"/>
      <c r="I29" s="53"/>
      <c r="J29" s="168"/>
    </row>
    <row r="30" spans="1:10" s="60" customFormat="1" x14ac:dyDescent="0.35">
      <c r="A30" s="79"/>
      <c r="B30" s="80"/>
      <c r="C30" s="80"/>
      <c r="D30" s="80"/>
      <c r="E30" s="80"/>
      <c r="F30" s="81"/>
      <c r="G30" s="82"/>
      <c r="H30" s="82"/>
      <c r="I30" s="80"/>
      <c r="J30" s="80"/>
    </row>
    <row r="31" spans="1:10" s="60" customFormat="1" x14ac:dyDescent="0.35">
      <c r="A31" s="57"/>
      <c r="B31" s="58"/>
      <c r="C31" s="58"/>
      <c r="D31" s="58"/>
      <c r="E31" s="58"/>
      <c r="F31" s="58"/>
      <c r="G31" s="59"/>
      <c r="H31" s="59"/>
      <c r="I31" s="59"/>
      <c r="J31" s="59"/>
    </row>
    <row r="32" spans="1:10" s="60" customFormat="1" x14ac:dyDescent="0.35">
      <c r="A32" s="57"/>
      <c r="B32" s="58"/>
      <c r="C32" s="58"/>
      <c r="D32" s="58"/>
      <c r="E32" s="58"/>
      <c r="F32" s="58"/>
      <c r="G32" s="59"/>
      <c r="H32" s="59"/>
      <c r="I32" s="59"/>
      <c r="J32" s="59"/>
    </row>
    <row r="33" spans="1:10" s="60" customFormat="1" x14ac:dyDescent="0.35">
      <c r="A33" s="57"/>
      <c r="B33" s="58"/>
      <c r="C33" s="58"/>
      <c r="D33" s="58"/>
      <c r="E33" s="58"/>
      <c r="F33" s="58"/>
      <c r="G33" s="59"/>
      <c r="H33" s="59"/>
      <c r="I33" s="59"/>
      <c r="J33" s="59"/>
    </row>
    <row r="34" spans="1:10" s="60" customFormat="1" x14ac:dyDescent="0.35">
      <c r="A34" s="57"/>
      <c r="B34" s="58"/>
      <c r="C34" s="58"/>
      <c r="D34" s="58"/>
      <c r="E34" s="58"/>
      <c r="F34" s="58"/>
      <c r="G34" s="59"/>
      <c r="H34" s="59"/>
      <c r="I34" s="59"/>
      <c r="J34" s="59"/>
    </row>
    <row r="35" spans="1:10" s="60" customFormat="1" x14ac:dyDescent="0.35">
      <c r="A35" s="57"/>
      <c r="B35" s="58"/>
      <c r="C35" s="58"/>
      <c r="D35" s="58"/>
      <c r="E35" s="63"/>
      <c r="F35" s="63"/>
      <c r="G35" s="83"/>
      <c r="H35" s="59"/>
      <c r="I35" s="83"/>
      <c r="J35" s="83"/>
    </row>
    <row r="36" spans="1:10" s="60" customFormat="1" x14ac:dyDescent="0.35">
      <c r="A36" s="57"/>
      <c r="B36" s="58"/>
      <c r="C36" s="58"/>
      <c r="D36" s="58"/>
      <c r="E36" s="63"/>
      <c r="F36" s="63"/>
      <c r="G36" s="83"/>
      <c r="H36" s="93"/>
      <c r="I36" s="83"/>
      <c r="J36" s="83"/>
    </row>
    <row r="37" spans="1:10" s="60" customFormat="1" x14ac:dyDescent="0.35">
      <c r="A37" s="57"/>
      <c r="B37" s="58"/>
      <c r="C37" s="58"/>
      <c r="D37" s="58"/>
      <c r="E37" s="63"/>
      <c r="F37" s="58"/>
      <c r="G37" s="83"/>
      <c r="H37" s="59"/>
      <c r="I37" s="83"/>
      <c r="J37" s="83"/>
    </row>
    <row r="38" spans="1:10" s="60" customFormat="1" x14ac:dyDescent="0.35">
      <c r="A38" s="57"/>
      <c r="B38" s="58"/>
      <c r="C38" s="58"/>
      <c r="D38" s="58"/>
      <c r="E38" s="63"/>
      <c r="F38" s="63"/>
      <c r="G38" s="83"/>
      <c r="H38" s="93"/>
      <c r="I38" s="83"/>
      <c r="J38" s="83"/>
    </row>
    <row r="39" spans="1:10" s="60" customFormat="1" x14ac:dyDescent="0.35">
      <c r="A39" s="57"/>
      <c r="B39" s="94"/>
      <c r="C39" s="94"/>
      <c r="D39" s="94"/>
      <c r="E39" s="94"/>
      <c r="F39" s="63"/>
      <c r="G39" s="83"/>
      <c r="H39" s="59"/>
      <c r="I39" s="83"/>
      <c r="J39" s="83"/>
    </row>
    <row r="40" spans="1:10" s="51" customFormat="1" x14ac:dyDescent="0.35"/>
    <row r="41" spans="1:10" s="51" customFormat="1" x14ac:dyDescent="0.35"/>
    <row r="42" spans="1:10" s="51" customFormat="1" x14ac:dyDescent="0.35">
      <c r="A42" s="64"/>
    </row>
    <row r="43" spans="1:10" s="51" customFormat="1" x14ac:dyDescent="0.35">
      <c r="A43" s="95"/>
    </row>
    <row r="44" spans="1:10" s="51" customFormat="1" x14ac:dyDescent="0.35">
      <c r="A44" s="95"/>
    </row>
    <row r="45" spans="1:10" s="51" customFormat="1" x14ac:dyDescent="0.35">
      <c r="A45" s="95"/>
    </row>
    <row r="46" spans="1:10" s="51" customFormat="1" x14ac:dyDescent="0.35"/>
    <row r="47" spans="1:10" ht="15.5" x14ac:dyDescent="0.35">
      <c r="A47" s="92"/>
    </row>
  </sheetData>
  <mergeCells count="15">
    <mergeCell ref="F11:H11"/>
    <mergeCell ref="F12:H12"/>
    <mergeCell ref="J27:J29"/>
    <mergeCell ref="F15:H15"/>
    <mergeCell ref="A27:A29"/>
    <mergeCell ref="B27:B29"/>
    <mergeCell ref="C27:C29"/>
    <mergeCell ref="H27:H29"/>
    <mergeCell ref="F13:H13"/>
    <mergeCell ref="A17:I18"/>
    <mergeCell ref="A22:I23"/>
    <mergeCell ref="A19:I19"/>
    <mergeCell ref="A20:I20"/>
    <mergeCell ref="A21:I21"/>
    <mergeCell ref="A24: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zoomScale="94" zoomScaleNormal="94" workbookViewId="0">
      <selection activeCell="A2" sqref="A2:XFD2"/>
    </sheetView>
  </sheetViews>
  <sheetFormatPr defaultColWidth="9.1796875" defaultRowHeight="14.5" x14ac:dyDescent="0.35"/>
  <cols>
    <col min="1" max="1" width="35.54296875" style="8" customWidth="1"/>
    <col min="2" max="8" width="9.1796875" style="8"/>
    <col min="9" max="9" width="13.453125" style="8" customWidth="1"/>
    <col min="10" max="16384" width="9.1796875" style="8"/>
  </cols>
  <sheetData>
    <row r="1" spans="1:16" ht="15" x14ac:dyDescent="0.35">
      <c r="A1" s="68" t="s">
        <v>102</v>
      </c>
    </row>
    <row r="2" spans="1:16" s="139" customFormat="1" x14ac:dyDescent="0.35">
      <c r="D2" s="139" t="s">
        <v>159</v>
      </c>
      <c r="F2" s="139">
        <v>122.66</v>
      </c>
      <c r="G2" s="139">
        <v>149.84</v>
      </c>
      <c r="H2" s="139">
        <v>60.88</v>
      </c>
    </row>
    <row r="3" spans="1:16" ht="78" x14ac:dyDescent="0.35">
      <c r="A3" s="26" t="s">
        <v>6</v>
      </c>
      <c r="B3" s="26" t="s">
        <v>7</v>
      </c>
      <c r="C3" s="26" t="s">
        <v>8</v>
      </c>
      <c r="D3" s="26" t="s">
        <v>9</v>
      </c>
      <c r="E3" s="26" t="s">
        <v>58</v>
      </c>
      <c r="F3" s="26" t="s">
        <v>10</v>
      </c>
      <c r="G3" s="26" t="s">
        <v>11</v>
      </c>
      <c r="H3" s="26" t="s">
        <v>12</v>
      </c>
      <c r="I3" s="26" t="s">
        <v>59</v>
      </c>
    </row>
    <row r="4" spans="1:16" x14ac:dyDescent="0.35">
      <c r="A4" s="27" t="s">
        <v>21</v>
      </c>
      <c r="B4" s="69"/>
      <c r="C4" s="69"/>
      <c r="D4" s="69"/>
      <c r="E4" s="69"/>
      <c r="F4" s="29"/>
      <c r="G4" s="70"/>
      <c r="H4" s="69"/>
      <c r="I4" s="69"/>
    </row>
    <row r="5" spans="1:16" s="97" customFormat="1" ht="21" x14ac:dyDescent="0.35">
      <c r="A5" s="119" t="s">
        <v>156</v>
      </c>
      <c r="B5" s="96">
        <v>2</v>
      </c>
      <c r="C5" s="96">
        <v>1</v>
      </c>
      <c r="D5" s="96">
        <f t="shared" ref="D5:D11" si="0">B5*C5</f>
        <v>2</v>
      </c>
      <c r="E5" s="163">
        <f>5900*0.25</f>
        <v>1475</v>
      </c>
      <c r="F5" s="163">
        <f t="shared" ref="F5:F11" si="1">D5*E5</f>
        <v>2950</v>
      </c>
      <c r="G5" s="96">
        <f t="shared" ref="G5:G11" si="2">F5*0.05</f>
        <v>147.5</v>
      </c>
      <c r="H5" s="96">
        <f t="shared" ref="H5:H11" si="3">F5*0.1</f>
        <v>295</v>
      </c>
      <c r="I5" s="165">
        <f t="shared" ref="I5:I11" si="4">F5*F$2+G5*G$2+H5*H$2</f>
        <v>401908</v>
      </c>
      <c r="J5" s="25"/>
    </row>
    <row r="6" spans="1:16" ht="21" x14ac:dyDescent="0.35">
      <c r="A6" s="119" t="s">
        <v>157</v>
      </c>
      <c r="B6" s="31">
        <v>2</v>
      </c>
      <c r="C6" s="31">
        <v>1</v>
      </c>
      <c r="D6" s="31">
        <f t="shared" si="0"/>
        <v>2</v>
      </c>
      <c r="E6" s="23">
        <f>5900*0.75</f>
        <v>4425</v>
      </c>
      <c r="F6" s="23">
        <f t="shared" si="1"/>
        <v>8850</v>
      </c>
      <c r="G6" s="31">
        <f t="shared" si="2"/>
        <v>442.5</v>
      </c>
      <c r="H6" s="31">
        <f t="shared" si="3"/>
        <v>885</v>
      </c>
      <c r="I6" s="72">
        <f t="shared" si="4"/>
        <v>1205724</v>
      </c>
      <c r="J6" s="25"/>
      <c r="K6" s="98"/>
      <c r="L6" s="98"/>
      <c r="M6" s="98"/>
      <c r="N6" s="98"/>
      <c r="O6" s="98"/>
    </row>
    <row r="7" spans="1:16" x14ac:dyDescent="0.35">
      <c r="A7" s="30" t="s">
        <v>60</v>
      </c>
      <c r="B7" s="31">
        <v>2</v>
      </c>
      <c r="C7" s="31">
        <v>1</v>
      </c>
      <c r="D7" s="31">
        <f t="shared" si="0"/>
        <v>2</v>
      </c>
      <c r="E7" s="31">
        <v>0</v>
      </c>
      <c r="F7" s="31">
        <f t="shared" si="1"/>
        <v>0</v>
      </c>
      <c r="G7" s="31">
        <f t="shared" si="2"/>
        <v>0</v>
      </c>
      <c r="H7" s="31">
        <f t="shared" si="3"/>
        <v>0</v>
      </c>
      <c r="I7" s="72">
        <f t="shared" si="4"/>
        <v>0</v>
      </c>
    </row>
    <row r="8" spans="1:16" x14ac:dyDescent="0.35">
      <c r="A8" s="30" t="s">
        <v>61</v>
      </c>
      <c r="B8" s="31">
        <v>1</v>
      </c>
      <c r="C8" s="31">
        <v>1</v>
      </c>
      <c r="D8" s="31">
        <f t="shared" si="0"/>
        <v>1</v>
      </c>
      <c r="E8" s="31">
        <v>0</v>
      </c>
      <c r="F8" s="31">
        <f t="shared" si="1"/>
        <v>0</v>
      </c>
      <c r="G8" s="31">
        <f t="shared" si="2"/>
        <v>0</v>
      </c>
      <c r="H8" s="31">
        <f t="shared" si="3"/>
        <v>0</v>
      </c>
      <c r="I8" s="72">
        <f t="shared" si="4"/>
        <v>0</v>
      </c>
    </row>
    <row r="9" spans="1:16" x14ac:dyDescent="0.35">
      <c r="A9" s="30" t="s">
        <v>49</v>
      </c>
      <c r="B9" s="31">
        <v>0.25</v>
      </c>
      <c r="C9" s="31">
        <v>12</v>
      </c>
      <c r="D9" s="31">
        <f t="shared" si="0"/>
        <v>3</v>
      </c>
      <c r="E9" s="5">
        <v>5900</v>
      </c>
      <c r="F9" s="23">
        <f t="shared" si="1"/>
        <v>17700</v>
      </c>
      <c r="G9" s="31">
        <f t="shared" si="2"/>
        <v>885</v>
      </c>
      <c r="H9" s="23">
        <f t="shared" si="3"/>
        <v>1770</v>
      </c>
      <c r="I9" s="72">
        <f t="shared" si="4"/>
        <v>2411448</v>
      </c>
      <c r="J9" s="25"/>
      <c r="L9" s="34"/>
    </row>
    <row r="10" spans="1:16" x14ac:dyDescent="0.35">
      <c r="A10" s="30" t="s">
        <v>63</v>
      </c>
      <c r="B10" s="31">
        <v>0.1</v>
      </c>
      <c r="C10" s="31">
        <v>12</v>
      </c>
      <c r="D10" s="31">
        <f t="shared" si="0"/>
        <v>1.2000000000000002</v>
      </c>
      <c r="E10" s="5">
        <v>5900</v>
      </c>
      <c r="F10" s="23">
        <f t="shared" si="1"/>
        <v>7080.0000000000009</v>
      </c>
      <c r="G10" s="31">
        <f t="shared" si="2"/>
        <v>354.00000000000006</v>
      </c>
      <c r="H10" s="31">
        <f t="shared" si="3"/>
        <v>708.00000000000011</v>
      </c>
      <c r="I10" s="49">
        <f t="shared" si="4"/>
        <v>964579.20000000007</v>
      </c>
      <c r="J10" s="25"/>
      <c r="L10" s="34"/>
    </row>
    <row r="11" spans="1:16" x14ac:dyDescent="0.35">
      <c r="A11" s="30" t="s">
        <v>62</v>
      </c>
      <c r="B11" s="31">
        <v>1</v>
      </c>
      <c r="C11" s="31">
        <v>2</v>
      </c>
      <c r="D11" s="31">
        <f t="shared" si="0"/>
        <v>2</v>
      </c>
      <c r="E11" s="31">
        <f>5900*0.02</f>
        <v>118</v>
      </c>
      <c r="F11" s="31">
        <f t="shared" si="1"/>
        <v>236</v>
      </c>
      <c r="G11" s="31">
        <f t="shared" si="2"/>
        <v>11.8</v>
      </c>
      <c r="H11" s="31">
        <f t="shared" si="3"/>
        <v>23.6</v>
      </c>
      <c r="I11" s="49">
        <f t="shared" si="4"/>
        <v>32152.639999999999</v>
      </c>
      <c r="J11" s="25"/>
      <c r="L11" s="34"/>
    </row>
    <row r="12" spans="1:16" x14ac:dyDescent="0.35">
      <c r="A12" s="36" t="s">
        <v>93</v>
      </c>
      <c r="B12" s="31"/>
      <c r="C12" s="31"/>
      <c r="D12" s="31"/>
      <c r="E12" s="31"/>
      <c r="F12" s="180">
        <f>SUM(F11:H11)</f>
        <v>271.40000000000003</v>
      </c>
      <c r="G12" s="181"/>
      <c r="H12" s="182"/>
      <c r="I12" s="72">
        <f>I11</f>
        <v>32152.639999999999</v>
      </c>
      <c r="J12" s="25"/>
      <c r="L12" s="34"/>
    </row>
    <row r="13" spans="1:16" x14ac:dyDescent="0.35">
      <c r="A13" s="36" t="s">
        <v>97</v>
      </c>
      <c r="B13" s="31"/>
      <c r="C13" s="31"/>
      <c r="D13" s="31"/>
      <c r="E13" s="31"/>
      <c r="F13" s="177">
        <f>SUM(F5:H6,F9:H10)</f>
        <v>42067</v>
      </c>
      <c r="G13" s="183"/>
      <c r="H13" s="184"/>
      <c r="I13" s="72">
        <f>SUM(I5:I6,I9:I10)</f>
        <v>4983659.2</v>
      </c>
      <c r="J13" s="25"/>
      <c r="L13" s="34"/>
    </row>
    <row r="14" spans="1:16" x14ac:dyDescent="0.35">
      <c r="A14" s="38" t="s">
        <v>125</v>
      </c>
      <c r="B14" s="31"/>
      <c r="C14" s="31"/>
      <c r="D14" s="31"/>
      <c r="E14" s="31"/>
      <c r="F14" s="177">
        <f>ROUND(SUM(F5:H11),-2)</f>
        <v>42300</v>
      </c>
      <c r="G14" s="183"/>
      <c r="H14" s="184"/>
      <c r="I14" s="72">
        <f>ROUND(SUM(I5:I11),-4)</f>
        <v>5020000</v>
      </c>
      <c r="J14" s="25"/>
      <c r="P14" s="48"/>
    </row>
    <row r="15" spans="1:16" x14ac:dyDescent="0.35">
      <c r="A15" s="40" t="s">
        <v>126</v>
      </c>
      <c r="B15" s="31"/>
      <c r="C15" s="31"/>
      <c r="D15" s="31"/>
      <c r="E15" s="31"/>
      <c r="F15" s="76"/>
      <c r="G15" s="88"/>
      <c r="H15" s="89"/>
      <c r="I15" s="72">
        <v>0</v>
      </c>
      <c r="J15" s="25"/>
      <c r="P15" s="48"/>
    </row>
    <row r="16" spans="1:16" x14ac:dyDescent="0.35">
      <c r="A16" s="7" t="s">
        <v>119</v>
      </c>
      <c r="B16" s="90"/>
      <c r="C16" s="90"/>
      <c r="D16" s="90"/>
      <c r="E16" s="90"/>
      <c r="F16" s="185">
        <f>ROUND(SUM(F5:H11),-2)</f>
        <v>42300</v>
      </c>
      <c r="G16" s="186"/>
      <c r="H16" s="187"/>
      <c r="I16" s="39">
        <f>ROUND(SUM(I5:I11),-4)</f>
        <v>5020000</v>
      </c>
      <c r="L16" s="34"/>
    </row>
    <row r="18" spans="1:11" x14ac:dyDescent="0.35">
      <c r="A18" s="43" t="s">
        <v>22</v>
      </c>
    </row>
    <row r="19" spans="1:11" ht="28.5" customHeight="1" x14ac:dyDescent="0.35">
      <c r="A19" s="175" t="s">
        <v>57</v>
      </c>
      <c r="B19" s="175"/>
      <c r="C19" s="175"/>
      <c r="D19" s="175"/>
      <c r="E19" s="175"/>
      <c r="F19" s="175"/>
      <c r="G19" s="175"/>
      <c r="H19" s="175"/>
      <c r="I19" s="175"/>
    </row>
    <row r="20" spans="1:11" ht="73.5" customHeight="1" x14ac:dyDescent="0.35">
      <c r="A20" s="189" t="s">
        <v>163</v>
      </c>
      <c r="B20" s="189"/>
      <c r="C20" s="189"/>
      <c r="D20" s="189"/>
      <c r="E20" s="189"/>
      <c r="F20" s="189"/>
      <c r="G20" s="189"/>
      <c r="H20" s="189"/>
      <c r="I20" s="189"/>
      <c r="J20" s="158"/>
      <c r="K20" s="158"/>
    </row>
    <row r="21" spans="1:11" ht="29.25" customHeight="1" x14ac:dyDescent="0.35">
      <c r="A21" s="175" t="s">
        <v>152</v>
      </c>
      <c r="B21" s="175"/>
      <c r="C21" s="175"/>
      <c r="D21" s="175"/>
      <c r="E21" s="175"/>
      <c r="F21" s="175"/>
      <c r="G21" s="175"/>
      <c r="H21" s="175"/>
      <c r="I21" s="175"/>
      <c r="J21" s="159"/>
      <c r="K21" s="159"/>
    </row>
    <row r="22" spans="1:11" x14ac:dyDescent="0.35">
      <c r="A22" s="174" t="s">
        <v>53</v>
      </c>
      <c r="B22" s="174"/>
      <c r="C22" s="174"/>
      <c r="D22" s="174"/>
      <c r="E22" s="174"/>
      <c r="F22" s="174"/>
      <c r="G22" s="174"/>
      <c r="H22" s="174"/>
      <c r="I22" s="174"/>
    </row>
    <row r="23" spans="1:11" ht="27" customHeight="1" x14ac:dyDescent="0.35">
      <c r="A23" s="174" t="s">
        <v>56</v>
      </c>
      <c r="B23" s="174"/>
      <c r="C23" s="174"/>
      <c r="D23" s="174"/>
      <c r="E23" s="174"/>
      <c r="F23" s="174"/>
      <c r="G23" s="174"/>
      <c r="H23" s="174"/>
      <c r="I23" s="174"/>
    </row>
    <row r="24" spans="1:11" ht="16.5" x14ac:dyDescent="0.35">
      <c r="A24" s="190" t="s">
        <v>120</v>
      </c>
      <c r="B24" s="190"/>
      <c r="C24" s="190"/>
      <c r="D24" s="190"/>
      <c r="E24" s="190"/>
      <c r="F24" s="190"/>
      <c r="G24" s="190"/>
      <c r="H24" s="190"/>
      <c r="I24" s="190"/>
    </row>
    <row r="25" spans="1:11" s="51" customFormat="1" x14ac:dyDescent="0.35">
      <c r="A25" s="50"/>
    </row>
    <row r="26" spans="1:11" s="99" customFormat="1" x14ac:dyDescent="0.35">
      <c r="A26" s="168"/>
      <c r="B26" s="168"/>
      <c r="C26" s="168"/>
      <c r="D26" s="168"/>
      <c r="E26" s="52"/>
      <c r="F26" s="52"/>
      <c r="G26" s="52"/>
      <c r="H26" s="52"/>
      <c r="I26" s="52"/>
      <c r="J26" s="168"/>
    </row>
    <row r="27" spans="1:11" s="99" customFormat="1" x14ac:dyDescent="0.35">
      <c r="A27" s="168"/>
      <c r="B27" s="168"/>
      <c r="C27" s="168"/>
      <c r="D27" s="168"/>
      <c r="E27" s="52"/>
      <c r="F27" s="52"/>
      <c r="G27" s="52"/>
      <c r="H27" s="52"/>
      <c r="I27" s="52"/>
      <c r="J27" s="168"/>
    </row>
    <row r="28" spans="1:11" s="99" customFormat="1" x14ac:dyDescent="0.35">
      <c r="A28" s="168"/>
      <c r="B28" s="168"/>
      <c r="C28" s="168"/>
      <c r="D28" s="168"/>
      <c r="E28" s="53"/>
      <c r="F28" s="52"/>
      <c r="G28" s="53"/>
      <c r="H28" s="53"/>
      <c r="I28" s="53"/>
      <c r="J28" s="168"/>
    </row>
    <row r="29" spans="1:11" s="51" customFormat="1" x14ac:dyDescent="0.35">
      <c r="A29" s="79"/>
      <c r="B29" s="80"/>
      <c r="C29" s="80"/>
      <c r="D29" s="80"/>
      <c r="E29" s="80"/>
      <c r="F29" s="81"/>
      <c r="G29" s="82"/>
      <c r="H29" s="82"/>
      <c r="I29" s="80"/>
      <c r="J29" s="80"/>
    </row>
    <row r="30" spans="1:11" s="51" customFormat="1" x14ac:dyDescent="0.35">
      <c r="A30" s="57"/>
      <c r="B30" s="100"/>
      <c r="C30" s="100"/>
      <c r="D30" s="100"/>
      <c r="E30" s="58"/>
      <c r="F30" s="58"/>
      <c r="G30" s="59"/>
      <c r="H30" s="59"/>
      <c r="I30" s="59"/>
      <c r="J30" s="59"/>
    </row>
    <row r="31" spans="1:11" s="51" customFormat="1" x14ac:dyDescent="0.35">
      <c r="A31" s="57"/>
      <c r="B31" s="100"/>
      <c r="C31" s="100"/>
      <c r="D31" s="100"/>
      <c r="E31" s="58"/>
      <c r="F31" s="58"/>
      <c r="G31" s="59"/>
      <c r="H31" s="59"/>
      <c r="I31" s="59"/>
      <c r="J31" s="59"/>
    </row>
    <row r="32" spans="1:11" s="51" customFormat="1" x14ac:dyDescent="0.35">
      <c r="A32" s="57"/>
      <c r="B32" s="100"/>
      <c r="C32" s="100"/>
      <c r="D32" s="100"/>
      <c r="E32" s="58"/>
      <c r="F32" s="58"/>
      <c r="G32" s="59"/>
      <c r="H32" s="59"/>
      <c r="I32" s="59"/>
      <c r="J32" s="59"/>
    </row>
    <row r="33" spans="1:10" s="51" customFormat="1" x14ac:dyDescent="0.35">
      <c r="A33" s="57"/>
      <c r="B33" s="100"/>
      <c r="C33" s="100"/>
      <c r="D33" s="100"/>
      <c r="E33" s="58"/>
      <c r="F33" s="58"/>
      <c r="G33" s="59"/>
      <c r="H33" s="59"/>
      <c r="I33" s="59"/>
      <c r="J33" s="59"/>
    </row>
    <row r="34" spans="1:10" s="51" customFormat="1" x14ac:dyDescent="0.35">
      <c r="A34" s="57"/>
      <c r="B34" s="100"/>
      <c r="C34" s="100"/>
      <c r="D34" s="100"/>
      <c r="E34" s="58"/>
      <c r="F34" s="58"/>
      <c r="G34" s="59"/>
      <c r="H34" s="59"/>
      <c r="I34" s="59"/>
      <c r="J34" s="59"/>
    </row>
    <row r="35" spans="1:10" s="51" customFormat="1" x14ac:dyDescent="0.35">
      <c r="A35" s="57"/>
      <c r="B35" s="100"/>
      <c r="C35" s="100"/>
      <c r="D35" s="100"/>
      <c r="E35" s="63"/>
      <c r="F35" s="101"/>
      <c r="G35" s="83"/>
      <c r="H35" s="83"/>
      <c r="I35" s="83"/>
      <c r="J35" s="83"/>
    </row>
    <row r="36" spans="1:10" s="51" customFormat="1" x14ac:dyDescent="0.35">
      <c r="A36" s="57"/>
      <c r="B36" s="100"/>
      <c r="C36" s="100"/>
      <c r="D36" s="100"/>
      <c r="E36" s="63"/>
      <c r="F36" s="101"/>
      <c r="G36" s="83"/>
      <c r="H36" s="83"/>
      <c r="I36" s="102"/>
      <c r="J36" s="83"/>
    </row>
    <row r="37" spans="1:10" s="51" customFormat="1" x14ac:dyDescent="0.35">
      <c r="A37" s="57"/>
      <c r="B37" s="100"/>
      <c r="C37" s="100"/>
      <c r="D37" s="100"/>
      <c r="E37" s="100"/>
      <c r="F37" s="58"/>
      <c r="G37" s="103"/>
      <c r="H37" s="59"/>
      <c r="I37" s="83"/>
      <c r="J37" s="83"/>
    </row>
    <row r="38" spans="1:10" s="51" customFormat="1" x14ac:dyDescent="0.35">
      <c r="A38" s="57"/>
      <c r="B38" s="100"/>
      <c r="C38" s="100"/>
      <c r="D38" s="100"/>
      <c r="E38" s="100"/>
      <c r="F38" s="101"/>
      <c r="G38" s="83"/>
      <c r="H38" s="83"/>
      <c r="I38" s="102"/>
      <c r="J38" s="83"/>
    </row>
    <row r="39" spans="1:10" s="51" customFormat="1" x14ac:dyDescent="0.35">
      <c r="A39" s="57"/>
      <c r="B39" s="94"/>
      <c r="C39" s="94"/>
      <c r="D39" s="94"/>
      <c r="E39" s="94"/>
      <c r="F39" s="101"/>
      <c r="G39" s="59"/>
      <c r="H39" s="59"/>
      <c r="I39" s="94"/>
      <c r="J39" s="83"/>
    </row>
    <row r="42" spans="1:10" x14ac:dyDescent="0.35">
      <c r="A42" s="43"/>
    </row>
    <row r="43" spans="1:10" x14ac:dyDescent="0.35">
      <c r="A43" s="91"/>
    </row>
    <row r="44" spans="1:10" x14ac:dyDescent="0.35">
      <c r="A44" s="91"/>
    </row>
    <row r="45" spans="1:10" x14ac:dyDescent="0.35">
      <c r="A45" s="91"/>
    </row>
    <row r="47" spans="1:10" ht="15.5" x14ac:dyDescent="0.35">
      <c r="A47" s="92"/>
    </row>
  </sheetData>
  <mergeCells count="15">
    <mergeCell ref="F12:H12"/>
    <mergeCell ref="F13:H13"/>
    <mergeCell ref="J26:J28"/>
    <mergeCell ref="F16:H16"/>
    <mergeCell ref="A26:A28"/>
    <mergeCell ref="B26:B28"/>
    <mergeCell ref="C26:C28"/>
    <mergeCell ref="D26:D28"/>
    <mergeCell ref="F14:H14"/>
    <mergeCell ref="A19:I19"/>
    <mergeCell ref="A20:I20"/>
    <mergeCell ref="A21:I21"/>
    <mergeCell ref="A23:I23"/>
    <mergeCell ref="A22:I22"/>
    <mergeCell ref="A24:I2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zoomScale="94" zoomScaleNormal="94" workbookViewId="0">
      <selection activeCell="A2" sqref="A2:XFD2"/>
    </sheetView>
  </sheetViews>
  <sheetFormatPr defaultColWidth="9.1796875" defaultRowHeight="14.5" x14ac:dyDescent="0.35"/>
  <cols>
    <col min="1" max="1" width="36.1796875" style="8" customWidth="1"/>
    <col min="2" max="4" width="9.1796875" style="8"/>
    <col min="5" max="5" width="11.54296875" style="8" customWidth="1"/>
    <col min="6" max="6" width="9.1796875" style="8"/>
    <col min="7" max="7" width="11.26953125" style="8" customWidth="1"/>
    <col min="8" max="8" width="9.1796875" style="8"/>
    <col min="9" max="9" width="13.26953125" style="8" customWidth="1"/>
    <col min="10" max="10" width="12.453125" style="8" customWidth="1"/>
    <col min="11" max="16384" width="9.1796875" style="8"/>
  </cols>
  <sheetData>
    <row r="1" spans="1:11" ht="15" x14ac:dyDescent="0.35">
      <c r="A1" s="68" t="s">
        <v>103</v>
      </c>
    </row>
    <row r="2" spans="1:11" s="139" customFormat="1" x14ac:dyDescent="0.35">
      <c r="D2" s="139" t="s">
        <v>159</v>
      </c>
      <c r="F2" s="139">
        <v>122.66</v>
      </c>
      <c r="G2" s="139">
        <v>149.84</v>
      </c>
      <c r="H2" s="139">
        <v>60.88</v>
      </c>
    </row>
    <row r="3" spans="1:11" ht="78" x14ac:dyDescent="0.35">
      <c r="A3" s="26" t="s">
        <v>6</v>
      </c>
      <c r="B3" s="26" t="s">
        <v>7</v>
      </c>
      <c r="C3" s="26" t="s">
        <v>8</v>
      </c>
      <c r="D3" s="26" t="s">
        <v>9</v>
      </c>
      <c r="E3" s="26" t="s">
        <v>64</v>
      </c>
      <c r="F3" s="26" t="s">
        <v>10</v>
      </c>
      <c r="G3" s="26" t="s">
        <v>11</v>
      </c>
      <c r="H3" s="26" t="s">
        <v>12</v>
      </c>
      <c r="I3" s="26" t="s">
        <v>25</v>
      </c>
    </row>
    <row r="4" spans="1:11" x14ac:dyDescent="0.35">
      <c r="A4" s="27" t="s">
        <v>23</v>
      </c>
      <c r="B4" s="69"/>
      <c r="C4" s="69"/>
      <c r="D4" s="69"/>
      <c r="E4" s="69"/>
      <c r="F4" s="29"/>
      <c r="G4" s="70"/>
      <c r="H4" s="69"/>
      <c r="I4" s="69"/>
    </row>
    <row r="5" spans="1:11" ht="21" x14ac:dyDescent="0.35">
      <c r="A5" s="119" t="s">
        <v>154</v>
      </c>
      <c r="B5" s="31">
        <v>0.5</v>
      </c>
      <c r="C5" s="31">
        <v>1</v>
      </c>
      <c r="D5" s="31">
        <f t="shared" ref="D5:D10" si="0">B5*C5</f>
        <v>0.5</v>
      </c>
      <c r="E5" s="23">
        <v>9860</v>
      </c>
      <c r="F5" s="23">
        <f t="shared" ref="F5:F10" si="1">D5*E5</f>
        <v>4930</v>
      </c>
      <c r="G5" s="31">
        <f>F5*0.05</f>
        <v>246.5</v>
      </c>
      <c r="H5" s="31">
        <f>F5*0.1</f>
        <v>493</v>
      </c>
      <c r="I5" s="49">
        <f>F5*F$2+G5*G$2+H5*H$2</f>
        <v>671663.19999999984</v>
      </c>
      <c r="J5" s="25"/>
    </row>
    <row r="6" spans="1:11" ht="21" x14ac:dyDescent="0.35">
      <c r="A6" s="119" t="s">
        <v>155</v>
      </c>
      <c r="B6" s="31">
        <v>0.25</v>
      </c>
      <c r="C6" s="31">
        <v>0.33</v>
      </c>
      <c r="D6" s="104">
        <f t="shared" si="0"/>
        <v>8.2500000000000004E-2</v>
      </c>
      <c r="E6" s="23">
        <v>0</v>
      </c>
      <c r="F6" s="105">
        <f t="shared" si="1"/>
        <v>0</v>
      </c>
      <c r="G6" s="106">
        <f t="shared" ref="G6:G10" si="2">F6*0.05</f>
        <v>0</v>
      </c>
      <c r="H6" s="106">
        <f t="shared" ref="H6:H10" si="3">F6*0.1</f>
        <v>0</v>
      </c>
      <c r="I6" s="72">
        <f t="shared" ref="I6:I10" si="4">F6*F$2+G6*G$2+H6*H$2</f>
        <v>0</v>
      </c>
      <c r="J6" s="25"/>
    </row>
    <row r="7" spans="1:11" x14ac:dyDescent="0.35">
      <c r="A7" s="30" t="s">
        <v>130</v>
      </c>
      <c r="B7" s="31">
        <v>6</v>
      </c>
      <c r="C7" s="31">
        <v>1</v>
      </c>
      <c r="D7" s="31">
        <f t="shared" si="0"/>
        <v>6</v>
      </c>
      <c r="E7" s="31">
        <v>0</v>
      </c>
      <c r="F7" s="107">
        <f t="shared" si="1"/>
        <v>0</v>
      </c>
      <c r="G7" s="107">
        <f t="shared" si="2"/>
        <v>0</v>
      </c>
      <c r="H7" s="107">
        <f t="shared" si="3"/>
        <v>0</v>
      </c>
      <c r="I7" s="72">
        <f t="shared" si="4"/>
        <v>0</v>
      </c>
    </row>
    <row r="8" spans="1:11" x14ac:dyDescent="0.35">
      <c r="A8" s="30" t="s">
        <v>65</v>
      </c>
      <c r="B8" s="31">
        <v>1</v>
      </c>
      <c r="C8" s="31">
        <v>1</v>
      </c>
      <c r="D8" s="31">
        <f t="shared" si="0"/>
        <v>1</v>
      </c>
      <c r="E8" s="31">
        <v>0</v>
      </c>
      <c r="F8" s="107">
        <f t="shared" si="1"/>
        <v>0</v>
      </c>
      <c r="G8" s="107">
        <f t="shared" si="2"/>
        <v>0</v>
      </c>
      <c r="H8" s="107">
        <f t="shared" si="3"/>
        <v>0</v>
      </c>
      <c r="I8" s="72">
        <f t="shared" si="4"/>
        <v>0</v>
      </c>
    </row>
    <row r="9" spans="1:11" x14ac:dyDescent="0.35">
      <c r="A9" s="30" t="s">
        <v>61</v>
      </c>
      <c r="B9" s="31">
        <v>1</v>
      </c>
      <c r="C9" s="31">
        <v>1</v>
      </c>
      <c r="D9" s="31">
        <f t="shared" si="0"/>
        <v>1</v>
      </c>
      <c r="E9" s="31">
        <v>0</v>
      </c>
      <c r="F9" s="107">
        <f t="shared" si="1"/>
        <v>0</v>
      </c>
      <c r="G9" s="107">
        <f t="shared" si="2"/>
        <v>0</v>
      </c>
      <c r="H9" s="107">
        <f t="shared" si="3"/>
        <v>0</v>
      </c>
      <c r="I9" s="72">
        <f t="shared" si="4"/>
        <v>0</v>
      </c>
    </row>
    <row r="10" spans="1:11" x14ac:dyDescent="0.35">
      <c r="A10" s="108" t="s">
        <v>131</v>
      </c>
      <c r="B10" s="31">
        <v>6</v>
      </c>
      <c r="C10" s="31">
        <v>0.3</v>
      </c>
      <c r="D10" s="31">
        <f t="shared" si="0"/>
        <v>1.7999999999999998</v>
      </c>
      <c r="E10" s="23">
        <v>9860</v>
      </c>
      <c r="F10" s="109">
        <f t="shared" si="1"/>
        <v>17748</v>
      </c>
      <c r="G10" s="107">
        <f t="shared" si="2"/>
        <v>887.40000000000009</v>
      </c>
      <c r="H10" s="110">
        <f t="shared" si="3"/>
        <v>1774.8000000000002</v>
      </c>
      <c r="I10" s="49">
        <f t="shared" si="4"/>
        <v>2417987.52</v>
      </c>
      <c r="J10" s="25"/>
      <c r="K10" s="34"/>
    </row>
    <row r="11" spans="1:11" x14ac:dyDescent="0.35">
      <c r="A11" s="36" t="s">
        <v>98</v>
      </c>
      <c r="B11" s="31"/>
      <c r="C11" s="31"/>
      <c r="D11" s="31"/>
      <c r="E11" s="23"/>
      <c r="F11" s="191">
        <f>SUM(F10:H10)</f>
        <v>20410.2</v>
      </c>
      <c r="G11" s="192"/>
      <c r="H11" s="193"/>
      <c r="I11" s="72">
        <f>I10</f>
        <v>2417987.52</v>
      </c>
      <c r="J11" s="25"/>
      <c r="K11" s="34"/>
    </row>
    <row r="12" spans="1:11" x14ac:dyDescent="0.35">
      <c r="A12" s="36" t="s">
        <v>99</v>
      </c>
      <c r="B12" s="31"/>
      <c r="C12" s="31"/>
      <c r="D12" s="31"/>
      <c r="E12" s="23"/>
      <c r="F12" s="191">
        <f>SUM(F5:H6)</f>
        <v>5669.5</v>
      </c>
      <c r="G12" s="192"/>
      <c r="H12" s="193"/>
      <c r="I12" s="72">
        <f>SUM(I5:I6)</f>
        <v>671663.19999999984</v>
      </c>
      <c r="J12" s="25"/>
      <c r="K12" s="34"/>
    </row>
    <row r="13" spans="1:11" x14ac:dyDescent="0.35">
      <c r="A13" s="38" t="s">
        <v>127</v>
      </c>
      <c r="B13" s="31"/>
      <c r="C13" s="31"/>
      <c r="D13" s="31"/>
      <c r="E13" s="23"/>
      <c r="F13" s="191">
        <f>ROUND(SUM(F5:H10),-2)</f>
        <v>26100</v>
      </c>
      <c r="G13" s="192"/>
      <c r="H13" s="193"/>
      <c r="I13" s="72">
        <f>ROUND(SUM(I5:I10),-4)</f>
        <v>3090000</v>
      </c>
      <c r="J13" s="25"/>
      <c r="K13" s="34"/>
    </row>
    <row r="14" spans="1:11" ht="24.75" customHeight="1" x14ac:dyDescent="0.35">
      <c r="A14" s="40" t="s">
        <v>128</v>
      </c>
      <c r="B14" s="31"/>
      <c r="C14" s="31"/>
      <c r="D14" s="31"/>
      <c r="E14" s="23"/>
      <c r="F14" s="111"/>
      <c r="G14" s="112"/>
      <c r="H14" s="113"/>
      <c r="I14" s="72">
        <v>0</v>
      </c>
      <c r="J14" s="25"/>
      <c r="K14" s="34"/>
    </row>
    <row r="15" spans="1:11" x14ac:dyDescent="0.35">
      <c r="A15" s="7" t="s">
        <v>118</v>
      </c>
      <c r="B15" s="31"/>
      <c r="C15" s="31"/>
      <c r="D15" s="31"/>
      <c r="E15" s="31"/>
      <c r="F15" s="169">
        <f>ROUND(SUM(F5:H10),-2)</f>
        <v>26100</v>
      </c>
      <c r="G15" s="169"/>
      <c r="H15" s="169"/>
      <c r="I15" s="39">
        <f>ROUND(SUM(I11:I12),-4)</f>
        <v>3090000</v>
      </c>
    </row>
    <row r="16" spans="1:11" x14ac:dyDescent="0.35">
      <c r="A16" s="114"/>
      <c r="B16" s="58"/>
      <c r="C16" s="58"/>
      <c r="D16" s="58"/>
      <c r="E16" s="58"/>
      <c r="F16" s="63"/>
      <c r="G16" s="63"/>
      <c r="H16" s="63"/>
      <c r="I16" s="115"/>
    </row>
    <row r="17" spans="1:10" x14ac:dyDescent="0.35">
      <c r="A17" s="43" t="s">
        <v>24</v>
      </c>
    </row>
    <row r="18" spans="1:10" ht="85.5" customHeight="1" x14ac:dyDescent="0.35">
      <c r="A18" s="173" t="s">
        <v>129</v>
      </c>
      <c r="B18" s="173"/>
      <c r="C18" s="173"/>
      <c r="D18" s="173"/>
      <c r="E18" s="173"/>
      <c r="F18" s="173"/>
      <c r="G18" s="173"/>
      <c r="H18" s="173"/>
      <c r="I18" s="173"/>
      <c r="J18" s="45"/>
    </row>
    <row r="19" spans="1:10" ht="56.25" customHeight="1" x14ac:dyDescent="0.35">
      <c r="A19" s="189" t="s">
        <v>163</v>
      </c>
      <c r="B19" s="189"/>
      <c r="C19" s="189"/>
      <c r="D19" s="189"/>
      <c r="E19" s="189"/>
      <c r="F19" s="189"/>
      <c r="G19" s="189"/>
      <c r="H19" s="189"/>
      <c r="I19" s="189"/>
      <c r="J19" s="158"/>
    </row>
    <row r="20" spans="1:10" ht="25.5" customHeight="1" x14ac:dyDescent="0.35">
      <c r="A20" s="175" t="s">
        <v>153</v>
      </c>
      <c r="B20" s="175"/>
      <c r="C20" s="175"/>
      <c r="D20" s="175"/>
      <c r="E20" s="175"/>
      <c r="F20" s="175"/>
      <c r="G20" s="175"/>
      <c r="H20" s="175"/>
      <c r="I20" s="175"/>
    </row>
    <row r="21" spans="1:10" x14ac:dyDescent="0.35">
      <c r="A21" s="194" t="s">
        <v>164</v>
      </c>
      <c r="B21" s="194"/>
      <c r="C21" s="194"/>
      <c r="D21" s="194"/>
      <c r="E21" s="194"/>
      <c r="F21" s="194"/>
      <c r="G21" s="194"/>
      <c r="H21" s="194"/>
      <c r="I21" s="194"/>
    </row>
    <row r="22" spans="1:10" ht="16" x14ac:dyDescent="0.35">
      <c r="A22" s="176" t="s">
        <v>117</v>
      </c>
      <c r="B22" s="176"/>
      <c r="C22" s="176"/>
      <c r="D22" s="176"/>
      <c r="E22" s="176"/>
      <c r="F22" s="176"/>
      <c r="G22" s="176"/>
      <c r="H22" s="176"/>
      <c r="I22" s="176"/>
    </row>
    <row r="23" spans="1:10" s="51" customFormat="1" x14ac:dyDescent="0.35">
      <c r="A23" s="50"/>
    </row>
    <row r="24" spans="1:10" s="51" customFormat="1" x14ac:dyDescent="0.35">
      <c r="A24" s="168"/>
      <c r="B24" s="168"/>
      <c r="C24" s="168"/>
      <c r="D24" s="52"/>
      <c r="E24" s="52"/>
      <c r="F24" s="52"/>
      <c r="G24" s="52"/>
      <c r="H24" s="52"/>
      <c r="I24" s="52"/>
      <c r="J24" s="168"/>
    </row>
    <row r="25" spans="1:10" s="51" customFormat="1" x14ac:dyDescent="0.35">
      <c r="A25" s="168"/>
      <c r="B25" s="168"/>
      <c r="C25" s="168"/>
      <c r="D25" s="52"/>
      <c r="E25" s="52"/>
      <c r="F25" s="52"/>
      <c r="G25" s="52"/>
      <c r="H25" s="52"/>
      <c r="I25" s="52"/>
      <c r="J25" s="168"/>
    </row>
    <row r="26" spans="1:10" s="51" customFormat="1" x14ac:dyDescent="0.35">
      <c r="A26" s="168"/>
      <c r="B26" s="168"/>
      <c r="C26" s="168"/>
      <c r="D26" s="53"/>
      <c r="E26" s="53"/>
      <c r="F26" s="52"/>
      <c r="G26" s="53"/>
      <c r="H26" s="52"/>
      <c r="I26" s="52"/>
      <c r="J26" s="168"/>
    </row>
    <row r="27" spans="1:10" s="51" customFormat="1" x14ac:dyDescent="0.35">
      <c r="A27" s="79"/>
      <c r="B27" s="80"/>
      <c r="C27" s="80"/>
      <c r="D27" s="80"/>
      <c r="E27" s="80"/>
      <c r="F27" s="81"/>
      <c r="G27" s="82"/>
      <c r="H27" s="82"/>
      <c r="I27" s="80"/>
      <c r="J27" s="80"/>
    </row>
    <row r="28" spans="1:10" s="51" customFormat="1" x14ac:dyDescent="0.35">
      <c r="A28" s="57"/>
      <c r="B28" s="58"/>
      <c r="C28" s="58"/>
      <c r="D28" s="58"/>
      <c r="E28" s="58"/>
      <c r="F28" s="58"/>
      <c r="G28" s="59"/>
      <c r="H28" s="59"/>
      <c r="I28" s="59"/>
      <c r="J28" s="59"/>
    </row>
    <row r="29" spans="1:10" s="51" customFormat="1" x14ac:dyDescent="0.35">
      <c r="A29" s="57"/>
      <c r="B29" s="58"/>
      <c r="C29" s="58"/>
      <c r="D29" s="58"/>
      <c r="E29" s="58"/>
      <c r="F29" s="58"/>
      <c r="G29" s="59"/>
      <c r="H29" s="59"/>
      <c r="I29" s="59"/>
      <c r="J29" s="59"/>
    </row>
    <row r="30" spans="1:10" s="51" customFormat="1" x14ac:dyDescent="0.35">
      <c r="A30" s="57"/>
      <c r="B30" s="58"/>
      <c r="C30" s="58"/>
      <c r="D30" s="58"/>
      <c r="E30" s="58"/>
      <c r="F30" s="58"/>
      <c r="G30" s="59"/>
      <c r="H30" s="59"/>
      <c r="I30" s="59"/>
      <c r="J30" s="59"/>
    </row>
    <row r="31" spans="1:10" s="51" customFormat="1" x14ac:dyDescent="0.35">
      <c r="A31" s="57"/>
      <c r="B31" s="58"/>
      <c r="C31" s="58"/>
      <c r="D31" s="58"/>
      <c r="E31" s="58"/>
      <c r="F31" s="58"/>
      <c r="G31" s="59"/>
      <c r="H31" s="59"/>
      <c r="I31" s="59"/>
      <c r="J31" s="59"/>
    </row>
    <row r="32" spans="1:10" s="51" customFormat="1" x14ac:dyDescent="0.35">
      <c r="A32" s="57"/>
      <c r="B32" s="58"/>
      <c r="C32" s="58"/>
      <c r="D32" s="58"/>
      <c r="E32" s="58"/>
      <c r="F32" s="58"/>
      <c r="G32" s="59"/>
      <c r="H32" s="59"/>
      <c r="I32" s="59"/>
      <c r="J32" s="59"/>
    </row>
    <row r="33" spans="1:10" s="51" customFormat="1" x14ac:dyDescent="0.35">
      <c r="A33" s="80"/>
      <c r="B33" s="58"/>
      <c r="C33" s="58"/>
      <c r="D33" s="58"/>
      <c r="E33" s="63"/>
      <c r="F33" s="63"/>
      <c r="G33" s="83"/>
      <c r="H33" s="83"/>
      <c r="I33" s="83"/>
      <c r="J33" s="83"/>
    </row>
    <row r="34" spans="1:10" s="51" customFormat="1" x14ac:dyDescent="0.35">
      <c r="A34" s="80"/>
      <c r="B34" s="58"/>
      <c r="C34" s="58"/>
      <c r="D34" s="116"/>
      <c r="E34" s="63"/>
      <c r="F34" s="84"/>
      <c r="G34" s="102"/>
      <c r="H34" s="102"/>
      <c r="I34" s="102"/>
      <c r="J34" s="83"/>
    </row>
    <row r="35" spans="1:10" s="51" customFormat="1" x14ac:dyDescent="0.35">
      <c r="A35" s="117"/>
      <c r="B35" s="58"/>
      <c r="C35" s="58"/>
      <c r="D35" s="58"/>
      <c r="E35" s="58"/>
      <c r="F35" s="63"/>
      <c r="G35" s="118"/>
      <c r="H35" s="58"/>
      <c r="I35" s="58"/>
      <c r="J35" s="101"/>
    </row>
    <row r="36" spans="1:10" s="51" customFormat="1" x14ac:dyDescent="0.35"/>
    <row r="37" spans="1:10" s="51" customFormat="1" x14ac:dyDescent="0.35"/>
    <row r="38" spans="1:10" s="51" customFormat="1" x14ac:dyDescent="0.35">
      <c r="A38" s="64"/>
    </row>
    <row r="39" spans="1:10" s="51" customFormat="1" x14ac:dyDescent="0.35">
      <c r="A39" s="95"/>
    </row>
    <row r="40" spans="1:10" s="51" customFormat="1" x14ac:dyDescent="0.35">
      <c r="A40" s="95"/>
    </row>
    <row r="41" spans="1:10" s="51" customFormat="1" x14ac:dyDescent="0.35">
      <c r="A41" s="95"/>
    </row>
    <row r="42" spans="1:10" s="51" customFormat="1" x14ac:dyDescent="0.35"/>
    <row r="43" spans="1:10" s="51" customFormat="1" x14ac:dyDescent="0.35"/>
  </sheetData>
  <mergeCells count="13">
    <mergeCell ref="J24:J26"/>
    <mergeCell ref="F11:H11"/>
    <mergeCell ref="F12:H12"/>
    <mergeCell ref="F15:H15"/>
    <mergeCell ref="A24:A26"/>
    <mergeCell ref="B24:B26"/>
    <mergeCell ref="C24:C26"/>
    <mergeCell ref="F13:H13"/>
    <mergeCell ref="A18:I18"/>
    <mergeCell ref="A19:I19"/>
    <mergeCell ref="A20:I20"/>
    <mergeCell ref="A21:I21"/>
    <mergeCell ref="A22:I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8"/>
  <sheetViews>
    <sheetView workbookViewId="0">
      <selection activeCell="C19" sqref="C19"/>
    </sheetView>
  </sheetViews>
  <sheetFormatPr defaultColWidth="9.1796875" defaultRowHeight="14.5" x14ac:dyDescent="0.35"/>
  <cols>
    <col min="1" max="1" width="9.1796875" style="8"/>
    <col min="2" max="2" width="43.1796875" style="8" customWidth="1"/>
    <col min="3" max="3" width="11.7265625" style="8" customWidth="1"/>
    <col min="4" max="4" width="13.1796875" style="8" customWidth="1"/>
    <col min="5" max="5" width="14.26953125" style="8" bestFit="1" customWidth="1"/>
    <col min="6" max="6" width="13.54296875" style="8" customWidth="1"/>
    <col min="7" max="16384" width="9.1796875" style="8"/>
  </cols>
  <sheetData>
    <row r="1" spans="2:9" ht="15" x14ac:dyDescent="0.35">
      <c r="B1" s="68" t="s">
        <v>104</v>
      </c>
    </row>
    <row r="3" spans="2:9" ht="54.75" customHeight="1" x14ac:dyDescent="0.35">
      <c r="B3" s="120" t="s">
        <v>0</v>
      </c>
      <c r="C3" s="121" t="s">
        <v>13</v>
      </c>
      <c r="D3" s="121" t="s">
        <v>69</v>
      </c>
      <c r="E3" s="121" t="s">
        <v>70</v>
      </c>
    </row>
    <row r="4" spans="2:9" x14ac:dyDescent="0.35">
      <c r="B4" s="122" t="s">
        <v>68</v>
      </c>
      <c r="C4" s="195">
        <f>SUM('Table 1.1'!E9,'Table 1.2'!E8,'Table 1.3'!E8,'Table 1.4'!E10,'Table 1.5'!E10)</f>
        <v>19120</v>
      </c>
      <c r="D4" s="123">
        <f>SUM('Table 1.1'!F13,'Table 1.2'!F12,'Table 1.3'!F11,'Table 1.4'!F12,'Table 1.5'!F11)</f>
        <v>35054.300000000003</v>
      </c>
      <c r="E4" s="124">
        <f>SUM('Table 1.1'!I13,'Table 1.2'!I12,'Table 1.3'!I11,'Table 1.4'!I12,'Table 1.5'!I11)</f>
        <v>4152867.6799999997</v>
      </c>
      <c r="G4" s="125"/>
      <c r="H4" s="48"/>
      <c r="I4" s="48"/>
    </row>
    <row r="5" spans="2:9" x14ac:dyDescent="0.35">
      <c r="B5" s="122" t="s">
        <v>67</v>
      </c>
      <c r="C5" s="195"/>
      <c r="D5" s="123">
        <f>SUM('Table 1.1'!F14,'Table 1.2'!F13,'Table 1.3'!F12,'Table 1.4'!F13,'Table 1.5'!F12)</f>
        <v>178537.5</v>
      </c>
      <c r="E5" s="124">
        <f>SUM('Table 1.1'!I14,'Table 1.2'!I13,'Table 1.3'!I12,'Table 1.4'!I13,'Table 1.5'!I12)</f>
        <v>21151260</v>
      </c>
    </row>
    <row r="6" spans="2:9" ht="24.75" customHeight="1" x14ac:dyDescent="0.35">
      <c r="B6" s="126" t="s">
        <v>71</v>
      </c>
      <c r="C6" s="195"/>
      <c r="D6" s="127">
        <f>SUM(D4:D5)</f>
        <v>213591.8</v>
      </c>
      <c r="E6" s="128">
        <f>(SUM(E4:E5))</f>
        <v>25304127.68</v>
      </c>
    </row>
    <row r="7" spans="2:9" ht="24.75" customHeight="1" x14ac:dyDescent="0.35">
      <c r="B7" s="126" t="s">
        <v>135</v>
      </c>
      <c r="C7" s="123"/>
      <c r="D7" s="129">
        <f>ROUND(D6,-3)</f>
        <v>214000</v>
      </c>
      <c r="E7" s="130">
        <f>ROUND(E6,-5)</f>
        <v>25300000</v>
      </c>
      <c r="F7" s="25"/>
    </row>
    <row r="8" spans="2:9" ht="15" x14ac:dyDescent="0.35">
      <c r="B8" s="126" t="s">
        <v>134</v>
      </c>
      <c r="C8" s="47"/>
      <c r="D8" s="131"/>
      <c r="E8" s="130">
        <v>110000</v>
      </c>
    </row>
    <row r="9" spans="2:9" ht="15" x14ac:dyDescent="0.35">
      <c r="B9" s="126" t="s">
        <v>133</v>
      </c>
      <c r="C9" s="47"/>
      <c r="D9" s="131"/>
      <c r="E9" s="130">
        <f>ROUND(E6+E8,-5)</f>
        <v>25400000</v>
      </c>
    </row>
    <row r="10" spans="2:9" ht="16" x14ac:dyDescent="0.35">
      <c r="B10" s="196" t="s">
        <v>132</v>
      </c>
      <c r="C10" s="196"/>
      <c r="D10" s="196"/>
      <c r="E10" s="196"/>
    </row>
    <row r="11" spans="2:9" x14ac:dyDescent="0.35">
      <c r="D11" s="44"/>
      <c r="E11" s="132"/>
    </row>
    <row r="12" spans="2:9" x14ac:dyDescent="0.35">
      <c r="E12" s="132"/>
    </row>
    <row r="14" spans="2:9" x14ac:dyDescent="0.35">
      <c r="D14" s="133">
        <f>D6/'Tot Ann Resp'!E10</f>
        <v>30.955333333333332</v>
      </c>
      <c r="E14" s="8" t="s">
        <v>66</v>
      </c>
    </row>
    <row r="18" spans="4:4" x14ac:dyDescent="0.35">
      <c r="D18" s="44"/>
    </row>
  </sheetData>
  <mergeCells count="2">
    <mergeCell ref="C4:C6"/>
    <mergeCell ref="B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zoomScale="78" zoomScaleNormal="78" workbookViewId="0">
      <selection activeCell="A2" sqref="A2:XFD2"/>
    </sheetView>
  </sheetViews>
  <sheetFormatPr defaultColWidth="9.1796875" defaultRowHeight="14.5" x14ac:dyDescent="0.35"/>
  <cols>
    <col min="1" max="1" width="34.54296875" style="8" customWidth="1"/>
    <col min="2" max="9" width="13.26953125" style="8" customWidth="1"/>
    <col min="10" max="16384" width="9.1796875" style="8"/>
  </cols>
  <sheetData>
    <row r="1" spans="1:14" ht="15" x14ac:dyDescent="0.35">
      <c r="A1" s="68" t="s">
        <v>105</v>
      </c>
    </row>
    <row r="2" spans="1:14" s="139" customFormat="1" x14ac:dyDescent="0.35">
      <c r="E2" s="167" t="s">
        <v>160</v>
      </c>
      <c r="F2" s="139">
        <v>51.23</v>
      </c>
      <c r="G2" s="139">
        <v>69.040000000000006</v>
      </c>
      <c r="H2" s="139">
        <v>27.73</v>
      </c>
    </row>
    <row r="3" spans="1:14" ht="77.25" customHeight="1" x14ac:dyDescent="0.35">
      <c r="A3" s="26" t="s">
        <v>76</v>
      </c>
      <c r="B3" s="26" t="s">
        <v>77</v>
      </c>
      <c r="C3" s="26" t="s">
        <v>78</v>
      </c>
      <c r="D3" s="26" t="s">
        <v>79</v>
      </c>
      <c r="E3" s="26" t="s">
        <v>80</v>
      </c>
      <c r="F3" s="26" t="s">
        <v>81</v>
      </c>
      <c r="G3" s="4" t="s">
        <v>82</v>
      </c>
      <c r="H3" s="4" t="s">
        <v>83</v>
      </c>
      <c r="I3" s="26" t="s">
        <v>84</v>
      </c>
    </row>
    <row r="4" spans="1:14" s="48" customFormat="1" x14ac:dyDescent="0.35">
      <c r="A4" s="90" t="s">
        <v>74</v>
      </c>
      <c r="B4" s="90">
        <v>4</v>
      </c>
      <c r="C4" s="90">
        <v>1</v>
      </c>
      <c r="D4" s="134">
        <f>B4*C4</f>
        <v>4</v>
      </c>
      <c r="E4" s="135">
        <f>'Table 1.1'!E9+'Table 1.2'!E8</f>
        <v>1560</v>
      </c>
      <c r="F4" s="134">
        <f>E4*D4</f>
        <v>6240</v>
      </c>
      <c r="G4" s="90">
        <f>F4*0.05</f>
        <v>312</v>
      </c>
      <c r="H4" s="90">
        <f>F4*0.1</f>
        <v>624</v>
      </c>
      <c r="I4" s="136">
        <f>F4*F$2+G4*G$2+H4*H$2</f>
        <v>358519.19999999995</v>
      </c>
      <c r="J4" s="86"/>
    </row>
    <row r="5" spans="1:14" s="48" customFormat="1" x14ac:dyDescent="0.35">
      <c r="A5" s="90" t="s">
        <v>75</v>
      </c>
      <c r="B5" s="90">
        <v>2</v>
      </c>
      <c r="C5" s="90">
        <v>2</v>
      </c>
      <c r="D5" s="134">
        <f>B5*C5</f>
        <v>4</v>
      </c>
      <c r="E5" s="135">
        <f>'Table 1.1'!E12+'Table 1.2'!E11+'Table 1.3'!E10+'Table 1.4'!E11</f>
        <v>1714</v>
      </c>
      <c r="F5" s="134">
        <f>E5*D5</f>
        <v>6856</v>
      </c>
      <c r="G5" s="90">
        <f>F5*0.05</f>
        <v>342.8</v>
      </c>
      <c r="H5" s="90">
        <f>F5*0.1</f>
        <v>685.6</v>
      </c>
      <c r="I5" s="136">
        <f>F5*F$2+G5*G$2+H5*H$2</f>
        <v>393911.48000000004</v>
      </c>
      <c r="J5" s="86"/>
    </row>
    <row r="6" spans="1:14" s="48" customFormat="1" ht="16" x14ac:dyDescent="0.35">
      <c r="A6" s="90" t="s">
        <v>89</v>
      </c>
      <c r="B6" s="90">
        <v>4</v>
      </c>
      <c r="C6" s="90">
        <v>1</v>
      </c>
      <c r="D6" s="134">
        <f>B6*C6</f>
        <v>4</v>
      </c>
      <c r="E6" s="135">
        <f>19120*0.1</f>
        <v>1912</v>
      </c>
      <c r="F6" s="134">
        <f>E6*D6</f>
        <v>7648</v>
      </c>
      <c r="G6" s="90">
        <f>F6*0.05</f>
        <v>382.40000000000003</v>
      </c>
      <c r="H6" s="90">
        <f>F6*0.1</f>
        <v>764.80000000000007</v>
      </c>
      <c r="I6" s="136">
        <f>F6*F$2+G6*G$2+H6*H$2</f>
        <v>439415.83999999997</v>
      </c>
      <c r="J6" s="86"/>
      <c r="N6" s="86"/>
    </row>
    <row r="7" spans="1:14" s="48" customFormat="1" ht="28" x14ac:dyDescent="0.35">
      <c r="A7" s="126" t="s">
        <v>121</v>
      </c>
      <c r="B7" s="134"/>
      <c r="C7" s="90"/>
      <c r="D7" s="137"/>
      <c r="E7" s="137"/>
      <c r="F7" s="197">
        <f>ROUND(SUM(F4:H6),-2)</f>
        <v>23900</v>
      </c>
      <c r="G7" s="197"/>
      <c r="H7" s="197"/>
      <c r="I7" s="164">
        <f>ROUND(SUM(I4:I6),-4)</f>
        <v>1190000</v>
      </c>
    </row>
    <row r="9" spans="1:14" x14ac:dyDescent="0.35">
      <c r="A9" s="138" t="s">
        <v>85</v>
      </c>
    </row>
    <row r="10" spans="1:14" x14ac:dyDescent="0.35">
      <c r="A10" s="175" t="s">
        <v>88</v>
      </c>
      <c r="B10" s="175"/>
      <c r="C10" s="175"/>
      <c r="D10" s="175"/>
      <c r="E10" s="175"/>
      <c r="F10" s="175"/>
      <c r="G10" s="175"/>
      <c r="H10" s="175"/>
      <c r="I10" s="175"/>
    </row>
    <row r="11" spans="1:14" s="139" customFormat="1" ht="16.5" customHeight="1" x14ac:dyDescent="0.35">
      <c r="A11" s="199" t="s">
        <v>161</v>
      </c>
      <c r="B11" s="199"/>
      <c r="C11" s="199"/>
      <c r="D11" s="199"/>
      <c r="E11" s="199"/>
      <c r="F11" s="199"/>
      <c r="G11" s="199"/>
      <c r="H11" s="199"/>
      <c r="I11" s="199"/>
    </row>
    <row r="12" spans="1:14" ht="27" customHeight="1" x14ac:dyDescent="0.35">
      <c r="A12" s="199"/>
      <c r="B12" s="199"/>
      <c r="C12" s="199"/>
      <c r="D12" s="199"/>
      <c r="E12" s="199"/>
      <c r="F12" s="199"/>
      <c r="G12" s="199"/>
      <c r="H12" s="199"/>
      <c r="I12" s="199"/>
    </row>
    <row r="13" spans="1:14" x14ac:dyDescent="0.35">
      <c r="A13" s="175" t="s">
        <v>90</v>
      </c>
      <c r="B13" s="175"/>
      <c r="C13" s="175"/>
      <c r="D13" s="175"/>
      <c r="E13" s="175"/>
      <c r="F13" s="175"/>
      <c r="G13" s="175"/>
      <c r="H13" s="175"/>
      <c r="I13" s="175"/>
    </row>
    <row r="14" spans="1:14" s="51" customFormat="1" x14ac:dyDescent="0.35">
      <c r="A14" s="175" t="s">
        <v>122</v>
      </c>
      <c r="B14" s="175"/>
      <c r="C14" s="175"/>
      <c r="D14" s="175"/>
      <c r="E14" s="175"/>
      <c r="F14" s="175"/>
      <c r="G14" s="175"/>
      <c r="H14" s="175"/>
      <c r="I14" s="175"/>
    </row>
    <row r="15" spans="1:14" s="51" customFormat="1" x14ac:dyDescent="0.35">
      <c r="A15" s="198"/>
      <c r="B15" s="140"/>
      <c r="C15" s="140"/>
      <c r="D15" s="140"/>
      <c r="E15" s="198"/>
      <c r="F15" s="198"/>
      <c r="G15" s="198"/>
      <c r="H15" s="198"/>
    </row>
    <row r="16" spans="1:14" s="51" customFormat="1" x14ac:dyDescent="0.35">
      <c r="A16" s="198"/>
      <c r="B16" s="140"/>
      <c r="C16" s="140"/>
      <c r="D16" s="140"/>
      <c r="E16" s="198"/>
      <c r="F16" s="198"/>
      <c r="G16" s="198"/>
      <c r="H16" s="198"/>
    </row>
    <row r="17" spans="1:8" s="51" customFormat="1" x14ac:dyDescent="0.35">
      <c r="A17" s="141"/>
      <c r="B17" s="142"/>
      <c r="C17" s="142"/>
      <c r="D17" s="143"/>
      <c r="E17" s="144"/>
      <c r="F17" s="144"/>
      <c r="G17" s="144"/>
      <c r="H17" s="142"/>
    </row>
    <row r="18" spans="1:8" s="51" customFormat="1" x14ac:dyDescent="0.35">
      <c r="A18" s="141"/>
      <c r="B18" s="142"/>
      <c r="C18" s="142"/>
      <c r="D18" s="143"/>
      <c r="E18" s="144"/>
      <c r="F18" s="145"/>
      <c r="G18" s="145"/>
      <c r="H18" s="144"/>
    </row>
    <row r="19" spans="1:8" s="51" customFormat="1" x14ac:dyDescent="0.35">
      <c r="A19" s="141"/>
      <c r="B19" s="142"/>
      <c r="C19" s="142"/>
      <c r="D19" s="143"/>
      <c r="E19" s="144"/>
      <c r="F19" s="144"/>
      <c r="G19" s="144"/>
      <c r="H19" s="144"/>
    </row>
    <row r="20" spans="1:8" s="51" customFormat="1" x14ac:dyDescent="0.35">
      <c r="A20" s="141"/>
      <c r="B20" s="142"/>
      <c r="C20" s="142"/>
      <c r="D20" s="143"/>
      <c r="E20" s="144"/>
      <c r="F20" s="144"/>
      <c r="G20" s="144"/>
      <c r="H20" s="144"/>
    </row>
    <row r="21" spans="1:8" s="51" customFormat="1" x14ac:dyDescent="0.35">
      <c r="A21" s="141"/>
      <c r="B21" s="142"/>
      <c r="C21" s="142"/>
      <c r="D21" s="142"/>
      <c r="E21" s="144"/>
      <c r="F21" s="144"/>
      <c r="G21" s="144"/>
      <c r="H21" s="142"/>
    </row>
    <row r="22" spans="1:8" s="51" customFormat="1" x14ac:dyDescent="0.35">
      <c r="A22" s="141"/>
      <c r="B22" s="142"/>
      <c r="C22" s="142"/>
      <c r="D22" s="143"/>
      <c r="E22" s="144"/>
      <c r="F22" s="145"/>
      <c r="G22" s="145"/>
      <c r="H22" s="144"/>
    </row>
    <row r="23" spans="1:8" s="51" customFormat="1" x14ac:dyDescent="0.35">
      <c r="A23" s="141"/>
      <c r="B23" s="143"/>
      <c r="D23" s="146"/>
      <c r="H23" s="145"/>
    </row>
    <row r="24" spans="1:8" s="51" customFormat="1" x14ac:dyDescent="0.35">
      <c r="H24" s="147"/>
    </row>
    <row r="25" spans="1:8" s="51" customFormat="1" x14ac:dyDescent="0.35">
      <c r="A25" s="148"/>
    </row>
    <row r="26" spans="1:8" s="51" customFormat="1" x14ac:dyDescent="0.35">
      <c r="A26" s="148"/>
    </row>
    <row r="27" spans="1:8" s="51" customFormat="1" x14ac:dyDescent="0.35">
      <c r="A27" s="95"/>
    </row>
    <row r="28" spans="1:8" s="51" customFormat="1" x14ac:dyDescent="0.35">
      <c r="A28" s="95"/>
    </row>
    <row r="29" spans="1:8" s="51" customFormat="1" x14ac:dyDescent="0.35">
      <c r="A29" s="95"/>
    </row>
  </sheetData>
  <mergeCells count="10">
    <mergeCell ref="F7:H7"/>
    <mergeCell ref="A15:A16"/>
    <mergeCell ref="E15:E16"/>
    <mergeCell ref="F15:F16"/>
    <mergeCell ref="G15:G16"/>
    <mergeCell ref="H15:H16"/>
    <mergeCell ref="A11:I12"/>
    <mergeCell ref="A10:I10"/>
    <mergeCell ref="A13:I13"/>
    <mergeCell ref="A14:I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06FC-728A-4B38-B5F4-A96D8EC04DC6}">
  <dimension ref="A1:H8"/>
  <sheetViews>
    <sheetView workbookViewId="0">
      <selection activeCell="H7" sqref="H7"/>
    </sheetView>
  </sheetViews>
  <sheetFormatPr defaultColWidth="9.1796875" defaultRowHeight="13" x14ac:dyDescent="0.3"/>
  <cols>
    <col min="1" max="1" width="12.453125" style="149" customWidth="1"/>
    <col min="2" max="2" width="21.1796875" style="149" customWidth="1"/>
    <col min="3" max="3" width="12.54296875" style="149" customWidth="1"/>
    <col min="4" max="4" width="16.7265625" style="149" customWidth="1"/>
    <col min="5" max="5" width="14.7265625" style="149" customWidth="1"/>
    <col min="6" max="6" width="10.1796875" style="149" bestFit="1" customWidth="1"/>
    <col min="7" max="7" width="13.81640625" style="149" customWidth="1"/>
    <col min="8" max="8" width="15" style="149" customWidth="1"/>
    <col min="9" max="16384" width="9.1796875" style="149"/>
  </cols>
  <sheetData>
    <row r="1" spans="1:8" x14ac:dyDescent="0.3">
      <c r="A1" s="149" t="s">
        <v>106</v>
      </c>
    </row>
    <row r="4" spans="1:8" s="150" customFormat="1" ht="39" x14ac:dyDescent="0.35">
      <c r="B4" s="151" t="s">
        <v>107</v>
      </c>
      <c r="C4" s="151" t="s">
        <v>110</v>
      </c>
      <c r="D4" s="151" t="s">
        <v>111</v>
      </c>
      <c r="E4" s="151" t="s">
        <v>112</v>
      </c>
      <c r="F4" s="151" t="s">
        <v>113</v>
      </c>
      <c r="G4" s="151" t="s">
        <v>114</v>
      </c>
      <c r="H4" s="26" t="s">
        <v>40</v>
      </c>
    </row>
    <row r="5" spans="1:8" x14ac:dyDescent="0.3">
      <c r="B5" s="152" t="s">
        <v>108</v>
      </c>
      <c r="C5" s="153">
        <f>SUM('Table 1.1'!F17:H17)</f>
        <v>74600</v>
      </c>
      <c r="D5" s="153">
        <f>SUM('Table 1.2'!F16:H16)</f>
        <v>34900</v>
      </c>
      <c r="E5" s="153">
        <f>SUM('Table 1.3'!F15:H15)</f>
        <v>35600</v>
      </c>
      <c r="F5" s="153">
        <f>SUM('Table 1.4'!F16:H16)</f>
        <v>42300</v>
      </c>
      <c r="G5" s="153">
        <f>SUM('Table 1.5'!F15:H15)</f>
        <v>26100</v>
      </c>
      <c r="H5" s="156">
        <f>ROUND(SUM(C5:G5),-3)</f>
        <v>214000</v>
      </c>
    </row>
    <row r="6" spans="1:8" x14ac:dyDescent="0.3">
      <c r="B6" s="152" t="s">
        <v>109</v>
      </c>
      <c r="C6" s="154">
        <f>'Table 1.1'!I15</f>
        <v>8840000</v>
      </c>
      <c r="D6" s="154">
        <f>'Table 1.2'!I14</f>
        <v>4140000</v>
      </c>
      <c r="E6" s="154">
        <f>'Table 1.3'!I13</f>
        <v>4220000</v>
      </c>
      <c r="F6" s="154">
        <f>'Table 1.4'!I14</f>
        <v>5020000</v>
      </c>
      <c r="G6" s="154">
        <f>'Table 1.5'!I13</f>
        <v>3090000</v>
      </c>
      <c r="H6" s="157">
        <f>ROUND(SUM(C6:G6),-5)</f>
        <v>25300000</v>
      </c>
    </row>
    <row r="7" spans="1:8" x14ac:dyDescent="0.3">
      <c r="B7" s="152" t="s">
        <v>136</v>
      </c>
      <c r="C7" s="154">
        <f>'Table 1.1'!I17</f>
        <v>8950000</v>
      </c>
      <c r="D7" s="154">
        <f>'Table 1.2'!I16</f>
        <v>4140000</v>
      </c>
      <c r="E7" s="154">
        <f>'Table 1.3'!I15</f>
        <v>4220000</v>
      </c>
      <c r="F7" s="154">
        <f>'Table 1.4'!I16</f>
        <v>5020000</v>
      </c>
      <c r="G7" s="154">
        <f>'Table 1.5'!I15</f>
        <v>3090000</v>
      </c>
      <c r="H7" s="166">
        <f>ROUND(SUM(C7:G7),-5)</f>
        <v>25400000</v>
      </c>
    </row>
    <row r="8" spans="1:8" x14ac:dyDescent="0.3">
      <c r="B8" s="152" t="s">
        <v>38</v>
      </c>
      <c r="C8" s="153">
        <f>'Table 1.1'!E9+'Table 1.1'!E12*2+'Table 1.1'!E12*0.1</f>
        <v>3410</v>
      </c>
      <c r="D8" s="155">
        <f>'Table 1.2'!E8+'Table 1.2'!E11*2+'Table 1.2'!E11*0.1</f>
        <v>1426</v>
      </c>
      <c r="E8" s="155">
        <f>'Table 1.3'!E10*2+'Table 1.3'!E9*0.1</f>
        <v>252</v>
      </c>
      <c r="F8" s="155">
        <f>'Table 1.4'!E11*2+'Table 1.4'!E10*0.1</f>
        <v>826</v>
      </c>
      <c r="G8" s="153">
        <f>'Table 1.5'!E10*0.1</f>
        <v>986</v>
      </c>
      <c r="H8" s="156">
        <f>SUM(C8:G8)</f>
        <v>6900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workbookViewId="0">
      <selection activeCell="D20" sqref="D20"/>
    </sheetView>
  </sheetViews>
  <sheetFormatPr defaultRowHeight="14.5" x14ac:dyDescent="0.35"/>
  <cols>
    <col min="1" max="1" width="41.26953125" bestFit="1" customWidth="1"/>
    <col min="2" max="2" width="23" bestFit="1" customWidth="1"/>
    <col min="3" max="3" width="20.7265625" bestFit="1" customWidth="1"/>
    <col min="4" max="4" width="19.54296875" bestFit="1" customWidth="1"/>
  </cols>
  <sheetData>
    <row r="1" spans="1:5" ht="21" x14ac:dyDescent="0.5">
      <c r="A1" s="3" t="s">
        <v>35</v>
      </c>
    </row>
    <row r="3" spans="1:5" s="2" customFormat="1" x14ac:dyDescent="0.35">
      <c r="A3" s="2" t="s">
        <v>36</v>
      </c>
      <c r="B3" s="2" t="s">
        <v>37</v>
      </c>
      <c r="C3" s="2" t="s">
        <v>38</v>
      </c>
      <c r="D3" s="2" t="s">
        <v>39</v>
      </c>
      <c r="E3" s="2" t="s">
        <v>40</v>
      </c>
    </row>
    <row r="4" spans="1:5" x14ac:dyDescent="0.35">
      <c r="A4" t="s">
        <v>41</v>
      </c>
      <c r="B4" s="1">
        <f>1100+460+1800+5900+9860</f>
        <v>19120</v>
      </c>
      <c r="C4">
        <v>0</v>
      </c>
      <c r="D4">
        <v>0</v>
      </c>
      <c r="E4" s="1">
        <f>B4*C4</f>
        <v>0</v>
      </c>
    </row>
    <row r="5" spans="1:5" x14ac:dyDescent="0.35">
      <c r="A5" t="s">
        <v>42</v>
      </c>
      <c r="B5" s="1">
        <f>1100+460+1800+(5900*0.25)+9860</f>
        <v>14695</v>
      </c>
      <c r="C5">
        <v>0</v>
      </c>
      <c r="D5">
        <v>0</v>
      </c>
      <c r="E5" s="1">
        <f t="shared" ref="E5:E8" si="0">B5*C5</f>
        <v>0</v>
      </c>
    </row>
    <row r="6" spans="1:5" x14ac:dyDescent="0.35">
      <c r="A6" t="s">
        <v>43</v>
      </c>
      <c r="B6" s="1">
        <f>1100+460+1800+(5900*0.25)+9860</f>
        <v>14695</v>
      </c>
      <c r="C6">
        <v>0</v>
      </c>
      <c r="D6">
        <v>0</v>
      </c>
      <c r="E6" s="1">
        <f t="shared" si="0"/>
        <v>0</v>
      </c>
    </row>
    <row r="7" spans="1:5" x14ac:dyDescent="0.35">
      <c r="A7" t="s">
        <v>87</v>
      </c>
      <c r="B7" s="1">
        <f>'Table 1.1'!E9+'Table 1.2'!E8</f>
        <v>1560</v>
      </c>
      <c r="C7">
        <v>1</v>
      </c>
      <c r="D7">
        <v>0</v>
      </c>
      <c r="E7" s="1">
        <f t="shared" si="0"/>
        <v>1560</v>
      </c>
    </row>
    <row r="8" spans="1:5" x14ac:dyDescent="0.35">
      <c r="A8" t="s">
        <v>44</v>
      </c>
      <c r="B8" s="1">
        <f>'Table 1.1'!E12+'Table 1.2'!E11+'Table 1.3'!E10+'Table 1.4'!E11</f>
        <v>1714</v>
      </c>
      <c r="C8">
        <v>2</v>
      </c>
      <c r="D8">
        <v>0</v>
      </c>
      <c r="E8" s="1">
        <f t="shared" si="0"/>
        <v>3428</v>
      </c>
    </row>
    <row r="9" spans="1:5" x14ac:dyDescent="0.35">
      <c r="A9" t="s">
        <v>86</v>
      </c>
      <c r="B9" s="1">
        <f>B4*0.1</f>
        <v>1912</v>
      </c>
      <c r="C9">
        <v>1</v>
      </c>
      <c r="D9">
        <v>0</v>
      </c>
      <c r="E9" s="1">
        <f t="shared" ref="E9" si="1">B9*C9</f>
        <v>1912</v>
      </c>
    </row>
    <row r="10" spans="1:5" x14ac:dyDescent="0.35">
      <c r="D10" t="s">
        <v>40</v>
      </c>
      <c r="E10" s="1">
        <f>SUM(E4:E9)</f>
        <v>6900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1.1</vt:lpstr>
      <vt:lpstr>Table 1.2</vt:lpstr>
      <vt:lpstr>Table 1.3</vt:lpstr>
      <vt:lpstr>Table 1.4</vt:lpstr>
      <vt:lpstr>Table 1.5</vt:lpstr>
      <vt:lpstr>Table 1.6 Total</vt:lpstr>
      <vt:lpstr>Table 2</vt:lpstr>
      <vt:lpstr>Summary Table</vt:lpstr>
      <vt:lpstr>Tot Ann Resp</vt:lpstr>
      <vt:lpstr>O&amp;M (Bulk Terminals Only)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2014-09-29T16:56:37Z</dcterms:created>
  <dcterms:modified xsi:type="dcterms:W3CDTF">2021-09-24T15:38:02Z</dcterms:modified>
</cp:coreProperties>
</file>