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nsva\ora\ORA WORKGROUPS\SN-RAD Studies\CN F2S Census_AR\Pre Award\OMB\ICR to OCIO\"/>
    </mc:Choice>
  </mc:AlternateContent>
  <xr:revisionPtr revIDLastSave="0" documentId="13_ncr:1_{6B8D0254-90D2-4913-B132-B3CD41F0E721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Full burden table" sheetId="3" r:id="rId1"/>
    <sheet name="ESRI_MAPINFO_SHEET" sheetId="4" state="veryHidden" r:id="rId2"/>
  </sheets>
  <definedNames>
    <definedName name="_xlnm.Print_Area" localSheetId="0">'Full burden table'!$A$1:$P$64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3" l="1"/>
  <c r="P25" i="3" s="1"/>
  <c r="I65" i="3"/>
  <c r="K24" i="3"/>
  <c r="F24" i="3"/>
  <c r="E24" i="3"/>
  <c r="R24" i="3"/>
  <c r="O24" i="3"/>
  <c r="M24" i="3"/>
  <c r="J24" i="3"/>
  <c r="H24" i="3"/>
  <c r="R7" i="3"/>
  <c r="P7" i="3"/>
  <c r="K7" i="3"/>
  <c r="M7" i="3" s="1"/>
  <c r="O7" i="3" s="1"/>
  <c r="H7" i="3"/>
  <c r="J7" i="3" s="1"/>
  <c r="E57" i="3" l="1"/>
  <c r="F57" i="3" s="1"/>
  <c r="H57" i="3" s="1"/>
  <c r="J57" i="3" s="1"/>
  <c r="E40" i="3"/>
  <c r="F26" i="3"/>
  <c r="H26" i="3" s="1"/>
  <c r="J26" i="3" s="1"/>
  <c r="E27" i="3"/>
  <c r="F27" i="3" s="1"/>
  <c r="H27" i="3" s="1"/>
  <c r="J27" i="3" s="1"/>
  <c r="E28" i="3"/>
  <c r="F28" i="3" s="1"/>
  <c r="H28" i="3" s="1"/>
  <c r="J28" i="3" s="1"/>
  <c r="E29" i="3"/>
  <c r="F29" i="3" s="1"/>
  <c r="H29" i="3" s="1"/>
  <c r="J29" i="3" s="1"/>
  <c r="E30" i="3"/>
  <c r="F30" i="3" s="1"/>
  <c r="H30" i="3" s="1"/>
  <c r="J30" i="3" s="1"/>
  <c r="E22" i="3"/>
  <c r="F22" i="3" s="1"/>
  <c r="K22" i="3" s="1"/>
  <c r="M22" i="3" s="1"/>
  <c r="O22" i="3" s="1"/>
  <c r="K57" i="3" l="1"/>
  <c r="M57" i="3" s="1"/>
  <c r="O57" i="3" s="1"/>
  <c r="P57" i="3" s="1"/>
  <c r="R57" i="3" s="1"/>
  <c r="F40" i="3"/>
  <c r="H40" i="3" s="1"/>
  <c r="J40" i="3" s="1"/>
  <c r="H22" i="3"/>
  <c r="J22" i="3" s="1"/>
  <c r="P22" i="3" s="1"/>
  <c r="R22" i="3" s="1"/>
  <c r="K26" i="3"/>
  <c r="M26" i="3" s="1"/>
  <c r="O26" i="3" s="1"/>
  <c r="P26" i="3" s="1"/>
  <c r="E31" i="3"/>
  <c r="F31" i="3" s="1"/>
  <c r="H31" i="3" s="1"/>
  <c r="J31" i="3" s="1"/>
  <c r="K30" i="3"/>
  <c r="M30" i="3" s="1"/>
  <c r="O30" i="3" s="1"/>
  <c r="P30" i="3" s="1"/>
  <c r="K29" i="3"/>
  <c r="M29" i="3" s="1"/>
  <c r="O29" i="3" s="1"/>
  <c r="P29" i="3" s="1"/>
  <c r="K28" i="3"/>
  <c r="M28" i="3" s="1"/>
  <c r="O28" i="3" s="1"/>
  <c r="P28" i="3" s="1"/>
  <c r="K27" i="3"/>
  <c r="M27" i="3" s="1"/>
  <c r="O27" i="3" s="1"/>
  <c r="P27" i="3" s="1"/>
  <c r="K40" i="3" l="1"/>
  <c r="M40" i="3" s="1"/>
  <c r="O40" i="3" s="1"/>
  <c r="P40" i="3" s="1"/>
  <c r="R40" i="3" s="1"/>
  <c r="K31" i="3"/>
  <c r="M31" i="3" s="1"/>
  <c r="O31" i="3" s="1"/>
  <c r="P31" i="3" s="1"/>
  <c r="E32" i="3" l="1"/>
  <c r="F32" i="3" s="1"/>
  <c r="H32" i="3" s="1"/>
  <c r="J32" i="3" s="1"/>
  <c r="K32" i="3" l="1"/>
  <c r="M32" i="3" s="1"/>
  <c r="O32" i="3" s="1"/>
  <c r="P32" i="3" s="1"/>
  <c r="E33" i="3" l="1"/>
  <c r="F33" i="3" s="1"/>
  <c r="H33" i="3" s="1"/>
  <c r="J33" i="3" s="1"/>
  <c r="K33" i="3" l="1"/>
  <c r="M33" i="3" s="1"/>
  <c r="O33" i="3" s="1"/>
  <c r="P33" i="3" s="1"/>
  <c r="E34" i="3" l="1"/>
  <c r="F34" i="3" s="1"/>
  <c r="H34" i="3" s="1"/>
  <c r="J34" i="3" s="1"/>
  <c r="K34" i="3" l="1"/>
  <c r="E35" i="3" s="1"/>
  <c r="M34" i="3" l="1"/>
  <c r="O34" i="3" s="1"/>
  <c r="P34" i="3" s="1"/>
  <c r="F35" i="3"/>
  <c r="H35" i="3" s="1"/>
  <c r="J35" i="3" s="1"/>
  <c r="K35" i="3" l="1"/>
  <c r="E36" i="3" s="1"/>
  <c r="M35" i="3" l="1"/>
  <c r="O35" i="3" s="1"/>
  <c r="P35" i="3" s="1"/>
  <c r="F36" i="3"/>
  <c r="H36" i="3" s="1"/>
  <c r="J36" i="3" s="1"/>
  <c r="K36" i="3" l="1"/>
  <c r="M36" i="3" l="1"/>
  <c r="O36" i="3" s="1"/>
  <c r="P36" i="3" s="1"/>
  <c r="E37" i="3"/>
  <c r="F37" i="3" l="1"/>
  <c r="H37" i="3" s="1"/>
  <c r="J37" i="3" s="1"/>
  <c r="K37" i="3" l="1"/>
  <c r="M37" i="3" s="1"/>
  <c r="O37" i="3" s="1"/>
  <c r="P37" i="3" s="1"/>
  <c r="E38" i="3" l="1"/>
  <c r="F38" i="3" s="1"/>
  <c r="H38" i="3" s="1"/>
  <c r="J38" i="3" s="1"/>
  <c r="K38" i="3" l="1"/>
  <c r="M38" i="3" s="1"/>
  <c r="O38" i="3" s="1"/>
  <c r="P38" i="3" s="1"/>
  <c r="F46" i="3" l="1"/>
  <c r="F44" i="3"/>
  <c r="F43" i="3"/>
  <c r="F8" i="3"/>
  <c r="L6" i="3"/>
  <c r="E6" i="3"/>
  <c r="E11" i="3"/>
  <c r="F11" i="3" s="1"/>
  <c r="E10" i="3"/>
  <c r="F10" i="3" s="1"/>
  <c r="E9" i="3"/>
  <c r="F9" i="3" s="1"/>
  <c r="E42" i="3"/>
  <c r="F6" i="3" l="1"/>
  <c r="E48" i="3"/>
  <c r="E13" i="3"/>
  <c r="E59" i="3"/>
  <c r="E56" i="3"/>
  <c r="F56" i="3" s="1"/>
  <c r="F47" i="3"/>
  <c r="H47" i="3" s="1"/>
  <c r="J47" i="3" s="1"/>
  <c r="F59" i="3"/>
  <c r="F45" i="3"/>
  <c r="K45" i="3" s="1"/>
  <c r="M45" i="3" s="1"/>
  <c r="O45" i="3" s="1"/>
  <c r="K44" i="3"/>
  <c r="M44" i="3" s="1"/>
  <c r="O44" i="3" s="1"/>
  <c r="K43" i="3"/>
  <c r="M43" i="3" s="1"/>
  <c r="H46" i="3" l="1"/>
  <c r="J46" i="3" s="1"/>
  <c r="H43" i="3"/>
  <c r="J43" i="3" s="1"/>
  <c r="H45" i="3"/>
  <c r="J45" i="3" s="1"/>
  <c r="P45" i="3" s="1"/>
  <c r="R45" i="3" s="1"/>
  <c r="H44" i="3"/>
  <c r="J44" i="3" s="1"/>
  <c r="P44" i="3" s="1"/>
  <c r="R44" i="3" s="1"/>
  <c r="K47" i="3"/>
  <c r="M47" i="3" s="1"/>
  <c r="O47" i="3" s="1"/>
  <c r="P47" i="3" s="1"/>
  <c r="R47" i="3" s="1"/>
  <c r="O43" i="3"/>
  <c r="F48" i="3"/>
  <c r="H48" i="3" s="1"/>
  <c r="J48" i="3" s="1"/>
  <c r="K46" i="3"/>
  <c r="K59" i="3" s="1"/>
  <c r="H56" i="3"/>
  <c r="J56" i="3" s="1"/>
  <c r="K56" i="3" l="1"/>
  <c r="M56" i="3" s="1"/>
  <c r="O56" i="3" s="1"/>
  <c r="P56" i="3" s="1"/>
  <c r="R56" i="3" s="1"/>
  <c r="K48" i="3"/>
  <c r="M46" i="3"/>
  <c r="P43" i="3"/>
  <c r="M48" i="3" l="1"/>
  <c r="O48" i="3" s="1"/>
  <c r="P48" i="3" s="1"/>
  <c r="R48" i="3" s="1"/>
  <c r="E49" i="3"/>
  <c r="R43" i="3"/>
  <c r="O46" i="3"/>
  <c r="P46" i="3" l="1"/>
  <c r="F49" i="3"/>
  <c r="H49" i="3" s="1"/>
  <c r="K49" i="3" l="1"/>
  <c r="J49" i="3"/>
  <c r="R46" i="3"/>
  <c r="M49" i="3" l="1"/>
  <c r="E50" i="3"/>
  <c r="F50" i="3" l="1"/>
  <c r="H50" i="3" s="1"/>
  <c r="O49" i="3"/>
  <c r="P49" i="3" l="1"/>
  <c r="J50" i="3"/>
  <c r="K50" i="3"/>
  <c r="R49" i="3" l="1"/>
  <c r="M50" i="3"/>
  <c r="E51" i="3"/>
  <c r="F51" i="3" l="1"/>
  <c r="H51" i="3" s="1"/>
  <c r="J51" i="3" s="1"/>
  <c r="O50" i="3"/>
  <c r="P50" i="3" l="1"/>
  <c r="K51" i="3"/>
  <c r="E52" i="3" l="1"/>
  <c r="M51" i="3"/>
  <c r="R50" i="3"/>
  <c r="O51" i="3" l="1"/>
  <c r="P51" i="3" s="1"/>
  <c r="F52" i="3"/>
  <c r="H52" i="3" s="1"/>
  <c r="J52" i="3" s="1"/>
  <c r="K52" i="3" l="1"/>
  <c r="R51" i="3"/>
  <c r="E53" i="3" l="1"/>
  <c r="M52" i="3"/>
  <c r="O52" i="3" s="1"/>
  <c r="P52" i="3" s="1"/>
  <c r="R52" i="3" s="1"/>
  <c r="F53" i="3" l="1"/>
  <c r="H53" i="3" s="1"/>
  <c r="J53" i="3" s="1"/>
  <c r="K53" i="3" l="1"/>
  <c r="E54" i="3" s="1"/>
  <c r="M53" i="3" l="1"/>
  <c r="O53" i="3" s="1"/>
  <c r="P53" i="3" s="1"/>
  <c r="R53" i="3" s="1"/>
  <c r="F54" i="3"/>
  <c r="H54" i="3" s="1"/>
  <c r="J54" i="3" s="1"/>
  <c r="K54" i="3" l="1"/>
  <c r="E55" i="3" l="1"/>
  <c r="M54" i="3"/>
  <c r="O54" i="3" s="1"/>
  <c r="P54" i="3" s="1"/>
  <c r="R54" i="3" s="1"/>
  <c r="F55" i="3" l="1"/>
  <c r="H55" i="3" s="1"/>
  <c r="J55" i="3" s="1"/>
  <c r="K55" i="3" l="1"/>
  <c r="M55" i="3" s="1"/>
  <c r="O55" i="3" s="1"/>
  <c r="P55" i="3" s="1"/>
  <c r="R55" i="3" s="1"/>
  <c r="E58" i="3" l="1"/>
  <c r="F58" i="3" s="1"/>
  <c r="H58" i="3" s="1"/>
  <c r="J58" i="3" s="1"/>
  <c r="K58" i="3" l="1"/>
  <c r="M58" i="3" s="1"/>
  <c r="O58" i="3" s="1"/>
  <c r="P58" i="3" s="1"/>
  <c r="R58" i="3" s="1"/>
  <c r="R59" i="3" s="1"/>
  <c r="H59" i="3" l="1"/>
  <c r="G59" i="3" s="1"/>
  <c r="M59" i="3"/>
  <c r="L59" i="3" s="1"/>
  <c r="O59" i="3" l="1"/>
  <c r="J59" i="3"/>
  <c r="I59" i="3" l="1"/>
  <c r="N59" i="3"/>
  <c r="P59" i="3" l="1"/>
  <c r="F13" i="3"/>
  <c r="K13" i="3" s="1"/>
  <c r="E14" i="3" s="1"/>
  <c r="K9" i="3" l="1"/>
  <c r="M9" i="3" s="1"/>
  <c r="O9" i="3" s="1"/>
  <c r="H8" i="3"/>
  <c r="K3" i="3"/>
  <c r="K4" i="3"/>
  <c r="M4" i="3" s="1"/>
  <c r="O4" i="3" s="1"/>
  <c r="K5" i="3"/>
  <c r="M5" i="3" s="1"/>
  <c r="O5" i="3" s="1"/>
  <c r="K10" i="3"/>
  <c r="M10" i="3" s="1"/>
  <c r="O10" i="3" s="1"/>
  <c r="K11" i="3"/>
  <c r="E12" i="3"/>
  <c r="E21" i="3"/>
  <c r="F21" i="3" s="1"/>
  <c r="H3" i="3"/>
  <c r="J3" i="3" s="1"/>
  <c r="H4" i="3"/>
  <c r="J4" i="3" s="1"/>
  <c r="H5" i="3"/>
  <c r="J5" i="3" s="1"/>
  <c r="H12" i="3"/>
  <c r="J12" i="3" s="1"/>
  <c r="E39" i="3"/>
  <c r="F39" i="3" s="1"/>
  <c r="E25" i="3" l="1"/>
  <c r="E60" i="3" s="1"/>
  <c r="M3" i="3"/>
  <c r="O3" i="3" s="1"/>
  <c r="O6" i="3" s="1"/>
  <c r="K6" i="3"/>
  <c r="H21" i="3"/>
  <c r="J21" i="3" s="1"/>
  <c r="M11" i="3"/>
  <c r="O11" i="3" s="1"/>
  <c r="K25" i="3"/>
  <c r="J8" i="3"/>
  <c r="K12" i="3"/>
  <c r="M12" i="3" s="1"/>
  <c r="O12" i="3" s="1"/>
  <c r="P12" i="3" s="1"/>
  <c r="R12" i="3" s="1"/>
  <c r="H39" i="3"/>
  <c r="J39" i="3" s="1"/>
  <c r="H9" i="3"/>
  <c r="J9" i="3" s="1"/>
  <c r="P9" i="3" s="1"/>
  <c r="R9" i="3" s="1"/>
  <c r="K8" i="3"/>
  <c r="M8" i="3" s="1"/>
  <c r="O8" i="3" s="1"/>
  <c r="R28" i="3"/>
  <c r="F42" i="3"/>
  <c r="P5" i="3"/>
  <c r="R5" i="3" s="1"/>
  <c r="J6" i="3"/>
  <c r="R27" i="3"/>
  <c r="H11" i="3"/>
  <c r="J11" i="3" s="1"/>
  <c r="F25" i="3"/>
  <c r="H13" i="3"/>
  <c r="J13" i="3" s="1"/>
  <c r="P4" i="3"/>
  <c r="R4" i="3" s="1"/>
  <c r="H6" i="3"/>
  <c r="G6" i="3" s="1"/>
  <c r="H10" i="3"/>
  <c r="F60" i="3" l="1"/>
  <c r="M6" i="3"/>
  <c r="P11" i="3"/>
  <c r="R11" i="3" s="1"/>
  <c r="K21" i="3"/>
  <c r="M21" i="3" s="1"/>
  <c r="O21" i="3" s="1"/>
  <c r="P21" i="3" s="1"/>
  <c r="R21" i="3" s="1"/>
  <c r="R29" i="3"/>
  <c r="K42" i="3"/>
  <c r="K60" i="3" s="1"/>
  <c r="R30" i="3"/>
  <c r="K39" i="3"/>
  <c r="M39" i="3" s="1"/>
  <c r="O39" i="3" s="1"/>
  <c r="P39" i="3" s="1"/>
  <c r="R39" i="3" s="1"/>
  <c r="R26" i="3"/>
  <c r="J10" i="3"/>
  <c r="P8" i="3"/>
  <c r="I6" i="3"/>
  <c r="P3" i="3"/>
  <c r="P6" i="3" s="1"/>
  <c r="I63" i="3" l="1"/>
  <c r="M13" i="3"/>
  <c r="O13" i="3" s="1"/>
  <c r="P13" i="3" s="1"/>
  <c r="R13" i="3" s="1"/>
  <c r="P10" i="3"/>
  <c r="R10" i="3" s="1"/>
  <c r="R3" i="3"/>
  <c r="R6" i="3" s="1"/>
  <c r="R8" i="3"/>
  <c r="F14" i="3" l="1"/>
  <c r="H14" i="3" s="1"/>
  <c r="R31" i="3"/>
  <c r="J14" i="3" l="1"/>
  <c r="K14" i="3"/>
  <c r="E15" i="3" s="1"/>
  <c r="F15" i="3" s="1"/>
  <c r="H15" i="3" s="1"/>
  <c r="M14" i="3" l="1"/>
  <c r="O14" i="3" s="1"/>
  <c r="P14" i="3" s="1"/>
  <c r="K15" i="3"/>
  <c r="E16" i="3" s="1"/>
  <c r="F16" i="3" s="1"/>
  <c r="R32" i="3"/>
  <c r="J15" i="3"/>
  <c r="M15" i="3" l="1"/>
  <c r="O15" i="3" s="1"/>
  <c r="H16" i="3"/>
  <c r="R14" i="3"/>
  <c r="J16" i="3" l="1"/>
  <c r="K16" i="3"/>
  <c r="P15" i="3"/>
  <c r="R15" i="3" l="1"/>
  <c r="R33" i="3"/>
  <c r="M16" i="3"/>
  <c r="E17" i="3"/>
  <c r="F17" i="3" s="1"/>
  <c r="O16" i="3" l="1"/>
  <c r="H17" i="3"/>
  <c r="K17" i="3" l="1"/>
  <c r="J17" i="3"/>
  <c r="P16" i="3"/>
  <c r="R34" i="3" l="1"/>
  <c r="R16" i="3"/>
  <c r="M17" i="3"/>
  <c r="O17" i="3" s="1"/>
  <c r="P17" i="3" s="1"/>
  <c r="E18" i="3"/>
  <c r="F18" i="3" s="1"/>
  <c r="R17" i="3" l="1"/>
  <c r="R35" i="3"/>
  <c r="H18" i="3"/>
  <c r="J18" i="3" l="1"/>
  <c r="K18" i="3"/>
  <c r="R36" i="3" l="1"/>
  <c r="M18" i="3"/>
  <c r="O18" i="3" s="1"/>
  <c r="P18" i="3" s="1"/>
  <c r="R18" i="3" s="1"/>
  <c r="E19" i="3"/>
  <c r="F19" i="3" s="1"/>
  <c r="H19" i="3" l="1"/>
  <c r="J19" i="3" s="1"/>
  <c r="K19" i="3" l="1"/>
  <c r="R37" i="3" l="1"/>
  <c r="M19" i="3"/>
  <c r="O19" i="3" s="1"/>
  <c r="P19" i="3" s="1"/>
  <c r="R19" i="3" s="1"/>
  <c r="E20" i="3"/>
  <c r="F20" i="3" s="1"/>
  <c r="H20" i="3" l="1"/>
  <c r="J20" i="3" s="1"/>
  <c r="K20" i="3" l="1"/>
  <c r="E23" i="3" s="1"/>
  <c r="E41" i="3"/>
  <c r="F41" i="3" l="1"/>
  <c r="H41" i="3" s="1"/>
  <c r="J41" i="3" s="1"/>
  <c r="R38" i="3"/>
  <c r="M20" i="3"/>
  <c r="O20" i="3" s="1"/>
  <c r="P20" i="3" s="1"/>
  <c r="R20" i="3" s="1"/>
  <c r="K41" i="3" l="1"/>
  <c r="M41" i="3" s="1"/>
  <c r="O41" i="3" s="1"/>
  <c r="P41" i="3" s="1"/>
  <c r="R41" i="3" s="1"/>
  <c r="F23" i="3"/>
  <c r="H23" i="3" s="1"/>
  <c r="J23" i="3" s="1"/>
  <c r="K23" i="3" l="1"/>
  <c r="M23" i="3" l="1"/>
  <c r="O23" i="3" s="1"/>
  <c r="P23" i="3" s="1"/>
  <c r="R23" i="3" s="1"/>
  <c r="G24" i="3" l="1"/>
  <c r="H25" i="3"/>
  <c r="G25" i="3" s="1"/>
  <c r="H42" i="3"/>
  <c r="O25" i="3"/>
  <c r="H60" i="3" l="1"/>
  <c r="G60" i="3" s="1"/>
  <c r="G42" i="3"/>
  <c r="M25" i="3"/>
  <c r="L25" i="3" s="1"/>
  <c r="L24" i="3"/>
  <c r="N24" i="3"/>
  <c r="J42" i="3"/>
  <c r="O42" i="3"/>
  <c r="O60" i="3" s="1"/>
  <c r="M42" i="3"/>
  <c r="M60" i="3" s="1"/>
  <c r="I24" i="3"/>
  <c r="J25" i="3"/>
  <c r="I25" i="3" s="1"/>
  <c r="R25" i="3"/>
  <c r="N25" i="3" l="1"/>
  <c r="I64" i="3"/>
  <c r="J60" i="3"/>
  <c r="I60" i="3" s="1"/>
  <c r="L42" i="3"/>
  <c r="I42" i="3"/>
  <c r="N42" i="3"/>
  <c r="P42" i="3"/>
  <c r="P60" i="3" s="1"/>
  <c r="I66" i="3" l="1"/>
  <c r="R42" i="3"/>
  <c r="R60" i="3" s="1"/>
  <c r="S60" i="3" s="1"/>
  <c r="T60" i="3" s="1"/>
  <c r="L60" i="3"/>
  <c r="I67" i="3" l="1"/>
  <c r="N60" i="3"/>
</calcChain>
</file>

<file path=xl/sharedStrings.xml><?xml version="1.0" encoding="utf-8"?>
<sst xmlns="http://schemas.openxmlformats.org/spreadsheetml/2006/main" count="146" uniqueCount="69">
  <si>
    <t>Estimated number of respondents</t>
  </si>
  <si>
    <t>Frequency of Response</t>
  </si>
  <si>
    <t>Estimated Annual Burden (hours)</t>
  </si>
  <si>
    <t>Responsive</t>
  </si>
  <si>
    <t>Non-Responsive</t>
  </si>
  <si>
    <t>Total Annual Responses</t>
  </si>
  <si>
    <t xml:space="preserve">Data Collection Activity </t>
  </si>
  <si>
    <t>Estimated Total Annual Hour Burden</t>
  </si>
  <si>
    <t>Hours per Response</t>
  </si>
  <si>
    <t>TOTAL REPORTING BURDEN</t>
  </si>
  <si>
    <t>Business</t>
  </si>
  <si>
    <t xml:space="preserve">State/local government </t>
  </si>
  <si>
    <t>Subtotal (All State/local government)</t>
  </si>
  <si>
    <t>Subtotal (SFAs: Public Schools)</t>
  </si>
  <si>
    <t>Hourly wage rate</t>
  </si>
  <si>
    <t>Estimated number of non-respondents*</t>
  </si>
  <si>
    <t>Notes:</t>
  </si>
  <si>
    <t>Subtotal (States)</t>
  </si>
  <si>
    <t>* For the totals in the column labeled "Estimated number of non-respondents," only those who will never respond are counted as unique non-respondents.</t>
  </si>
  <si>
    <t>Not for Profit</t>
  </si>
  <si>
    <t>Subtotal (Business)</t>
  </si>
  <si>
    <t>Subtotal (Not for profit)</t>
  </si>
  <si>
    <t>State Child Nutrition directors</t>
  </si>
  <si>
    <t>SFA directors: Public schools</t>
  </si>
  <si>
    <t>SFA directors: Private schools</t>
  </si>
  <si>
    <t>SFA directors: Not for profit schools</t>
  </si>
  <si>
    <t xml:space="preserve">Total Respondents </t>
  </si>
  <si>
    <t>Total Responses</t>
  </si>
  <si>
    <t>Responses per Respondent</t>
  </si>
  <si>
    <t>Total Hours</t>
  </si>
  <si>
    <t>Type of Respondent</t>
  </si>
  <si>
    <t>Recruitment email from FNS to State Child Nutrition directors</t>
  </si>
  <si>
    <t>Respondent Category</t>
  </si>
  <si>
    <t>Sample Size</t>
  </si>
  <si>
    <t>Appendix</t>
  </si>
  <si>
    <t>C.2</t>
  </si>
  <si>
    <t>Census introductory email from state Child Nutrition directors to SFAs</t>
  </si>
  <si>
    <t>C.3</t>
  </si>
  <si>
    <t>Initial Census recruitment email from study team to SFAs</t>
  </si>
  <si>
    <t>C.4</t>
  </si>
  <si>
    <t xml:space="preserve">Introductory email request from study team to state Child Nutrition directors </t>
  </si>
  <si>
    <t>C.1</t>
  </si>
  <si>
    <t xml:space="preserve">Reminder request emails from regional leads to state Child Nutrition directors </t>
  </si>
  <si>
    <t>C.6</t>
  </si>
  <si>
    <t>B.3</t>
  </si>
  <si>
    <t>B.2</t>
  </si>
  <si>
    <t>B.1</t>
  </si>
  <si>
    <t>C.5</t>
  </si>
  <si>
    <t>C.9</t>
  </si>
  <si>
    <t>Preparation worksheet</t>
  </si>
  <si>
    <t>Survey instrument</t>
  </si>
  <si>
    <t xml:space="preserve">Frequently asked questions </t>
  </si>
  <si>
    <t xml:space="preserve">Reminder email #1 </t>
  </si>
  <si>
    <t xml:space="preserve">Reminder email #2 </t>
  </si>
  <si>
    <t xml:space="preserve">Reminder email #3 </t>
  </si>
  <si>
    <t xml:space="preserve">Reminder email #4 </t>
  </si>
  <si>
    <t xml:space="preserve">Reminder email #5 </t>
  </si>
  <si>
    <t xml:space="preserve">Reminder email #6 </t>
  </si>
  <si>
    <t xml:space="preserve">Reminder email #7 </t>
  </si>
  <si>
    <t xml:space="preserve">Reminder email #8 </t>
  </si>
  <si>
    <t xml:space="preserve">Reminder emails from State Child Nutrition Directors to SFAs </t>
  </si>
  <si>
    <t>Follow-up telephone script</t>
  </si>
  <si>
    <t>C.7</t>
  </si>
  <si>
    <t>Reminder letter from study team to SFAs</t>
  </si>
  <si>
    <t>C.8</t>
  </si>
  <si>
    <t xml:space="preserve">Total Annual Cost Burden 
</t>
  </si>
  <si>
    <t>Fully-Loaded Total Annual Cost Burden</t>
  </si>
  <si>
    <t>Fully-Loaded Wage Rate</t>
  </si>
  <si>
    <t>Survey instrument pre-test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</si>
</sst>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3" fontId="2" fillId="0" borderId="1" xfId="0" applyNumberFormat="1" applyFont="1" applyFill="1" applyBorder="1" applyAlignment="1">
      <alignment horizontal="right" vertical="top"/>
    </xf>
    <xf numFmtId="2" fontId="2" fillId="0" borderId="1" xfId="0" applyNumberFormat="1" applyFont="1" applyFill="1" applyBorder="1" applyAlignment="1">
      <alignment horizontal="right" vertical="top" wrapText="1"/>
    </xf>
    <xf numFmtId="43" fontId="2" fillId="0" borderId="1" xfId="1" applyFont="1" applyFill="1" applyBorder="1" applyAlignment="1">
      <alignment horizontal="right"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1" fontId="2" fillId="0" borderId="1" xfId="1" applyNumberFormat="1" applyFont="1" applyFill="1" applyBorder="1" applyAlignment="1">
      <alignment horizontal="right" vertical="top" wrapText="1"/>
    </xf>
    <xf numFmtId="164" fontId="2" fillId="0" borderId="1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2" fontId="2" fillId="0" borderId="1" xfId="1" applyNumberFormat="1" applyFont="1" applyFill="1" applyBorder="1" applyAlignment="1">
      <alignment horizontal="right" vertical="top" wrapText="1"/>
    </xf>
    <xf numFmtId="164" fontId="2" fillId="0" borderId="1" xfId="1" applyNumberFormat="1" applyFont="1" applyFill="1" applyBorder="1" applyAlignment="1">
      <alignment horizontal="right" vertical="top"/>
    </xf>
    <xf numFmtId="1" fontId="2" fillId="0" borderId="1" xfId="0" applyNumberFormat="1" applyFont="1" applyFill="1" applyBorder="1" applyAlignment="1">
      <alignment horizontal="right" vertical="top" wrapText="1"/>
    </xf>
    <xf numFmtId="44" fontId="2" fillId="0" borderId="1" xfId="2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0" fontId="4" fillId="6" borderId="1" xfId="0" applyFont="1" applyFill="1" applyBorder="1" applyAlignment="1">
      <alignment horizontal="left" vertical="top" wrapText="1"/>
    </xf>
    <xf numFmtId="164" fontId="3" fillId="6" borderId="1" xfId="1" applyNumberFormat="1" applyFont="1" applyFill="1" applyBorder="1" applyAlignment="1">
      <alignment horizontal="right" vertical="top"/>
    </xf>
    <xf numFmtId="2" fontId="3" fillId="6" borderId="1" xfId="1" applyNumberFormat="1" applyFont="1" applyFill="1" applyBorder="1" applyAlignment="1">
      <alignment horizontal="right" vertical="top"/>
    </xf>
    <xf numFmtId="43" fontId="3" fillId="6" borderId="1" xfId="1" applyFont="1" applyFill="1" applyBorder="1" applyAlignment="1">
      <alignment horizontal="right" vertical="top" wrapText="1"/>
    </xf>
    <xf numFmtId="2" fontId="3" fillId="6" borderId="1" xfId="1" applyNumberFormat="1" applyFont="1" applyFill="1" applyBorder="1" applyAlignment="1">
      <alignment horizontal="right" vertical="top" wrapText="1"/>
    </xf>
    <xf numFmtId="44" fontId="3" fillId="6" borderId="1" xfId="2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center" vertical="top"/>
    </xf>
    <xf numFmtId="44" fontId="2" fillId="7" borderId="1" xfId="2" applyFont="1" applyFill="1" applyBorder="1" applyAlignment="1">
      <alignment horizontal="right" vertical="top"/>
    </xf>
    <xf numFmtId="0" fontId="2" fillId="5" borderId="0" xfId="0" applyFont="1" applyFill="1" applyAlignment="1">
      <alignment horizontal="center" vertical="top"/>
    </xf>
    <xf numFmtId="164" fontId="3" fillId="4" borderId="1" xfId="1" applyNumberFormat="1" applyFont="1" applyFill="1" applyBorder="1" applyAlignment="1">
      <alignment horizontal="right" vertical="top"/>
    </xf>
    <xf numFmtId="2" fontId="3" fillId="4" borderId="1" xfId="1" applyNumberFormat="1" applyFont="1" applyFill="1" applyBorder="1" applyAlignment="1">
      <alignment horizontal="right" vertical="top"/>
    </xf>
    <xf numFmtId="43" fontId="3" fillId="4" borderId="1" xfId="1" applyNumberFormat="1" applyFont="1" applyFill="1" applyBorder="1" applyAlignment="1">
      <alignment horizontal="right" vertical="top"/>
    </xf>
    <xf numFmtId="43" fontId="3" fillId="4" borderId="1" xfId="1" applyFont="1" applyFill="1" applyBorder="1" applyAlignment="1">
      <alignment horizontal="right" vertical="top"/>
    </xf>
    <xf numFmtId="44" fontId="3" fillId="4" borderId="1" xfId="2" applyFont="1" applyFill="1" applyBorder="1" applyAlignment="1">
      <alignment horizontal="right" vertical="top"/>
    </xf>
    <xf numFmtId="43" fontId="3" fillId="4" borderId="1" xfId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/>
    </xf>
    <xf numFmtId="2" fontId="3" fillId="2" borderId="1" xfId="1" applyNumberFormat="1" applyFont="1" applyFill="1" applyBorder="1" applyAlignment="1">
      <alignment horizontal="right" vertical="top"/>
    </xf>
    <xf numFmtId="43" fontId="3" fillId="2" borderId="1" xfId="1" applyFont="1" applyFill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164" fontId="3" fillId="0" borderId="0" xfId="0" applyNumberFormat="1" applyFont="1" applyFill="1" applyBorder="1" applyAlignment="1">
      <alignment horizontal="right" vertical="top"/>
    </xf>
    <xf numFmtId="2" fontId="3" fillId="0" borderId="0" xfId="1" applyNumberFormat="1" applyFont="1" applyFill="1" applyBorder="1" applyAlignment="1">
      <alignment horizontal="right" vertical="top"/>
    </xf>
    <xf numFmtId="37" fontId="3" fillId="0" borderId="0" xfId="1" applyNumberFormat="1" applyFont="1" applyFill="1" applyBorder="1" applyAlignment="1">
      <alignment horizontal="right" vertical="top"/>
    </xf>
    <xf numFmtId="43" fontId="3" fillId="0" borderId="0" xfId="1" applyFont="1" applyFill="1" applyBorder="1" applyAlignment="1">
      <alignment horizontal="right" vertical="top"/>
    </xf>
    <xf numFmtId="44" fontId="3" fillId="0" borderId="0" xfId="2" applyFont="1" applyFill="1" applyBorder="1" applyAlignment="1">
      <alignment horizontal="right" vertical="top"/>
    </xf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right" vertical="top"/>
    </xf>
    <xf numFmtId="44" fontId="2" fillId="0" borderId="0" xfId="2" applyFont="1" applyFill="1" applyAlignment="1">
      <alignment horizontal="right" vertical="top"/>
    </xf>
    <xf numFmtId="0" fontId="2" fillId="0" borderId="0" xfId="0" applyFont="1" applyAlignment="1">
      <alignment horizontal="right" vertical="top"/>
    </xf>
    <xf numFmtId="44" fontId="2" fillId="0" borderId="0" xfId="2" applyFont="1" applyAlignment="1">
      <alignment horizontal="right" vertical="top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4" fontId="3" fillId="3" borderId="1" xfId="1" applyNumberFormat="1" applyFont="1" applyFill="1" applyBorder="1" applyAlignment="1">
      <alignment horizontal="center" vertical="center" wrapText="1"/>
    </xf>
    <xf numFmtId="1" fontId="3" fillId="6" borderId="1" xfId="1" applyNumberFormat="1" applyFont="1" applyFill="1" applyBorder="1" applyAlignment="1">
      <alignment horizontal="right" vertical="top"/>
    </xf>
    <xf numFmtId="44" fontId="2" fillId="0" borderId="1" xfId="2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top"/>
    </xf>
    <xf numFmtId="0" fontId="4" fillId="6" borderId="4" xfId="0" applyFont="1" applyFill="1" applyBorder="1" applyAlignment="1">
      <alignment horizontal="left" vertical="top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164" fontId="3" fillId="2" borderId="1" xfId="1" applyNumberFormat="1" applyFont="1" applyFill="1" applyBorder="1" applyAlignment="1">
      <alignment horizontal="right" vertical="top"/>
    </xf>
    <xf numFmtId="164" fontId="3" fillId="0" borderId="0" xfId="1" applyNumberFormat="1" applyFont="1" applyFill="1" applyBorder="1" applyAlignment="1">
      <alignment horizontal="right" vertical="top"/>
    </xf>
    <xf numFmtId="164" fontId="2" fillId="0" borderId="0" xfId="0" applyNumberFormat="1" applyFont="1" applyFill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0" fontId="3" fillId="0" borderId="0" xfId="0" applyFont="1" applyFill="1" applyAlignment="1">
      <alignment horizontal="right" vertical="top"/>
    </xf>
    <xf numFmtId="0" fontId="3" fillId="0" borderId="0" xfId="0" applyFont="1" applyAlignment="1">
      <alignment horizontal="right" vertical="top"/>
    </xf>
    <xf numFmtId="43" fontId="3" fillId="0" borderId="0" xfId="1" applyNumberFormat="1" applyFont="1" applyAlignment="1">
      <alignment horizontal="right" vertical="top"/>
    </xf>
    <xf numFmtId="43" fontId="2" fillId="0" borderId="0" xfId="0" applyNumberFormat="1" applyFont="1" applyAlignment="1">
      <alignment horizontal="right" vertical="top"/>
    </xf>
    <xf numFmtId="43" fontId="3" fillId="0" borderId="0" xfId="1" applyNumberFormat="1" applyFont="1" applyFill="1" applyAlignment="1">
      <alignment horizontal="right" vertical="top"/>
    </xf>
    <xf numFmtId="0" fontId="4" fillId="4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44" fontId="3" fillId="2" borderId="1" xfId="0" applyNumberFormat="1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left" vertical="top" wrapText="1"/>
    </xf>
    <xf numFmtId="166" fontId="3" fillId="0" borderId="0" xfId="3" applyNumberFormat="1" applyFont="1" applyAlignment="1">
      <alignment horizontal="right" vertical="top"/>
    </xf>
    <xf numFmtId="44" fontId="3" fillId="2" borderId="0" xfId="0" applyNumberFormat="1" applyFont="1" applyFill="1" applyAlignment="1">
      <alignment horizontal="center" vertical="top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4" fontId="3" fillId="3" borderId="2" xfId="2" applyFont="1" applyFill="1" applyBorder="1" applyAlignment="1">
      <alignment horizontal="center" vertical="center" wrapText="1"/>
    </xf>
    <xf numFmtId="44" fontId="3" fillId="3" borderId="4" xfId="2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/>
    </xf>
    <xf numFmtId="43" fontId="3" fillId="6" borderId="1" xfId="1" applyNumberFormat="1" applyFont="1" applyFill="1" applyBorder="1" applyAlignment="1">
      <alignment horizontal="right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3"/>
  <sheetViews>
    <sheetView tabSelected="1" zoomScale="80" zoomScaleNormal="80" workbookViewId="0">
      <pane xSplit="1" ySplit="2" topLeftCell="D38" activePane="bottomRight" state="frozen"/>
      <selection pane="topRight" activeCell="B1" sqref="B1"/>
      <selection pane="bottomLeft" activeCell="A3" sqref="A3"/>
      <selection pane="bottomRight" activeCell="J24" sqref="J24"/>
    </sheetView>
  </sheetViews>
  <sheetFormatPr defaultColWidth="9.140625" defaultRowHeight="12.75" x14ac:dyDescent="0.25"/>
  <cols>
    <col min="1" max="1" width="24.140625" style="7" customWidth="1"/>
    <col min="2" max="2" width="15.85546875" style="7" customWidth="1"/>
    <col min="3" max="3" width="64.85546875" style="32" customWidth="1"/>
    <col min="4" max="4" width="10.42578125" style="32" customWidth="1"/>
    <col min="5" max="5" width="10.28515625" style="46" customWidth="1"/>
    <col min="6" max="6" width="14.140625" style="46" customWidth="1"/>
    <col min="7" max="7" width="12" style="63" customWidth="1"/>
    <col min="8" max="8" width="17.7109375" style="46" customWidth="1"/>
    <col min="9" max="9" width="11.5703125" style="46" customWidth="1"/>
    <col min="10" max="10" width="15.42578125" style="46" customWidth="1"/>
    <col min="11" max="11" width="15" style="46" customWidth="1"/>
    <col min="12" max="12" width="11.85546875" style="46" customWidth="1"/>
    <col min="13" max="13" width="12.85546875" style="46" customWidth="1"/>
    <col min="14" max="14" width="11.85546875" style="46" customWidth="1"/>
    <col min="15" max="15" width="13.140625" style="46" customWidth="1"/>
    <col min="16" max="16" width="13" style="46" customWidth="1"/>
    <col min="17" max="17" width="9" style="46" customWidth="1"/>
    <col min="18" max="18" width="16.7109375" style="47" customWidth="1"/>
    <col min="19" max="19" width="13.140625" style="7" customWidth="1"/>
    <col min="20" max="20" width="13.7109375" style="7" customWidth="1"/>
    <col min="21" max="16384" width="9.140625" style="7"/>
  </cols>
  <sheetData>
    <row r="1" spans="1:18" s="20" customFormat="1" ht="14.45" customHeight="1" x14ac:dyDescent="0.25">
      <c r="A1" s="76" t="s">
        <v>32</v>
      </c>
      <c r="B1" s="76" t="s">
        <v>30</v>
      </c>
      <c r="C1" s="76" t="s">
        <v>6</v>
      </c>
      <c r="D1" s="89" t="s">
        <v>34</v>
      </c>
      <c r="E1" s="94" t="s">
        <v>33</v>
      </c>
      <c r="F1" s="95" t="s">
        <v>3</v>
      </c>
      <c r="G1" s="95"/>
      <c r="H1" s="95"/>
      <c r="I1" s="95"/>
      <c r="J1" s="95"/>
      <c r="K1" s="95" t="s">
        <v>4</v>
      </c>
      <c r="L1" s="95"/>
      <c r="M1" s="95"/>
      <c r="N1" s="95"/>
      <c r="O1" s="95"/>
      <c r="P1" s="91" t="s">
        <v>7</v>
      </c>
      <c r="Q1" s="92" t="s">
        <v>14</v>
      </c>
      <c r="R1" s="92" t="s">
        <v>65</v>
      </c>
    </row>
    <row r="2" spans="1:18" s="12" customFormat="1" ht="38.25" x14ac:dyDescent="0.25">
      <c r="A2" s="76"/>
      <c r="B2" s="76"/>
      <c r="C2" s="76"/>
      <c r="D2" s="90"/>
      <c r="E2" s="94"/>
      <c r="F2" s="50" t="s">
        <v>0</v>
      </c>
      <c r="G2" s="55" t="s">
        <v>1</v>
      </c>
      <c r="H2" s="50" t="s">
        <v>5</v>
      </c>
      <c r="I2" s="50" t="s">
        <v>8</v>
      </c>
      <c r="J2" s="50" t="s">
        <v>2</v>
      </c>
      <c r="K2" s="50" t="s">
        <v>15</v>
      </c>
      <c r="L2" s="50" t="s">
        <v>1</v>
      </c>
      <c r="M2" s="50" t="s">
        <v>5</v>
      </c>
      <c r="N2" s="50" t="s">
        <v>8</v>
      </c>
      <c r="O2" s="50" t="s">
        <v>2</v>
      </c>
      <c r="P2" s="90"/>
      <c r="Q2" s="93"/>
      <c r="R2" s="93"/>
    </row>
    <row r="3" spans="1:18" s="12" customFormat="1" ht="12.75" customHeight="1" x14ac:dyDescent="0.25">
      <c r="A3" s="82" t="s">
        <v>11</v>
      </c>
      <c r="B3" s="82" t="s">
        <v>22</v>
      </c>
      <c r="C3" s="42" t="s">
        <v>31</v>
      </c>
      <c r="D3" s="48" t="s">
        <v>41</v>
      </c>
      <c r="E3" s="6">
        <v>56</v>
      </c>
      <c r="F3" s="6">
        <v>56</v>
      </c>
      <c r="G3" s="6">
        <v>1</v>
      </c>
      <c r="H3" s="9">
        <f t="shared" ref="H3" si="0">F3*G3</f>
        <v>56</v>
      </c>
      <c r="I3" s="58">
        <v>6.6799999999999998E-2</v>
      </c>
      <c r="J3" s="8">
        <f>(I3)*H3</f>
        <v>3.7408000000000001</v>
      </c>
      <c r="K3" s="4">
        <f t="shared" ref="K3" si="1">E3-F3</f>
        <v>0</v>
      </c>
      <c r="L3" s="5">
        <v>0</v>
      </c>
      <c r="M3" s="10">
        <f t="shared" ref="M3" si="2">+K3*L3</f>
        <v>0</v>
      </c>
      <c r="N3" s="8">
        <v>0</v>
      </c>
      <c r="O3" s="8">
        <f>(N3)*M3</f>
        <v>0</v>
      </c>
      <c r="P3" s="2">
        <f>J3 +O3</f>
        <v>3.7408000000000001</v>
      </c>
      <c r="Q3" s="11">
        <v>42.92</v>
      </c>
      <c r="R3" s="11">
        <f>Q3*P3</f>
        <v>160.555136</v>
      </c>
    </row>
    <row r="4" spans="1:18" s="12" customFormat="1" x14ac:dyDescent="0.25">
      <c r="A4" s="83"/>
      <c r="B4" s="83"/>
      <c r="C4" s="42" t="s">
        <v>40</v>
      </c>
      <c r="D4" s="48" t="s">
        <v>35</v>
      </c>
      <c r="E4" s="6">
        <v>56</v>
      </c>
      <c r="F4" s="6">
        <v>56</v>
      </c>
      <c r="G4" s="59">
        <v>1</v>
      </c>
      <c r="H4" s="1">
        <f>F4*G4</f>
        <v>56</v>
      </c>
      <c r="I4" s="2">
        <v>0.5</v>
      </c>
      <c r="J4" s="3">
        <f>H4*I4</f>
        <v>28</v>
      </c>
      <c r="K4" s="4">
        <f>E4-F4</f>
        <v>0</v>
      </c>
      <c r="L4" s="10">
        <v>0</v>
      </c>
      <c r="M4" s="5">
        <f>+K4*L4</f>
        <v>0</v>
      </c>
      <c r="N4" s="2">
        <v>0</v>
      </c>
      <c r="O4" s="2">
        <f>+M4*N4</f>
        <v>0</v>
      </c>
      <c r="P4" s="13">
        <f>J4+O4</f>
        <v>28</v>
      </c>
      <c r="Q4" s="11">
        <v>42.92</v>
      </c>
      <c r="R4" s="11">
        <f t="shared" ref="R4:R5" si="3">Q4*P4</f>
        <v>1201.76</v>
      </c>
    </row>
    <row r="5" spans="1:18" s="12" customFormat="1" x14ac:dyDescent="0.25">
      <c r="A5" s="83"/>
      <c r="B5" s="84"/>
      <c r="C5" s="42" t="s">
        <v>42</v>
      </c>
      <c r="D5" s="48" t="s">
        <v>43</v>
      </c>
      <c r="E5" s="6">
        <v>56</v>
      </c>
      <c r="F5" s="6">
        <v>56</v>
      </c>
      <c r="G5" s="6">
        <v>2</v>
      </c>
      <c r="H5" s="9">
        <f>F5*G5</f>
        <v>112</v>
      </c>
      <c r="I5" s="8">
        <v>0.5</v>
      </c>
      <c r="J5" s="8">
        <f>(I5)*H5</f>
        <v>56</v>
      </c>
      <c r="K5" s="4">
        <f t="shared" ref="K5" si="4">E5-F5</f>
        <v>0</v>
      </c>
      <c r="L5" s="5">
        <v>0</v>
      </c>
      <c r="M5" s="10">
        <f t="shared" ref="M5:M23" si="5">+K5*L5</f>
        <v>0</v>
      </c>
      <c r="N5" s="8">
        <v>0</v>
      </c>
      <c r="O5" s="8">
        <f>(N5)*M5</f>
        <v>0</v>
      </c>
      <c r="P5" s="2">
        <f>J5 +O5</f>
        <v>56</v>
      </c>
      <c r="Q5" s="11">
        <v>42.92</v>
      </c>
      <c r="R5" s="11">
        <f t="shared" si="3"/>
        <v>2403.52</v>
      </c>
    </row>
    <row r="6" spans="1:18" s="20" customFormat="1" ht="15" customHeight="1" x14ac:dyDescent="0.25">
      <c r="A6" s="83"/>
      <c r="B6" s="56"/>
      <c r="C6" s="54" t="s">
        <v>17</v>
      </c>
      <c r="D6" s="54"/>
      <c r="E6" s="15">
        <f>E3</f>
        <v>56</v>
      </c>
      <c r="F6" s="15">
        <f>E6</f>
        <v>56</v>
      </c>
      <c r="G6" s="15">
        <f>H6/F6</f>
        <v>4</v>
      </c>
      <c r="H6" s="15">
        <f>SUM(H3:H5)</f>
        <v>224</v>
      </c>
      <c r="I6" s="16">
        <f>J6/H6</f>
        <v>0.39170000000000005</v>
      </c>
      <c r="J6" s="17">
        <f>SUM(J3:J5)</f>
        <v>87.740800000000007</v>
      </c>
      <c r="K6" s="51">
        <f>K3</f>
        <v>0</v>
      </c>
      <c r="L6" s="51">
        <f>L3</f>
        <v>0</v>
      </c>
      <c r="M6" s="51">
        <f>SUM(M3:M5)</f>
        <v>0</v>
      </c>
      <c r="N6" s="16">
        <v>0</v>
      </c>
      <c r="O6" s="18">
        <f>SUM(O3:O5)</f>
        <v>0</v>
      </c>
      <c r="P6" s="17">
        <f>SUM(P3:P5)</f>
        <v>87.740800000000007</v>
      </c>
      <c r="Q6" s="17"/>
      <c r="R6" s="19">
        <f>SUM(R3:R5)</f>
        <v>3765.8351359999997</v>
      </c>
    </row>
    <row r="7" spans="1:18" s="20" customFormat="1" x14ac:dyDescent="0.25">
      <c r="A7" s="83"/>
      <c r="B7" s="88" t="s">
        <v>23</v>
      </c>
      <c r="C7" s="41" t="s">
        <v>68</v>
      </c>
      <c r="D7" s="97" t="s">
        <v>46</v>
      </c>
      <c r="E7" s="96">
        <v>9</v>
      </c>
      <c r="F7" s="96">
        <v>9</v>
      </c>
      <c r="G7" s="96">
        <v>1</v>
      </c>
      <c r="H7" s="1">
        <f>+F7*G7</f>
        <v>9</v>
      </c>
      <c r="I7" s="96">
        <v>1</v>
      </c>
      <c r="J7" s="3">
        <f>+H7*I7</f>
        <v>9</v>
      </c>
      <c r="K7" s="4">
        <f t="shared" ref="K7" si="6">E7-F7</f>
        <v>0</v>
      </c>
      <c r="L7" s="5">
        <v>0</v>
      </c>
      <c r="M7" s="10">
        <f t="shared" ref="M7" si="7">+K7*L7</f>
        <v>0</v>
      </c>
      <c r="N7" s="8">
        <v>0</v>
      </c>
      <c r="O7" s="8">
        <f>(N7)*M7</f>
        <v>0</v>
      </c>
      <c r="P7" s="13">
        <f>J7+O7</f>
        <v>9</v>
      </c>
      <c r="Q7" s="11">
        <v>30.56</v>
      </c>
      <c r="R7" s="52">
        <f>Q7*P7</f>
        <v>275.03999999999996</v>
      </c>
    </row>
    <row r="8" spans="1:18" s="20" customFormat="1" x14ac:dyDescent="0.25">
      <c r="A8" s="83"/>
      <c r="B8" s="88"/>
      <c r="C8" s="42" t="s">
        <v>36</v>
      </c>
      <c r="D8" s="48" t="s">
        <v>37</v>
      </c>
      <c r="E8" s="4">
        <v>15700</v>
      </c>
      <c r="F8" s="4">
        <f>0.72*E8</f>
        <v>11304</v>
      </c>
      <c r="G8" s="59">
        <v>1</v>
      </c>
      <c r="H8" s="1">
        <f>+F8*G8</f>
        <v>11304</v>
      </c>
      <c r="I8" s="58">
        <v>6.6799999999999998E-2</v>
      </c>
      <c r="J8" s="3">
        <f>+H8*I8</f>
        <v>755.10720000000003</v>
      </c>
      <c r="K8" s="4">
        <f>E8-F8</f>
        <v>4396</v>
      </c>
      <c r="L8" s="10">
        <v>1</v>
      </c>
      <c r="M8" s="6">
        <f>+K8*L8</f>
        <v>4396</v>
      </c>
      <c r="N8" s="57">
        <v>3.3399999999999999E-2</v>
      </c>
      <c r="O8" s="2">
        <f>+M8*N8</f>
        <v>146.82640000000001</v>
      </c>
      <c r="P8" s="13">
        <f>J8+O8</f>
        <v>901.93360000000007</v>
      </c>
      <c r="Q8" s="11">
        <v>30.56</v>
      </c>
      <c r="R8" s="52">
        <f>Q8*P8</f>
        <v>27563.090816</v>
      </c>
    </row>
    <row r="9" spans="1:18" s="20" customFormat="1" x14ac:dyDescent="0.25">
      <c r="A9" s="83"/>
      <c r="B9" s="88"/>
      <c r="C9" s="42" t="s">
        <v>38</v>
      </c>
      <c r="D9" s="48" t="s">
        <v>39</v>
      </c>
      <c r="E9" s="4">
        <f>E8</f>
        <v>15700</v>
      </c>
      <c r="F9" s="4">
        <f>0.72*E9</f>
        <v>11304</v>
      </c>
      <c r="G9" s="59">
        <v>1</v>
      </c>
      <c r="H9" s="1">
        <f>+F9*G9</f>
        <v>11304</v>
      </c>
      <c r="I9" s="58">
        <v>6.6799999999999998E-2</v>
      </c>
      <c r="J9" s="3">
        <f>+H9*I9</f>
        <v>755.10720000000003</v>
      </c>
      <c r="K9" s="4">
        <f t="shared" ref="K9:K11" si="8">E9-F9</f>
        <v>4396</v>
      </c>
      <c r="L9" s="10">
        <v>1</v>
      </c>
      <c r="M9" s="6">
        <f>+K9*L9</f>
        <v>4396</v>
      </c>
      <c r="N9" s="57">
        <v>3.3399999999999999E-2</v>
      </c>
      <c r="O9" s="2">
        <f>+M9*N9</f>
        <v>146.82640000000001</v>
      </c>
      <c r="P9" s="13">
        <f>J9+O9</f>
        <v>901.93360000000007</v>
      </c>
      <c r="Q9" s="11">
        <v>30.56</v>
      </c>
      <c r="R9" s="52">
        <f t="shared" ref="R9:R23" si="9">Q9*P9</f>
        <v>27563.090816</v>
      </c>
    </row>
    <row r="10" spans="1:18" s="20" customFormat="1" x14ac:dyDescent="0.25">
      <c r="A10" s="83"/>
      <c r="B10" s="88"/>
      <c r="C10" s="42" t="s">
        <v>49</v>
      </c>
      <c r="D10" s="48" t="s">
        <v>44</v>
      </c>
      <c r="E10" s="4">
        <f>E8</f>
        <v>15700</v>
      </c>
      <c r="F10" s="4">
        <f>E10*0.5*0.72</f>
        <v>5652</v>
      </c>
      <c r="G10" s="59">
        <v>1</v>
      </c>
      <c r="H10" s="1">
        <f>+F10*G10</f>
        <v>5652</v>
      </c>
      <c r="I10" s="2">
        <v>0.5</v>
      </c>
      <c r="J10" s="3">
        <f>+H10*I10</f>
        <v>2826</v>
      </c>
      <c r="K10" s="4">
        <f t="shared" si="8"/>
        <v>10048</v>
      </c>
      <c r="L10" s="10">
        <v>1</v>
      </c>
      <c r="M10" s="6">
        <f>+K10*L10</f>
        <v>10048</v>
      </c>
      <c r="N10" s="57">
        <v>3.3399999999999999E-2</v>
      </c>
      <c r="O10" s="2">
        <f>+M10*N10</f>
        <v>335.60320000000002</v>
      </c>
      <c r="P10" s="13">
        <f>J10+O10</f>
        <v>3161.6032</v>
      </c>
      <c r="Q10" s="11">
        <v>30.56</v>
      </c>
      <c r="R10" s="52">
        <f t="shared" si="9"/>
        <v>96618.593792</v>
      </c>
    </row>
    <row r="11" spans="1:18" s="20" customFormat="1" x14ac:dyDescent="0.25">
      <c r="A11" s="83"/>
      <c r="B11" s="88"/>
      <c r="C11" s="42" t="s">
        <v>50</v>
      </c>
      <c r="D11" s="48" t="s">
        <v>46</v>
      </c>
      <c r="E11" s="4">
        <f>E8</f>
        <v>15700</v>
      </c>
      <c r="F11" s="4">
        <f>0.72*E11</f>
        <v>11304</v>
      </c>
      <c r="G11" s="59">
        <v>1</v>
      </c>
      <c r="H11" s="1">
        <f>+F11*G11</f>
        <v>11304</v>
      </c>
      <c r="I11" s="2">
        <v>0.5</v>
      </c>
      <c r="J11" s="3">
        <f>+H11*I11</f>
        <v>5652</v>
      </c>
      <c r="K11" s="4">
        <f t="shared" si="8"/>
        <v>4396</v>
      </c>
      <c r="L11" s="10">
        <v>1</v>
      </c>
      <c r="M11" s="6">
        <f>+K11*L11</f>
        <v>4396</v>
      </c>
      <c r="N11" s="57">
        <v>5.0099999999999999E-2</v>
      </c>
      <c r="O11" s="2">
        <f>+M11*N11</f>
        <v>220.2396</v>
      </c>
      <c r="P11" s="53">
        <f t="shared" ref="P11" si="10">+O11+J11</f>
        <v>5872.2395999999999</v>
      </c>
      <c r="Q11" s="11">
        <v>30.56</v>
      </c>
      <c r="R11" s="52">
        <f t="shared" si="9"/>
        <v>179455.64217599999</v>
      </c>
    </row>
    <row r="12" spans="1:18" s="20" customFormat="1" x14ac:dyDescent="0.25">
      <c r="A12" s="83"/>
      <c r="B12" s="88"/>
      <c r="C12" s="42" t="s">
        <v>51</v>
      </c>
      <c r="D12" s="48" t="s">
        <v>45</v>
      </c>
      <c r="E12" s="4">
        <f>E8</f>
        <v>15700</v>
      </c>
      <c r="F12" s="4">
        <v>7500</v>
      </c>
      <c r="G12" s="59">
        <v>1</v>
      </c>
      <c r="H12" s="1">
        <f t="shared" ref="H12" si="11">+F12*G12</f>
        <v>7500</v>
      </c>
      <c r="I12" s="2">
        <v>0.25</v>
      </c>
      <c r="J12" s="3">
        <f t="shared" ref="J12" si="12">+H12*I12</f>
        <v>1875</v>
      </c>
      <c r="K12" s="4">
        <f>E12-F12</f>
        <v>8200</v>
      </c>
      <c r="L12" s="10">
        <v>1</v>
      </c>
      <c r="M12" s="6">
        <f t="shared" ref="M12" si="13">+K12*L12</f>
        <v>8200</v>
      </c>
      <c r="N12" s="57">
        <v>3.3399999999999999E-2</v>
      </c>
      <c r="O12" s="2">
        <f t="shared" ref="O12" si="14">+M12*N12</f>
        <v>273.88</v>
      </c>
      <c r="P12" s="13">
        <f>J12+O12</f>
        <v>2148.88</v>
      </c>
      <c r="Q12" s="11">
        <v>30.56</v>
      </c>
      <c r="R12" s="52">
        <f t="shared" si="9"/>
        <v>65669.772800000006</v>
      </c>
    </row>
    <row r="13" spans="1:18" s="20" customFormat="1" x14ac:dyDescent="0.25">
      <c r="A13" s="83"/>
      <c r="B13" s="88"/>
      <c r="C13" s="42" t="s">
        <v>52</v>
      </c>
      <c r="D13" s="48" t="s">
        <v>47</v>
      </c>
      <c r="E13" s="4">
        <f>E11*0.94</f>
        <v>14758</v>
      </c>
      <c r="F13" s="4">
        <f>E13*0.06</f>
        <v>885.48</v>
      </c>
      <c r="G13" s="59">
        <v>1</v>
      </c>
      <c r="H13" s="1">
        <f t="shared" ref="H13:H23" si="15">+F13*G13</f>
        <v>885.48</v>
      </c>
      <c r="I13" s="57">
        <v>1.67E-2</v>
      </c>
      <c r="J13" s="3">
        <f t="shared" ref="J13:J23" si="16">+H13*I13</f>
        <v>14.787516</v>
      </c>
      <c r="K13" s="4">
        <f>E13-F13</f>
        <v>13872.52</v>
      </c>
      <c r="L13" s="10">
        <v>1</v>
      </c>
      <c r="M13" s="6">
        <f t="shared" si="5"/>
        <v>13872.52</v>
      </c>
      <c r="N13" s="57">
        <v>1.67E-2</v>
      </c>
      <c r="O13" s="2">
        <f t="shared" ref="O13:O23" si="17">+M13*N13</f>
        <v>231.67108400000001</v>
      </c>
      <c r="P13" s="13">
        <f t="shared" ref="P13:P23" si="18">J13+O13</f>
        <v>246.45860000000002</v>
      </c>
      <c r="Q13" s="11">
        <v>30.56</v>
      </c>
      <c r="R13" s="52">
        <f t="shared" si="9"/>
        <v>7531.7748160000001</v>
      </c>
    </row>
    <row r="14" spans="1:18" s="20" customFormat="1" x14ac:dyDescent="0.25">
      <c r="A14" s="83"/>
      <c r="B14" s="88"/>
      <c r="C14" s="42" t="s">
        <v>53</v>
      </c>
      <c r="D14" s="48" t="s">
        <v>47</v>
      </c>
      <c r="E14" s="4">
        <f>K13</f>
        <v>13872.52</v>
      </c>
      <c r="F14" s="4">
        <f t="shared" ref="F14:F20" si="19">E14*0.06</f>
        <v>832.35119999999995</v>
      </c>
      <c r="G14" s="59">
        <v>1</v>
      </c>
      <c r="H14" s="1">
        <f t="shared" si="15"/>
        <v>832.35119999999995</v>
      </c>
      <c r="I14" s="57">
        <v>1.67E-2</v>
      </c>
      <c r="J14" s="3">
        <f t="shared" si="16"/>
        <v>13.900265039999999</v>
      </c>
      <c r="K14" s="4">
        <f>E14-F14</f>
        <v>13040.168800000001</v>
      </c>
      <c r="L14" s="10">
        <v>1</v>
      </c>
      <c r="M14" s="6">
        <f t="shared" si="5"/>
        <v>13040.168800000001</v>
      </c>
      <c r="N14" s="57">
        <v>1.67E-2</v>
      </c>
      <c r="O14" s="2">
        <f t="shared" si="17"/>
        <v>217.77081896000001</v>
      </c>
      <c r="P14" s="13">
        <f t="shared" si="18"/>
        <v>231.67108400000001</v>
      </c>
      <c r="Q14" s="11">
        <v>30.56</v>
      </c>
      <c r="R14" s="52">
        <f t="shared" si="9"/>
        <v>7079.8683270399997</v>
      </c>
    </row>
    <row r="15" spans="1:18" s="20" customFormat="1" x14ac:dyDescent="0.25">
      <c r="A15" s="83"/>
      <c r="B15" s="88"/>
      <c r="C15" s="42" t="s">
        <v>54</v>
      </c>
      <c r="D15" s="48" t="s">
        <v>47</v>
      </c>
      <c r="E15" s="4">
        <f t="shared" ref="E15:E20" si="20">K14</f>
        <v>13040.168800000001</v>
      </c>
      <c r="F15" s="4">
        <f t="shared" si="19"/>
        <v>782.4101280000001</v>
      </c>
      <c r="G15" s="59">
        <v>1</v>
      </c>
      <c r="H15" s="1">
        <f t="shared" si="15"/>
        <v>782.4101280000001</v>
      </c>
      <c r="I15" s="57">
        <v>1.67E-2</v>
      </c>
      <c r="J15" s="3">
        <f t="shared" si="16"/>
        <v>13.066249137600002</v>
      </c>
      <c r="K15" s="4">
        <f t="shared" ref="K15:K23" si="21">E15-F15</f>
        <v>12257.758672000002</v>
      </c>
      <c r="L15" s="10">
        <v>1</v>
      </c>
      <c r="M15" s="6">
        <f t="shared" si="5"/>
        <v>12257.758672000002</v>
      </c>
      <c r="N15" s="57">
        <v>1.67E-2</v>
      </c>
      <c r="O15" s="2">
        <f t="shared" si="17"/>
        <v>204.70456982240003</v>
      </c>
      <c r="P15" s="13">
        <f t="shared" si="18"/>
        <v>217.77081896000004</v>
      </c>
      <c r="Q15" s="11">
        <v>30.56</v>
      </c>
      <c r="R15" s="21">
        <f t="shared" si="9"/>
        <v>6655.0762274176013</v>
      </c>
    </row>
    <row r="16" spans="1:18" s="20" customFormat="1" x14ac:dyDescent="0.25">
      <c r="A16" s="83"/>
      <c r="B16" s="88"/>
      <c r="C16" s="42" t="s">
        <v>55</v>
      </c>
      <c r="D16" s="48" t="s">
        <v>47</v>
      </c>
      <c r="E16" s="4">
        <f t="shared" si="20"/>
        <v>12257.758672000002</v>
      </c>
      <c r="F16" s="4">
        <f t="shared" si="19"/>
        <v>735.46552032000011</v>
      </c>
      <c r="G16" s="59">
        <v>1</v>
      </c>
      <c r="H16" s="1">
        <f t="shared" si="15"/>
        <v>735.46552032000011</v>
      </c>
      <c r="I16" s="57">
        <v>1.67E-2</v>
      </c>
      <c r="J16" s="3">
        <f t="shared" si="16"/>
        <v>12.282274189344001</v>
      </c>
      <c r="K16" s="4">
        <f t="shared" si="21"/>
        <v>11522.293151680002</v>
      </c>
      <c r="L16" s="10">
        <v>1</v>
      </c>
      <c r="M16" s="6">
        <f t="shared" si="5"/>
        <v>11522.293151680002</v>
      </c>
      <c r="N16" s="57">
        <v>1.67E-2</v>
      </c>
      <c r="O16" s="2">
        <f t="shared" si="17"/>
        <v>192.42229563305602</v>
      </c>
      <c r="P16" s="13">
        <f t="shared" si="18"/>
        <v>204.70456982240003</v>
      </c>
      <c r="Q16" s="11">
        <v>30.56</v>
      </c>
      <c r="R16" s="21">
        <f t="shared" si="9"/>
        <v>6255.7716537725446</v>
      </c>
    </row>
    <row r="17" spans="1:18" s="20" customFormat="1" x14ac:dyDescent="0.25">
      <c r="A17" s="83"/>
      <c r="B17" s="88"/>
      <c r="C17" s="42" t="s">
        <v>56</v>
      </c>
      <c r="D17" s="48" t="s">
        <v>47</v>
      </c>
      <c r="E17" s="4">
        <f t="shared" si="20"/>
        <v>11522.293151680002</v>
      </c>
      <c r="F17" s="4">
        <f t="shared" si="19"/>
        <v>691.33758910080007</v>
      </c>
      <c r="G17" s="59">
        <v>1</v>
      </c>
      <c r="H17" s="1">
        <f t="shared" si="15"/>
        <v>691.33758910080007</v>
      </c>
      <c r="I17" s="57">
        <v>1.67E-2</v>
      </c>
      <c r="J17" s="3">
        <f t="shared" si="16"/>
        <v>11.545337737983361</v>
      </c>
      <c r="K17" s="4">
        <f t="shared" si="21"/>
        <v>10830.955562579202</v>
      </c>
      <c r="L17" s="10">
        <v>1</v>
      </c>
      <c r="M17" s="6">
        <f t="shared" si="5"/>
        <v>10830.955562579202</v>
      </c>
      <c r="N17" s="57">
        <v>1.67E-2</v>
      </c>
      <c r="O17" s="2">
        <f t="shared" si="17"/>
        <v>180.87695789507268</v>
      </c>
      <c r="P17" s="13">
        <f t="shared" si="18"/>
        <v>192.42229563305605</v>
      </c>
      <c r="Q17" s="11">
        <v>30.56</v>
      </c>
      <c r="R17" s="21">
        <f t="shared" si="9"/>
        <v>5880.4253545461925</v>
      </c>
    </row>
    <row r="18" spans="1:18" s="20" customFormat="1" x14ac:dyDescent="0.25">
      <c r="A18" s="83"/>
      <c r="B18" s="88"/>
      <c r="C18" s="42" t="s">
        <v>57</v>
      </c>
      <c r="D18" s="48" t="s">
        <v>47</v>
      </c>
      <c r="E18" s="4">
        <f t="shared" si="20"/>
        <v>10830.955562579202</v>
      </c>
      <c r="F18" s="4">
        <f t="shared" si="19"/>
        <v>649.85733375475206</v>
      </c>
      <c r="G18" s="59">
        <v>1</v>
      </c>
      <c r="H18" s="1">
        <f t="shared" si="15"/>
        <v>649.85733375475206</v>
      </c>
      <c r="I18" s="57">
        <v>1.67E-2</v>
      </c>
      <c r="J18" s="3">
        <f t="shared" si="16"/>
        <v>10.85261747370436</v>
      </c>
      <c r="K18" s="4">
        <f t="shared" si="21"/>
        <v>10181.09822882445</v>
      </c>
      <c r="L18" s="10">
        <v>1</v>
      </c>
      <c r="M18" s="6">
        <f t="shared" si="5"/>
        <v>10181.09822882445</v>
      </c>
      <c r="N18" s="57">
        <v>1.67E-2</v>
      </c>
      <c r="O18" s="2">
        <f t="shared" si="17"/>
        <v>170.02434042136832</v>
      </c>
      <c r="P18" s="13">
        <f t="shared" si="18"/>
        <v>180.87695789507268</v>
      </c>
      <c r="Q18" s="11">
        <v>30.56</v>
      </c>
      <c r="R18" s="21">
        <f t="shared" si="9"/>
        <v>5527.5998332734207</v>
      </c>
    </row>
    <row r="19" spans="1:18" s="20" customFormat="1" x14ac:dyDescent="0.25">
      <c r="A19" s="83"/>
      <c r="B19" s="88"/>
      <c r="C19" s="42" t="s">
        <v>58</v>
      </c>
      <c r="D19" s="48" t="s">
        <v>47</v>
      </c>
      <c r="E19" s="4">
        <f t="shared" si="20"/>
        <v>10181.09822882445</v>
      </c>
      <c r="F19" s="4">
        <f t="shared" si="19"/>
        <v>610.86589372946696</v>
      </c>
      <c r="G19" s="59">
        <v>1</v>
      </c>
      <c r="H19" s="1">
        <f t="shared" si="15"/>
        <v>610.86589372946696</v>
      </c>
      <c r="I19" s="57">
        <v>1.67E-2</v>
      </c>
      <c r="J19" s="3">
        <f t="shared" si="16"/>
        <v>10.201460425282098</v>
      </c>
      <c r="K19" s="4">
        <f t="shared" si="21"/>
        <v>9570.2323350949828</v>
      </c>
      <c r="L19" s="10">
        <v>1</v>
      </c>
      <c r="M19" s="6">
        <f t="shared" si="5"/>
        <v>9570.2323350949828</v>
      </c>
      <c r="N19" s="57">
        <v>1.67E-2</v>
      </c>
      <c r="O19" s="2">
        <f t="shared" si="17"/>
        <v>159.82287999608621</v>
      </c>
      <c r="P19" s="13">
        <f t="shared" si="18"/>
        <v>170.02434042136832</v>
      </c>
      <c r="Q19" s="11">
        <v>30.56</v>
      </c>
      <c r="R19" s="21">
        <f t="shared" si="9"/>
        <v>5195.9438432770157</v>
      </c>
    </row>
    <row r="20" spans="1:18" s="20" customFormat="1" x14ac:dyDescent="0.25">
      <c r="A20" s="83"/>
      <c r="B20" s="88"/>
      <c r="C20" s="42" t="s">
        <v>59</v>
      </c>
      <c r="D20" s="48" t="s">
        <v>47</v>
      </c>
      <c r="E20" s="4">
        <f t="shared" si="20"/>
        <v>9570.2323350949828</v>
      </c>
      <c r="F20" s="4">
        <f t="shared" si="19"/>
        <v>574.21394010569895</v>
      </c>
      <c r="G20" s="59">
        <v>1</v>
      </c>
      <c r="H20" s="1">
        <f t="shared" si="15"/>
        <v>574.21394010569895</v>
      </c>
      <c r="I20" s="57">
        <v>1.67E-2</v>
      </c>
      <c r="J20" s="3">
        <f t="shared" si="16"/>
        <v>9.5893727997651723</v>
      </c>
      <c r="K20" s="4">
        <f t="shared" si="21"/>
        <v>8996.0183949892835</v>
      </c>
      <c r="L20" s="10">
        <v>1</v>
      </c>
      <c r="M20" s="6">
        <f t="shared" si="5"/>
        <v>8996.0183949892835</v>
      </c>
      <c r="N20" s="57">
        <v>1.67E-2</v>
      </c>
      <c r="O20" s="2">
        <f t="shared" si="17"/>
        <v>150.23350719632103</v>
      </c>
      <c r="P20" s="13">
        <f t="shared" si="18"/>
        <v>159.82287999608621</v>
      </c>
      <c r="Q20" s="11">
        <v>30.56</v>
      </c>
      <c r="R20" s="21">
        <f t="shared" si="9"/>
        <v>4884.1872126803946</v>
      </c>
    </row>
    <row r="21" spans="1:18" s="20" customFormat="1" x14ac:dyDescent="0.25">
      <c r="A21" s="83"/>
      <c r="B21" s="88"/>
      <c r="C21" s="42" t="s">
        <v>60</v>
      </c>
      <c r="D21" s="48" t="s">
        <v>62</v>
      </c>
      <c r="E21" s="4">
        <f>E11</f>
        <v>15700</v>
      </c>
      <c r="F21" s="4">
        <f>E21*0.72</f>
        <v>11304</v>
      </c>
      <c r="G21" s="59">
        <v>2</v>
      </c>
      <c r="H21" s="1">
        <f t="shared" ref="H21:H22" si="22">+F21*G21</f>
        <v>22608</v>
      </c>
      <c r="I21" s="57">
        <v>1.67E-2</v>
      </c>
      <c r="J21" s="3">
        <f t="shared" ref="J21:J22" si="23">+H21*I21</f>
        <v>377.55360000000002</v>
      </c>
      <c r="K21" s="4">
        <f>E21-F21</f>
        <v>4396</v>
      </c>
      <c r="L21" s="10">
        <v>2</v>
      </c>
      <c r="M21" s="6">
        <f t="shared" ref="M21:M22" si="24">+K21*L21</f>
        <v>8792</v>
      </c>
      <c r="N21" s="57">
        <v>1.67E-2</v>
      </c>
      <c r="O21" s="2">
        <f t="shared" ref="O21:O22" si="25">+M21*N21</f>
        <v>146.82640000000001</v>
      </c>
      <c r="P21" s="13">
        <f>J21+O21</f>
        <v>524.38</v>
      </c>
      <c r="Q21" s="11">
        <v>30.56</v>
      </c>
      <c r="R21" s="21">
        <f t="shared" si="9"/>
        <v>16025.052799999999</v>
      </c>
    </row>
    <row r="22" spans="1:18" s="20" customFormat="1" x14ac:dyDescent="0.25">
      <c r="A22" s="83"/>
      <c r="B22" s="88"/>
      <c r="C22" s="48" t="s">
        <v>63</v>
      </c>
      <c r="D22" s="48" t="s">
        <v>64</v>
      </c>
      <c r="E22" s="4">
        <f>E8*0.5</f>
        <v>7850</v>
      </c>
      <c r="F22" s="4">
        <f>E22*0.72</f>
        <v>5652</v>
      </c>
      <c r="G22" s="59">
        <v>1</v>
      </c>
      <c r="H22" s="1">
        <f t="shared" si="22"/>
        <v>5652</v>
      </c>
      <c r="I22" s="57">
        <v>3.3399999999999999E-2</v>
      </c>
      <c r="J22" s="3">
        <f t="shared" si="23"/>
        <v>188.77680000000001</v>
      </c>
      <c r="K22" s="4">
        <f>E22-F22</f>
        <v>2198</v>
      </c>
      <c r="L22" s="10">
        <v>1</v>
      </c>
      <c r="M22" s="6">
        <f t="shared" si="24"/>
        <v>2198</v>
      </c>
      <c r="N22" s="57">
        <v>1.67E-2</v>
      </c>
      <c r="O22" s="2">
        <f t="shared" si="25"/>
        <v>36.706600000000002</v>
      </c>
      <c r="P22" s="13">
        <f>J22+O22</f>
        <v>225.48340000000002</v>
      </c>
      <c r="Q22" s="11">
        <v>30.56</v>
      </c>
      <c r="R22" s="21">
        <f t="shared" si="9"/>
        <v>6890.772704</v>
      </c>
    </row>
    <row r="23" spans="1:18" s="20" customFormat="1" x14ac:dyDescent="0.25">
      <c r="A23" s="83"/>
      <c r="B23" s="88"/>
      <c r="C23" s="42" t="s">
        <v>61</v>
      </c>
      <c r="D23" s="48" t="s">
        <v>48</v>
      </c>
      <c r="E23" s="4">
        <f>K20</f>
        <v>8996.0183949892835</v>
      </c>
      <c r="F23" s="4">
        <f t="shared" ref="F23" si="26">E23*0.2</f>
        <v>1799.2036789978567</v>
      </c>
      <c r="G23" s="59">
        <v>2</v>
      </c>
      <c r="H23" s="1">
        <f t="shared" si="15"/>
        <v>3598.4073579957135</v>
      </c>
      <c r="I23" s="57">
        <v>1.67E-2</v>
      </c>
      <c r="J23" s="3">
        <f t="shared" si="16"/>
        <v>60.093402878528416</v>
      </c>
      <c r="K23" s="4">
        <f t="shared" si="21"/>
        <v>7196.814715991427</v>
      </c>
      <c r="L23" s="10">
        <v>1</v>
      </c>
      <c r="M23" s="6">
        <f t="shared" si="5"/>
        <v>7196.814715991427</v>
      </c>
      <c r="N23" s="57">
        <v>1.67E-2</v>
      </c>
      <c r="O23" s="2">
        <f t="shared" si="17"/>
        <v>120.18680575705683</v>
      </c>
      <c r="P23" s="13">
        <f t="shared" si="18"/>
        <v>180.28020863558524</v>
      </c>
      <c r="Q23" s="11">
        <v>30.56</v>
      </c>
      <c r="R23" s="21">
        <f t="shared" si="9"/>
        <v>5509.3631759034843</v>
      </c>
    </row>
    <row r="24" spans="1:18" s="22" customFormat="1" x14ac:dyDescent="0.25">
      <c r="A24" s="83"/>
      <c r="B24" s="88"/>
      <c r="C24" s="14" t="s">
        <v>13</v>
      </c>
      <c r="D24" s="14"/>
      <c r="E24" s="15">
        <f>E11+E7</f>
        <v>15709</v>
      </c>
      <c r="F24" s="15">
        <f>F11+F7</f>
        <v>11313</v>
      </c>
      <c r="G24" s="15">
        <f>H24/F24</f>
        <v>7.4863775270049002</v>
      </c>
      <c r="H24" s="15">
        <f>SUM(H7:H23)</f>
        <v>84693.388963006437</v>
      </c>
      <c r="I24" s="16">
        <f>J24/H24</f>
        <v>0.14871129198978644</v>
      </c>
      <c r="J24" s="15">
        <f>SUM(J7:J23)</f>
        <v>12594.863295682206</v>
      </c>
      <c r="K24" s="15">
        <f>K11+K7</f>
        <v>4396</v>
      </c>
      <c r="L24" s="16">
        <f>M24/K24</f>
        <v>31.822989049399304</v>
      </c>
      <c r="M24" s="15">
        <f>SUM(M7:M23)</f>
        <v>139893.85986115935</v>
      </c>
      <c r="N24" s="16">
        <f>O24/M24</f>
        <v>2.0977488666006426E-2</v>
      </c>
      <c r="O24" s="98">
        <f>SUM(O7:O23)</f>
        <v>2934.6218596813615</v>
      </c>
      <c r="P24" s="98">
        <f>SUM(P7:P23)</f>
        <v>15529.485155363567</v>
      </c>
      <c r="Q24" s="17"/>
      <c r="R24" s="19">
        <f>SUM(R7:R23)</f>
        <v>474581.06634791073</v>
      </c>
    </row>
    <row r="25" spans="1:18" s="20" customFormat="1" ht="12.75" customHeight="1" x14ac:dyDescent="0.25">
      <c r="A25" s="84"/>
      <c r="B25" s="77" t="s">
        <v>12</v>
      </c>
      <c r="C25" s="78"/>
      <c r="D25" s="69"/>
      <c r="E25" s="23">
        <f>E6+E24</f>
        <v>15765</v>
      </c>
      <c r="F25" s="23">
        <f>F6+F24</f>
        <v>11369</v>
      </c>
      <c r="G25" s="23">
        <f>H25/F25</f>
        <v>7.4692047640959132</v>
      </c>
      <c r="H25" s="23">
        <f>H6+H24</f>
        <v>84917.388963006437</v>
      </c>
      <c r="I25" s="24">
        <f>J25/H25</f>
        <v>0.14935226165758908</v>
      </c>
      <c r="J25" s="25">
        <f>J6+J24</f>
        <v>12682.604095682205</v>
      </c>
      <c r="K25" s="23">
        <f>K6+K24</f>
        <v>4396</v>
      </c>
      <c r="L25" s="24">
        <f>M25/K25</f>
        <v>31.822989049399304</v>
      </c>
      <c r="M25" s="23">
        <f>M6+M24</f>
        <v>139893.85986115935</v>
      </c>
      <c r="N25" s="24">
        <f>O25/M25</f>
        <v>2.0977488666006426E-2</v>
      </c>
      <c r="O25" s="26">
        <f>O6+O24</f>
        <v>2934.6218596813615</v>
      </c>
      <c r="P25" s="26">
        <f>P6+P24</f>
        <v>15617.225955363567</v>
      </c>
      <c r="Q25" s="26"/>
      <c r="R25" s="27">
        <f>R6+R24</f>
        <v>478346.90148391074</v>
      </c>
    </row>
    <row r="26" spans="1:18" s="20" customFormat="1" ht="12.75" customHeight="1" x14ac:dyDescent="0.25">
      <c r="A26" s="85" t="s">
        <v>10</v>
      </c>
      <c r="B26" s="82" t="s">
        <v>24</v>
      </c>
      <c r="C26" s="48" t="s">
        <v>36</v>
      </c>
      <c r="D26" s="48" t="s">
        <v>37</v>
      </c>
      <c r="E26" s="4">
        <v>2300</v>
      </c>
      <c r="F26" s="4">
        <f>0.62*E26</f>
        <v>1426</v>
      </c>
      <c r="G26" s="59">
        <v>1</v>
      </c>
      <c r="H26" s="1">
        <f>+F26*G26</f>
        <v>1426</v>
      </c>
      <c r="I26" s="58">
        <v>6.6799999999999998E-2</v>
      </c>
      <c r="J26" s="3">
        <f>+H26*I26</f>
        <v>95.256799999999998</v>
      </c>
      <c r="K26" s="4">
        <f t="shared" ref="K26:K30" si="27">E26-F26</f>
        <v>874</v>
      </c>
      <c r="L26" s="10">
        <v>1</v>
      </c>
      <c r="M26" s="6">
        <f>K26*L26</f>
        <v>874</v>
      </c>
      <c r="N26" s="57">
        <v>3.3399999999999999E-2</v>
      </c>
      <c r="O26" s="2">
        <f>+M26*N26</f>
        <v>29.191599999999998</v>
      </c>
      <c r="P26" s="13">
        <f>J26+O26</f>
        <v>124.44839999999999</v>
      </c>
      <c r="Q26" s="11">
        <v>31.75</v>
      </c>
      <c r="R26" s="52">
        <f>Q26*P26</f>
        <v>3951.2366999999999</v>
      </c>
    </row>
    <row r="27" spans="1:18" s="20" customFormat="1" x14ac:dyDescent="0.25">
      <c r="A27" s="86"/>
      <c r="B27" s="83"/>
      <c r="C27" s="48" t="s">
        <v>38</v>
      </c>
      <c r="D27" s="48" t="s">
        <v>39</v>
      </c>
      <c r="E27" s="4">
        <f>E26</f>
        <v>2300</v>
      </c>
      <c r="F27" s="4">
        <f>0.62*E27</f>
        <v>1426</v>
      </c>
      <c r="G27" s="59">
        <v>1</v>
      </c>
      <c r="H27" s="1">
        <f>+F27*G27</f>
        <v>1426</v>
      </c>
      <c r="I27" s="58">
        <v>6.6799999999999998E-2</v>
      </c>
      <c r="J27" s="3">
        <f>+H27*I27</f>
        <v>95.256799999999998</v>
      </c>
      <c r="K27" s="4">
        <f t="shared" si="27"/>
        <v>874</v>
      </c>
      <c r="L27" s="10">
        <v>1</v>
      </c>
      <c r="M27" s="6">
        <f>+K27*L27</f>
        <v>874</v>
      </c>
      <c r="N27" s="57">
        <v>3.3399999999999999E-2</v>
      </c>
      <c r="O27" s="2">
        <f>+M27*N27</f>
        <v>29.191599999999998</v>
      </c>
      <c r="P27" s="13">
        <f>J27+O27</f>
        <v>124.44839999999999</v>
      </c>
      <c r="Q27" s="11">
        <v>31.75</v>
      </c>
      <c r="R27" s="52">
        <f t="shared" ref="R27:R41" si="28">Q27*P27</f>
        <v>3951.2366999999999</v>
      </c>
    </row>
    <row r="28" spans="1:18" s="20" customFormat="1" x14ac:dyDescent="0.25">
      <c r="A28" s="86"/>
      <c r="B28" s="83"/>
      <c r="C28" s="48" t="s">
        <v>49</v>
      </c>
      <c r="D28" s="48" t="s">
        <v>44</v>
      </c>
      <c r="E28" s="4">
        <f>E26</f>
        <v>2300</v>
      </c>
      <c r="F28" s="4">
        <f>0.62*0.5*E28</f>
        <v>713</v>
      </c>
      <c r="G28" s="59">
        <v>1</v>
      </c>
      <c r="H28" s="1">
        <f>+F28*G28</f>
        <v>713</v>
      </c>
      <c r="I28" s="2">
        <v>0.5</v>
      </c>
      <c r="J28" s="3">
        <f>+H28*I28</f>
        <v>356.5</v>
      </c>
      <c r="K28" s="4">
        <f t="shared" si="27"/>
        <v>1587</v>
      </c>
      <c r="L28" s="10">
        <v>1</v>
      </c>
      <c r="M28" s="6">
        <f>+K28*L28</f>
        <v>1587</v>
      </c>
      <c r="N28" s="57">
        <v>3.3399999999999999E-2</v>
      </c>
      <c r="O28" s="2">
        <f>+M28*N28</f>
        <v>53.005800000000001</v>
      </c>
      <c r="P28" s="13">
        <f>J28+O28</f>
        <v>409.50580000000002</v>
      </c>
      <c r="Q28" s="11">
        <v>31.75</v>
      </c>
      <c r="R28" s="52">
        <f t="shared" si="28"/>
        <v>13001.809150000001</v>
      </c>
    </row>
    <row r="29" spans="1:18" s="20" customFormat="1" x14ac:dyDescent="0.25">
      <c r="A29" s="86"/>
      <c r="B29" s="83"/>
      <c r="C29" s="48" t="s">
        <v>50</v>
      </c>
      <c r="D29" s="48" t="s">
        <v>46</v>
      </c>
      <c r="E29" s="4">
        <f>E26</f>
        <v>2300</v>
      </c>
      <c r="F29" s="4">
        <f>0.62*E29</f>
        <v>1426</v>
      </c>
      <c r="G29" s="59">
        <v>1</v>
      </c>
      <c r="H29" s="1">
        <f>+F29*G29</f>
        <v>1426</v>
      </c>
      <c r="I29" s="2">
        <v>0.5</v>
      </c>
      <c r="J29" s="3">
        <f>+H29*I29</f>
        <v>713</v>
      </c>
      <c r="K29" s="4">
        <f t="shared" si="27"/>
        <v>874</v>
      </c>
      <c r="L29" s="10">
        <v>1</v>
      </c>
      <c r="M29" s="6">
        <f>+K29*L29</f>
        <v>874</v>
      </c>
      <c r="N29" s="57">
        <v>5.0099999999999999E-2</v>
      </c>
      <c r="O29" s="2">
        <f>+M29*N29</f>
        <v>43.787399999999998</v>
      </c>
      <c r="P29" s="53">
        <f t="shared" ref="P29" si="29">+O29+J29</f>
        <v>756.78740000000005</v>
      </c>
      <c r="Q29" s="11">
        <v>31.75</v>
      </c>
      <c r="R29" s="52">
        <f t="shared" si="28"/>
        <v>24027.999950000001</v>
      </c>
    </row>
    <row r="30" spans="1:18" s="20" customFormat="1" x14ac:dyDescent="0.25">
      <c r="A30" s="86"/>
      <c r="B30" s="83"/>
      <c r="C30" s="48" t="s">
        <v>51</v>
      </c>
      <c r="D30" s="48" t="s">
        <v>45</v>
      </c>
      <c r="E30" s="4">
        <f>E26</f>
        <v>2300</v>
      </c>
      <c r="F30" s="4">
        <f>0.5*E30</f>
        <v>1150</v>
      </c>
      <c r="G30" s="59">
        <v>1</v>
      </c>
      <c r="H30" s="1">
        <f t="shared" ref="H30" si="30">+F30*G30</f>
        <v>1150</v>
      </c>
      <c r="I30" s="2">
        <v>0.25</v>
      </c>
      <c r="J30" s="3">
        <f t="shared" ref="J30" si="31">+H30*I30</f>
        <v>287.5</v>
      </c>
      <c r="K30" s="4">
        <f t="shared" si="27"/>
        <v>1150</v>
      </c>
      <c r="L30" s="10">
        <v>1</v>
      </c>
      <c r="M30" s="6">
        <f t="shared" ref="M30" si="32">+K30*L30</f>
        <v>1150</v>
      </c>
      <c r="N30" s="57">
        <v>3.3399999999999999E-2</v>
      </c>
      <c r="O30" s="2">
        <f t="shared" ref="O30" si="33">+M30*N30</f>
        <v>38.409999999999997</v>
      </c>
      <c r="P30" s="13">
        <f>J30+O30</f>
        <v>325.90999999999997</v>
      </c>
      <c r="Q30" s="11">
        <v>31.75</v>
      </c>
      <c r="R30" s="52">
        <f t="shared" si="28"/>
        <v>10347.642499999998</v>
      </c>
    </row>
    <row r="31" spans="1:18" s="20" customFormat="1" x14ac:dyDescent="0.25">
      <c r="A31" s="86"/>
      <c r="B31" s="83"/>
      <c r="C31" s="48" t="s">
        <v>52</v>
      </c>
      <c r="D31" s="48" t="s">
        <v>47</v>
      </c>
      <c r="E31" s="4">
        <f>0.94*E30</f>
        <v>2162</v>
      </c>
      <c r="F31" s="4">
        <f>E31*0.06</f>
        <v>129.72</v>
      </c>
      <c r="G31" s="59">
        <v>1</v>
      </c>
      <c r="H31" s="1">
        <f t="shared" ref="H31:H41" si="34">+F31*G31</f>
        <v>129.72</v>
      </c>
      <c r="I31" s="57">
        <v>1.67E-2</v>
      </c>
      <c r="J31" s="3">
        <f t="shared" ref="J31:J41" si="35">+H31*I31</f>
        <v>2.1663239999999999</v>
      </c>
      <c r="K31" s="4">
        <f t="shared" ref="K31:K41" si="36">E31-F31</f>
        <v>2032.28</v>
      </c>
      <c r="L31" s="10">
        <v>1</v>
      </c>
      <c r="M31" s="6">
        <f t="shared" ref="M31:M41" si="37">+K31*L31</f>
        <v>2032.28</v>
      </c>
      <c r="N31" s="57">
        <v>1.67E-2</v>
      </c>
      <c r="O31" s="2">
        <f t="shared" ref="O31:O41" si="38">+M31*N31</f>
        <v>33.939076</v>
      </c>
      <c r="P31" s="13">
        <f t="shared" ref="P31:P41" si="39">J31+O31</f>
        <v>36.105400000000003</v>
      </c>
      <c r="Q31" s="11">
        <v>31.75</v>
      </c>
      <c r="R31" s="52">
        <f t="shared" si="28"/>
        <v>1146.34645</v>
      </c>
    </row>
    <row r="32" spans="1:18" s="20" customFormat="1" x14ac:dyDescent="0.25">
      <c r="A32" s="86"/>
      <c r="B32" s="83"/>
      <c r="C32" s="48" t="s">
        <v>53</v>
      </c>
      <c r="D32" s="48" t="s">
        <v>47</v>
      </c>
      <c r="E32" s="4">
        <f>K31</f>
        <v>2032.28</v>
      </c>
      <c r="F32" s="4">
        <f t="shared" ref="F32:F38" si="40">E32*0.06</f>
        <v>121.93679999999999</v>
      </c>
      <c r="G32" s="59">
        <v>1</v>
      </c>
      <c r="H32" s="1">
        <f t="shared" si="34"/>
        <v>121.93679999999999</v>
      </c>
      <c r="I32" s="57">
        <v>1.67E-2</v>
      </c>
      <c r="J32" s="3">
        <f t="shared" si="35"/>
        <v>2.0363445599999999</v>
      </c>
      <c r="K32" s="4">
        <f t="shared" si="36"/>
        <v>1910.3432</v>
      </c>
      <c r="L32" s="10">
        <v>1</v>
      </c>
      <c r="M32" s="6">
        <f t="shared" si="37"/>
        <v>1910.3432</v>
      </c>
      <c r="N32" s="57">
        <v>1.67E-2</v>
      </c>
      <c r="O32" s="2">
        <f t="shared" si="38"/>
        <v>31.90273144</v>
      </c>
      <c r="P32" s="13">
        <f t="shared" si="39"/>
        <v>33.939076</v>
      </c>
      <c r="Q32" s="11">
        <v>31.75</v>
      </c>
      <c r="R32" s="52">
        <f t="shared" si="28"/>
        <v>1077.5656630000001</v>
      </c>
    </row>
    <row r="33" spans="1:18" s="20" customFormat="1" x14ac:dyDescent="0.25">
      <c r="A33" s="86"/>
      <c r="B33" s="83"/>
      <c r="C33" s="48" t="s">
        <v>54</v>
      </c>
      <c r="D33" s="48" t="s">
        <v>47</v>
      </c>
      <c r="E33" s="4">
        <f t="shared" ref="E33:E38" si="41">K32</f>
        <v>1910.3432</v>
      </c>
      <c r="F33" s="4">
        <f t="shared" si="40"/>
        <v>114.620592</v>
      </c>
      <c r="G33" s="59">
        <v>1</v>
      </c>
      <c r="H33" s="1">
        <f t="shared" si="34"/>
        <v>114.620592</v>
      </c>
      <c r="I33" s="57">
        <v>1.67E-2</v>
      </c>
      <c r="J33" s="3">
        <f t="shared" si="35"/>
        <v>1.9141638863999999</v>
      </c>
      <c r="K33" s="4">
        <f t="shared" si="36"/>
        <v>1795.722608</v>
      </c>
      <c r="L33" s="10">
        <v>1</v>
      </c>
      <c r="M33" s="6">
        <f t="shared" si="37"/>
        <v>1795.722608</v>
      </c>
      <c r="N33" s="57">
        <v>1.67E-2</v>
      </c>
      <c r="O33" s="2">
        <f t="shared" si="38"/>
        <v>29.988567553599999</v>
      </c>
      <c r="P33" s="13">
        <f t="shared" si="39"/>
        <v>31.90273144</v>
      </c>
      <c r="Q33" s="11">
        <v>31.75</v>
      </c>
      <c r="R33" s="52">
        <f t="shared" si="28"/>
        <v>1012.91172322</v>
      </c>
    </row>
    <row r="34" spans="1:18" s="20" customFormat="1" x14ac:dyDescent="0.25">
      <c r="A34" s="86"/>
      <c r="B34" s="83"/>
      <c r="C34" s="48" t="s">
        <v>55</v>
      </c>
      <c r="D34" s="48" t="s">
        <v>47</v>
      </c>
      <c r="E34" s="4">
        <f t="shared" si="41"/>
        <v>1795.722608</v>
      </c>
      <c r="F34" s="4">
        <f t="shared" si="40"/>
        <v>107.74335648</v>
      </c>
      <c r="G34" s="59">
        <v>1</v>
      </c>
      <c r="H34" s="1">
        <f t="shared" si="34"/>
        <v>107.74335648</v>
      </c>
      <c r="I34" s="57">
        <v>1.67E-2</v>
      </c>
      <c r="J34" s="3">
        <f t="shared" si="35"/>
        <v>1.7993140532159999</v>
      </c>
      <c r="K34" s="4">
        <f t="shared" si="36"/>
        <v>1687.9792515199999</v>
      </c>
      <c r="L34" s="10">
        <v>1</v>
      </c>
      <c r="M34" s="6">
        <f t="shared" si="37"/>
        <v>1687.9792515199999</v>
      </c>
      <c r="N34" s="57">
        <v>1.67E-2</v>
      </c>
      <c r="O34" s="2">
        <f t="shared" si="38"/>
        <v>28.189253500383998</v>
      </c>
      <c r="P34" s="13">
        <f t="shared" si="39"/>
        <v>29.988567553599999</v>
      </c>
      <c r="Q34" s="11">
        <v>31.75</v>
      </c>
      <c r="R34" s="21">
        <f t="shared" si="28"/>
        <v>952.13701982679993</v>
      </c>
    </row>
    <row r="35" spans="1:18" s="20" customFormat="1" x14ac:dyDescent="0.25">
      <c r="A35" s="86"/>
      <c r="B35" s="83"/>
      <c r="C35" s="48" t="s">
        <v>56</v>
      </c>
      <c r="D35" s="48" t="s">
        <v>47</v>
      </c>
      <c r="E35" s="4">
        <f t="shared" si="41"/>
        <v>1687.9792515199999</v>
      </c>
      <c r="F35" s="4">
        <f t="shared" si="40"/>
        <v>101.2787550912</v>
      </c>
      <c r="G35" s="59">
        <v>1</v>
      </c>
      <c r="H35" s="1">
        <f t="shared" si="34"/>
        <v>101.2787550912</v>
      </c>
      <c r="I35" s="57">
        <v>1.67E-2</v>
      </c>
      <c r="J35" s="3">
        <f t="shared" si="35"/>
        <v>1.69135521002304</v>
      </c>
      <c r="K35" s="4">
        <f t="shared" si="36"/>
        <v>1586.7004964287999</v>
      </c>
      <c r="L35" s="10">
        <v>1</v>
      </c>
      <c r="M35" s="6">
        <f t="shared" si="37"/>
        <v>1586.7004964287999</v>
      </c>
      <c r="N35" s="57">
        <v>1.67E-2</v>
      </c>
      <c r="O35" s="2">
        <f t="shared" si="38"/>
        <v>26.497898290360958</v>
      </c>
      <c r="P35" s="13">
        <f t="shared" si="39"/>
        <v>28.189253500383998</v>
      </c>
      <c r="Q35" s="11">
        <v>31.75</v>
      </c>
      <c r="R35" s="21">
        <f t="shared" si="28"/>
        <v>895.00879863719194</v>
      </c>
    </row>
    <row r="36" spans="1:18" s="20" customFormat="1" x14ac:dyDescent="0.25">
      <c r="A36" s="86"/>
      <c r="B36" s="83"/>
      <c r="C36" s="48" t="s">
        <v>57</v>
      </c>
      <c r="D36" s="48" t="s">
        <v>47</v>
      </c>
      <c r="E36" s="4">
        <f t="shared" si="41"/>
        <v>1586.7004964287999</v>
      </c>
      <c r="F36" s="4">
        <f t="shared" si="40"/>
        <v>95.202029785727987</v>
      </c>
      <c r="G36" s="59">
        <v>1</v>
      </c>
      <c r="H36" s="1">
        <f t="shared" si="34"/>
        <v>95.202029785727987</v>
      </c>
      <c r="I36" s="57">
        <v>1.67E-2</v>
      </c>
      <c r="J36" s="3">
        <f t="shared" si="35"/>
        <v>1.5898738974216573</v>
      </c>
      <c r="K36" s="4">
        <f t="shared" si="36"/>
        <v>1491.4984666430719</v>
      </c>
      <c r="L36" s="10">
        <v>1</v>
      </c>
      <c r="M36" s="6">
        <f t="shared" si="37"/>
        <v>1491.4984666430719</v>
      </c>
      <c r="N36" s="57">
        <v>1.67E-2</v>
      </c>
      <c r="O36" s="2">
        <f t="shared" si="38"/>
        <v>24.9080243929393</v>
      </c>
      <c r="P36" s="13">
        <f t="shared" si="39"/>
        <v>26.497898290360958</v>
      </c>
      <c r="Q36" s="11">
        <v>31.75</v>
      </c>
      <c r="R36" s="21">
        <f t="shared" si="28"/>
        <v>841.30827071896044</v>
      </c>
    </row>
    <row r="37" spans="1:18" s="20" customFormat="1" x14ac:dyDescent="0.25">
      <c r="A37" s="86"/>
      <c r="B37" s="83"/>
      <c r="C37" s="48" t="s">
        <v>58</v>
      </c>
      <c r="D37" s="48" t="s">
        <v>47</v>
      </c>
      <c r="E37" s="4">
        <f t="shared" si="41"/>
        <v>1491.4984666430719</v>
      </c>
      <c r="F37" s="4">
        <f t="shared" si="40"/>
        <v>89.489907998584314</v>
      </c>
      <c r="G37" s="59">
        <v>1</v>
      </c>
      <c r="H37" s="1">
        <f t="shared" si="34"/>
        <v>89.489907998584314</v>
      </c>
      <c r="I37" s="57">
        <v>1.67E-2</v>
      </c>
      <c r="J37" s="3">
        <f t="shared" si="35"/>
        <v>1.4944814635763579</v>
      </c>
      <c r="K37" s="4">
        <f t="shared" si="36"/>
        <v>1402.0085586444875</v>
      </c>
      <c r="L37" s="10">
        <v>1</v>
      </c>
      <c r="M37" s="6">
        <f t="shared" si="37"/>
        <v>1402.0085586444875</v>
      </c>
      <c r="N37" s="57">
        <v>1.67E-2</v>
      </c>
      <c r="O37" s="2">
        <f t="shared" si="38"/>
        <v>23.41354292936294</v>
      </c>
      <c r="P37" s="13">
        <f t="shared" si="39"/>
        <v>24.908024392939296</v>
      </c>
      <c r="Q37" s="11">
        <v>31.75</v>
      </c>
      <c r="R37" s="21">
        <f t="shared" si="28"/>
        <v>790.82977447582266</v>
      </c>
    </row>
    <row r="38" spans="1:18" s="20" customFormat="1" x14ac:dyDescent="0.25">
      <c r="A38" s="86"/>
      <c r="B38" s="83"/>
      <c r="C38" s="48" t="s">
        <v>59</v>
      </c>
      <c r="D38" s="48" t="s">
        <v>47</v>
      </c>
      <c r="E38" s="4">
        <f t="shared" si="41"/>
        <v>1402.0085586444875</v>
      </c>
      <c r="F38" s="4">
        <f t="shared" si="40"/>
        <v>84.120513518669242</v>
      </c>
      <c r="G38" s="59">
        <v>1</v>
      </c>
      <c r="H38" s="1">
        <f t="shared" si="34"/>
        <v>84.120513518669242</v>
      </c>
      <c r="I38" s="57">
        <v>1.67E-2</v>
      </c>
      <c r="J38" s="3">
        <f t="shared" si="35"/>
        <v>1.4048125757617762</v>
      </c>
      <c r="K38" s="4">
        <f t="shared" si="36"/>
        <v>1317.8880451258183</v>
      </c>
      <c r="L38" s="10">
        <v>1</v>
      </c>
      <c r="M38" s="6">
        <f t="shared" si="37"/>
        <v>1317.8880451258183</v>
      </c>
      <c r="N38" s="57">
        <v>1.67E-2</v>
      </c>
      <c r="O38" s="2">
        <f t="shared" si="38"/>
        <v>22.008730353601166</v>
      </c>
      <c r="P38" s="13">
        <f t="shared" si="39"/>
        <v>23.413542929362944</v>
      </c>
      <c r="Q38" s="11">
        <v>31.75</v>
      </c>
      <c r="R38" s="21">
        <f t="shared" si="28"/>
        <v>743.37998800727348</v>
      </c>
    </row>
    <row r="39" spans="1:18" s="20" customFormat="1" x14ac:dyDescent="0.25">
      <c r="A39" s="86"/>
      <c r="B39" s="83"/>
      <c r="C39" s="48" t="s">
        <v>60</v>
      </c>
      <c r="D39" s="48" t="s">
        <v>62</v>
      </c>
      <c r="E39" s="4">
        <f>E29</f>
        <v>2300</v>
      </c>
      <c r="F39" s="4">
        <f>0.62*E39</f>
        <v>1426</v>
      </c>
      <c r="G39" s="59">
        <v>2</v>
      </c>
      <c r="H39" s="1">
        <f t="shared" ref="H39:H40" si="42">+F39*G39</f>
        <v>2852</v>
      </c>
      <c r="I39" s="57">
        <v>1.67E-2</v>
      </c>
      <c r="J39" s="3">
        <f t="shared" ref="J39:J40" si="43">+H39*I39</f>
        <v>47.628399999999999</v>
      </c>
      <c r="K39" s="4">
        <f>E39-F39</f>
        <v>874</v>
      </c>
      <c r="L39" s="10">
        <v>2</v>
      </c>
      <c r="M39" s="6">
        <f t="shared" ref="M39:M40" si="44">+K39*L39</f>
        <v>1748</v>
      </c>
      <c r="N39" s="57">
        <v>1.67E-2</v>
      </c>
      <c r="O39" s="2">
        <f t="shared" ref="O39:O40" si="45">+M39*N39</f>
        <v>29.191599999999998</v>
      </c>
      <c r="P39" s="13">
        <f>J39+O39</f>
        <v>76.819999999999993</v>
      </c>
      <c r="Q39" s="11">
        <v>31.75</v>
      </c>
      <c r="R39" s="21">
        <f t="shared" si="28"/>
        <v>2439.0349999999999</v>
      </c>
    </row>
    <row r="40" spans="1:18" s="20" customFormat="1" x14ac:dyDescent="0.25">
      <c r="A40" s="86"/>
      <c r="B40" s="83"/>
      <c r="C40" s="48" t="s">
        <v>63</v>
      </c>
      <c r="D40" s="48" t="s">
        <v>64</v>
      </c>
      <c r="E40" s="4">
        <f>E26*0.5</f>
        <v>1150</v>
      </c>
      <c r="F40" s="4">
        <f>E40*0.72</f>
        <v>828</v>
      </c>
      <c r="G40" s="59">
        <v>1</v>
      </c>
      <c r="H40" s="1">
        <f t="shared" si="42"/>
        <v>828</v>
      </c>
      <c r="I40" s="57">
        <v>3.3399999999999999E-2</v>
      </c>
      <c r="J40" s="3">
        <f t="shared" si="43"/>
        <v>27.655200000000001</v>
      </c>
      <c r="K40" s="4">
        <f>E40-F40</f>
        <v>322</v>
      </c>
      <c r="L40" s="10">
        <v>1</v>
      </c>
      <c r="M40" s="6">
        <f t="shared" si="44"/>
        <v>322</v>
      </c>
      <c r="N40" s="57">
        <v>1.67E-2</v>
      </c>
      <c r="O40" s="2">
        <f t="shared" si="45"/>
        <v>5.3773999999999997</v>
      </c>
      <c r="P40" s="13">
        <f>J40+O40</f>
        <v>33.032600000000002</v>
      </c>
      <c r="Q40" s="11">
        <v>31.75</v>
      </c>
      <c r="R40" s="21">
        <f t="shared" si="28"/>
        <v>1048.78505</v>
      </c>
    </row>
    <row r="41" spans="1:18" s="20" customFormat="1" x14ac:dyDescent="0.25">
      <c r="A41" s="86"/>
      <c r="B41" s="83"/>
      <c r="C41" s="48" t="s">
        <v>61</v>
      </c>
      <c r="D41" s="48" t="s">
        <v>48</v>
      </c>
      <c r="E41" s="4">
        <f>K38</f>
        <v>1317.8880451258183</v>
      </c>
      <c r="F41" s="4">
        <f t="shared" ref="F41" si="46">E41*0.2</f>
        <v>263.57760902516367</v>
      </c>
      <c r="G41" s="59">
        <v>2</v>
      </c>
      <c r="H41" s="1">
        <f t="shared" si="34"/>
        <v>527.15521805032733</v>
      </c>
      <c r="I41" s="57">
        <v>1.67E-2</v>
      </c>
      <c r="J41" s="3">
        <f t="shared" si="35"/>
        <v>8.8034921414404668</v>
      </c>
      <c r="K41" s="4">
        <f t="shared" si="36"/>
        <v>1054.3104361006547</v>
      </c>
      <c r="L41" s="10">
        <v>1</v>
      </c>
      <c r="M41" s="6">
        <f t="shared" si="37"/>
        <v>1054.3104361006547</v>
      </c>
      <c r="N41" s="57">
        <v>1.67E-2</v>
      </c>
      <c r="O41" s="2">
        <f t="shared" si="38"/>
        <v>17.606984282880934</v>
      </c>
      <c r="P41" s="13">
        <f t="shared" si="39"/>
        <v>26.410476424321402</v>
      </c>
      <c r="Q41" s="11">
        <v>31.75</v>
      </c>
      <c r="R41" s="21">
        <f t="shared" si="28"/>
        <v>838.53262647220447</v>
      </c>
    </row>
    <row r="42" spans="1:18" s="22" customFormat="1" x14ac:dyDescent="0.25">
      <c r="A42" s="87"/>
      <c r="B42" s="77" t="s">
        <v>20</v>
      </c>
      <c r="C42" s="78"/>
      <c r="D42" s="69"/>
      <c r="E42" s="23">
        <f>E29</f>
        <v>2300</v>
      </c>
      <c r="F42" s="23">
        <f>F29</f>
        <v>1426</v>
      </c>
      <c r="G42" s="23">
        <f>H42/F42</f>
        <v>7.8487147075206947</v>
      </c>
      <c r="H42" s="23">
        <f>SUM(H26:H41)</f>
        <v>11192.26717292451</v>
      </c>
      <c r="I42" s="24">
        <f>J42/H42</f>
        <v>0.14703878457878369</v>
      </c>
      <c r="J42" s="28">
        <f>+SUM(J26:J41)</f>
        <v>1645.6973617878396</v>
      </c>
      <c r="K42" s="23">
        <f>K29</f>
        <v>874</v>
      </c>
      <c r="L42" s="24">
        <f>M42/K42</f>
        <v>24.837220895266398</v>
      </c>
      <c r="M42" s="23">
        <f>SUM(M26:M41)</f>
        <v>21707.731062462834</v>
      </c>
      <c r="N42" s="24">
        <f>O42/M42</f>
        <v>2.1495116527862051E-2</v>
      </c>
      <c r="O42" s="28">
        <f>+SUM(O26:O41)</f>
        <v>466.61020874312931</v>
      </c>
      <c r="P42" s="28">
        <f>SUM(P26:P41)</f>
        <v>2112.3075705309689</v>
      </c>
      <c r="Q42" s="17"/>
      <c r="R42" s="19">
        <f>SUM(R26:R41)</f>
        <v>67065.765364358274</v>
      </c>
    </row>
    <row r="43" spans="1:18" s="20" customFormat="1" ht="12.75" customHeight="1" x14ac:dyDescent="0.25">
      <c r="A43" s="85" t="s">
        <v>19</v>
      </c>
      <c r="B43" s="82" t="s">
        <v>25</v>
      </c>
      <c r="C43" s="48" t="s">
        <v>36</v>
      </c>
      <c r="D43" s="48" t="s">
        <v>37</v>
      </c>
      <c r="E43" s="4">
        <v>1000</v>
      </c>
      <c r="F43" s="4">
        <f>0.53*E43</f>
        <v>530</v>
      </c>
      <c r="G43" s="59">
        <v>1</v>
      </c>
      <c r="H43" s="1">
        <f>+F43*G43</f>
        <v>530</v>
      </c>
      <c r="I43" s="58">
        <v>6.6799999999999998E-2</v>
      </c>
      <c r="J43" s="3">
        <f>+H43*I43</f>
        <v>35.403999999999996</v>
      </c>
      <c r="K43" s="4">
        <f t="shared" ref="K43:K55" si="47">E43-F43</f>
        <v>470</v>
      </c>
      <c r="L43" s="10">
        <v>1</v>
      </c>
      <c r="M43" s="6">
        <f>K43*L43</f>
        <v>470</v>
      </c>
      <c r="N43" s="57">
        <v>3.3399999999999999E-2</v>
      </c>
      <c r="O43" s="2">
        <f>+M43*N43</f>
        <v>15.698</v>
      </c>
      <c r="P43" s="13">
        <f>J43+O43</f>
        <v>51.101999999999997</v>
      </c>
      <c r="Q43" s="11">
        <v>31.75</v>
      </c>
      <c r="R43" s="52">
        <f>Q43*P43</f>
        <v>1622.4884999999999</v>
      </c>
    </row>
    <row r="44" spans="1:18" s="20" customFormat="1" x14ac:dyDescent="0.25">
      <c r="A44" s="86"/>
      <c r="B44" s="83"/>
      <c r="C44" s="48" t="s">
        <v>38</v>
      </c>
      <c r="D44" s="48" t="s">
        <v>39</v>
      </c>
      <c r="E44" s="4">
        <v>1000</v>
      </c>
      <c r="F44" s="4">
        <f>0.53*E44</f>
        <v>530</v>
      </c>
      <c r="G44" s="59">
        <v>1</v>
      </c>
      <c r="H44" s="1">
        <f>+F44*G44</f>
        <v>530</v>
      </c>
      <c r="I44" s="58">
        <v>6.6799999999999998E-2</v>
      </c>
      <c r="J44" s="3">
        <f>+H44*I44</f>
        <v>35.403999999999996</v>
      </c>
      <c r="K44" s="4">
        <f t="shared" si="47"/>
        <v>470</v>
      </c>
      <c r="L44" s="10">
        <v>1</v>
      </c>
      <c r="M44" s="6">
        <f>+K44*L44</f>
        <v>470</v>
      </c>
      <c r="N44" s="57">
        <v>3.3399999999999999E-2</v>
      </c>
      <c r="O44" s="2">
        <f>+M44*N44</f>
        <v>15.698</v>
      </c>
      <c r="P44" s="13">
        <f>J44+O44</f>
        <v>51.101999999999997</v>
      </c>
      <c r="Q44" s="11">
        <v>31.75</v>
      </c>
      <c r="R44" s="52">
        <f t="shared" ref="R44:R58" si="48">Q44*P44</f>
        <v>1622.4884999999999</v>
      </c>
    </row>
    <row r="45" spans="1:18" s="20" customFormat="1" x14ac:dyDescent="0.25">
      <c r="A45" s="86"/>
      <c r="B45" s="83"/>
      <c r="C45" s="48" t="s">
        <v>49</v>
      </c>
      <c r="D45" s="48" t="s">
        <v>44</v>
      </c>
      <c r="E45" s="4">
        <v>1000</v>
      </c>
      <c r="F45" s="4">
        <f>0.5*E45</f>
        <v>500</v>
      </c>
      <c r="G45" s="59">
        <v>1</v>
      </c>
      <c r="H45" s="1">
        <f>+F45*G45</f>
        <v>500</v>
      </c>
      <c r="I45" s="2">
        <v>0.5</v>
      </c>
      <c r="J45" s="3">
        <f>+H45*I45</f>
        <v>250</v>
      </c>
      <c r="K45" s="4">
        <f t="shared" si="47"/>
        <v>500</v>
      </c>
      <c r="L45" s="10">
        <v>1</v>
      </c>
      <c r="M45" s="6">
        <f>+K45*L45</f>
        <v>500</v>
      </c>
      <c r="N45" s="57">
        <v>3.3399999999999999E-2</v>
      </c>
      <c r="O45" s="2">
        <f>+M45*N45</f>
        <v>16.7</v>
      </c>
      <c r="P45" s="13">
        <f>J45+O45</f>
        <v>266.7</v>
      </c>
      <c r="Q45" s="11">
        <v>31.75</v>
      </c>
      <c r="R45" s="52">
        <f t="shared" si="48"/>
        <v>8467.7250000000004</v>
      </c>
    </row>
    <row r="46" spans="1:18" s="20" customFormat="1" x14ac:dyDescent="0.25">
      <c r="A46" s="86"/>
      <c r="B46" s="83"/>
      <c r="C46" s="48" t="s">
        <v>50</v>
      </c>
      <c r="D46" s="48" t="s">
        <v>46</v>
      </c>
      <c r="E46" s="4">
        <v>1000</v>
      </c>
      <c r="F46" s="4">
        <f>0.53*E46</f>
        <v>530</v>
      </c>
      <c r="G46" s="59">
        <v>1</v>
      </c>
      <c r="H46" s="1">
        <f>+F46*G46</f>
        <v>530</v>
      </c>
      <c r="I46" s="2">
        <v>0.5</v>
      </c>
      <c r="J46" s="3">
        <f>+H46*I46</f>
        <v>265</v>
      </c>
      <c r="K46" s="4">
        <f t="shared" si="47"/>
        <v>470</v>
      </c>
      <c r="L46" s="10">
        <v>1</v>
      </c>
      <c r="M46" s="6">
        <f>+K46*L46</f>
        <v>470</v>
      </c>
      <c r="N46" s="57">
        <v>5.0099999999999999E-2</v>
      </c>
      <c r="O46" s="2">
        <f>+M46*N46</f>
        <v>23.547000000000001</v>
      </c>
      <c r="P46" s="53">
        <f t="shared" ref="P46" si="49">+O46+J46</f>
        <v>288.54700000000003</v>
      </c>
      <c r="Q46" s="11">
        <v>31.75</v>
      </c>
      <c r="R46" s="52">
        <f t="shared" si="48"/>
        <v>9161.3672500000011</v>
      </c>
    </row>
    <row r="47" spans="1:18" s="20" customFormat="1" x14ac:dyDescent="0.25">
      <c r="A47" s="86"/>
      <c r="B47" s="83"/>
      <c r="C47" s="48" t="s">
        <v>51</v>
      </c>
      <c r="D47" s="48" t="s">
        <v>45</v>
      </c>
      <c r="E47" s="4">
        <v>1000</v>
      </c>
      <c r="F47" s="4">
        <f>0.5*E47</f>
        <v>500</v>
      </c>
      <c r="G47" s="59">
        <v>1</v>
      </c>
      <c r="H47" s="1">
        <f t="shared" ref="H47:H58" si="50">+F47*G47</f>
        <v>500</v>
      </c>
      <c r="I47" s="2">
        <v>0.25</v>
      </c>
      <c r="J47" s="3">
        <f t="shared" ref="J47:J58" si="51">+H47*I47</f>
        <v>125</v>
      </c>
      <c r="K47" s="4">
        <f t="shared" si="47"/>
        <v>500</v>
      </c>
      <c r="L47" s="10">
        <v>1</v>
      </c>
      <c r="M47" s="6">
        <f t="shared" ref="M47:M58" si="52">+K47*L47</f>
        <v>500</v>
      </c>
      <c r="N47" s="57">
        <v>3.3399999999999999E-2</v>
      </c>
      <c r="O47" s="2">
        <f t="shared" ref="O47:O58" si="53">+M47*N47</f>
        <v>16.7</v>
      </c>
      <c r="P47" s="13">
        <f>J47+O47</f>
        <v>141.69999999999999</v>
      </c>
      <c r="Q47" s="11">
        <v>31.75</v>
      </c>
      <c r="R47" s="52">
        <f t="shared" si="48"/>
        <v>4498.9749999999995</v>
      </c>
    </row>
    <row r="48" spans="1:18" s="20" customFormat="1" x14ac:dyDescent="0.25">
      <c r="A48" s="86"/>
      <c r="B48" s="83"/>
      <c r="C48" s="48" t="s">
        <v>52</v>
      </c>
      <c r="D48" s="48" t="s">
        <v>47</v>
      </c>
      <c r="E48" s="4">
        <f>0.94*E47</f>
        <v>940</v>
      </c>
      <c r="F48" s="4">
        <f>E48*0.06</f>
        <v>56.4</v>
      </c>
      <c r="G48" s="59">
        <v>1</v>
      </c>
      <c r="H48" s="1">
        <f t="shared" si="50"/>
        <v>56.4</v>
      </c>
      <c r="I48" s="57">
        <v>1.67E-2</v>
      </c>
      <c r="J48" s="3">
        <f t="shared" si="51"/>
        <v>0.94187999999999994</v>
      </c>
      <c r="K48" s="4">
        <f t="shared" si="47"/>
        <v>883.6</v>
      </c>
      <c r="L48" s="10">
        <v>1</v>
      </c>
      <c r="M48" s="6">
        <f t="shared" si="52"/>
        <v>883.6</v>
      </c>
      <c r="N48" s="57">
        <v>1.67E-2</v>
      </c>
      <c r="O48" s="2">
        <f t="shared" si="53"/>
        <v>14.756119999999999</v>
      </c>
      <c r="P48" s="13">
        <f t="shared" ref="P48:P55" si="54">J48+O48</f>
        <v>15.697999999999999</v>
      </c>
      <c r="Q48" s="11">
        <v>31.75</v>
      </c>
      <c r="R48" s="52">
        <f t="shared" si="48"/>
        <v>498.41149999999993</v>
      </c>
    </row>
    <row r="49" spans="1:20" s="20" customFormat="1" x14ac:dyDescent="0.25">
      <c r="A49" s="86"/>
      <c r="B49" s="83"/>
      <c r="C49" s="48" t="s">
        <v>53</v>
      </c>
      <c r="D49" s="48" t="s">
        <v>47</v>
      </c>
      <c r="E49" s="4">
        <f>K48</f>
        <v>883.6</v>
      </c>
      <c r="F49" s="4">
        <f t="shared" ref="F49:F55" si="55">E49*0.06</f>
        <v>53.015999999999998</v>
      </c>
      <c r="G49" s="59">
        <v>1</v>
      </c>
      <c r="H49" s="1">
        <f t="shared" si="50"/>
        <v>53.015999999999998</v>
      </c>
      <c r="I49" s="57">
        <v>1.67E-2</v>
      </c>
      <c r="J49" s="3">
        <f t="shared" si="51"/>
        <v>0.88536719999999991</v>
      </c>
      <c r="K49" s="4">
        <f t="shared" si="47"/>
        <v>830.58400000000006</v>
      </c>
      <c r="L49" s="10">
        <v>1</v>
      </c>
      <c r="M49" s="6">
        <f t="shared" si="52"/>
        <v>830.58400000000006</v>
      </c>
      <c r="N49" s="57">
        <v>1.67E-2</v>
      </c>
      <c r="O49" s="2">
        <f t="shared" si="53"/>
        <v>13.8707528</v>
      </c>
      <c r="P49" s="13">
        <f t="shared" si="54"/>
        <v>14.756119999999999</v>
      </c>
      <c r="Q49" s="11">
        <v>31.75</v>
      </c>
      <c r="R49" s="52">
        <f t="shared" si="48"/>
        <v>468.50680999999997</v>
      </c>
    </row>
    <row r="50" spans="1:20" s="20" customFormat="1" x14ac:dyDescent="0.25">
      <c r="A50" s="86"/>
      <c r="B50" s="83"/>
      <c r="C50" s="48" t="s">
        <v>54</v>
      </c>
      <c r="D50" s="48" t="s">
        <v>47</v>
      </c>
      <c r="E50" s="4">
        <f t="shared" ref="E50:E55" si="56">K49</f>
        <v>830.58400000000006</v>
      </c>
      <c r="F50" s="4">
        <f t="shared" si="55"/>
        <v>49.835039999999999</v>
      </c>
      <c r="G50" s="59">
        <v>1</v>
      </c>
      <c r="H50" s="1">
        <f t="shared" si="50"/>
        <v>49.835039999999999</v>
      </c>
      <c r="I50" s="57">
        <v>1.67E-2</v>
      </c>
      <c r="J50" s="3">
        <f t="shared" si="51"/>
        <v>0.83224516799999992</v>
      </c>
      <c r="K50" s="4">
        <f t="shared" si="47"/>
        <v>780.74896000000001</v>
      </c>
      <c r="L50" s="10">
        <v>1</v>
      </c>
      <c r="M50" s="6">
        <f t="shared" si="52"/>
        <v>780.74896000000001</v>
      </c>
      <c r="N50" s="57">
        <v>1.67E-2</v>
      </c>
      <c r="O50" s="2">
        <f t="shared" si="53"/>
        <v>13.038507632</v>
      </c>
      <c r="P50" s="13">
        <f t="shared" si="54"/>
        <v>13.8707528</v>
      </c>
      <c r="Q50" s="11">
        <v>31.75</v>
      </c>
      <c r="R50" s="52">
        <f t="shared" si="48"/>
        <v>440.3964014</v>
      </c>
    </row>
    <row r="51" spans="1:20" s="20" customFormat="1" x14ac:dyDescent="0.25">
      <c r="A51" s="86"/>
      <c r="B51" s="83"/>
      <c r="C51" s="48" t="s">
        <v>55</v>
      </c>
      <c r="D51" s="48" t="s">
        <v>47</v>
      </c>
      <c r="E51" s="4">
        <f t="shared" si="56"/>
        <v>780.74896000000001</v>
      </c>
      <c r="F51" s="4">
        <f t="shared" si="55"/>
        <v>46.844937600000002</v>
      </c>
      <c r="G51" s="59">
        <v>1</v>
      </c>
      <c r="H51" s="1">
        <f t="shared" si="50"/>
        <v>46.844937600000002</v>
      </c>
      <c r="I51" s="57">
        <v>1.67E-2</v>
      </c>
      <c r="J51" s="3">
        <f t="shared" si="51"/>
        <v>0.78231045791999998</v>
      </c>
      <c r="K51" s="4">
        <f t="shared" si="47"/>
        <v>733.90402240000003</v>
      </c>
      <c r="L51" s="10">
        <v>1</v>
      </c>
      <c r="M51" s="6">
        <f t="shared" si="52"/>
        <v>733.90402240000003</v>
      </c>
      <c r="N51" s="57">
        <v>1.67E-2</v>
      </c>
      <c r="O51" s="2">
        <f t="shared" si="53"/>
        <v>12.25619717408</v>
      </c>
      <c r="P51" s="13">
        <f t="shared" si="54"/>
        <v>13.038507632</v>
      </c>
      <c r="Q51" s="11">
        <v>31.75</v>
      </c>
      <c r="R51" s="21">
        <f t="shared" si="48"/>
        <v>413.97261731600003</v>
      </c>
    </row>
    <row r="52" spans="1:20" s="20" customFormat="1" x14ac:dyDescent="0.25">
      <c r="A52" s="86"/>
      <c r="B52" s="83"/>
      <c r="C52" s="48" t="s">
        <v>56</v>
      </c>
      <c r="D52" s="48" t="s">
        <v>47</v>
      </c>
      <c r="E52" s="4">
        <f t="shared" si="56"/>
        <v>733.90402240000003</v>
      </c>
      <c r="F52" s="4">
        <f t="shared" si="55"/>
        <v>44.034241344000002</v>
      </c>
      <c r="G52" s="59">
        <v>1</v>
      </c>
      <c r="H52" s="1">
        <f t="shared" si="50"/>
        <v>44.034241344000002</v>
      </c>
      <c r="I52" s="57">
        <v>1.67E-2</v>
      </c>
      <c r="J52" s="3">
        <f t="shared" si="51"/>
        <v>0.73537183044480003</v>
      </c>
      <c r="K52" s="4">
        <f t="shared" si="47"/>
        <v>689.86978105600008</v>
      </c>
      <c r="L52" s="10">
        <v>1</v>
      </c>
      <c r="M52" s="6">
        <f t="shared" si="52"/>
        <v>689.86978105600008</v>
      </c>
      <c r="N52" s="57">
        <v>1.67E-2</v>
      </c>
      <c r="O52" s="2">
        <f t="shared" si="53"/>
        <v>11.520825343635201</v>
      </c>
      <c r="P52" s="13">
        <f t="shared" si="54"/>
        <v>12.25619717408</v>
      </c>
      <c r="Q52" s="11">
        <v>31.75</v>
      </c>
      <c r="R52" s="21">
        <f t="shared" si="48"/>
        <v>389.13426027704003</v>
      </c>
    </row>
    <row r="53" spans="1:20" s="20" customFormat="1" x14ac:dyDescent="0.25">
      <c r="A53" s="86"/>
      <c r="B53" s="83"/>
      <c r="C53" s="48" t="s">
        <v>57</v>
      </c>
      <c r="D53" s="48" t="s">
        <v>47</v>
      </c>
      <c r="E53" s="4">
        <f t="shared" si="56"/>
        <v>689.86978105600008</v>
      </c>
      <c r="F53" s="4">
        <f t="shared" si="55"/>
        <v>41.392186863360003</v>
      </c>
      <c r="G53" s="59">
        <v>1</v>
      </c>
      <c r="H53" s="1">
        <f t="shared" si="50"/>
        <v>41.392186863360003</v>
      </c>
      <c r="I53" s="57">
        <v>1.67E-2</v>
      </c>
      <c r="J53" s="3">
        <f t="shared" si="51"/>
        <v>0.69124952061811207</v>
      </c>
      <c r="K53" s="4">
        <f t="shared" si="47"/>
        <v>648.47759419264003</v>
      </c>
      <c r="L53" s="10">
        <v>1</v>
      </c>
      <c r="M53" s="6">
        <f t="shared" si="52"/>
        <v>648.47759419264003</v>
      </c>
      <c r="N53" s="57">
        <v>1.67E-2</v>
      </c>
      <c r="O53" s="2">
        <f t="shared" si="53"/>
        <v>10.829575823017088</v>
      </c>
      <c r="P53" s="13">
        <f t="shared" si="54"/>
        <v>11.520825343635199</v>
      </c>
      <c r="Q53" s="11">
        <v>31.75</v>
      </c>
      <c r="R53" s="21">
        <f t="shared" si="48"/>
        <v>365.78620466041758</v>
      </c>
    </row>
    <row r="54" spans="1:20" s="20" customFormat="1" x14ac:dyDescent="0.25">
      <c r="A54" s="86"/>
      <c r="B54" s="83"/>
      <c r="C54" s="48" t="s">
        <v>58</v>
      </c>
      <c r="D54" s="48" t="s">
        <v>47</v>
      </c>
      <c r="E54" s="4">
        <f t="shared" si="56"/>
        <v>648.47759419264003</v>
      </c>
      <c r="F54" s="4">
        <f t="shared" si="55"/>
        <v>38.908655651558398</v>
      </c>
      <c r="G54" s="59">
        <v>1</v>
      </c>
      <c r="H54" s="1">
        <f t="shared" si="50"/>
        <v>38.908655651558398</v>
      </c>
      <c r="I54" s="57">
        <v>1.67E-2</v>
      </c>
      <c r="J54" s="3">
        <f t="shared" si="51"/>
        <v>0.64977454938102519</v>
      </c>
      <c r="K54" s="4">
        <f t="shared" si="47"/>
        <v>609.56893854108159</v>
      </c>
      <c r="L54" s="10">
        <v>1</v>
      </c>
      <c r="M54" s="6">
        <f t="shared" si="52"/>
        <v>609.56893854108159</v>
      </c>
      <c r="N54" s="57">
        <v>1.67E-2</v>
      </c>
      <c r="O54" s="2">
        <f t="shared" si="53"/>
        <v>10.179801273636063</v>
      </c>
      <c r="P54" s="13">
        <f t="shared" si="54"/>
        <v>10.829575823017088</v>
      </c>
      <c r="Q54" s="11">
        <v>31.75</v>
      </c>
      <c r="R54" s="21">
        <f t="shared" si="48"/>
        <v>343.8390323807925</v>
      </c>
    </row>
    <row r="55" spans="1:20" s="20" customFormat="1" x14ac:dyDescent="0.25">
      <c r="A55" s="86"/>
      <c r="B55" s="83"/>
      <c r="C55" s="48" t="s">
        <v>59</v>
      </c>
      <c r="D55" s="48" t="s">
        <v>47</v>
      </c>
      <c r="E55" s="4">
        <f t="shared" si="56"/>
        <v>609.56893854108159</v>
      </c>
      <c r="F55" s="4">
        <f t="shared" si="55"/>
        <v>36.574136312464894</v>
      </c>
      <c r="G55" s="59">
        <v>1</v>
      </c>
      <c r="H55" s="1">
        <f t="shared" si="50"/>
        <v>36.574136312464894</v>
      </c>
      <c r="I55" s="57">
        <v>1.67E-2</v>
      </c>
      <c r="J55" s="3">
        <f t="shared" si="51"/>
        <v>0.61078807641816368</v>
      </c>
      <c r="K55" s="4">
        <f t="shared" si="47"/>
        <v>572.99480222861666</v>
      </c>
      <c r="L55" s="10">
        <v>1</v>
      </c>
      <c r="M55" s="6">
        <f t="shared" si="52"/>
        <v>572.99480222861666</v>
      </c>
      <c r="N55" s="57">
        <v>1.67E-2</v>
      </c>
      <c r="O55" s="2">
        <f t="shared" si="53"/>
        <v>9.5690131972178989</v>
      </c>
      <c r="P55" s="13">
        <f t="shared" si="54"/>
        <v>10.179801273636063</v>
      </c>
      <c r="Q55" s="11">
        <v>31.75</v>
      </c>
      <c r="R55" s="21">
        <f t="shared" si="48"/>
        <v>323.20869043794499</v>
      </c>
    </row>
    <row r="56" spans="1:20" s="20" customFormat="1" x14ac:dyDescent="0.25">
      <c r="A56" s="86"/>
      <c r="B56" s="83"/>
      <c r="C56" s="48" t="s">
        <v>60</v>
      </c>
      <c r="D56" s="48" t="s">
        <v>62</v>
      </c>
      <c r="E56" s="4">
        <f>E46</f>
        <v>1000</v>
      </c>
      <c r="F56" s="4">
        <f>0.53*E56</f>
        <v>530</v>
      </c>
      <c r="G56" s="59">
        <v>2</v>
      </c>
      <c r="H56" s="1">
        <f t="shared" si="50"/>
        <v>1060</v>
      </c>
      <c r="I56" s="57">
        <v>1.67E-2</v>
      </c>
      <c r="J56" s="3">
        <f t="shared" si="51"/>
        <v>17.701999999999998</v>
      </c>
      <c r="K56" s="4">
        <f>E56-F56</f>
        <v>470</v>
      </c>
      <c r="L56" s="10">
        <v>2</v>
      </c>
      <c r="M56" s="6">
        <f t="shared" si="52"/>
        <v>940</v>
      </c>
      <c r="N56" s="57">
        <v>1.67E-2</v>
      </c>
      <c r="O56" s="2">
        <f t="shared" si="53"/>
        <v>15.698</v>
      </c>
      <c r="P56" s="13">
        <f>J56+O56</f>
        <v>33.4</v>
      </c>
      <c r="Q56" s="11">
        <v>31.75</v>
      </c>
      <c r="R56" s="21">
        <f t="shared" si="48"/>
        <v>1060.45</v>
      </c>
    </row>
    <row r="57" spans="1:20" s="20" customFormat="1" x14ac:dyDescent="0.25">
      <c r="A57" s="86"/>
      <c r="B57" s="83"/>
      <c r="C57" s="48" t="s">
        <v>63</v>
      </c>
      <c r="D57" s="48" t="s">
        <v>64</v>
      </c>
      <c r="E57" s="4">
        <f>E43*0.5</f>
        <v>500</v>
      </c>
      <c r="F57" s="4">
        <f>E57*0.72</f>
        <v>360</v>
      </c>
      <c r="G57" s="59">
        <v>1</v>
      </c>
      <c r="H57" s="1">
        <f t="shared" si="50"/>
        <v>360</v>
      </c>
      <c r="I57" s="57">
        <v>3.3399999999999999E-2</v>
      </c>
      <c r="J57" s="3">
        <f t="shared" si="51"/>
        <v>12.023999999999999</v>
      </c>
      <c r="K57" s="4">
        <f>E57-F57</f>
        <v>140</v>
      </c>
      <c r="L57" s="10">
        <v>1</v>
      </c>
      <c r="M57" s="6">
        <f t="shared" si="52"/>
        <v>140</v>
      </c>
      <c r="N57" s="57">
        <v>1.67E-2</v>
      </c>
      <c r="O57" s="2">
        <f t="shared" si="53"/>
        <v>2.3380000000000001</v>
      </c>
      <c r="P57" s="13">
        <f>J57+O57</f>
        <v>14.361999999999998</v>
      </c>
      <c r="Q57" s="11">
        <v>31.75</v>
      </c>
      <c r="R57" s="21">
        <f t="shared" si="48"/>
        <v>455.99349999999993</v>
      </c>
    </row>
    <row r="58" spans="1:20" s="20" customFormat="1" x14ac:dyDescent="0.25">
      <c r="A58" s="86"/>
      <c r="B58" s="83"/>
      <c r="C58" s="48" t="s">
        <v>61</v>
      </c>
      <c r="D58" s="48" t="s">
        <v>48</v>
      </c>
      <c r="E58" s="4">
        <f>K55</f>
        <v>572.99480222861666</v>
      </c>
      <c r="F58" s="4">
        <f t="shared" ref="F58" si="57">E58*0.2</f>
        <v>114.59896044572334</v>
      </c>
      <c r="G58" s="59">
        <v>2</v>
      </c>
      <c r="H58" s="1">
        <f t="shared" si="50"/>
        <v>229.19792089144667</v>
      </c>
      <c r="I58" s="57">
        <v>1.67E-2</v>
      </c>
      <c r="J58" s="3">
        <f t="shared" si="51"/>
        <v>3.8276052788871593</v>
      </c>
      <c r="K58" s="4">
        <f t="shared" ref="K58" si="58">E58-F58</f>
        <v>458.39584178289334</v>
      </c>
      <c r="L58" s="10">
        <v>1</v>
      </c>
      <c r="M58" s="6">
        <f t="shared" si="52"/>
        <v>458.39584178289334</v>
      </c>
      <c r="N58" s="57">
        <v>1.67E-2</v>
      </c>
      <c r="O58" s="2">
        <f t="shared" si="53"/>
        <v>7.6552105577743186</v>
      </c>
      <c r="P58" s="13">
        <f t="shared" ref="P58" si="59">J58+O58</f>
        <v>11.482815836661478</v>
      </c>
      <c r="Q58" s="11">
        <v>31.75</v>
      </c>
      <c r="R58" s="21">
        <f t="shared" si="48"/>
        <v>364.57940281400192</v>
      </c>
    </row>
    <row r="59" spans="1:20" s="20" customFormat="1" ht="63.75" x14ac:dyDescent="0.25">
      <c r="A59" s="87"/>
      <c r="B59" s="77" t="s">
        <v>21</v>
      </c>
      <c r="C59" s="78"/>
      <c r="D59" s="72"/>
      <c r="E59" s="23">
        <f>E46</f>
        <v>1000</v>
      </c>
      <c r="F59" s="23">
        <f>F46</f>
        <v>530</v>
      </c>
      <c r="G59" s="23">
        <f>H59/F59</f>
        <v>8.6909492804959037</v>
      </c>
      <c r="H59" s="23">
        <f>SUM(H43:H58)</f>
        <v>4606.2031186628292</v>
      </c>
      <c r="I59" s="24">
        <f>J59/H59</f>
        <v>0.16293041638587902</v>
      </c>
      <c r="J59" s="28">
        <f>+SUM(J43:J58)</f>
        <v>750.49059208166932</v>
      </c>
      <c r="K59" s="23">
        <f>K46</f>
        <v>470</v>
      </c>
      <c r="L59" s="24">
        <f>M59/K59</f>
        <v>20.634348808938789</v>
      </c>
      <c r="M59" s="23">
        <f>SUM(M43:M58)</f>
        <v>9698.1439402012311</v>
      </c>
      <c r="N59" s="24">
        <f>O59/M59</f>
        <v>2.1659299459418219E-2</v>
      </c>
      <c r="O59" s="28">
        <f>+SUM(O43:O58)</f>
        <v>210.05500380136058</v>
      </c>
      <c r="P59" s="28">
        <f>SUM(P43:P58)</f>
        <v>960.54559588302982</v>
      </c>
      <c r="Q59" s="28"/>
      <c r="R59" s="27">
        <f>SUM(R43:R58)</f>
        <v>30497.322669286194</v>
      </c>
      <c r="S59" s="75" t="s">
        <v>67</v>
      </c>
      <c r="T59" s="75" t="s">
        <v>66</v>
      </c>
    </row>
    <row r="60" spans="1:20" s="38" customFormat="1" x14ac:dyDescent="0.25">
      <c r="A60" s="79" t="s">
        <v>9</v>
      </c>
      <c r="B60" s="80"/>
      <c r="C60" s="81"/>
      <c r="D60" s="70"/>
      <c r="E60" s="29">
        <f>SUM(E59,E42,E25)</f>
        <v>19065</v>
      </c>
      <c r="F60" s="29">
        <f>SUM(F59,F42,F25)</f>
        <v>13325</v>
      </c>
      <c r="G60" s="60">
        <f>H60/F60</f>
        <v>7.5584134525023465</v>
      </c>
      <c r="H60" s="29">
        <f>SUM(H59,H42,H25)</f>
        <v>100715.85925459377</v>
      </c>
      <c r="I60" s="30">
        <f>J60/H60</f>
        <v>0.14971616348359706</v>
      </c>
      <c r="J60" s="29">
        <f>SUM(J59,J42,J25)</f>
        <v>15078.792049551714</v>
      </c>
      <c r="K60" s="29">
        <f>SUM(K59,K42,K25)</f>
        <v>5740</v>
      </c>
      <c r="L60" s="30">
        <f>M60/K60</f>
        <v>29.843159383941359</v>
      </c>
      <c r="M60" s="29">
        <f>SUM(M59,M42,M25)</f>
        <v>171299.7348638234</v>
      </c>
      <c r="N60" s="30">
        <f>O60/M60</f>
        <v>2.1081685124011918E-2</v>
      </c>
      <c r="O60" s="29">
        <f>SUM(O59,O42,O25)</f>
        <v>3611.2870722258513</v>
      </c>
      <c r="P60" s="29">
        <f>SUM(P59,P42,P25)</f>
        <v>18690.079121777566</v>
      </c>
      <c r="Q60" s="31"/>
      <c r="R60" s="71">
        <f>SUM(R59,R42,R25)</f>
        <v>575909.98951755522</v>
      </c>
      <c r="S60" s="74">
        <f>0.33*(R60)</f>
        <v>190050.29654079324</v>
      </c>
      <c r="T60" s="74">
        <f>S60+R60</f>
        <v>765960.28605834849</v>
      </c>
    </row>
    <row r="61" spans="1:20" s="38" customFormat="1" x14ac:dyDescent="0.25">
      <c r="A61" s="40" t="s">
        <v>16</v>
      </c>
      <c r="B61" s="49"/>
      <c r="E61" s="33"/>
      <c r="F61" s="33"/>
      <c r="G61" s="61"/>
      <c r="H61" s="35"/>
      <c r="I61" s="34"/>
      <c r="J61" s="36"/>
      <c r="K61" s="33"/>
      <c r="L61" s="34"/>
      <c r="M61" s="33"/>
      <c r="N61" s="34"/>
      <c r="O61" s="36"/>
      <c r="P61" s="36"/>
      <c r="Q61" s="36"/>
      <c r="R61" s="37"/>
    </row>
    <row r="62" spans="1:20" s="38" customFormat="1" ht="15" x14ac:dyDescent="0.25">
      <c r="A62" s="39" t="s">
        <v>18</v>
      </c>
      <c r="B62" s="49"/>
      <c r="E62" s="33"/>
      <c r="F62" s="43"/>
      <c r="G62" s="61"/>
      <c r="H62" s="35"/>
      <c r="I62" s="34"/>
      <c r="J62" s="36"/>
      <c r="K62" s="33"/>
      <c r="L62" s="33"/>
      <c r="M62" s="33"/>
      <c r="N62" s="33"/>
      <c r="O62" s="36"/>
      <c r="P62" s="36"/>
      <c r="Q62" s="36"/>
      <c r="R62" s="37"/>
    </row>
    <row r="63" spans="1:20" s="38" customFormat="1" x14ac:dyDescent="0.25">
      <c r="A63" s="39"/>
      <c r="B63" s="49"/>
      <c r="E63" s="33"/>
      <c r="F63" s="33"/>
      <c r="G63" s="61"/>
      <c r="H63" s="35" t="s">
        <v>26</v>
      </c>
      <c r="I63" s="61">
        <f>F60+K60</f>
        <v>19065</v>
      </c>
      <c r="J63" s="36"/>
      <c r="K63" s="33"/>
      <c r="L63" s="34"/>
      <c r="M63" s="33"/>
      <c r="N63" s="34"/>
      <c r="O63" s="36"/>
      <c r="P63" s="36"/>
      <c r="Q63" s="36"/>
      <c r="R63" s="37"/>
    </row>
    <row r="64" spans="1:20" s="38" customFormat="1" x14ac:dyDescent="0.25">
      <c r="A64" s="39"/>
      <c r="B64" s="49"/>
      <c r="E64" s="33"/>
      <c r="F64" s="33"/>
      <c r="G64" s="61"/>
      <c r="H64" s="35" t="s">
        <v>27</v>
      </c>
      <c r="I64" s="61">
        <f>H60+M60</f>
        <v>272015.59411841718</v>
      </c>
      <c r="J64" s="36"/>
      <c r="K64" s="33"/>
      <c r="L64" s="34"/>
      <c r="M64" s="33"/>
      <c r="N64" s="34"/>
      <c r="O64" s="36"/>
      <c r="P64" s="36"/>
      <c r="Q64" s="36"/>
      <c r="R64" s="37"/>
    </row>
    <row r="65" spans="1:18" s="20" customFormat="1" x14ac:dyDescent="0.25">
      <c r="C65" s="41"/>
      <c r="D65" s="41"/>
      <c r="E65" s="44"/>
      <c r="F65" s="44"/>
      <c r="G65" s="62"/>
      <c r="H65" s="64" t="s">
        <v>28</v>
      </c>
      <c r="I65" s="68">
        <f>I64/I63</f>
        <v>14.267799324333447</v>
      </c>
      <c r="J65" s="44"/>
      <c r="K65" s="44"/>
      <c r="L65" s="44"/>
      <c r="M65" s="44"/>
      <c r="N65" s="44"/>
      <c r="O65" s="44"/>
      <c r="P65" s="44"/>
      <c r="Q65" s="44"/>
      <c r="R65" s="45"/>
    </row>
    <row r="66" spans="1:18" x14ac:dyDescent="0.25">
      <c r="H66" s="65" t="s">
        <v>29</v>
      </c>
      <c r="I66" s="66">
        <f>J60+O60</f>
        <v>18690.079121777566</v>
      </c>
    </row>
    <row r="67" spans="1:18" x14ac:dyDescent="0.25">
      <c r="H67" s="65" t="s">
        <v>8</v>
      </c>
      <c r="I67" s="66">
        <f>I66/I64</f>
        <v>6.8709586971845329E-2</v>
      </c>
      <c r="J67" s="67"/>
    </row>
    <row r="69" spans="1:18" x14ac:dyDescent="0.25">
      <c r="H69" s="65"/>
      <c r="I69" s="65"/>
    </row>
    <row r="70" spans="1:18" x14ac:dyDescent="0.25">
      <c r="H70" s="65"/>
      <c r="I70" s="73"/>
    </row>
    <row r="71" spans="1:18" ht="15" x14ac:dyDescent="0.25">
      <c r="A71" s="39"/>
      <c r="B71" s="49"/>
      <c r="C71" s="38"/>
      <c r="D71" s="38"/>
      <c r="E71" s="33"/>
      <c r="F71" s="43"/>
      <c r="G71" s="61"/>
      <c r="H71" s="35"/>
      <c r="I71" s="34"/>
    </row>
    <row r="72" spans="1:18" ht="15" x14ac:dyDescent="0.25">
      <c r="A72" s="39"/>
      <c r="B72" s="49"/>
      <c r="C72" s="38"/>
      <c r="D72" s="38"/>
      <c r="E72" s="33"/>
      <c r="F72" s="43"/>
      <c r="G72" s="61"/>
      <c r="H72" s="35"/>
      <c r="I72" s="34"/>
    </row>
    <row r="73" spans="1:18" ht="15" x14ac:dyDescent="0.25">
      <c r="A73" s="39"/>
      <c r="B73" s="49"/>
      <c r="C73" s="38"/>
      <c r="D73" s="38"/>
      <c r="E73" s="33"/>
      <c r="F73" s="43"/>
      <c r="G73" s="61"/>
      <c r="H73" s="35"/>
      <c r="I73" s="34"/>
    </row>
  </sheetData>
  <mergeCells count="21">
    <mergeCell ref="D1:D2"/>
    <mergeCell ref="P1:P2"/>
    <mergeCell ref="Q1:Q2"/>
    <mergeCell ref="R1:R2"/>
    <mergeCell ref="E1:E2"/>
    <mergeCell ref="F1:J1"/>
    <mergeCell ref="K1:O1"/>
    <mergeCell ref="B1:B2"/>
    <mergeCell ref="A1:A2"/>
    <mergeCell ref="B59:C59"/>
    <mergeCell ref="A60:C60"/>
    <mergeCell ref="C1:C2"/>
    <mergeCell ref="B3:B5"/>
    <mergeCell ref="A3:A25"/>
    <mergeCell ref="A43:A59"/>
    <mergeCell ref="B42:C42"/>
    <mergeCell ref="A26:A42"/>
    <mergeCell ref="B26:B41"/>
    <mergeCell ref="B43:B58"/>
    <mergeCell ref="B7:B24"/>
    <mergeCell ref="B25:C25"/>
  </mergeCells>
  <pageMargins left="0.25" right="0.25" top="0.75" bottom="0.75" header="0.3" footer="0.3"/>
  <pageSetup paperSize="5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Full burden table</vt:lpstr>
      <vt:lpstr>'Full burden table'!Print_Area</vt:lpstr>
    </vt:vector>
  </TitlesOfParts>
  <Company>Abt Associates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Bumgarner</dc:creator>
  <cp:lastModifiedBy>Amy Rosenthal - FNS</cp:lastModifiedBy>
  <cp:lastPrinted>2018-10-23T20:02:09Z</cp:lastPrinted>
  <dcterms:created xsi:type="dcterms:W3CDTF">2016-02-23T18:57:18Z</dcterms:created>
  <dcterms:modified xsi:type="dcterms:W3CDTF">2022-03-09T17:30:58Z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d3856eaa21ca43919b0a8c1d41d0631b</vt:lpwstr>
  </property>
</Properties>
</file>