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purdy_mark_epa_gov/Documents/ICRs/2060-0605/"/>
    </mc:Choice>
  </mc:AlternateContent>
  <xr:revisionPtr revIDLastSave="0" documentId="8_{71E894AF-189E-4F12-B3F6-9CF36D3F1579}" xr6:coauthVersionLast="46" xr6:coauthVersionMax="46" xr10:uidLastSave="{00000000-0000-0000-0000-000000000000}"/>
  <bookViews>
    <workbookView xWindow="-110" yWindow="-110" windowWidth="19420" windowHeight="10420" activeTab="7" xr2:uid="{00000000-000D-0000-FFFF-FFFF00000000}"/>
  </bookViews>
  <sheets>
    <sheet name="1a_small" sheetId="1" r:id="rId1"/>
    <sheet name="1b_large" sheetId="2" r:id="rId2"/>
    <sheet name="OpCosts" sheetId="7" r:id="rId3"/>
    <sheet name="1c_Summary" sheetId="3" r:id="rId4"/>
    <sheet name="2_EPA" sheetId="4" r:id="rId5"/>
    <sheet name="Responses" sheetId="6" r:id="rId6"/>
    <sheet name="Working Respondent" sheetId="5" r:id="rId7"/>
    <sheet name="1a_increment" sheetId="8" r:id="rId8"/>
    <sheet name="1b_increment"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8" i="8" l="1"/>
  <c r="R49" i="8" s="1"/>
  <c r="I49" i="8"/>
  <c r="R48" i="9"/>
  <c r="R46" i="8"/>
  <c r="R44" i="8"/>
  <c r="I48" i="8"/>
  <c r="E45" i="9"/>
  <c r="E44" i="9"/>
  <c r="E41" i="9"/>
  <c r="E40" i="9"/>
  <c r="E39" i="9"/>
  <c r="Q3" i="9"/>
  <c r="P3" i="9"/>
  <c r="O3" i="9"/>
  <c r="M45" i="9"/>
  <c r="O45" i="9" s="1"/>
  <c r="O44" i="9"/>
  <c r="M44" i="9"/>
  <c r="M43" i="9"/>
  <c r="O43" i="9" s="1"/>
  <c r="M42" i="9"/>
  <c r="O42" i="9" s="1"/>
  <c r="O41" i="9"/>
  <c r="M41" i="9"/>
  <c r="M40" i="9"/>
  <c r="O40" i="9" s="1"/>
  <c r="M39" i="9"/>
  <c r="O39" i="9" s="1"/>
  <c r="M35" i="9"/>
  <c r="O35" i="9" s="1"/>
  <c r="N34" i="9"/>
  <c r="M34" i="9"/>
  <c r="O34" i="9" s="1"/>
  <c r="M29" i="9"/>
  <c r="O29" i="9" s="1"/>
  <c r="M28" i="9"/>
  <c r="O28" i="9" s="1"/>
  <c r="R26" i="9"/>
  <c r="M23" i="9"/>
  <c r="O23" i="9" s="1"/>
  <c r="M22" i="9"/>
  <c r="O22" i="9" s="1"/>
  <c r="M18" i="9"/>
  <c r="O18" i="9" s="1"/>
  <c r="M17" i="9"/>
  <c r="O17" i="9" s="1"/>
  <c r="M16" i="9"/>
  <c r="O16" i="9" s="1"/>
  <c r="M15" i="9"/>
  <c r="O15" i="9" s="1"/>
  <c r="M14" i="9"/>
  <c r="O14" i="9" s="1"/>
  <c r="M13" i="9"/>
  <c r="O13" i="9" s="1"/>
  <c r="M12" i="9"/>
  <c r="O12" i="9" s="1"/>
  <c r="M11" i="9"/>
  <c r="O11" i="9" s="1"/>
  <c r="O9" i="9"/>
  <c r="M9" i="9"/>
  <c r="P3" i="8"/>
  <c r="Q3" i="8"/>
  <c r="O3" i="8"/>
  <c r="M41" i="8"/>
  <c r="M40" i="8"/>
  <c r="M39" i="8"/>
  <c r="O39" i="8" s="1"/>
  <c r="M38" i="8"/>
  <c r="O38" i="8" s="1"/>
  <c r="O37" i="8"/>
  <c r="M37" i="8"/>
  <c r="M36" i="8"/>
  <c r="O35" i="8"/>
  <c r="M35" i="8"/>
  <c r="M31" i="8"/>
  <c r="O31" i="8" s="1"/>
  <c r="M22" i="8"/>
  <c r="O22" i="8" s="1"/>
  <c r="M19" i="8"/>
  <c r="O19" i="8" s="1"/>
  <c r="M18" i="8"/>
  <c r="O18" i="8" s="1"/>
  <c r="M14" i="8"/>
  <c r="O14" i="8" s="1"/>
  <c r="M12" i="8"/>
  <c r="O12" i="8" s="1"/>
  <c r="M9" i="8"/>
  <c r="O9" i="8" s="1"/>
  <c r="P17" i="9" l="1"/>
  <c r="Q17" i="9"/>
  <c r="R17" i="9" s="1"/>
  <c r="P23" i="9"/>
  <c r="Q23" i="9"/>
  <c r="R23" i="9" s="1"/>
  <c r="Q29" i="9"/>
  <c r="P29" i="9"/>
  <c r="P40" i="9"/>
  <c r="Q40" i="9"/>
  <c r="Q11" i="9"/>
  <c r="P11" i="9"/>
  <c r="R11" i="9" s="1"/>
  <c r="Q34" i="9"/>
  <c r="R34" i="9" s="1"/>
  <c r="P34" i="9"/>
  <c r="Q42" i="9"/>
  <c r="P42" i="9"/>
  <c r="R42" i="9" s="1"/>
  <c r="P12" i="9"/>
  <c r="R12" i="9" s="1"/>
  <c r="Q12" i="9"/>
  <c r="Q15" i="9"/>
  <c r="P15" i="9"/>
  <c r="R15" i="9" s="1"/>
  <c r="P43" i="9"/>
  <c r="Q43" i="9"/>
  <c r="P45" i="9"/>
  <c r="Q45" i="9"/>
  <c r="R45" i="9" s="1"/>
  <c r="P13" i="9"/>
  <c r="R13" i="9" s="1"/>
  <c r="Q13" i="9"/>
  <c r="P16" i="9"/>
  <c r="R16" i="9"/>
  <c r="Q16" i="9"/>
  <c r="Q22" i="9"/>
  <c r="P22" i="9"/>
  <c r="R22" i="9" s="1"/>
  <c r="P28" i="9"/>
  <c r="R28" i="9" s="1"/>
  <c r="P35" i="9"/>
  <c r="P39" i="9"/>
  <c r="Q9" i="9"/>
  <c r="Q14" i="9"/>
  <c r="Q18" i="9"/>
  <c r="Q28" i="9"/>
  <c r="Q35" i="9"/>
  <c r="Q39" i="9"/>
  <c r="Q41" i="9"/>
  <c r="Q44" i="9"/>
  <c r="P9" i="9"/>
  <c r="R9" i="9" s="1"/>
  <c r="P14" i="9"/>
  <c r="P18" i="9"/>
  <c r="R18" i="9" s="1"/>
  <c r="P41" i="9"/>
  <c r="P44" i="9"/>
  <c r="O36" i="8"/>
  <c r="O41" i="8"/>
  <c r="O40" i="8"/>
  <c r="P40" i="8" s="1"/>
  <c r="P9" i="8"/>
  <c r="Q9" i="8"/>
  <c r="R9" i="8" s="1"/>
  <c r="Q18" i="8"/>
  <c r="P18" i="8"/>
  <c r="R18" i="8"/>
  <c r="P36" i="8"/>
  <c r="Q36" i="8"/>
  <c r="P19" i="8"/>
  <c r="Q19" i="8"/>
  <c r="R19" i="8" s="1"/>
  <c r="Q38" i="8"/>
  <c r="P38" i="8"/>
  <c r="R38" i="8"/>
  <c r="P39" i="8"/>
  <c r="Q39" i="8"/>
  <c r="Q12" i="8"/>
  <c r="P12" i="8"/>
  <c r="R12" i="8" s="1"/>
  <c r="Q22" i="8"/>
  <c r="P22" i="8"/>
  <c r="P41" i="8"/>
  <c r="Q41" i="8"/>
  <c r="R14" i="8"/>
  <c r="P14" i="8"/>
  <c r="P31" i="8"/>
  <c r="P35" i="8"/>
  <c r="P37" i="8"/>
  <c r="Q14" i="8"/>
  <c r="Q31" i="8"/>
  <c r="R31" i="8" s="1"/>
  <c r="Q35" i="8"/>
  <c r="Q37" i="8"/>
  <c r="D5" i="4"/>
  <c r="D6" i="4"/>
  <c r="R39" i="9" l="1"/>
  <c r="R44" i="9"/>
  <c r="R14" i="9"/>
  <c r="R40" i="9"/>
  <c r="R41" i="9"/>
  <c r="R43" i="9"/>
  <c r="R35" i="9"/>
  <c r="R36" i="9" s="1"/>
  <c r="R29" i="9"/>
  <c r="O36" i="9"/>
  <c r="O47" i="9"/>
  <c r="Q40" i="8"/>
  <c r="O43" i="8" s="1"/>
  <c r="R22" i="8"/>
  <c r="R39" i="8"/>
  <c r="R37" i="8"/>
  <c r="R36" i="8"/>
  <c r="R35" i="8"/>
  <c r="R41" i="8"/>
  <c r="R32" i="8"/>
  <c r="O32" i="8"/>
  <c r="C10" i="6"/>
  <c r="O48" i="9" l="1"/>
  <c r="O50" i="9" s="1"/>
  <c r="R47" i="9"/>
  <c r="R50" i="9" s="1"/>
  <c r="O46" i="8"/>
  <c r="R40" i="8"/>
  <c r="O44" i="8"/>
  <c r="R43" i="8"/>
  <c r="E34" i="9"/>
  <c r="D34" i="9"/>
  <c r="F34" i="9" s="1"/>
  <c r="C10" i="4"/>
  <c r="C9" i="4"/>
  <c r="C8" i="4"/>
  <c r="D8" i="4" s="1"/>
  <c r="C7" i="4"/>
  <c r="E34" i="2"/>
  <c r="B10" i="6" s="1"/>
  <c r="E10" i="6" s="1"/>
  <c r="D34" i="2"/>
  <c r="F34" i="2" s="1"/>
  <c r="E8" i="4" l="1"/>
  <c r="H34" i="9"/>
  <c r="G34" i="9"/>
  <c r="F8" i="4"/>
  <c r="H8" i="4" s="1"/>
  <c r="G8" i="4"/>
  <c r="G34" i="2"/>
  <c r="H34" i="2"/>
  <c r="C9" i="6" l="1"/>
  <c r="D9" i="4"/>
  <c r="C25" i="4"/>
  <c r="D25" i="4" s="1"/>
  <c r="H2" i="4" s="1"/>
  <c r="C24" i="4"/>
  <c r="D24" i="4" s="1"/>
  <c r="F2" i="4" s="1"/>
  <c r="I8" i="4" s="1"/>
  <c r="C23" i="4"/>
  <c r="D23" i="4" s="1"/>
  <c r="G2" i="4" s="1"/>
  <c r="D45" i="9"/>
  <c r="F44" i="9"/>
  <c r="D44" i="9"/>
  <c r="D43" i="9"/>
  <c r="F43" i="9" s="1"/>
  <c r="D42" i="9"/>
  <c r="F42" i="9" s="1"/>
  <c r="D41" i="9"/>
  <c r="D40" i="9"/>
  <c r="D39" i="9"/>
  <c r="D35" i="9"/>
  <c r="F35" i="9" s="1"/>
  <c r="D29" i="9"/>
  <c r="F29" i="9" s="1"/>
  <c r="D28" i="9"/>
  <c r="F28" i="9" s="1"/>
  <c r="D23" i="9"/>
  <c r="F23" i="9" s="1"/>
  <c r="D22" i="9"/>
  <c r="F22" i="9" s="1"/>
  <c r="D18" i="9"/>
  <c r="F18" i="9" s="1"/>
  <c r="D17" i="9"/>
  <c r="F17" i="9" s="1"/>
  <c r="D16" i="9"/>
  <c r="F16" i="9" s="1"/>
  <c r="D15" i="9"/>
  <c r="F15" i="9" s="1"/>
  <c r="D14" i="9"/>
  <c r="F14" i="9" s="1"/>
  <c r="D13" i="9"/>
  <c r="F13" i="9" s="1"/>
  <c r="D12" i="9"/>
  <c r="F12" i="9" s="1"/>
  <c r="D11" i="9"/>
  <c r="F11" i="9" s="1"/>
  <c r="D9" i="9"/>
  <c r="F9" i="9" s="1"/>
  <c r="W7" i="9"/>
  <c r="H3" i="9" s="1"/>
  <c r="W6" i="9"/>
  <c r="W5" i="9"/>
  <c r="G3" i="9" s="1"/>
  <c r="F3" i="9"/>
  <c r="D41" i="8"/>
  <c r="D40" i="8"/>
  <c r="D39" i="8"/>
  <c r="F39" i="8" s="1"/>
  <c r="D38" i="8"/>
  <c r="F38" i="8" s="1"/>
  <c r="D37" i="8"/>
  <c r="D36" i="8"/>
  <c r="D35" i="8"/>
  <c r="F35" i="8" s="1"/>
  <c r="D31" i="8"/>
  <c r="F31" i="8" s="1"/>
  <c r="D22" i="8"/>
  <c r="F22" i="8" s="1"/>
  <c r="D19" i="8"/>
  <c r="F19" i="8" s="1"/>
  <c r="D18" i="8"/>
  <c r="F18" i="8" s="1"/>
  <c r="D14" i="8"/>
  <c r="F14" i="8" s="1"/>
  <c r="D12" i="8"/>
  <c r="F12" i="8" s="1"/>
  <c r="D9" i="8"/>
  <c r="F9" i="8" s="1"/>
  <c r="W7" i="8"/>
  <c r="H3" i="8" s="1"/>
  <c r="W6" i="8"/>
  <c r="F3" i="8" s="1"/>
  <c r="W5" i="8"/>
  <c r="G3" i="8"/>
  <c r="C12" i="6"/>
  <c r="C11" i="6"/>
  <c r="G8" i="7"/>
  <c r="G7" i="7"/>
  <c r="G6" i="7"/>
  <c r="B3" i="5"/>
  <c r="D40" i="2"/>
  <c r="D39" i="2"/>
  <c r="D36" i="1"/>
  <c r="D35" i="1"/>
  <c r="F40" i="8" l="1"/>
  <c r="G40" i="8" s="1"/>
  <c r="F36" i="8"/>
  <c r="G36" i="8" s="1"/>
  <c r="G18" i="8"/>
  <c r="I18" i="8" s="1"/>
  <c r="H18" i="8"/>
  <c r="H22" i="9"/>
  <c r="G22" i="9"/>
  <c r="G13" i="9"/>
  <c r="H13" i="9"/>
  <c r="I13" i="9" s="1"/>
  <c r="I34" i="9"/>
  <c r="F40" i="9"/>
  <c r="G40" i="9" s="1"/>
  <c r="I26" i="9"/>
  <c r="G9" i="7"/>
  <c r="I49" i="2" s="1"/>
  <c r="F37" i="8"/>
  <c r="G37" i="8" s="1"/>
  <c r="F41" i="8"/>
  <c r="G41" i="8" s="1"/>
  <c r="F39" i="9"/>
  <c r="G39" i="9" s="1"/>
  <c r="F41" i="9"/>
  <c r="G41" i="9" s="1"/>
  <c r="F45" i="9"/>
  <c r="G45" i="9" s="1"/>
  <c r="G12" i="9"/>
  <c r="H12" i="9"/>
  <c r="G16" i="9"/>
  <c r="I16" i="9" s="1"/>
  <c r="H16" i="9"/>
  <c r="H15" i="9"/>
  <c r="G15" i="9"/>
  <c r="I22" i="9"/>
  <c r="G18" i="9"/>
  <c r="H18" i="9"/>
  <c r="G28" i="9"/>
  <c r="H28" i="9"/>
  <c r="G35" i="9"/>
  <c r="H35" i="9"/>
  <c r="G43" i="9"/>
  <c r="H43" i="9"/>
  <c r="G9" i="9"/>
  <c r="H9" i="9"/>
  <c r="I9" i="9" s="1"/>
  <c r="H39" i="9"/>
  <c r="G11" i="9"/>
  <c r="G14" i="9"/>
  <c r="I14" i="9" s="1"/>
  <c r="G17" i="9"/>
  <c r="G23" i="9"/>
  <c r="G29" i="9"/>
  <c r="G42" i="9"/>
  <c r="G44" i="9"/>
  <c r="H11" i="9"/>
  <c r="H14" i="9"/>
  <c r="H17" i="9"/>
  <c r="H23" i="9"/>
  <c r="H29" i="9"/>
  <c r="H42" i="9"/>
  <c r="H44" i="9"/>
  <c r="G39" i="8"/>
  <c r="H39" i="8"/>
  <c r="H14" i="8"/>
  <c r="G14" i="8"/>
  <c r="I14" i="8" s="1"/>
  <c r="H19" i="8"/>
  <c r="I19" i="8" s="1"/>
  <c r="G19" i="8"/>
  <c r="G31" i="8"/>
  <c r="H31" i="8"/>
  <c r="H9" i="8"/>
  <c r="G9" i="8"/>
  <c r="G35" i="8"/>
  <c r="H35" i="8"/>
  <c r="G12" i="8"/>
  <c r="G22" i="8"/>
  <c r="G38" i="8"/>
  <c r="H12" i="8"/>
  <c r="H22" i="8"/>
  <c r="H36" i="8"/>
  <c r="H38" i="8"/>
  <c r="H40" i="8" l="1"/>
  <c r="I39" i="9"/>
  <c r="I29" i="9"/>
  <c r="I18" i="9"/>
  <c r="I15" i="9"/>
  <c r="H41" i="9"/>
  <c r="I41" i="9" s="1"/>
  <c r="I40" i="8"/>
  <c r="I9" i="8"/>
  <c r="I36" i="8"/>
  <c r="H37" i="8"/>
  <c r="I37" i="8" s="1"/>
  <c r="H40" i="9"/>
  <c r="I40" i="9" s="1"/>
  <c r="I11" i="9"/>
  <c r="H45" i="9"/>
  <c r="I45" i="9" s="1"/>
  <c r="I22" i="8"/>
  <c r="H41" i="8"/>
  <c r="I41" i="8" s="1"/>
  <c r="I12" i="8"/>
  <c r="I39" i="8"/>
  <c r="I44" i="9"/>
  <c r="I23" i="9"/>
  <c r="I12" i="9"/>
  <c r="I35" i="8"/>
  <c r="I35" i="9"/>
  <c r="I31" i="8"/>
  <c r="I42" i="9"/>
  <c r="I43" i="9"/>
  <c r="I28" i="9"/>
  <c r="I17" i="9"/>
  <c r="F36" i="9"/>
  <c r="I38" i="8"/>
  <c r="F32" i="8"/>
  <c r="F47" i="9" l="1"/>
  <c r="F48" i="9" s="1"/>
  <c r="F50" i="9" s="1"/>
  <c r="I36" i="9"/>
  <c r="F43" i="8"/>
  <c r="F46" i="8" s="1"/>
  <c r="I43" i="8"/>
  <c r="I32" i="8"/>
  <c r="I47" i="9"/>
  <c r="I48" i="9" s="1"/>
  <c r="I50" i="9" s="1"/>
  <c r="F44" i="8" l="1"/>
  <c r="I44" i="8"/>
  <c r="I46" i="8"/>
  <c r="N7" i="2"/>
  <c r="H3" i="2" s="1"/>
  <c r="N6" i="2"/>
  <c r="F3" i="2" s="1"/>
  <c r="N5" i="2"/>
  <c r="G3" i="2" s="1"/>
  <c r="D31" i="1"/>
  <c r="D12" i="1"/>
  <c r="F12" i="1" s="1"/>
  <c r="D14" i="1"/>
  <c r="F14" i="1" s="1"/>
  <c r="D9" i="1"/>
  <c r="N7" i="1"/>
  <c r="H3" i="1" s="1"/>
  <c r="N6" i="1"/>
  <c r="F3" i="1" s="1"/>
  <c r="N5" i="1"/>
  <c r="G3" i="1" s="1"/>
  <c r="I34" i="2" l="1"/>
  <c r="G14" i="1"/>
  <c r="H14" i="1"/>
  <c r="H12" i="1"/>
  <c r="G12" i="1"/>
  <c r="I12" i="1" l="1"/>
  <c r="I14" i="1"/>
  <c r="D5" i="5" l="1"/>
  <c r="D4" i="5"/>
  <c r="D3" i="5" s="1"/>
  <c r="C4" i="5"/>
  <c r="E40" i="1" l="1"/>
  <c r="E36" i="1"/>
  <c r="F36" i="1" s="1"/>
  <c r="E38" i="1"/>
  <c r="E31" i="1"/>
  <c r="E39" i="1"/>
  <c r="E41" i="1"/>
  <c r="E37" i="1"/>
  <c r="E35" i="1"/>
  <c r="F35" i="1" s="1"/>
  <c r="E9" i="1"/>
  <c r="F9" i="1" s="1"/>
  <c r="H4" i="5"/>
  <c r="F31" i="1" l="1"/>
  <c r="B11" i="6"/>
  <c r="E11" i="6" s="1"/>
  <c r="G5" i="3" s="1"/>
  <c r="E9" i="4"/>
  <c r="F9" i="4" s="1"/>
  <c r="G31" i="1"/>
  <c r="H31" i="1"/>
  <c r="G9" i="1"/>
  <c r="H9" i="1"/>
  <c r="G36" i="1"/>
  <c r="H36" i="1"/>
  <c r="G35" i="1"/>
  <c r="H35" i="1"/>
  <c r="D41" i="1"/>
  <c r="D11" i="2"/>
  <c r="G9" i="4" l="1"/>
  <c r="H9" i="4"/>
  <c r="I31" i="1"/>
  <c r="I35" i="1"/>
  <c r="I36" i="1"/>
  <c r="I9" i="1"/>
  <c r="F41" i="1"/>
  <c r="G41" i="1" s="1"/>
  <c r="I9" i="4" l="1"/>
  <c r="H41" i="1"/>
  <c r="I41" i="1" s="1"/>
  <c r="C5" i="5"/>
  <c r="E41" i="2" l="1"/>
  <c r="E43" i="2"/>
  <c r="E42" i="2"/>
  <c r="E12" i="2"/>
  <c r="E28" i="2"/>
  <c r="B9" i="6" s="1"/>
  <c r="E9" i="6" s="1"/>
  <c r="E18" i="2"/>
  <c r="E17" i="2"/>
  <c r="E11" i="2"/>
  <c r="F11" i="2" s="1"/>
  <c r="H11" i="2" s="1"/>
  <c r="E35" i="2"/>
  <c r="B12" i="6" s="1"/>
  <c r="E12" i="6" s="1"/>
  <c r="E39" i="2"/>
  <c r="F39" i="2" s="1"/>
  <c r="E9" i="2"/>
  <c r="E40" i="2"/>
  <c r="F40" i="2" s="1"/>
  <c r="E45" i="2"/>
  <c r="E44" i="2"/>
  <c r="C3" i="5"/>
  <c r="H5" i="5"/>
  <c r="E10" i="4"/>
  <c r="E7" i="4"/>
  <c r="G6" i="3" l="1"/>
  <c r="G7" i="3"/>
  <c r="E13" i="6"/>
  <c r="H39" i="2"/>
  <c r="G39" i="2"/>
  <c r="H40" i="2"/>
  <c r="G40" i="2"/>
  <c r="I40" i="2" s="1"/>
  <c r="G11" i="2"/>
  <c r="I11" i="2" s="1"/>
  <c r="D22" i="1"/>
  <c r="F22" i="1" s="1"/>
  <c r="G22" i="1" s="1"/>
  <c r="I26" i="2"/>
  <c r="D12" i="2"/>
  <c r="F12" i="2" s="1"/>
  <c r="G12" i="2" s="1"/>
  <c r="D7" i="4"/>
  <c r="F7" i="4" s="1"/>
  <c r="I39" i="2" l="1"/>
  <c r="H12" i="2"/>
  <c r="I12" i="2" s="1"/>
  <c r="H22" i="1"/>
  <c r="I22" i="1" s="1"/>
  <c r="G7" i="4"/>
  <c r="H7" i="4"/>
  <c r="I7" i="4" l="1"/>
  <c r="D10" i="4" l="1"/>
  <c r="F10" i="4" s="1"/>
  <c r="F6" i="4"/>
  <c r="G6" i="4" s="1"/>
  <c r="F5" i="4"/>
  <c r="G10" i="4" l="1"/>
  <c r="G5" i="4"/>
  <c r="H6" i="4"/>
  <c r="I6" i="4" s="1"/>
  <c r="H5" i="4"/>
  <c r="H10" i="4"/>
  <c r="D45" i="2"/>
  <c r="F45" i="2" s="1"/>
  <c r="G45" i="2" s="1"/>
  <c r="D44" i="2"/>
  <c r="F44" i="2" s="1"/>
  <c r="D43" i="2"/>
  <c r="F43" i="2" s="1"/>
  <c r="D42" i="2"/>
  <c r="F42" i="2" s="1"/>
  <c r="D41" i="2"/>
  <c r="F41" i="2" s="1"/>
  <c r="G41" i="2" s="1"/>
  <c r="D35" i="2"/>
  <c r="F35" i="2" s="1"/>
  <c r="H35" i="2" s="1"/>
  <c r="D29" i="2"/>
  <c r="F29" i="2" s="1"/>
  <c r="G29" i="2" s="1"/>
  <c r="D28" i="2"/>
  <c r="D23" i="2"/>
  <c r="F23" i="2" s="1"/>
  <c r="D22" i="2"/>
  <c r="F22" i="2" s="1"/>
  <c r="D18" i="2"/>
  <c r="F18" i="2" s="1"/>
  <c r="H18" i="2" s="1"/>
  <c r="D17" i="2"/>
  <c r="F17" i="2" s="1"/>
  <c r="D16" i="2"/>
  <c r="F16" i="2" s="1"/>
  <c r="D15" i="2"/>
  <c r="F15" i="2" s="1"/>
  <c r="D14" i="2"/>
  <c r="F14" i="2" s="1"/>
  <c r="D13" i="2"/>
  <c r="F13" i="2" s="1"/>
  <c r="G13" i="2" s="1"/>
  <c r="D9" i="2"/>
  <c r="F9" i="2" s="1"/>
  <c r="G15" i="2" l="1"/>
  <c r="H15" i="2"/>
  <c r="F11" i="4"/>
  <c r="F28" i="2"/>
  <c r="G28" i="2" s="1"/>
  <c r="H9" i="2"/>
  <c r="G9" i="2"/>
  <c r="G14" i="2"/>
  <c r="H14" i="2"/>
  <c r="G18" i="2"/>
  <c r="I18" i="2" s="1"/>
  <c r="G35" i="2"/>
  <c r="I35" i="2" s="1"/>
  <c r="I10" i="4"/>
  <c r="I5" i="4"/>
  <c r="G23" i="2"/>
  <c r="H23" i="2"/>
  <c r="G44" i="2"/>
  <c r="G22" i="2"/>
  <c r="H22" i="2"/>
  <c r="G43" i="2"/>
  <c r="H43" i="2"/>
  <c r="G42" i="2"/>
  <c r="H42" i="2"/>
  <c r="G17" i="2"/>
  <c r="H17" i="2"/>
  <c r="G16" i="2"/>
  <c r="H16" i="2"/>
  <c r="H29" i="2"/>
  <c r="I29" i="2" s="1"/>
  <c r="H45" i="2"/>
  <c r="I45" i="2" s="1"/>
  <c r="H44" i="2"/>
  <c r="H41" i="2"/>
  <c r="I41" i="2" s="1"/>
  <c r="H13" i="2"/>
  <c r="I13" i="2" s="1"/>
  <c r="D40" i="1"/>
  <c r="F40" i="1" s="1"/>
  <c r="D39" i="1"/>
  <c r="F39" i="1" s="1"/>
  <c r="G39" i="1" s="1"/>
  <c r="D38" i="1"/>
  <c r="F38" i="1" s="1"/>
  <c r="G38" i="1" s="1"/>
  <c r="D37" i="1"/>
  <c r="F37" i="1" s="1"/>
  <c r="D19" i="1"/>
  <c r="F19" i="1" s="1"/>
  <c r="H19" i="1" s="1"/>
  <c r="D18" i="1"/>
  <c r="F18" i="1" s="1"/>
  <c r="I15" i="2" l="1"/>
  <c r="I14" i="2"/>
  <c r="H28" i="2"/>
  <c r="F36" i="2" s="1"/>
  <c r="C6" i="3" s="1"/>
  <c r="I17" i="2"/>
  <c r="I11" i="4"/>
  <c r="I9" i="2"/>
  <c r="I28" i="2"/>
  <c r="I16" i="2"/>
  <c r="I43" i="2"/>
  <c r="I22" i="2"/>
  <c r="I23" i="2"/>
  <c r="G37" i="1"/>
  <c r="I42" i="2"/>
  <c r="I44" i="2"/>
  <c r="F47" i="2"/>
  <c r="D6" i="3" s="1"/>
  <c r="H37" i="1"/>
  <c r="G18" i="1"/>
  <c r="H18" i="1"/>
  <c r="G40" i="1"/>
  <c r="H40" i="1"/>
  <c r="G19" i="1"/>
  <c r="I19" i="1" s="1"/>
  <c r="H39" i="1"/>
  <c r="I39" i="1" s="1"/>
  <c r="H38" i="1"/>
  <c r="I38" i="1" s="1"/>
  <c r="F32" i="1" l="1"/>
  <c r="F43" i="1"/>
  <c r="C5" i="3"/>
  <c r="C7" i="3" s="1"/>
  <c r="I36" i="2"/>
  <c r="F48" i="2"/>
  <c r="E6" i="3" s="1"/>
  <c r="I47" i="2"/>
  <c r="I37" i="1"/>
  <c r="I18" i="1"/>
  <c r="I40" i="1"/>
  <c r="I50" i="2" l="1"/>
  <c r="I43" i="1"/>
  <c r="I48" i="2"/>
  <c r="F46" i="1"/>
  <c r="D5" i="3"/>
  <c r="D7" i="3" s="1"/>
  <c r="I32" i="1"/>
  <c r="I44" i="1" s="1"/>
  <c r="F44" i="1"/>
  <c r="E5" i="3" s="1"/>
  <c r="F50" i="2"/>
  <c r="F6" i="3" l="1"/>
  <c r="I46" i="1"/>
  <c r="F5" i="3"/>
  <c r="F7" i="3" s="1"/>
  <c r="E7" i="3"/>
  <c r="E10" i="3" s="1"/>
</calcChain>
</file>

<file path=xl/sharedStrings.xml><?xml version="1.0" encoding="utf-8"?>
<sst xmlns="http://schemas.openxmlformats.org/spreadsheetml/2006/main" count="606" uniqueCount="229">
  <si>
    <t>Burden item</t>
  </si>
  <si>
    <t>1.  Applications</t>
  </si>
  <si>
    <t>N/A</t>
  </si>
  <si>
    <t xml:space="preserve">  </t>
  </si>
  <si>
    <t>2.  Surveys and Studies</t>
  </si>
  <si>
    <t>3.  Acquisition, Installation, and Utilization of Technology and Systems</t>
  </si>
  <si>
    <t>4.  Reporting Requirements</t>
  </si>
  <si>
    <t>B.  Required activities</t>
  </si>
  <si>
    <t>C.  Create information</t>
  </si>
  <si>
    <t>See 4B</t>
  </si>
  <si>
    <t>D.  Gather existing information</t>
  </si>
  <si>
    <t>E.  Write report</t>
  </si>
  <si>
    <t>Subtotal for Reporting Requirements</t>
  </si>
  <si>
    <t xml:space="preserve">5.  Recordkeeping Requirements </t>
  </si>
  <si>
    <t>See 4A</t>
  </si>
  <si>
    <t>F.  Time to transmit or disclose information</t>
  </si>
  <si>
    <t>G.  Time for audits</t>
  </si>
  <si>
    <t>Subtotal for Recordkeeping Requirements</t>
  </si>
  <si>
    <t xml:space="preserve">3.  Acquisition, Installation, and Utilization of Technology and Systems </t>
  </si>
  <si>
    <t xml:space="preserve">B.  Required activities </t>
  </si>
  <si>
    <t>Report Review:</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</si>
  <si>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</si>
  <si>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</si>
  <si>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</si>
  <si>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</si>
  <si>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</si>
  <si>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</si>
  <si>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r>
      <t xml:space="preserve">(H) Total Cost per year </t>
    </r>
    <r>
      <rPr>
        <b/>
        <vertAlign val="superscript"/>
        <sz val="10"/>
        <color theme="1"/>
        <rFont val="Times New Roman"/>
        <family val="1"/>
      </rPr>
      <t>b</t>
    </r>
  </si>
  <si>
    <t>Activity</t>
  </si>
  <si>
    <t>(A) EPA person-hours per occurrence</t>
  </si>
  <si>
    <t>(B) No. of occurrences per plant per year</t>
  </si>
  <si>
    <t>(C) EPA person hours per plant per year (AxB)</t>
  </si>
  <si>
    <t>(E) Technical person-hours per year (CxD)</t>
  </si>
  <si>
    <t>(F) Management person-hours per year (Ex0.05)</t>
  </si>
  <si>
    <t>(G) Clerical person-hours per year (Ex0.1)</t>
  </si>
  <si>
    <t>Assumptions:</t>
  </si>
  <si>
    <t>hr per resp</t>
  </si>
  <si>
    <t>Reporting Hours</t>
  </si>
  <si>
    <t>Recordkeeping Hours</t>
  </si>
  <si>
    <r>
      <t xml:space="preserve">(D) Respondents per year </t>
    </r>
    <r>
      <rPr>
        <b/>
        <vertAlign val="superscript"/>
        <sz val="10"/>
        <rFont val="Times New Roman"/>
        <family val="1"/>
      </rPr>
      <t>a</t>
    </r>
  </si>
  <si>
    <r>
      <t xml:space="preserve">  Initial notification of applicability</t>
    </r>
    <r>
      <rPr>
        <vertAlign val="superscript"/>
        <sz val="9"/>
        <rFont val="Times New Roman"/>
        <family val="1"/>
      </rPr>
      <t xml:space="preserve"> c</t>
    </r>
  </si>
  <si>
    <r>
      <t xml:space="preserve">  Notification of compliance status</t>
    </r>
    <r>
      <rPr>
        <vertAlign val="superscript"/>
        <sz val="9"/>
        <rFont val="Times New Roman"/>
        <family val="1"/>
      </rPr>
      <t>c</t>
    </r>
  </si>
  <si>
    <t>Table 2: Average Annual EPA Burden and Cost – NESHAP for Iron and Steel Foundry Area Sources (40 CFR Part 63, Subpart ZZZZZ) (Renewal)</t>
  </si>
  <si>
    <t>Table 1c: Annual Respondent Burden and Cost for All Foundries – NESHAP for Iron and Steel Foundry Area Sources (40 CFR Part 63, Subpart ZZZZZ) (Renewal)</t>
  </si>
  <si>
    <t>Table 1b: Annual Respondent Burden and Cost for Large Foundries – NESHAP for Iron and Steel Foundry Area Sources (40 CFR Part 63, Subpart ZZZZZ) (Renewal)</t>
  </si>
  <si>
    <t>Table 1a: Annual Respondent Burden and Cost for Small Foundries – NESHAP for Iron and Steel Foundry Area Sources (40 CFR Part 63, Subpart ZZZZZ) (Renewal)</t>
  </si>
  <si>
    <r>
      <t xml:space="preserve">c </t>
    </r>
    <r>
      <rPr>
        <sz val="9"/>
        <color rgb="FF000000"/>
        <rFont val="Times New Roman"/>
        <family val="1"/>
      </rPr>
      <t>One-time only costs</t>
    </r>
  </si>
  <si>
    <r>
      <t xml:space="preserve">  Notification of performance test</t>
    </r>
    <r>
      <rPr>
        <vertAlign val="superscript"/>
        <sz val="9"/>
        <rFont val="Times New Roman"/>
        <family val="1"/>
      </rPr>
      <t>d</t>
    </r>
  </si>
  <si>
    <t>A.  Familiarization with Regulatory Requirements</t>
  </si>
  <si>
    <t>small</t>
  </si>
  <si>
    <t>large</t>
  </si>
  <si>
    <t>Distribution</t>
  </si>
  <si>
    <t>revised small count</t>
  </si>
  <si>
    <t>revised large count</t>
  </si>
  <si>
    <r>
      <t>A.  Familiarization with Regulatory Requirements</t>
    </r>
    <r>
      <rPr>
        <vertAlign val="superscript"/>
        <sz val="9"/>
        <color rgb="FF000000"/>
        <rFont val="Times New Roman"/>
        <family val="1"/>
      </rPr>
      <t>a</t>
    </r>
  </si>
  <si>
    <t xml:space="preserve">     Monthly emission averaging calculation</t>
  </si>
  <si>
    <r>
      <t>A.  Familiarization with Regulatory Requirements</t>
    </r>
    <r>
      <rPr>
        <vertAlign val="superscript"/>
        <sz val="9"/>
        <rFont val="Times New Roman"/>
        <family val="1"/>
      </rPr>
      <t>a</t>
    </r>
  </si>
  <si>
    <r>
      <t>TOTAL BURDEN AND COST (rounded)</t>
    </r>
    <r>
      <rPr>
        <b/>
        <vertAlign val="superscript"/>
        <sz val="9"/>
        <rFont val="Times New Roman"/>
        <family val="1"/>
      </rPr>
      <t>e</t>
    </r>
  </si>
  <si>
    <t>85% of small foundries are small entities</t>
  </si>
  <si>
    <t>45% of large foundries are small entities</t>
  </si>
  <si>
    <t>(A)</t>
  </si>
  <si>
    <t>Information Collection Activity</t>
  </si>
  <si>
    <t>(B)</t>
  </si>
  <si>
    <t>Number of Respondents</t>
  </si>
  <si>
    <t>(C)</t>
  </si>
  <si>
    <t>Number of Responses</t>
  </si>
  <si>
    <t>(D)</t>
  </si>
  <si>
    <t>Number of Existing Respondents That Keep Records But Do Not Submit Reports</t>
  </si>
  <si>
    <t>(E)</t>
  </si>
  <si>
    <t>Total Annual  Responses</t>
  </si>
  <si>
    <t>E=(BxC)+D</t>
  </si>
  <si>
    <t>Initial Notification</t>
  </si>
  <si>
    <t>Notification of Compliance Status</t>
  </si>
  <si>
    <t>Notification of Foundry Reclassification</t>
  </si>
  <si>
    <t>Semiannual compliance reports (large foundries)</t>
  </si>
  <si>
    <t>Total</t>
  </si>
  <si>
    <t>Number of Sources</t>
  </si>
  <si>
    <t>Number of Small Entity</t>
  </si>
  <si>
    <t>Basis</t>
  </si>
  <si>
    <r>
      <t xml:space="preserve">(D) Respondents per year </t>
    </r>
    <r>
      <rPr>
        <b/>
        <vertAlign val="superscript"/>
        <sz val="9"/>
        <rFont val="Times New Roman"/>
        <family val="1"/>
      </rPr>
      <t>a</t>
    </r>
  </si>
  <si>
    <r>
      <t xml:space="preserve">(H) Total Cost per year </t>
    </r>
    <r>
      <rPr>
        <b/>
        <vertAlign val="superscript"/>
        <sz val="9"/>
        <rFont val="Times New Roman"/>
        <family val="1"/>
      </rPr>
      <t>b</t>
    </r>
  </si>
  <si>
    <r>
      <t xml:space="preserve">(D) Plants per year </t>
    </r>
    <r>
      <rPr>
        <b/>
        <vertAlign val="superscript"/>
        <sz val="9"/>
        <rFont val="Times New Roman"/>
        <family val="1"/>
      </rPr>
      <t>a</t>
    </r>
    <r>
      <rPr>
        <b/>
        <sz val="9"/>
        <rFont val="Times New Roman"/>
        <family val="1"/>
      </rPr>
      <t xml:space="preserve">  </t>
    </r>
  </si>
  <si>
    <r>
      <t xml:space="preserve">(H) Cost, $ </t>
    </r>
    <r>
      <rPr>
        <b/>
        <vertAlign val="superscript"/>
        <sz val="9"/>
        <rFont val="Times New Roman"/>
        <family val="1"/>
      </rPr>
      <t>b</t>
    </r>
  </si>
  <si>
    <t xml:space="preserve">Labor Cost </t>
  </si>
  <si>
    <t>Total Labor Hours</t>
  </si>
  <si>
    <t>Number of Response</t>
  </si>
  <si>
    <t>Small Foundry</t>
  </si>
  <si>
    <t>Large Foundry</t>
  </si>
  <si>
    <t>Category</t>
  </si>
  <si>
    <t>Salaries taken for NAICS 331500: Foundries</t>
  </si>
  <si>
    <t>May 2018</t>
  </si>
  <si>
    <t>https://www.bls.gov/oes/current/naics4_331500.htm</t>
  </si>
  <si>
    <t>Occupation Code</t>
  </si>
  <si>
    <t>Title</t>
  </si>
  <si>
    <t>Mean Hourly Rate</t>
  </si>
  <si>
    <t>Estimated Total Pay with Benefits</t>
  </si>
  <si>
    <t>11-0000</t>
  </si>
  <si>
    <t>Mgmt Occup</t>
  </si>
  <si>
    <t>17-2081</t>
  </si>
  <si>
    <t>Envir Engr</t>
  </si>
  <si>
    <t>43-0000</t>
  </si>
  <si>
    <t>Office and Admin Support</t>
  </si>
  <si>
    <t xml:space="preserve">     Repeat performance tests for opacity</t>
  </si>
  <si>
    <r>
      <t xml:space="preserve">b  </t>
    </r>
    <r>
      <rPr>
        <sz val="9"/>
        <color rgb="FF000000"/>
        <rFont val="Times New Roman"/>
        <family val="1"/>
      </rPr>
      <t>This ICR uses the following labor rates from the United States Department of Labor, Bureau of Labor Statistics, May 2018, mean labor rates for Foundries (NAICS 331500) for Management Occupations (11-0000), Environmental Engineer (17-2081) and Office and Administrative Support (43-0000) . The rates have been increased by 110 percent to account for the benefit packages available to those employed by private industry. Fully burdened hourly rates are: $123.71 for management; $81.33 for technical; and $42.80 for clerical.</t>
    </r>
  </si>
  <si>
    <r>
      <t xml:space="preserve">     Scrap specifications</t>
    </r>
    <r>
      <rPr>
        <vertAlign val="superscript"/>
        <sz val="9"/>
        <color rgb="FF000000"/>
        <rFont val="Times New Roman"/>
        <family val="1"/>
      </rPr>
      <t>c</t>
    </r>
  </si>
  <si>
    <r>
      <t xml:space="preserve">     No methanol binder formulation </t>
    </r>
    <r>
      <rPr>
        <vertAlign val="superscript"/>
        <sz val="9"/>
        <color rgb="FF000000"/>
        <rFont val="Times New Roman"/>
        <family val="1"/>
      </rPr>
      <t>d</t>
    </r>
    <r>
      <rPr>
        <sz val="9"/>
        <color rgb="FF000000"/>
        <rFont val="Times New Roman"/>
        <family val="1"/>
      </rPr>
      <t xml:space="preserve"> </t>
    </r>
  </si>
  <si>
    <r>
      <t>d</t>
    </r>
    <r>
      <rPr>
        <sz val="9"/>
        <color rgb="FF000000"/>
        <rFont val="Times New Roman"/>
        <family val="1"/>
      </rPr>
      <t xml:space="preserve"> We have assumed that no burden would be incurred for this requirement because all small area source foundries are already meeting the no methanol requirement.</t>
    </r>
  </si>
  <si>
    <r>
      <t xml:space="preserve">     Initial notification of applicability</t>
    </r>
    <r>
      <rPr>
        <vertAlign val="superscript"/>
        <sz val="9"/>
        <color rgb="FF000000"/>
        <rFont val="Times New Roman"/>
        <family val="1"/>
      </rPr>
      <t>c</t>
    </r>
  </si>
  <si>
    <r>
      <t xml:space="preserve">     Notification of compliance status</t>
    </r>
    <r>
      <rPr>
        <vertAlign val="superscript"/>
        <sz val="9"/>
        <color rgb="FF000000"/>
        <rFont val="Times New Roman"/>
        <family val="1"/>
      </rPr>
      <t>c</t>
    </r>
  </si>
  <si>
    <r>
      <t xml:space="preserve">     Notification of construction/reconstruction</t>
    </r>
    <r>
      <rPr>
        <vertAlign val="superscript"/>
        <sz val="9"/>
        <color rgb="FF000000"/>
        <rFont val="Times New Roman"/>
        <family val="1"/>
      </rPr>
      <t>c</t>
    </r>
  </si>
  <si>
    <r>
      <t xml:space="preserve">     Notification of actual startup</t>
    </r>
    <r>
      <rPr>
        <vertAlign val="superscript"/>
        <sz val="9"/>
        <color rgb="FF000000"/>
        <rFont val="Times New Roman"/>
        <family val="1"/>
      </rPr>
      <t>c</t>
    </r>
  </si>
  <si>
    <r>
      <t xml:space="preserve">     Request for compliance extension</t>
    </r>
    <r>
      <rPr>
        <vertAlign val="superscript"/>
        <sz val="9"/>
        <color rgb="FF000000"/>
        <rFont val="Times New Roman"/>
        <family val="1"/>
      </rPr>
      <t>c</t>
    </r>
  </si>
  <si>
    <t xml:space="preserve">     Notification of repeat performance test</t>
  </si>
  <si>
    <t xml:space="preserve">     Site specific test plan</t>
  </si>
  <si>
    <t xml:space="preserve">     Notification of performance evaluation</t>
  </si>
  <si>
    <t xml:space="preserve">  Quality assurance plan for CEMS/COMS</t>
  </si>
  <si>
    <r>
      <t xml:space="preserve">     NESHAP waiver request</t>
    </r>
    <r>
      <rPr>
        <vertAlign val="superscript"/>
        <sz val="9"/>
        <color rgb="FF000000"/>
        <rFont val="Times New Roman"/>
        <family val="1"/>
      </rPr>
      <t>c</t>
    </r>
  </si>
  <si>
    <r>
      <t xml:space="preserve">     Notification of foundry reclassification</t>
    </r>
    <r>
      <rPr>
        <vertAlign val="superscript"/>
        <sz val="9"/>
        <color rgb="FF000000"/>
        <rFont val="Times New Roman"/>
        <family val="1"/>
      </rPr>
      <t>e</t>
    </r>
  </si>
  <si>
    <r>
      <t>e</t>
    </r>
    <r>
      <rPr>
        <sz val="9"/>
        <color rgb="FF000000"/>
        <rFont val="Times New Roman"/>
        <family val="1"/>
      </rPr>
      <t xml:space="preserve"> We have assumed that no small foundries will be reclassified as large foundries.</t>
    </r>
  </si>
  <si>
    <t xml:space="preserve">     Startup, shutdown, and malfunction plan/reports</t>
  </si>
  <si>
    <r>
      <t>E.  Time to enter information</t>
    </r>
    <r>
      <rPr>
        <vertAlign val="superscript"/>
        <sz val="9"/>
        <color rgb="FF000000"/>
        <rFont val="Times New Roman"/>
        <family val="1"/>
      </rPr>
      <t>g</t>
    </r>
  </si>
  <si>
    <r>
      <t>D   Develop record system</t>
    </r>
    <r>
      <rPr>
        <b/>
        <vertAlign val="superscript"/>
        <sz val="9"/>
        <color rgb="FF000000"/>
        <rFont val="Times New Roman"/>
        <family val="1"/>
      </rPr>
      <t xml:space="preserve"> </t>
    </r>
    <r>
      <rPr>
        <vertAlign val="superscript"/>
        <sz val="9"/>
        <color rgb="FF000000"/>
        <rFont val="Times New Roman"/>
        <family val="1"/>
      </rPr>
      <t>f</t>
    </r>
  </si>
  <si>
    <r>
      <t xml:space="preserve">F.  Time to train personnel </t>
    </r>
    <r>
      <rPr>
        <vertAlign val="superscript"/>
        <sz val="9"/>
        <color rgb="FF000000"/>
        <rFont val="Times New Roman"/>
        <family val="1"/>
      </rPr>
      <t>f</t>
    </r>
  </si>
  <si>
    <r>
      <t xml:space="preserve">G.  Time to adjust existing ways </t>
    </r>
    <r>
      <rPr>
        <vertAlign val="superscript"/>
        <sz val="9"/>
        <color rgb="FF000000"/>
        <rFont val="Times New Roman"/>
        <family val="1"/>
      </rPr>
      <t>f</t>
    </r>
  </si>
  <si>
    <r>
      <t xml:space="preserve">h </t>
    </r>
    <r>
      <rPr>
        <sz val="9"/>
        <color theme="1"/>
        <rFont val="Times New Roman"/>
        <family val="1"/>
      </rPr>
      <t>Totals have been rounded to 3 significant figures. Figures may not add exactly due to rounding. Small foundries are not assumed to incur any capital or O&amp;M costs.</t>
    </r>
  </si>
  <si>
    <r>
      <t>TOTAL LABOR BURDEN AND COST (rounded)</t>
    </r>
    <r>
      <rPr>
        <b/>
        <vertAlign val="superscript"/>
        <sz val="8"/>
        <color rgb="FF000000"/>
        <rFont val="Times New Roman"/>
        <family val="1"/>
      </rPr>
      <t>h</t>
    </r>
  </si>
  <si>
    <r>
      <t>TOTAL CAPITAL AND O&amp;M COST (rounded)</t>
    </r>
    <r>
      <rPr>
        <b/>
        <vertAlign val="superscript"/>
        <sz val="8"/>
        <rFont val="Times New Roman"/>
        <family val="1"/>
      </rPr>
      <t>h</t>
    </r>
  </si>
  <si>
    <r>
      <t>GRAND TOTAL (rounded)</t>
    </r>
    <r>
      <rPr>
        <b/>
        <vertAlign val="superscript"/>
        <sz val="9"/>
        <color rgb="FF000000"/>
        <rFont val="Times New Roman"/>
        <family val="1"/>
      </rPr>
      <t>h</t>
    </r>
  </si>
  <si>
    <r>
      <t xml:space="preserve">c  </t>
    </r>
    <r>
      <rPr>
        <sz val="9"/>
        <color rgb="FF000000"/>
        <rFont val="Times New Roman"/>
        <family val="1"/>
      </rPr>
      <t>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a change to an operating limit or a process change likely to increase HAP emissions over the period of this ICR.   A notification is required.</t>
    </r>
  </si>
  <si>
    <r>
      <t xml:space="preserve">d  </t>
    </r>
    <r>
      <rPr>
        <sz val="9"/>
        <color rgb="FF000000"/>
        <rFont val="Times New Roman"/>
        <family val="1"/>
      </rPr>
      <t xml:space="preserve">We have assumed that all foundries would need to conduct performance tests to demonstrate compliance with the opacity limit in §63.10895(e) at least every 6 months and will not implement a process change likely to increase fugitive emissions over the 3 year period of this ICR. Opacity performance tests should be conducted over 3-hour period as specified in </t>
    </r>
    <r>
      <rPr>
        <sz val="9"/>
        <color rgb="FF000000"/>
        <rFont val="Calibri"/>
        <family val="2"/>
      </rPr>
      <t>§</t>
    </r>
    <r>
      <rPr>
        <sz val="9"/>
        <color rgb="FF000000"/>
        <rFont val="Times New Roman"/>
        <family val="1"/>
      </rPr>
      <t xml:space="preserve">63.6(h)(5)(ii). Assume one observation location can be used per foundry. No separate notification required.    </t>
    </r>
  </si>
  <si>
    <r>
      <t xml:space="preserve">     Scrap material specifications</t>
    </r>
    <r>
      <rPr>
        <vertAlign val="superscript"/>
        <sz val="9"/>
        <rFont val="Times New Roman"/>
        <family val="1"/>
      </rPr>
      <t>e</t>
    </r>
  </si>
  <si>
    <r>
      <t xml:space="preserve">     Prepare operation &amp; maintenance plan</t>
    </r>
    <r>
      <rPr>
        <vertAlign val="superscript"/>
        <sz val="9"/>
        <rFont val="Times New Roman"/>
        <family val="1"/>
      </rPr>
      <t>e</t>
    </r>
  </si>
  <si>
    <r>
      <t xml:space="preserve">     No methanol binder formulation </t>
    </r>
    <r>
      <rPr>
        <vertAlign val="superscript"/>
        <sz val="9"/>
        <rFont val="Times New Roman"/>
        <family val="1"/>
      </rPr>
      <t>e</t>
    </r>
    <r>
      <rPr>
        <sz val="9"/>
        <rFont val="Times New Roman"/>
        <family val="1"/>
      </rPr>
      <t xml:space="preserve"> </t>
    </r>
  </si>
  <si>
    <r>
      <t xml:space="preserve">     Initial performance tests </t>
    </r>
    <r>
      <rPr>
        <vertAlign val="superscript"/>
        <sz val="9"/>
        <rFont val="Times New Roman"/>
        <family val="1"/>
      </rPr>
      <t>e</t>
    </r>
  </si>
  <si>
    <r>
      <t xml:space="preserve">     Initial and periodic inspections of PM control devices, monthly inspection of capture systems </t>
    </r>
    <r>
      <rPr>
        <vertAlign val="superscript"/>
        <sz val="9"/>
        <rFont val="Times New Roman"/>
        <family val="1"/>
      </rPr>
      <t>f</t>
    </r>
  </si>
  <si>
    <r>
      <t xml:space="preserve">    Monthly emissions averaging calculations </t>
    </r>
    <r>
      <rPr>
        <vertAlign val="superscript"/>
        <sz val="9"/>
        <rFont val="Times New Roman"/>
        <family val="1"/>
      </rPr>
      <t>g</t>
    </r>
  </si>
  <si>
    <r>
      <t xml:space="preserve">e </t>
    </r>
    <r>
      <rPr>
        <sz val="9"/>
        <color rgb="FF000000"/>
        <rFont val="Times New Roman"/>
        <family val="1"/>
      </rPr>
      <t>One-time only costs</t>
    </r>
  </si>
  <si>
    <r>
      <t xml:space="preserve">f  </t>
    </r>
    <r>
      <rPr>
        <sz val="9"/>
        <color rgb="FF000000"/>
        <rFont val="Times New Roman"/>
        <family val="1"/>
      </rPr>
      <t xml:space="preserve">We have assumed that all large foundries must conduct inspection of control device and capture system. </t>
    </r>
  </si>
  <si>
    <r>
      <t xml:space="preserve">     Initial notification of applicability</t>
    </r>
    <r>
      <rPr>
        <vertAlign val="superscript"/>
        <sz val="9"/>
        <rFont val="Times New Roman"/>
        <family val="1"/>
      </rPr>
      <t>e</t>
    </r>
  </si>
  <si>
    <r>
      <t xml:space="preserve">     Notification of compliance status</t>
    </r>
    <r>
      <rPr>
        <vertAlign val="superscript"/>
        <sz val="9"/>
        <rFont val="Times New Roman"/>
        <family val="1"/>
      </rPr>
      <t>e</t>
    </r>
  </si>
  <si>
    <r>
      <t xml:space="preserve">     Notification of construction/reconstruction</t>
    </r>
    <r>
      <rPr>
        <vertAlign val="superscript"/>
        <sz val="9"/>
        <rFont val="Times New Roman"/>
        <family val="1"/>
      </rPr>
      <t>e</t>
    </r>
  </si>
  <si>
    <r>
      <t xml:space="preserve">     Notification of actual startup</t>
    </r>
    <r>
      <rPr>
        <vertAlign val="superscript"/>
        <sz val="9"/>
        <rFont val="Times New Roman"/>
        <family val="1"/>
      </rPr>
      <t>e</t>
    </r>
  </si>
  <si>
    <r>
      <t xml:space="preserve">h </t>
    </r>
    <r>
      <rPr>
        <sz val="9"/>
        <color rgb="FF000000"/>
        <rFont val="Times New Roman"/>
        <family val="1"/>
      </rPr>
      <t>We have assumed that no foundries will be reclassified as small foundries.</t>
    </r>
  </si>
  <si>
    <r>
      <t xml:space="preserve">     Notification of foundry reclassification</t>
    </r>
    <r>
      <rPr>
        <vertAlign val="superscript"/>
        <sz val="9"/>
        <rFont val="Times New Roman"/>
        <family val="1"/>
      </rPr>
      <t>h</t>
    </r>
  </si>
  <si>
    <r>
      <t xml:space="preserve">     Request for compliance extension</t>
    </r>
    <r>
      <rPr>
        <vertAlign val="superscript"/>
        <sz val="9"/>
        <rFont val="Times New Roman"/>
        <family val="1"/>
      </rPr>
      <t>c</t>
    </r>
  </si>
  <si>
    <r>
      <t xml:space="preserve">     Notification of repeat PM performance test </t>
    </r>
    <r>
      <rPr>
        <vertAlign val="superscript"/>
        <sz val="9"/>
        <rFont val="Times New Roman"/>
        <family val="1"/>
      </rPr>
      <t>c</t>
    </r>
  </si>
  <si>
    <r>
      <t xml:space="preserve">     Site specific test plan </t>
    </r>
    <r>
      <rPr>
        <vertAlign val="superscript"/>
        <sz val="9"/>
        <rFont val="Times New Roman"/>
        <family val="1"/>
      </rPr>
      <t>e</t>
    </r>
  </si>
  <si>
    <r>
      <t xml:space="preserve">     Notification of performance evaluation</t>
    </r>
    <r>
      <rPr>
        <vertAlign val="superscript"/>
        <sz val="9"/>
        <rFont val="Times New Roman"/>
        <family val="1"/>
      </rPr>
      <t>e</t>
    </r>
  </si>
  <si>
    <r>
      <t xml:space="preserve">     NESHAP waiver request</t>
    </r>
    <r>
      <rPr>
        <vertAlign val="superscript"/>
        <sz val="9"/>
        <rFont val="Times New Roman"/>
        <family val="1"/>
      </rPr>
      <t>e</t>
    </r>
  </si>
  <si>
    <r>
      <t xml:space="preserve">     Quality assurance plan for CEMS/COMS</t>
    </r>
    <r>
      <rPr>
        <vertAlign val="superscript"/>
        <sz val="9"/>
        <rFont val="Times New Roman"/>
        <family val="1"/>
      </rPr>
      <t>e</t>
    </r>
  </si>
  <si>
    <r>
      <t xml:space="preserve">i </t>
    </r>
    <r>
      <rPr>
        <sz val="9"/>
        <color rgb="FF000000"/>
        <rFont val="Times New Roman"/>
        <family val="1"/>
      </rPr>
      <t>We have assumed all large foundries will have to submit semi-annual compliance reports.</t>
    </r>
  </si>
  <si>
    <r>
      <t>C.  Implement activities</t>
    </r>
    <r>
      <rPr>
        <vertAlign val="superscript"/>
        <sz val="9"/>
        <color rgb="FF000000"/>
        <rFont val="Times New Roman"/>
        <family val="1"/>
      </rPr>
      <t xml:space="preserve"> f</t>
    </r>
  </si>
  <si>
    <r>
      <t>B.  Plan activities</t>
    </r>
    <r>
      <rPr>
        <vertAlign val="superscript"/>
        <sz val="9"/>
        <color rgb="FF000000"/>
        <rFont val="Times New Roman"/>
        <family val="1"/>
      </rPr>
      <t>f</t>
    </r>
  </si>
  <si>
    <r>
      <rPr>
        <vertAlign val="superscript"/>
        <sz val="9"/>
        <rFont val="Times New Roman"/>
        <family val="1"/>
      </rPr>
      <t>g</t>
    </r>
    <r>
      <rPr>
        <sz val="9"/>
        <rFont val="Times New Roman"/>
        <family val="1"/>
      </rPr>
      <t xml:space="preserve"> We have assumed that small foundries must record information to demonstrate compliance with pollution prevention management practices for metallic scrap and binder formulations.</t>
    </r>
  </si>
  <si>
    <r>
      <t>a</t>
    </r>
    <r>
      <rPr>
        <sz val="9"/>
        <color rgb="FF000000"/>
        <rFont val="Times New Roman"/>
        <family val="1"/>
      </rPr>
      <t xml:space="preserve"> This table is specific to area source foundries classified as large iron and steel foundries.  There are an estimated 390 area souce foundries, 75 of which are expected to be classified as large foundries.  No new area source foundries are projected during the 3-year term of this ICR. We assume all respondents will have to spend time familiarizing themselves with regulatory requirements each year.</t>
    </r>
  </si>
  <si>
    <r>
      <t>a</t>
    </r>
    <r>
      <rPr>
        <sz val="9"/>
        <rFont val="Times New Roman"/>
        <family val="1"/>
      </rPr>
      <t xml:space="preserve"> This table is specific to area source foundres classified as small iron and steel foundries.  A total of 315 of the 390 area source foundries are small foundries and 75 are large foundries.  No new area source foundries are projected during the 3-year term of this ICR. We assume all respondents will have to spend time familiarizing themselves with regulatory requirements each year.</t>
    </r>
  </si>
  <si>
    <r>
      <rPr>
        <vertAlign val="superscript"/>
        <sz val="9"/>
        <rFont val="Times New Roman"/>
        <family val="1"/>
      </rPr>
      <t>f</t>
    </r>
    <r>
      <rPr>
        <sz val="9"/>
        <rFont val="Times New Roman"/>
        <family val="1"/>
      </rPr>
      <t xml:space="preserve">  We have assumed that all small foundries would review record keeping system, adjust methods and train employees during the first year of the rule amendments. Subsequent years, these activities would not be needed. Therefore, the average number of respondents per year is (315+0+0)/3 = 105.</t>
    </r>
  </si>
  <si>
    <t>Current ICR (2267.05)</t>
  </si>
  <si>
    <t>Total count gone down consistently, assumed two more drop. One small and one large</t>
  </si>
  <si>
    <r>
      <t>Revised ICR (</t>
    </r>
    <r>
      <rPr>
        <b/>
        <sz val="10"/>
        <color rgb="FFFF0000"/>
        <rFont val="Calibri"/>
        <family val="2"/>
        <scheme val="minor"/>
      </rPr>
      <t>2267.06</t>
    </r>
    <r>
      <rPr>
        <b/>
        <sz val="10"/>
        <color theme="1"/>
        <rFont val="Calibri"/>
        <family val="2"/>
        <scheme val="minor"/>
      </rPr>
      <t>)</t>
    </r>
  </si>
  <si>
    <r>
      <rPr>
        <vertAlign val="superscript"/>
        <sz val="9"/>
        <rFont val="Times New Roman"/>
        <family val="1"/>
      </rPr>
      <t>j</t>
    </r>
    <r>
      <rPr>
        <sz val="9"/>
        <rFont val="Times New Roman"/>
        <family val="1"/>
      </rPr>
      <t xml:space="preserve"> We have assumed that all large foundries would review record keeping system, adjust methods and train employees during the first year of the rule amendments. Subsequent years, these activities would not be needed. Therefore, the average number of respondents per year is (75+0+0)/3 = 25.</t>
    </r>
  </si>
  <si>
    <r>
      <t>g</t>
    </r>
    <r>
      <rPr>
        <sz val="9"/>
        <color rgb="FF000000"/>
        <rFont val="Times New Roman"/>
        <family val="1"/>
      </rPr>
      <t xml:space="preserve"> We assumed half of the large area source foundries (75/2 = 37.5) would use the emissions averaging provisions.</t>
    </r>
  </si>
  <si>
    <r>
      <t>B.  Plan activities</t>
    </r>
    <r>
      <rPr>
        <vertAlign val="superscript"/>
        <sz val="9"/>
        <rFont val="Times New Roman"/>
        <family val="1"/>
      </rPr>
      <t xml:space="preserve"> j</t>
    </r>
  </si>
  <si>
    <r>
      <t>C.  Implement activities</t>
    </r>
    <r>
      <rPr>
        <vertAlign val="superscript"/>
        <sz val="9"/>
        <rFont val="Times New Roman"/>
        <family val="1"/>
      </rPr>
      <t xml:space="preserve"> j</t>
    </r>
  </si>
  <si>
    <r>
      <t>D   Develop record system</t>
    </r>
    <r>
      <rPr>
        <vertAlign val="superscript"/>
        <sz val="9"/>
        <rFont val="Times New Roman"/>
        <family val="1"/>
      </rPr>
      <t xml:space="preserve"> j</t>
    </r>
  </si>
  <si>
    <r>
      <t>E.  Time to enter information</t>
    </r>
    <r>
      <rPr>
        <vertAlign val="superscript"/>
        <sz val="9"/>
        <rFont val="Times New Roman"/>
        <family val="1"/>
      </rPr>
      <t xml:space="preserve"> k</t>
    </r>
  </si>
  <si>
    <r>
      <t xml:space="preserve">k   </t>
    </r>
    <r>
      <rPr>
        <sz val="9"/>
        <color rgb="FF000000"/>
        <rFont val="Times New Roman"/>
        <family val="1"/>
      </rPr>
      <t xml:space="preserve">We have assumed that large foundries must record information to demonstrate compliance with pollution prevention management practices for metallic scrap and binder formulations and information to demonstrate compliance with monitoring; inspection; operation and maintenance; startups, shutdowns, and malfunctions; and other requirements of the General Provisions (40 CFR part 63, subpart A). In addition, record to record information to demonstrate compliance with the PM and opacity standards. </t>
    </r>
  </si>
  <si>
    <r>
      <rPr>
        <vertAlign val="superscript"/>
        <sz val="9"/>
        <rFont val="Times New Roman"/>
        <family val="1"/>
      </rPr>
      <t xml:space="preserve">l </t>
    </r>
    <r>
      <rPr>
        <sz val="9"/>
        <rFont val="Times New Roman"/>
        <family val="1"/>
      </rPr>
      <t>Totals have been rounded to 3 significant figures. Figures may not add exactly due to rounding. Large foundries are not assumed to incur any capital or O&amp;M costs.</t>
    </r>
  </si>
  <si>
    <r>
      <t>G.  Time to adjust existing ways</t>
    </r>
    <r>
      <rPr>
        <vertAlign val="superscript"/>
        <sz val="9"/>
        <rFont val="Times New Roman"/>
        <family val="1"/>
      </rPr>
      <t>j</t>
    </r>
  </si>
  <si>
    <r>
      <t xml:space="preserve">F.  Time to train personnel </t>
    </r>
    <r>
      <rPr>
        <vertAlign val="superscript"/>
        <sz val="9"/>
        <rFont val="Times New Roman"/>
        <family val="1"/>
      </rPr>
      <t>j</t>
    </r>
  </si>
  <si>
    <r>
      <t>F.  Time to transmit or disclose information</t>
    </r>
    <r>
      <rPr>
        <vertAlign val="superscript"/>
        <sz val="9"/>
        <rFont val="Times New Roman"/>
        <family val="1"/>
      </rPr>
      <t xml:space="preserve"> k</t>
    </r>
  </si>
  <si>
    <r>
      <t>TOTAL LABOR BURDEN AND COST (rounded)</t>
    </r>
    <r>
      <rPr>
        <b/>
        <vertAlign val="superscript"/>
        <sz val="9"/>
        <rFont val="Times New Roman"/>
        <family val="1"/>
      </rPr>
      <t>l</t>
    </r>
  </si>
  <si>
    <r>
      <t>TOTAL CAPITAL AND O&amp;M COST (rounded)</t>
    </r>
    <r>
      <rPr>
        <b/>
        <vertAlign val="superscript"/>
        <sz val="9"/>
        <rFont val="Times New Roman"/>
        <family val="1"/>
      </rPr>
      <t>l</t>
    </r>
  </si>
  <si>
    <r>
      <t>GRAND TOTAL (rounded)</t>
    </r>
    <r>
      <rPr>
        <b/>
        <vertAlign val="superscript"/>
        <sz val="9"/>
        <rFont val="Times New Roman"/>
        <family val="1"/>
      </rPr>
      <t>l</t>
    </r>
  </si>
  <si>
    <t>Capital/Startup vs. Operation and Maintenance (O&amp;M) Costs</t>
  </si>
  <si>
    <t>(F)</t>
  </si>
  <si>
    <t>(G)</t>
  </si>
  <si>
    <t>Continuous Monitoring Device</t>
  </si>
  <si>
    <t>Capital/Startup Cost for One Respondent</t>
  </si>
  <si>
    <t xml:space="preserve">Number of New Respondents </t>
  </si>
  <si>
    <t>Annual O&amp;M Costs for One Respondent</t>
  </si>
  <si>
    <t>Leak detectors</t>
  </si>
  <si>
    <t>Flow rate monitors</t>
  </si>
  <si>
    <t>Pressure drop</t>
  </si>
  <si>
    <t>Total Capital/Startup Cost, (B x C)</t>
  </si>
  <si>
    <t>Total O&amp;M, 
(E x F)</t>
  </si>
  <si>
    <r>
      <t>On-going Performance Test for PM</t>
    </r>
    <r>
      <rPr>
        <vertAlign val="superscript"/>
        <sz val="9"/>
        <rFont val="Times New Roman"/>
        <family val="1"/>
      </rPr>
      <t>c</t>
    </r>
  </si>
  <si>
    <r>
      <t>On-going Performance Test for Opacity</t>
    </r>
    <r>
      <rPr>
        <vertAlign val="superscript"/>
        <sz val="9"/>
        <rFont val="Times New Roman"/>
        <family val="1"/>
      </rPr>
      <t>d</t>
    </r>
  </si>
  <si>
    <r>
      <t xml:space="preserve">  </t>
    </r>
    <r>
      <rPr>
        <sz val="9"/>
        <rFont val="Times New Roman"/>
        <family val="1"/>
      </rPr>
      <t>Semiannual compliance report - small</t>
    </r>
    <r>
      <rPr>
        <vertAlign val="superscript"/>
        <sz val="9"/>
        <rFont val="Times New Roman"/>
        <family val="1"/>
      </rPr>
      <t>a</t>
    </r>
  </si>
  <si>
    <r>
      <t xml:space="preserve">  </t>
    </r>
    <r>
      <rPr>
        <sz val="9"/>
        <rFont val="Times New Roman"/>
        <family val="1"/>
      </rPr>
      <t>Semiannual compliance report - large</t>
    </r>
    <r>
      <rPr>
        <vertAlign val="superscript"/>
        <sz val="9"/>
        <rFont val="Times New Roman"/>
        <family val="1"/>
      </rPr>
      <t>a</t>
    </r>
  </si>
  <si>
    <t xml:space="preserve">     Semiannual compliance reports</t>
  </si>
  <si>
    <r>
      <t xml:space="preserve">     Semiannual compliance reports </t>
    </r>
    <r>
      <rPr>
        <vertAlign val="superscript"/>
        <sz val="9"/>
        <rFont val="Times New Roman"/>
        <family val="1"/>
      </rPr>
      <t>i</t>
    </r>
  </si>
  <si>
    <t>Semiannual compliance reports (small foundries)</t>
  </si>
  <si>
    <r>
      <t>Number of Respondents with O&amp;M</t>
    </r>
    <r>
      <rPr>
        <vertAlign val="superscript"/>
        <sz val="10"/>
        <color rgb="FF000000"/>
        <rFont val="Times New Roman"/>
        <family val="1"/>
      </rPr>
      <t>a</t>
    </r>
  </si>
  <si>
    <r>
      <rPr>
        <vertAlign val="superscript"/>
        <sz val="10"/>
        <color theme="1"/>
        <rFont val="Times New Roman"/>
        <family val="1"/>
      </rPr>
      <t>a</t>
    </r>
    <r>
      <rPr>
        <sz val="10"/>
        <color theme="1"/>
        <rFont val="Times New Roman"/>
        <family val="1"/>
      </rPr>
      <t xml:space="preserve"> PM control system O&amp;M cost are only applicable to large iron and steel foundries, of which there are 75. Assumes 20 foundries use a wet scrubber and the remainder use a baghouse. </t>
    </r>
  </si>
  <si>
    <r>
      <t xml:space="preserve">Total </t>
    </r>
    <r>
      <rPr>
        <vertAlign val="superscript"/>
        <sz val="10"/>
        <color theme="1"/>
        <rFont val="Times New Roman"/>
        <family val="1"/>
      </rPr>
      <t>b</t>
    </r>
  </si>
  <si>
    <r>
      <rPr>
        <vertAlign val="superscript"/>
        <sz val="10"/>
        <color theme="1"/>
        <rFont val="Times New Roman"/>
        <family val="1"/>
      </rPr>
      <t xml:space="preserve">b </t>
    </r>
    <r>
      <rPr>
        <sz val="10"/>
        <color theme="1"/>
        <rFont val="Times New Roman"/>
        <family val="1"/>
      </rPr>
      <t>Totals have been rounded to 3 significant figures. Figures may not add exactly due to rounding.</t>
    </r>
  </si>
  <si>
    <t>Agency Worker Rates</t>
  </si>
  <si>
    <r>
      <t xml:space="preserve">Labor Rates, $/hr </t>
    </r>
    <r>
      <rPr>
        <b/>
        <vertAlign val="superscript"/>
        <sz val="12"/>
        <color rgb="FF000000"/>
        <rFont val="Times New Roman"/>
        <family val="1"/>
      </rPr>
      <t>a</t>
    </r>
  </si>
  <si>
    <t>60% Overhead</t>
  </si>
  <si>
    <t>Total, $/hr</t>
  </si>
  <si>
    <t>Managerial (GS-13, step 5)</t>
  </si>
  <si>
    <t xml:space="preserve">Technical (GS-12, step 1) </t>
  </si>
  <si>
    <t>Clerical (GS-6, step 3)</t>
  </si>
  <si>
    <t xml:space="preserve">a https://www.opm.gov/policy-data-oversight/pay-leave/salaries-wages/salary-tables/pdf/2019/GS_h.pdf  </t>
  </si>
  <si>
    <t>Effective January 2019</t>
  </si>
  <si>
    <t>2019:</t>
  </si>
  <si>
    <r>
      <t>Notification of Performance Test for PM (large foundries)</t>
    </r>
    <r>
      <rPr>
        <vertAlign val="superscript"/>
        <sz val="9"/>
        <color theme="1"/>
        <rFont val="Times New Roman"/>
        <family val="1"/>
      </rPr>
      <t>a</t>
    </r>
  </si>
  <si>
    <r>
      <t xml:space="preserve">     Report of performance test (through CEDRI using ERT) </t>
    </r>
    <r>
      <rPr>
        <vertAlign val="superscript"/>
        <sz val="9"/>
        <rFont val="Times New Roman"/>
        <family val="1"/>
      </rPr>
      <t>c</t>
    </r>
  </si>
  <si>
    <r>
      <t>Report of Performance Test for PM (large foundries)</t>
    </r>
    <r>
      <rPr>
        <vertAlign val="superscript"/>
        <sz val="9"/>
        <color theme="1"/>
        <rFont val="Times New Roman"/>
        <family val="1"/>
      </rPr>
      <t>a</t>
    </r>
  </si>
  <si>
    <r>
      <t xml:space="preserve">  Performance test report</t>
    </r>
    <r>
      <rPr>
        <vertAlign val="superscript"/>
        <sz val="9"/>
        <rFont val="Times New Roman"/>
        <family val="1"/>
      </rPr>
      <t>d</t>
    </r>
  </si>
  <si>
    <t>Table 1a: Annual Respondent Burden and Cost for Small Foundries – NESHAP for Iron and Steel Foundry Area Sources (40 CFR Part 63, Subpart ZZZZZ) (Proposed Amendments)</t>
  </si>
  <si>
    <r>
      <t>a</t>
    </r>
    <r>
      <rPr>
        <sz val="9"/>
        <color theme="1"/>
        <rFont val="Times New Roman"/>
        <family val="1"/>
      </rPr>
      <t xml:space="preserve"> This table is specific to area source foundries classified as small iron and steel foundries. A total of 315 of the 390 area source foundries are small foundries and 75 are large foundries. No new area source foundries are projected during the 3-year term of this ICR. We assume all respondents will have to spend time familiarizing themselves with regulatory requirements each year.</t>
    </r>
  </si>
  <si>
    <r>
      <t>f</t>
    </r>
    <r>
      <rPr>
        <sz val="9"/>
        <color theme="1"/>
        <rFont val="Times New Roman"/>
        <family val="1"/>
      </rPr>
      <t xml:space="preserve">  We have assumed that all small foundries would review record keeping system, adjust methods and train employees during the first year of the rule amendments. Subsequent years, these activities would not be needed. Therefore, the average number of respondents per year is (315+0+0)/3 = 105.</t>
    </r>
  </si>
  <si>
    <r>
      <t>g</t>
    </r>
    <r>
      <rPr>
        <sz val="9"/>
        <color theme="1"/>
        <rFont val="Times New Roman"/>
        <family val="1"/>
      </rPr>
      <t xml:space="preserve"> We have assumed that small foundries must record information to demonstrate compliance with pollution prevention management practices for metallic scrap and binder formulations.</t>
    </r>
  </si>
  <si>
    <r>
      <t xml:space="preserve">h </t>
    </r>
    <r>
      <rPr>
        <sz val="9"/>
        <color rgb="FF000000"/>
        <rFont val="Times New Roman"/>
        <family val="1"/>
      </rPr>
      <t>Totals have been rounded to 3 significant figures. Figures may not add exactly due to rounding. Small foundries are not assumed to incur any capital or O&amp;M costs.</t>
    </r>
  </si>
  <si>
    <t>Table 1b: Annual Respondent Burden and Cost for Large Foundries – NESHAP for Iron and Steel Foundry Area Sources (40 CFR Part 63, Subpart ZZZZZ) (Proposed Amendments)</t>
  </si>
  <si>
    <r>
      <t>a</t>
    </r>
    <r>
      <rPr>
        <sz val="9"/>
        <color rgb="FF000000"/>
        <rFont val="Times New Roman"/>
        <family val="1"/>
      </rPr>
      <t xml:space="preserve"> This table is specific to area source foundries classified as large iron and steel foundries. There are an estimated 390 area source foundries, 75 of which are expected to be classified as large foundries. No new area source foundries are projected during the 3-year term of this ICR. We assume all respondents will have to spend time familiarizing themselves with regulatory requirements each year.</t>
    </r>
  </si>
  <si>
    <r>
      <t xml:space="preserve">c  </t>
    </r>
    <r>
      <rPr>
        <sz val="9"/>
        <color rgb="FF000000"/>
        <rFont val="Times New Roman"/>
        <family val="1"/>
      </rPr>
      <t>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a change to an operating limit or a process change likely to increase HAP emissions over the period of this ICR. A notification is required.</t>
    </r>
  </si>
  <si>
    <r>
      <t>j</t>
    </r>
    <r>
      <rPr>
        <sz val="9"/>
        <color theme="1"/>
        <rFont val="Times New Roman"/>
        <family val="1"/>
      </rPr>
      <t xml:space="preserve"> We have assumed that all large foundries would review record keeping system, adjust methods and train employees during the first year of the rule amendments. Subsequent years, these activities would not be needed. Therefore, the average number of respondents per year is (75+0+0)/3 = 25.</t>
    </r>
  </si>
  <si>
    <r>
      <t xml:space="preserve"> </t>
    </r>
    <r>
      <rPr>
        <vertAlign val="superscript"/>
        <sz val="9"/>
        <color theme="1"/>
        <rFont val="Times New Roman"/>
        <family val="1"/>
      </rPr>
      <t>a</t>
    </r>
    <r>
      <rPr>
        <sz val="9"/>
        <color theme="1"/>
        <rFont val="Times New Roman"/>
        <family val="1"/>
      </rPr>
      <t xml:space="preserve"> Taking into account shutdown data for foundries, we have assumed that there are 390 existing iron and steel foundries that are area sources. No new sources are projected during the 3-year term of this ICR. A total of 315 of the 390 facilities are small foundries and 75 are large foundries. All foundries have to submit semiannual compliance reports.</t>
    </r>
  </si>
  <si>
    <r>
      <t xml:space="preserve">c </t>
    </r>
    <r>
      <rPr>
        <sz val="9"/>
        <color theme="1"/>
        <rFont val="Times New Roman"/>
        <family val="1"/>
      </rPr>
      <t>One-time only costs</t>
    </r>
  </si>
  <si>
    <r>
      <t xml:space="preserve">d </t>
    </r>
    <r>
      <rPr>
        <sz val="9"/>
        <color theme="1"/>
        <rFont val="Times New Roman"/>
        <family val="1"/>
      </rPr>
      <t xml:space="preserve">We have assumed that large area source foundries will implement subsequent performance tests required by the rule for each metal melting furnace subject to a PM or total metal HAP limit in §63.10895(c) at least every 5 years (or 0.2 averaged on a yearly basis) and will not implement a performance test due to change to an operating limit or a process change likely to increase HAP emissions.  </t>
    </r>
  </si>
  <si>
    <r>
      <t xml:space="preserve">e </t>
    </r>
    <r>
      <rPr>
        <sz val="9"/>
        <color theme="1"/>
        <rFont val="Times New Roman"/>
        <family val="1"/>
      </rPr>
      <t>Totals have been rounded to 3 significant figures. Figures may not add exactly due to rounding.</t>
    </r>
  </si>
  <si>
    <r>
      <t xml:space="preserve">b  </t>
    </r>
    <r>
      <rPr>
        <sz val="9"/>
        <color rgb="FF000000"/>
        <rFont val="Times New Roman"/>
        <family val="1"/>
      </rPr>
      <t>This cost is based on the following 2019 labor rates which incorporates a 1.6 benefits multiplication factor to account for government overhead expenses: $66.62 Managerial rate (GS-13, Step 5), $49.44 Technical rate (GS-12, Step 1), and $26.75 Clerical rate (GS-6, Step 3).  These rates are calculated from the hourly rates included in the Office of Personnel Management (OPM) 2019 General Schedule which excludes locality rates of pay; the rates have been increased by 60 percent to account for benefit packages available to government employees</t>
    </r>
    <r>
      <rPr>
        <sz val="9"/>
        <color theme="1"/>
        <rFont val="Times New Roman"/>
        <family val="1"/>
      </rPr>
      <t>.</t>
    </r>
  </si>
  <si>
    <t>First Year</t>
  </si>
  <si>
    <t>Subsequent Years</t>
  </si>
  <si>
    <t>Combined</t>
  </si>
  <si>
    <t>per foundry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</si>
</sst>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quot;$&quot;#,##0"/>
    <numFmt numFmtId="166" formatCode="#,##0.0"/>
    <numFmt numFmtId="167" formatCode="0.0"/>
  </numFmts>
  <fonts count="51" x14ac:knownFonts="1">
    <font>
      <sz val="11"/>
      <color theme="1"/>
      <name val="Calibri"/>
      <family val="2"/>
      <scheme val="minor"/>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b/>
      <sz val="8"/>
      <color rgb="FF000000"/>
      <name val="Times New Roman"/>
      <family val="1"/>
    </font>
    <font>
      <b/>
      <sz val="10"/>
      <color theme="1"/>
      <name val="Times New Roman"/>
      <family val="1"/>
    </font>
    <font>
      <b/>
      <vertAlign val="superscript"/>
      <sz val="10"/>
      <color theme="1"/>
      <name val="Times New Roman"/>
      <family val="1"/>
    </font>
    <font>
      <b/>
      <i/>
      <sz val="9"/>
      <color rgb="FF000000"/>
      <name val="Times New Roman"/>
      <family val="1"/>
    </font>
    <font>
      <b/>
      <sz val="9"/>
      <color theme="1"/>
      <name val="Times New Roman"/>
      <family val="1"/>
    </font>
    <font>
      <sz val="11"/>
      <color rgb="FFFF0000"/>
      <name val="Calibri"/>
      <family val="2"/>
      <scheme val="minor"/>
    </font>
    <font>
      <b/>
      <sz val="10"/>
      <name val="Times New Roman"/>
      <family val="1"/>
    </font>
    <font>
      <b/>
      <sz val="11"/>
      <color theme="1"/>
      <name val="Times New Roman"/>
      <family val="1"/>
    </font>
    <font>
      <b/>
      <vertAlign val="superscript"/>
      <sz val="10"/>
      <name val="Times New Roman"/>
      <family val="1"/>
    </font>
    <font>
      <sz val="11"/>
      <name val="Calibri"/>
      <family val="2"/>
      <scheme val="minor"/>
    </font>
    <font>
      <sz val="9"/>
      <name val="Times New Roman"/>
      <family val="1"/>
    </font>
    <font>
      <sz val="9"/>
      <name val="Arial"/>
      <family val="2"/>
    </font>
    <font>
      <vertAlign val="superscript"/>
      <sz val="9"/>
      <name val="Times New Roman"/>
      <family val="1"/>
    </font>
    <font>
      <b/>
      <sz val="9"/>
      <name val="Times New Roman"/>
      <family val="1"/>
    </font>
    <font>
      <b/>
      <vertAlign val="superscript"/>
      <sz val="9"/>
      <name val="Times New Roman"/>
      <family val="1"/>
    </font>
    <font>
      <b/>
      <i/>
      <sz val="9"/>
      <name val="Times New Roman"/>
      <family val="1"/>
    </font>
    <font>
      <b/>
      <sz val="8"/>
      <name val="Times New Roman"/>
      <family val="1"/>
    </font>
    <font>
      <sz val="12"/>
      <name val="Arial"/>
      <family val="2"/>
    </font>
    <font>
      <vertAlign val="superscript"/>
      <sz val="9"/>
      <color theme="1"/>
      <name val="Times New Roman"/>
      <family val="1"/>
    </font>
    <font>
      <sz val="9"/>
      <color theme="1"/>
      <name val="Times New Roman"/>
      <family val="1"/>
    </font>
    <font>
      <b/>
      <sz val="11"/>
      <color theme="1"/>
      <name val="Calibri"/>
      <family val="2"/>
      <scheme val="minor"/>
    </font>
    <font>
      <strike/>
      <sz val="11"/>
      <color rgb="FFFF0000"/>
      <name val="Calibri"/>
      <family val="2"/>
      <scheme val="minor"/>
    </font>
    <font>
      <b/>
      <vertAlign val="superscript"/>
      <sz val="8"/>
      <color rgb="FF000000"/>
      <name val="Times New Roman"/>
      <family val="1"/>
    </font>
    <font>
      <b/>
      <vertAlign val="superscript"/>
      <sz val="8"/>
      <name val="Times New Roman"/>
      <family val="1"/>
    </font>
    <font>
      <sz val="10"/>
      <color theme="1"/>
      <name val="Calibri"/>
      <family val="2"/>
      <scheme val="minor"/>
    </font>
    <font>
      <b/>
      <sz val="10"/>
      <color theme="1"/>
      <name val="Calibri"/>
      <family val="2"/>
      <scheme val="minor"/>
    </font>
    <font>
      <b/>
      <u/>
      <sz val="10"/>
      <color theme="1"/>
      <name val="Calibri"/>
      <family val="2"/>
      <scheme val="minor"/>
    </font>
    <font>
      <i/>
      <sz val="10"/>
      <color theme="1"/>
      <name val="Calibri"/>
      <family val="2"/>
      <scheme val="minor"/>
    </font>
    <font>
      <sz val="9"/>
      <name val="Calibri"/>
      <family val="2"/>
      <scheme val="minor"/>
    </font>
    <font>
      <sz val="9"/>
      <color theme="1"/>
      <name val="Calibri"/>
      <family val="2"/>
      <scheme val="minor"/>
    </font>
    <font>
      <sz val="9"/>
      <color rgb="FFFF0000"/>
      <name val="Calibri"/>
      <family val="2"/>
      <scheme val="minor"/>
    </font>
    <font>
      <b/>
      <sz val="9"/>
      <name val="Calibri"/>
      <family val="2"/>
      <scheme val="minor"/>
    </font>
    <font>
      <sz val="10"/>
      <color theme="1"/>
      <name val="Times New Roman"/>
      <family val="1"/>
    </font>
    <font>
      <b/>
      <sz val="10"/>
      <color rgb="FF000000"/>
      <name val="Times New Roman"/>
      <family val="1"/>
    </font>
    <font>
      <sz val="10"/>
      <color rgb="FF000000"/>
      <name val="Times New Roman"/>
      <family val="1"/>
    </font>
    <font>
      <sz val="10"/>
      <color rgb="FFFF0000"/>
      <name val="Times New Roman"/>
      <family val="1"/>
    </font>
    <font>
      <u/>
      <sz val="11"/>
      <color theme="10"/>
      <name val="Calibri"/>
      <family val="2"/>
      <scheme val="minor"/>
    </font>
    <font>
      <sz val="9"/>
      <color rgb="FF000000"/>
      <name val="Calibri"/>
      <family val="2"/>
    </font>
    <font>
      <b/>
      <sz val="10"/>
      <color rgb="FFFF0000"/>
      <name val="Calibri"/>
      <family val="2"/>
      <scheme val="minor"/>
    </font>
    <font>
      <sz val="12"/>
      <color rgb="FF000000"/>
      <name val="Times New Roman"/>
      <family val="1"/>
    </font>
    <font>
      <b/>
      <sz val="12"/>
      <color rgb="FF000000"/>
      <name val="Times New Roman"/>
      <family val="1"/>
    </font>
    <font>
      <vertAlign val="superscript"/>
      <sz val="10"/>
      <color rgb="FF000000"/>
      <name val="Times New Roman"/>
      <family val="1"/>
    </font>
    <font>
      <vertAlign val="superscript"/>
      <sz val="10"/>
      <color theme="1"/>
      <name val="Times New Roman"/>
      <family val="1"/>
    </font>
    <font>
      <b/>
      <vertAlign val="superscript"/>
      <sz val="12"/>
      <color rgb="FF000000"/>
      <name val="Times New Roman"/>
      <family val="1"/>
    </font>
    <font>
      <sz val="12"/>
      <color theme="1"/>
      <name val="Times New Roman"/>
      <family val="1"/>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rgb="FFFFFFFF"/>
      </bottom>
      <diagonal/>
    </border>
    <border>
      <left/>
      <right/>
      <top/>
      <bottom style="medium">
        <color rgb="FFFFFFFF"/>
      </bottom>
      <diagonal/>
    </border>
    <border>
      <left/>
      <right style="thin">
        <color indexed="64"/>
      </right>
      <top/>
      <bottom style="medium">
        <color rgb="FFFFFFFF"/>
      </bottom>
      <diagonal/>
    </border>
    <border>
      <left style="thin">
        <color indexed="64"/>
      </left>
      <right style="medium">
        <color rgb="FFFFFFFF"/>
      </right>
      <top/>
      <bottom/>
      <diagonal/>
    </border>
    <border>
      <left/>
      <right style="medium">
        <color rgb="FFFFFFFF"/>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41" fillId="0" borderId="0" applyNumberFormat="0" applyFill="0" applyBorder="0" applyAlignment="0" applyProtection="0"/>
  </cellStyleXfs>
  <cellXfs count="217">
    <xf numFmtId="0" fontId="0" fillId="0" borderId="0" xfId="0"/>
    <xf numFmtId="0" fontId="6" fillId="0" borderId="1" xfId="0" applyFont="1" applyBorder="1" applyAlignment="1">
      <alignment horizontal="center" vertical="center" wrapText="1"/>
    </xf>
    <xf numFmtId="0" fontId="3" fillId="0" borderId="1" xfId="0" applyFont="1" applyBorder="1" applyAlignment="1">
      <alignment vertical="top"/>
    </xf>
    <xf numFmtId="0" fontId="3" fillId="0" borderId="1" xfId="0" applyFont="1" applyBorder="1" applyAlignment="1">
      <alignment horizontal="center" vertical="top"/>
    </xf>
    <xf numFmtId="164" fontId="3" fillId="0" borderId="1" xfId="0" applyNumberFormat="1" applyFont="1" applyBorder="1" applyAlignment="1">
      <alignment horizontal="center" vertical="top"/>
    </xf>
    <xf numFmtId="0" fontId="8" fillId="0" borderId="1" xfId="0" applyFont="1" applyBorder="1" applyAlignment="1">
      <alignment vertical="top"/>
    </xf>
    <xf numFmtId="0" fontId="5" fillId="0" borderId="5" xfId="0" applyFont="1" applyBorder="1" applyAlignment="1">
      <alignment horizontal="left" vertical="center"/>
    </xf>
    <xf numFmtId="2" fontId="3" fillId="0" borderId="1" xfId="0" applyNumberFormat="1" applyFont="1" applyBorder="1" applyAlignment="1">
      <alignment horizontal="center" vertical="top"/>
    </xf>
    <xf numFmtId="0" fontId="1" fillId="0" borderId="6" xfId="0" applyFont="1" applyFill="1" applyBorder="1" applyAlignment="1">
      <alignment horizontal="left" vertical="center"/>
    </xf>
    <xf numFmtId="165" fontId="3" fillId="0" borderId="1" xfId="0" applyNumberFormat="1" applyFont="1" applyBorder="1" applyAlignment="1">
      <alignment horizontal="center" vertical="top"/>
    </xf>
    <xf numFmtId="0" fontId="3" fillId="0" borderId="1" xfId="0" applyFont="1" applyBorder="1" applyAlignment="1">
      <alignment vertical="top"/>
    </xf>
    <xf numFmtId="0" fontId="10" fillId="0" borderId="0" xfId="0" applyFont="1"/>
    <xf numFmtId="0" fontId="12" fillId="0" borderId="0" xfId="0" applyFont="1"/>
    <xf numFmtId="0" fontId="1" fillId="0" borderId="0" xfId="0" applyFont="1" applyFill="1" applyBorder="1" applyAlignment="1">
      <alignment horizontal="left" vertical="center"/>
    </xf>
    <xf numFmtId="0" fontId="9" fillId="0" borderId="0" xfId="0" applyFont="1" applyBorder="1" applyAlignment="1">
      <alignment horizontal="center" vertical="center"/>
    </xf>
    <xf numFmtId="3" fontId="9" fillId="0" borderId="0" xfId="0" applyNumberFormat="1" applyFont="1" applyBorder="1" applyAlignment="1">
      <alignment horizontal="center" vertical="center"/>
    </xf>
    <xf numFmtId="165" fontId="9" fillId="0" borderId="0" xfId="0" applyNumberFormat="1" applyFont="1" applyBorder="1" applyAlignment="1">
      <alignment horizontal="center" vertical="center"/>
    </xf>
    <xf numFmtId="166" fontId="3"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0" fontId="11" fillId="0" borderId="1" xfId="0" applyFont="1" applyBorder="1" applyAlignment="1">
      <alignment horizontal="center" vertical="center" wrapText="1"/>
    </xf>
    <xf numFmtId="0" fontId="15" fillId="0" borderId="1" xfId="0" applyFont="1" applyBorder="1" applyAlignment="1">
      <alignment vertical="top"/>
    </xf>
    <xf numFmtId="0" fontId="16" fillId="0" borderId="1" xfId="0" applyFont="1" applyBorder="1" applyAlignment="1">
      <alignment horizontal="right" vertical="top"/>
    </xf>
    <xf numFmtId="0" fontId="15" fillId="0" borderId="1" xfId="0" applyFont="1" applyBorder="1" applyAlignment="1">
      <alignment horizontal="center" vertical="top"/>
    </xf>
    <xf numFmtId="3" fontId="15" fillId="0" borderId="1" xfId="0" applyNumberFormat="1" applyFont="1" applyFill="1" applyBorder="1" applyAlignment="1">
      <alignment horizontal="center" vertical="top"/>
    </xf>
    <xf numFmtId="4" fontId="15" fillId="0" borderId="1" xfId="0" applyNumberFormat="1" applyFont="1" applyFill="1" applyBorder="1" applyAlignment="1">
      <alignment horizontal="center" vertical="top"/>
    </xf>
    <xf numFmtId="0" fontId="15" fillId="0" borderId="1" xfId="0" applyFont="1" applyFill="1" applyBorder="1" applyAlignment="1">
      <alignment horizontal="center" vertical="top"/>
    </xf>
    <xf numFmtId="0" fontId="18" fillId="0" borderId="6" xfId="0" applyFont="1" applyFill="1" applyBorder="1" applyAlignment="1">
      <alignment vertical="top"/>
    </xf>
    <xf numFmtId="6" fontId="18" fillId="0" borderId="6" xfId="0" applyNumberFormat="1" applyFont="1" applyBorder="1"/>
    <xf numFmtId="0" fontId="14" fillId="0" borderId="0" xfId="0" applyFont="1" applyFill="1"/>
    <xf numFmtId="1" fontId="15" fillId="0" borderId="1" xfId="0" applyNumberFormat="1" applyFont="1" applyFill="1" applyBorder="1" applyAlignment="1">
      <alignment horizontal="center" vertical="top"/>
    </xf>
    <xf numFmtId="164" fontId="15" fillId="0" borderId="1" xfId="0" applyNumberFormat="1" applyFont="1" applyFill="1" applyBorder="1" applyAlignment="1">
      <alignment horizontal="center" vertical="top"/>
    </xf>
    <xf numFmtId="2" fontId="15" fillId="0" borderId="1" xfId="0" applyNumberFormat="1" applyFont="1" applyFill="1" applyBorder="1" applyAlignment="1">
      <alignment horizontal="center" vertical="top"/>
    </xf>
    <xf numFmtId="0" fontId="20" fillId="0" borderId="1" xfId="0" applyFont="1" applyFill="1" applyBorder="1" applyAlignment="1">
      <alignment vertical="top"/>
    </xf>
    <xf numFmtId="167" fontId="15" fillId="0" borderId="1" xfId="0" applyNumberFormat="1" applyFont="1" applyFill="1" applyBorder="1" applyAlignment="1">
      <alignment horizontal="center" vertical="top"/>
    </xf>
    <xf numFmtId="0" fontId="4" fillId="0" borderId="0" xfId="0" applyFont="1" applyAlignment="1">
      <alignment vertical="center"/>
    </xf>
    <xf numFmtId="165" fontId="8" fillId="0" borderId="1" xfId="0" applyNumberFormat="1" applyFont="1" applyBorder="1" applyAlignment="1">
      <alignment horizontal="center" vertical="top"/>
    </xf>
    <xf numFmtId="0" fontId="21" fillId="0" borderId="8" xfId="0" applyFont="1" applyFill="1" applyBorder="1" applyAlignment="1">
      <alignment vertical="top"/>
    </xf>
    <xf numFmtId="3" fontId="20" fillId="0" borderId="1" xfId="0" applyNumberFormat="1" applyFont="1" applyFill="1" applyBorder="1" applyAlignment="1">
      <alignment horizontal="center" vertical="top"/>
    </xf>
    <xf numFmtId="165" fontId="15" fillId="0" borderId="1" xfId="0" applyNumberFormat="1" applyFont="1" applyFill="1" applyBorder="1" applyAlignment="1">
      <alignment horizontal="center" vertical="top"/>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1" fillId="0" borderId="1" xfId="0" applyFont="1" applyFill="1" applyBorder="1" applyAlignment="1">
      <alignment vertical="top"/>
    </xf>
    <xf numFmtId="0" fontId="22" fillId="0" borderId="1" xfId="0" applyFont="1" applyFill="1" applyBorder="1" applyAlignment="1">
      <alignment horizontal="right" vertical="top"/>
    </xf>
    <xf numFmtId="0" fontId="9" fillId="0" borderId="1" xfId="0" applyFont="1" applyBorder="1" applyAlignment="1">
      <alignment horizontal="center" vertical="center"/>
    </xf>
    <xf numFmtId="0" fontId="15" fillId="0" borderId="0" xfId="0" applyFont="1" applyFill="1"/>
    <xf numFmtId="0" fontId="23" fillId="0" borderId="0" xfId="0" applyFont="1"/>
    <xf numFmtId="0" fontId="26" fillId="0" borderId="0" xfId="0" applyFont="1"/>
    <xf numFmtId="0" fontId="15" fillId="0" borderId="0" xfId="0" applyFont="1" applyAlignment="1">
      <alignment vertical="center"/>
    </xf>
    <xf numFmtId="0" fontId="3" fillId="0" borderId="1" xfId="0" applyFont="1" applyFill="1" applyBorder="1" applyAlignment="1">
      <alignment horizontal="center" vertical="top"/>
    </xf>
    <xf numFmtId="165" fontId="18" fillId="0" borderId="1" xfId="0" applyNumberFormat="1" applyFont="1" applyFill="1" applyBorder="1" applyAlignment="1">
      <alignment horizontal="center" vertical="top"/>
    </xf>
    <xf numFmtId="165" fontId="1" fillId="0" borderId="1" xfId="0" applyNumberFormat="1" applyFont="1" applyBorder="1" applyAlignment="1">
      <alignment horizontal="center" vertical="center"/>
    </xf>
    <xf numFmtId="0" fontId="15" fillId="0" borderId="1" xfId="0" applyFont="1" applyFill="1" applyBorder="1" applyAlignment="1">
      <alignment vertical="top" wrapText="1"/>
    </xf>
    <xf numFmtId="165" fontId="18" fillId="0" borderId="8" xfId="0" applyNumberFormat="1" applyFont="1" applyFill="1" applyBorder="1" applyAlignment="1">
      <alignment horizontal="center" vertical="top"/>
    </xf>
    <xf numFmtId="166" fontId="15" fillId="0" borderId="1" xfId="0" applyNumberFormat="1" applyFont="1" applyFill="1" applyBorder="1" applyAlignment="1">
      <alignment horizontal="center" vertical="top"/>
    </xf>
    <xf numFmtId="165" fontId="20" fillId="0" borderId="1" xfId="0" applyNumberFormat="1" applyFont="1" applyFill="1" applyBorder="1" applyAlignment="1">
      <alignment horizontal="center" vertical="top"/>
    </xf>
    <xf numFmtId="165" fontId="18" fillId="0" borderId="6" xfId="0" applyNumberFormat="1" applyFont="1" applyFill="1" applyBorder="1" applyAlignment="1">
      <alignment horizontal="center"/>
    </xf>
    <xf numFmtId="3" fontId="15" fillId="0" borderId="1" xfId="0" applyNumberFormat="1" applyFont="1" applyBorder="1" applyAlignment="1">
      <alignment horizontal="center" vertical="top"/>
    </xf>
    <xf numFmtId="0" fontId="9"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15" fillId="0" borderId="1" xfId="0" applyFont="1" applyFill="1" applyBorder="1" applyAlignment="1">
      <alignment vertical="top"/>
    </xf>
    <xf numFmtId="3" fontId="18" fillId="0" borderId="5" xfId="0" applyNumberFormat="1" applyFont="1" applyFill="1" applyBorder="1" applyAlignment="1">
      <alignment horizontal="center" vertical="top"/>
    </xf>
    <xf numFmtId="0" fontId="25" fillId="0" borderId="0" xfId="0" applyFont="1"/>
    <xf numFmtId="0" fontId="0" fillId="0" borderId="1" xfId="0" applyBorder="1"/>
    <xf numFmtId="0" fontId="29" fillId="0" borderId="1"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9" fillId="0" borderId="0" xfId="0" applyFont="1" applyAlignment="1">
      <alignment horizontal="center" vertical="center" wrapText="1"/>
    </xf>
    <xf numFmtId="0" fontId="30" fillId="0" borderId="1" xfId="0" applyFont="1" applyBorder="1" applyAlignment="1">
      <alignment horizontal="center" vertical="center"/>
    </xf>
    <xf numFmtId="0" fontId="29" fillId="0" borderId="1" xfId="0" applyFont="1" applyBorder="1" applyAlignment="1">
      <alignment vertical="center"/>
    </xf>
    <xf numFmtId="2" fontId="29" fillId="0" borderId="1" xfId="0" applyNumberFormat="1" applyFont="1" applyBorder="1" applyAlignment="1">
      <alignment vertical="center"/>
    </xf>
    <xf numFmtId="1" fontId="29" fillId="0" borderId="1" xfId="0" applyNumberFormat="1" applyFont="1" applyBorder="1" applyAlignment="1">
      <alignment vertical="center"/>
    </xf>
    <xf numFmtId="0" fontId="29" fillId="0" borderId="1" xfId="0" applyFont="1" applyBorder="1" applyAlignment="1">
      <alignment vertical="center" wrapText="1"/>
    </xf>
    <xf numFmtId="0" fontId="29" fillId="0" borderId="0" xfId="0" applyFont="1" applyAlignment="1">
      <alignment vertical="center"/>
    </xf>
    <xf numFmtId="0" fontId="32" fillId="0" borderId="1" xfId="0" applyFont="1" applyBorder="1" applyAlignment="1">
      <alignment horizontal="center" vertical="center"/>
    </xf>
    <xf numFmtId="0" fontId="29" fillId="0" borderId="0" xfId="0" applyFont="1" applyAlignment="1">
      <alignment horizontal="center"/>
    </xf>
    <xf numFmtId="0" fontId="29" fillId="0" borderId="0" xfId="0" applyFont="1"/>
    <xf numFmtId="0" fontId="10" fillId="0" borderId="0" xfId="0" applyFont="1" applyFill="1"/>
    <xf numFmtId="164" fontId="3" fillId="0" borderId="1" xfId="0" applyNumberFormat="1" applyFont="1" applyFill="1" applyBorder="1" applyAlignment="1">
      <alignment horizontal="center" vertical="top"/>
    </xf>
    <xf numFmtId="0" fontId="0" fillId="0" borderId="0" xfId="0" applyFill="1"/>
    <xf numFmtId="0" fontId="3" fillId="0" borderId="1" xfId="0" applyFont="1" applyFill="1" applyBorder="1" applyAlignment="1">
      <alignment vertical="top"/>
    </xf>
    <xf numFmtId="3" fontId="3" fillId="0" borderId="1" xfId="0" applyNumberFormat="1" applyFont="1" applyFill="1" applyBorder="1" applyAlignment="1">
      <alignment horizontal="center" vertical="top"/>
    </xf>
    <xf numFmtId="167" fontId="3" fillId="0" borderId="1" xfId="0" applyNumberFormat="1" applyFont="1" applyFill="1" applyBorder="1" applyAlignment="1">
      <alignment horizontal="center" vertical="top"/>
    </xf>
    <xf numFmtId="165" fontId="3" fillId="0" borderId="1" xfId="0" applyNumberFormat="1" applyFont="1" applyFill="1" applyBorder="1" applyAlignment="1">
      <alignment horizontal="center" vertical="top"/>
    </xf>
    <xf numFmtId="1" fontId="3" fillId="0" borderId="1" xfId="0" applyNumberFormat="1" applyFont="1" applyFill="1" applyBorder="1" applyAlignment="1">
      <alignment horizontal="center" vertical="top"/>
    </xf>
    <xf numFmtId="2"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indent="1"/>
    </xf>
    <xf numFmtId="0" fontId="17" fillId="0" borderId="0" xfId="0" applyFont="1" applyAlignment="1">
      <alignment vertical="center"/>
    </xf>
    <xf numFmtId="0" fontId="15" fillId="0" borderId="1" xfId="0" applyFont="1" applyFill="1" applyBorder="1" applyAlignment="1">
      <alignment horizontal="left" vertical="top" indent="2"/>
    </xf>
    <xf numFmtId="0" fontId="33" fillId="0" borderId="0" xfId="0" applyFont="1" applyFill="1"/>
    <xf numFmtId="0" fontId="34" fillId="0" borderId="0" xfId="0" applyFont="1"/>
    <xf numFmtId="0" fontId="18" fillId="0" borderId="1" xfId="0" applyFont="1" applyFill="1" applyBorder="1" applyAlignment="1">
      <alignment horizontal="center" vertical="center" wrapText="1"/>
    </xf>
    <xf numFmtId="0" fontId="18" fillId="0" borderId="5" xfId="0" applyFont="1" applyFill="1" applyBorder="1" applyAlignment="1">
      <alignment vertical="top"/>
    </xf>
    <xf numFmtId="0" fontId="16" fillId="0" borderId="5" xfId="0" applyFont="1" applyFill="1" applyBorder="1" applyAlignment="1">
      <alignment horizontal="right" vertical="top"/>
    </xf>
    <xf numFmtId="0" fontId="18" fillId="0" borderId="8" xfId="0" applyFont="1" applyFill="1" applyBorder="1" applyAlignment="1">
      <alignment vertical="top"/>
    </xf>
    <xf numFmtId="0" fontId="16" fillId="0" borderId="8" xfId="0" applyFont="1" applyFill="1" applyBorder="1" applyAlignment="1">
      <alignment horizontal="right" vertical="top"/>
    </xf>
    <xf numFmtId="0" fontId="36" fillId="0" borderId="6" xfId="0" applyFont="1" applyFill="1" applyBorder="1"/>
    <xf numFmtId="0" fontId="18" fillId="0" borderId="0" xfId="0" applyFont="1" applyFill="1"/>
    <xf numFmtId="0" fontId="18" fillId="0" borderId="1" xfId="0" applyFont="1" applyFill="1" applyBorder="1" applyAlignment="1">
      <alignment vertical="top"/>
    </xf>
    <xf numFmtId="3" fontId="15" fillId="0" borderId="1" xfId="0" applyNumberFormat="1" applyFont="1" applyBorder="1" applyAlignment="1">
      <alignment horizontal="right" vertical="top"/>
    </xf>
    <xf numFmtId="8" fontId="15" fillId="0" borderId="1" xfId="0" applyNumberFormat="1" applyFont="1" applyFill="1" applyBorder="1" applyAlignment="1">
      <alignment horizontal="right" vertical="top"/>
    </xf>
    <xf numFmtId="6" fontId="15" fillId="0" borderId="1" xfId="0" applyNumberFormat="1" applyFont="1" applyFill="1" applyBorder="1" applyAlignment="1">
      <alignment horizontal="right" vertical="top"/>
    </xf>
    <xf numFmtId="0" fontId="33" fillId="0" borderId="0" xfId="0" applyFont="1"/>
    <xf numFmtId="46" fontId="33" fillId="0" borderId="0" xfId="0" quotePrefix="1" applyNumberFormat="1" applyFont="1" applyFill="1"/>
    <xf numFmtId="0" fontId="18" fillId="0" borderId="1" xfId="0" applyFont="1" applyBorder="1" applyAlignment="1">
      <alignment horizontal="center" vertical="center" wrapText="1"/>
    </xf>
    <xf numFmtId="0" fontId="33" fillId="0" borderId="0" xfId="0" applyFont="1" applyFill="1" applyAlignment="1">
      <alignment wrapText="1"/>
    </xf>
    <xf numFmtId="0" fontId="33" fillId="0" borderId="6" xfId="0" applyFont="1" applyBorder="1"/>
    <xf numFmtId="0" fontId="18" fillId="0" borderId="0" xfId="0" applyFont="1"/>
    <xf numFmtId="0" fontId="35" fillId="0" borderId="0" xfId="0" applyFont="1"/>
    <xf numFmtId="0" fontId="36" fillId="0" borderId="0" xfId="0" applyFont="1"/>
    <xf numFmtId="0" fontId="24" fillId="0" borderId="1" xfId="0" applyFont="1" applyBorder="1" applyAlignment="1">
      <alignment horizontal="center" vertical="center" wrapText="1"/>
    </xf>
    <xf numFmtId="0" fontId="0" fillId="0" borderId="1" xfId="0" applyBorder="1" applyAlignment="1">
      <alignment vertical="top" wrapText="1"/>
    </xf>
    <xf numFmtId="0" fontId="24"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37" fillId="0" borderId="0" xfId="0" applyFont="1"/>
    <xf numFmtId="0" fontId="37" fillId="0" borderId="0" xfId="0" applyFont="1" applyAlignment="1"/>
    <xf numFmtId="0" fontId="38" fillId="0" borderId="1" xfId="0" applyFont="1" applyBorder="1" applyAlignment="1">
      <alignment vertical="top"/>
    </xf>
    <xf numFmtId="0" fontId="38" fillId="0" borderId="1" xfId="0" applyFont="1" applyBorder="1" applyAlignment="1">
      <alignment horizontal="center" vertical="top"/>
    </xf>
    <xf numFmtId="0" fontId="38" fillId="0" borderId="1" xfId="0" applyFont="1" applyFill="1" applyBorder="1" applyAlignment="1">
      <alignment vertical="top"/>
    </xf>
    <xf numFmtId="0" fontId="39" fillId="0" borderId="1" xfId="0" applyFont="1" applyBorder="1" applyAlignment="1">
      <alignment vertical="top"/>
    </xf>
    <xf numFmtId="3" fontId="39" fillId="0" borderId="1" xfId="0" applyNumberFormat="1" applyFont="1" applyFill="1" applyBorder="1" applyAlignment="1">
      <alignment vertical="top"/>
    </xf>
    <xf numFmtId="3" fontId="39" fillId="0" borderId="1" xfId="0" applyNumberFormat="1" applyFont="1" applyBorder="1" applyAlignment="1">
      <alignment horizontal="center" vertical="top"/>
    </xf>
    <xf numFmtId="6" fontId="39" fillId="0" borderId="1" xfId="0" applyNumberFormat="1" applyFont="1" applyBorder="1" applyAlignment="1">
      <alignment horizontal="center" vertical="top"/>
    </xf>
    <xf numFmtId="3" fontId="37" fillId="0" borderId="1" xfId="0" applyNumberFormat="1" applyFont="1" applyBorder="1"/>
    <xf numFmtId="3" fontId="37" fillId="0" borderId="0" xfId="0" applyNumberFormat="1" applyFont="1"/>
    <xf numFmtId="3" fontId="38" fillId="0" borderId="1" xfId="0" applyNumberFormat="1" applyFont="1" applyBorder="1" applyAlignment="1">
      <alignment vertical="top"/>
    </xf>
    <xf numFmtId="3" fontId="38" fillId="0" borderId="1" xfId="0" applyNumberFormat="1" applyFont="1" applyBorder="1" applyAlignment="1">
      <alignment horizontal="center" vertical="top"/>
    </xf>
    <xf numFmtId="6" fontId="38" fillId="0" borderId="1" xfId="0" applyNumberFormat="1" applyFont="1" applyBorder="1" applyAlignment="1">
      <alignment horizontal="center" vertical="top"/>
    </xf>
    <xf numFmtId="3" fontId="37" fillId="0" borderId="0" xfId="0" applyNumberFormat="1" applyFont="1" applyAlignment="1"/>
    <xf numFmtId="1" fontId="37" fillId="0" borderId="0" xfId="0" applyNumberFormat="1" applyFont="1" applyAlignment="1"/>
    <xf numFmtId="0" fontId="40" fillId="0" borderId="0" xfId="0" applyFont="1"/>
    <xf numFmtId="0" fontId="6" fillId="0" borderId="0" xfId="0" applyFont="1"/>
    <xf numFmtId="3" fontId="6" fillId="0" borderId="1" xfId="0" applyNumberFormat="1" applyFont="1" applyBorder="1"/>
    <xf numFmtId="0" fontId="3" fillId="0" borderId="1" xfId="0" applyFont="1" applyFill="1" applyBorder="1" applyAlignment="1">
      <alignment vertical="top"/>
    </xf>
    <xf numFmtId="0" fontId="3" fillId="0" borderId="1" xfId="0" applyFont="1" applyBorder="1" applyAlignment="1">
      <alignment vertical="top"/>
    </xf>
    <xf numFmtId="0" fontId="15" fillId="0" borderId="1" xfId="0" applyFont="1" applyFill="1" applyBorder="1" applyAlignment="1">
      <alignment vertical="top"/>
    </xf>
    <xf numFmtId="3" fontId="18" fillId="0" borderId="5" xfId="0" applyNumberFormat="1" applyFont="1" applyFill="1" applyBorder="1" applyAlignment="1">
      <alignment horizontal="center" vertical="top"/>
    </xf>
    <xf numFmtId="0" fontId="15" fillId="0" borderId="1" xfId="0" applyFont="1" applyFill="1" applyBorder="1" applyAlignment="1">
      <alignment vertical="top"/>
    </xf>
    <xf numFmtId="17" fontId="0" fillId="0" borderId="0" xfId="0" quotePrefix="1" applyNumberFormat="1"/>
    <xf numFmtId="0" fontId="41" fillId="0" borderId="0" xfId="1"/>
    <xf numFmtId="0" fontId="38" fillId="0" borderId="0" xfId="0" applyFont="1" applyAlignment="1">
      <alignment horizontal="center" vertical="center" wrapText="1"/>
    </xf>
    <xf numFmtId="165" fontId="1" fillId="0" borderId="1" xfId="0" applyNumberFormat="1" applyFont="1" applyFill="1" applyBorder="1" applyAlignment="1">
      <alignment horizontal="center" vertical="center"/>
    </xf>
    <xf numFmtId="0" fontId="45" fillId="0" borderId="20" xfId="0" applyFont="1" applyBorder="1" applyAlignment="1">
      <alignment vertical="center" wrapText="1"/>
    </xf>
    <xf numFmtId="0" fontId="39" fillId="0" borderId="21" xfId="0" applyFont="1" applyBorder="1" applyAlignment="1">
      <alignment vertical="center" wrapText="1"/>
    </xf>
    <xf numFmtId="0" fontId="39" fillId="0" borderId="9" xfId="0" applyFont="1" applyBorder="1" applyAlignment="1">
      <alignment vertical="center" wrapText="1"/>
    </xf>
    <xf numFmtId="0" fontId="39" fillId="0" borderId="1" xfId="0" applyFont="1" applyBorder="1" applyAlignment="1">
      <alignment horizontal="center" vertical="center" wrapText="1"/>
    </xf>
    <xf numFmtId="0" fontId="39" fillId="0" borderId="1" xfId="0" applyFont="1" applyBorder="1" applyAlignment="1">
      <alignment vertical="center" wrapText="1"/>
    </xf>
    <xf numFmtId="0" fontId="37" fillId="0" borderId="1" xfId="0" applyFont="1" applyBorder="1" applyAlignment="1">
      <alignment vertical="center" wrapText="1"/>
    </xf>
    <xf numFmtId="6"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45" fillId="0" borderId="22" xfId="0" applyFont="1" applyBorder="1" applyAlignment="1">
      <alignment vertical="center"/>
    </xf>
    <xf numFmtId="0" fontId="45" fillId="0" borderId="23" xfId="0" applyFont="1" applyBorder="1" applyAlignment="1">
      <alignment horizontal="center" vertical="center"/>
    </xf>
    <xf numFmtId="0" fontId="44" fillId="0" borderId="24" xfId="0" applyFont="1" applyBorder="1" applyAlignment="1">
      <alignment vertical="center"/>
    </xf>
    <xf numFmtId="8" fontId="44" fillId="0" borderId="25" xfId="0" applyNumberFormat="1" applyFont="1" applyBorder="1" applyAlignment="1">
      <alignment horizontal="center" vertical="center"/>
    </xf>
    <xf numFmtId="8" fontId="49" fillId="0" borderId="25" xfId="0" applyNumberFormat="1" applyFont="1" applyBorder="1" applyAlignment="1">
      <alignment horizontal="center" vertical="center"/>
    </xf>
    <xf numFmtId="0" fontId="41" fillId="0" borderId="0" xfId="1" applyAlignment="1">
      <alignment vertical="center"/>
    </xf>
    <xf numFmtId="0" fontId="44" fillId="0" borderId="0" xfId="0" applyFont="1" applyAlignment="1">
      <alignment vertical="center"/>
    </xf>
    <xf numFmtId="8" fontId="33" fillId="0" borderId="0" xfId="0" applyNumberFormat="1" applyFont="1"/>
    <xf numFmtId="0" fontId="23" fillId="0" borderId="0" xfId="0" applyFont="1" applyAlignment="1">
      <alignment vertical="center"/>
    </xf>
    <xf numFmtId="0" fontId="49" fillId="0" borderId="0" xfId="0" applyFont="1" applyAlignment="1">
      <alignment vertical="center" wrapText="1"/>
    </xf>
    <xf numFmtId="0" fontId="49" fillId="0" borderId="0" xfId="0" applyFont="1" applyAlignment="1">
      <alignment vertical="center"/>
    </xf>
    <xf numFmtId="0" fontId="24" fillId="0" borderId="0" xfId="0" applyFont="1" applyAlignment="1">
      <alignment vertical="center"/>
    </xf>
    <xf numFmtId="0" fontId="3" fillId="0" borderId="1" xfId="0" applyFont="1" applyFill="1" applyBorder="1" applyAlignment="1">
      <alignment vertical="top"/>
    </xf>
    <xf numFmtId="0" fontId="3" fillId="0" borderId="1" xfId="0" applyFont="1" applyBorder="1" applyAlignment="1">
      <alignment vertical="top"/>
    </xf>
    <xf numFmtId="0" fontId="15" fillId="0" borderId="1" xfId="0" applyFont="1" applyFill="1" applyBorder="1" applyAlignment="1">
      <alignment vertical="top"/>
    </xf>
    <xf numFmtId="3" fontId="18" fillId="0" borderId="5" xfId="0" applyNumberFormat="1" applyFont="1" applyFill="1" applyBorder="1" applyAlignment="1">
      <alignment horizontal="center" vertical="top"/>
    </xf>
    <xf numFmtId="0" fontId="0" fillId="0" borderId="0" xfId="0" applyBorder="1"/>
    <xf numFmtId="0" fontId="6" fillId="0" borderId="8" xfId="0" applyFont="1" applyBorder="1" applyAlignment="1">
      <alignment horizontal="center" vertical="center" wrapText="1"/>
    </xf>
    <xf numFmtId="0" fontId="3" fillId="0" borderId="8" xfId="0" applyFont="1" applyBorder="1" applyAlignment="1">
      <alignment horizontal="center" vertical="top"/>
    </xf>
    <xf numFmtId="164" fontId="3" fillId="0" borderId="8" xfId="0" applyNumberFormat="1" applyFont="1" applyFill="1" applyBorder="1" applyAlignment="1">
      <alignment horizontal="center" vertical="top"/>
    </xf>
    <xf numFmtId="165" fontId="3" fillId="0" borderId="8" xfId="0" applyNumberFormat="1" applyFont="1" applyFill="1" applyBorder="1" applyAlignment="1">
      <alignment horizontal="center" vertical="top"/>
    </xf>
    <xf numFmtId="164" fontId="3" fillId="0" borderId="8" xfId="0" applyNumberFormat="1" applyFont="1" applyBorder="1" applyAlignment="1">
      <alignment horizontal="center" vertical="top"/>
    </xf>
    <xf numFmtId="165" fontId="3" fillId="0" borderId="8" xfId="0" applyNumberFormat="1" applyFont="1" applyBorder="1" applyAlignment="1">
      <alignment horizontal="center" vertical="top"/>
    </xf>
    <xf numFmtId="165" fontId="8" fillId="0" borderId="8" xfId="0" applyNumberFormat="1" applyFont="1" applyBorder="1" applyAlignment="1">
      <alignment horizontal="center" vertical="top"/>
    </xf>
    <xf numFmtId="165" fontId="1" fillId="0" borderId="8" xfId="0" applyNumberFormat="1" applyFont="1" applyFill="1" applyBorder="1" applyAlignment="1">
      <alignment horizontal="center" vertical="center"/>
    </xf>
    <xf numFmtId="165" fontId="1" fillId="0" borderId="8" xfId="0" applyNumberFormat="1" applyFont="1" applyBorder="1" applyAlignment="1">
      <alignment horizontal="center" vertical="center"/>
    </xf>
    <xf numFmtId="0" fontId="6" fillId="0" borderId="0" xfId="0" applyFont="1" applyBorder="1" applyAlignment="1">
      <alignment horizontal="center" vertical="center" wrapText="1"/>
    </xf>
    <xf numFmtId="0" fontId="3" fillId="0" borderId="0" xfId="0" applyFont="1" applyBorder="1" applyAlignment="1">
      <alignment horizontal="center" vertical="top"/>
    </xf>
    <xf numFmtId="164" fontId="3" fillId="0" borderId="0" xfId="0" applyNumberFormat="1" applyFont="1" applyFill="1" applyBorder="1" applyAlignment="1">
      <alignment horizontal="center" vertical="top"/>
    </xf>
    <xf numFmtId="165" fontId="3" fillId="0" borderId="0" xfId="0" applyNumberFormat="1" applyFont="1" applyFill="1" applyBorder="1" applyAlignment="1">
      <alignment horizontal="center" vertical="top"/>
    </xf>
    <xf numFmtId="164" fontId="3" fillId="0" borderId="0" xfId="0" applyNumberFormat="1" applyFont="1" applyBorder="1" applyAlignment="1">
      <alignment horizontal="center" vertical="top"/>
    </xf>
    <xf numFmtId="165" fontId="3" fillId="0" borderId="0" xfId="0" applyNumberFormat="1" applyFont="1" applyBorder="1" applyAlignment="1">
      <alignment horizontal="center" vertical="top"/>
    </xf>
    <xf numFmtId="165" fontId="8" fillId="0" borderId="0" xfId="0" applyNumberFormat="1" applyFont="1" applyBorder="1" applyAlignment="1">
      <alignment horizontal="center" vertical="top"/>
    </xf>
    <xf numFmtId="165" fontId="1" fillId="0" borderId="0" xfId="0" applyNumberFormat="1" applyFont="1" applyFill="1" applyBorder="1" applyAlignment="1">
      <alignment horizontal="center" vertical="center"/>
    </xf>
    <xf numFmtId="165" fontId="18" fillId="0" borderId="0" xfId="0" applyNumberFormat="1" applyFont="1" applyFill="1" applyBorder="1" applyAlignment="1">
      <alignment horizontal="center" vertical="top"/>
    </xf>
    <xf numFmtId="165" fontId="1" fillId="0" borderId="0" xfId="0" applyNumberFormat="1" applyFont="1" applyBorder="1" applyAlignment="1">
      <alignment horizontal="center" vertical="center"/>
    </xf>
    <xf numFmtId="0" fontId="50" fillId="2" borderId="0" xfId="0" applyFont="1" applyFill="1"/>
    <xf numFmtId="0" fontId="0" fillId="2" borderId="0" xfId="0" applyFill="1"/>
    <xf numFmtId="3" fontId="8" fillId="0" borderId="2" xfId="0" applyNumberFormat="1" applyFont="1" applyFill="1" applyBorder="1" applyAlignment="1">
      <alignment horizontal="center" vertical="top"/>
    </xf>
    <xf numFmtId="3" fontId="8" fillId="0" borderId="3" xfId="0" applyNumberFormat="1" applyFont="1" applyFill="1" applyBorder="1" applyAlignment="1">
      <alignment horizontal="center" vertical="top"/>
    </xf>
    <xf numFmtId="3" fontId="8" fillId="0" borderId="4" xfId="0" applyNumberFormat="1" applyFont="1" applyFill="1" applyBorder="1" applyAlignment="1">
      <alignment horizontal="center" vertical="top"/>
    </xf>
    <xf numFmtId="3" fontId="1" fillId="0" borderId="1" xfId="0" applyNumberFormat="1" applyFont="1" applyBorder="1" applyAlignment="1">
      <alignment horizontal="center" vertical="center"/>
    </xf>
    <xf numFmtId="0" fontId="3" fillId="0" borderId="1" xfId="0" applyFont="1" applyFill="1" applyBorder="1" applyAlignment="1">
      <alignment vertical="top"/>
    </xf>
    <xf numFmtId="0" fontId="3" fillId="0" borderId="1" xfId="0" applyFont="1" applyBorder="1" applyAlignment="1">
      <alignment vertical="top"/>
    </xf>
    <xf numFmtId="3" fontId="18" fillId="0" borderId="1" xfId="0" applyNumberFormat="1" applyFont="1" applyFill="1" applyBorder="1" applyAlignment="1">
      <alignment horizontal="center" vertical="top"/>
    </xf>
    <xf numFmtId="0" fontId="15" fillId="0" borderId="1" xfId="0" applyFont="1" applyFill="1" applyBorder="1" applyAlignment="1">
      <alignment vertical="top"/>
    </xf>
    <xf numFmtId="3" fontId="20" fillId="0" borderId="2" xfId="0" applyNumberFormat="1" applyFont="1" applyFill="1" applyBorder="1" applyAlignment="1">
      <alignment horizontal="center" vertical="top"/>
    </xf>
    <xf numFmtId="3" fontId="20" fillId="0" borderId="3" xfId="0" applyNumberFormat="1" applyFont="1" applyFill="1" applyBorder="1" applyAlignment="1">
      <alignment horizontal="center" vertical="top"/>
    </xf>
    <xf numFmtId="3" fontId="20" fillId="0" borderId="4" xfId="0" applyNumberFormat="1" applyFont="1" applyFill="1" applyBorder="1" applyAlignment="1">
      <alignment horizontal="center" vertical="top"/>
    </xf>
    <xf numFmtId="3" fontId="18" fillId="0" borderId="6" xfId="0" applyNumberFormat="1" applyFont="1" applyFill="1" applyBorder="1" applyAlignment="1">
      <alignment horizontal="center"/>
    </xf>
    <xf numFmtId="0" fontId="18" fillId="0" borderId="6" xfId="0" applyFont="1" applyFill="1" applyBorder="1" applyAlignment="1">
      <alignment horizontal="center"/>
    </xf>
    <xf numFmtId="3" fontId="18" fillId="0" borderId="5" xfId="0" applyNumberFormat="1" applyFont="1" applyFill="1" applyBorder="1" applyAlignment="1">
      <alignment horizontal="center" vertical="top"/>
    </xf>
    <xf numFmtId="3" fontId="18" fillId="0" borderId="7" xfId="0" applyNumberFormat="1" applyFont="1" applyFill="1" applyBorder="1" applyAlignment="1">
      <alignment horizontal="center" vertical="top"/>
    </xf>
    <xf numFmtId="3" fontId="18" fillId="0" borderId="0" xfId="0" applyNumberFormat="1" applyFont="1" applyFill="1" applyBorder="1" applyAlignment="1">
      <alignment horizontal="center" vertical="top"/>
    </xf>
    <xf numFmtId="3" fontId="18" fillId="0" borderId="9" xfId="0" applyNumberFormat="1" applyFont="1" applyFill="1" applyBorder="1" applyAlignment="1">
      <alignment horizontal="center" vertical="top"/>
    </xf>
    <xf numFmtId="0" fontId="44" fillId="0" borderId="14" xfId="0" applyFont="1" applyBorder="1" applyAlignment="1">
      <alignment vertical="center" wrapText="1"/>
    </xf>
    <xf numFmtId="0" fontId="44" fillId="0" borderId="15" xfId="0" applyFont="1" applyBorder="1" applyAlignment="1">
      <alignment vertical="center" wrapText="1"/>
    </xf>
    <xf numFmtId="0" fontId="44" fillId="0" borderId="16" xfId="0" applyFont="1" applyBorder="1" applyAlignment="1">
      <alignment vertical="center" wrapText="1"/>
    </xf>
    <xf numFmtId="0" fontId="45" fillId="0" borderId="17"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19" xfId="0" applyFont="1" applyBorder="1" applyAlignment="1">
      <alignment horizontal="center" vertical="center" wrapText="1"/>
    </xf>
    <xf numFmtId="3" fontId="18" fillId="0" borderId="6" xfId="0" applyNumberFormat="1" applyFont="1" applyBorder="1" applyAlignment="1">
      <alignment horizontal="center"/>
    </xf>
    <xf numFmtId="0" fontId="30"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ls.gov/oes/current/naics4_331500.ht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ls.gov/oes/current/naics4_3315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pm.gov/policy-data-oversight/pay-leave/salaries-wages/salary-tables/pdf/2019/GS_h.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bls.gov/oes/current/naics4_331500.ht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ls.gov/oes/current/naics4_33150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opLeftCell="A19" zoomScaleNormal="100" workbookViewId="0">
      <selection activeCell="J1" sqref="J1:K1048576"/>
    </sheetView>
  </sheetViews>
  <sheetFormatPr defaultRowHeight="14.5" x14ac:dyDescent="0.35"/>
  <cols>
    <col min="1" max="1" width="43.26953125" customWidth="1"/>
    <col min="2" max="3" width="11.453125" customWidth="1"/>
    <col min="4" max="4" width="13" customWidth="1"/>
    <col min="5" max="5" width="13.81640625" customWidth="1"/>
    <col min="9" max="9" width="11.1796875" bestFit="1" customWidth="1"/>
    <col min="12" max="12" width="12.1796875" customWidth="1"/>
  </cols>
  <sheetData>
    <row r="1" spans="1:14" x14ac:dyDescent="0.35">
      <c r="A1" t="s">
        <v>211</v>
      </c>
      <c r="K1" t="s">
        <v>89</v>
      </c>
    </row>
    <row r="2" spans="1:14" x14ac:dyDescent="0.35">
      <c r="K2" s="142" t="s">
        <v>90</v>
      </c>
      <c r="L2" s="143" t="s">
        <v>91</v>
      </c>
    </row>
    <row r="3" spans="1:14" x14ac:dyDescent="0.35">
      <c r="D3" s="79"/>
      <c r="E3" s="11"/>
      <c r="F3" s="11">
        <f>N6</f>
        <v>81.33</v>
      </c>
      <c r="G3" s="11">
        <f>N5</f>
        <v>123.71</v>
      </c>
      <c r="H3" s="11">
        <f>N7</f>
        <v>42.8</v>
      </c>
    </row>
    <row r="4" spans="1:14" ht="78.75" customHeight="1" x14ac:dyDescent="0.35">
      <c r="A4" s="1" t="s">
        <v>0</v>
      </c>
      <c r="B4" s="1" t="s">
        <v>21</v>
      </c>
      <c r="C4" s="1" t="s">
        <v>22</v>
      </c>
      <c r="D4" s="1" t="s">
        <v>23</v>
      </c>
      <c r="E4" s="19" t="s">
        <v>39</v>
      </c>
      <c r="F4" s="1" t="s">
        <v>24</v>
      </c>
      <c r="G4" s="1" t="s">
        <v>25</v>
      </c>
      <c r="H4" s="1" t="s">
        <v>26</v>
      </c>
      <c r="I4" s="1" t="s">
        <v>27</v>
      </c>
      <c r="K4" s="144" t="s">
        <v>92</v>
      </c>
      <c r="L4" s="144" t="s">
        <v>93</v>
      </c>
      <c r="M4" s="144" t="s">
        <v>94</v>
      </c>
      <c r="N4" s="144" t="s">
        <v>95</v>
      </c>
    </row>
    <row r="5" spans="1:14" x14ac:dyDescent="0.35">
      <c r="A5" s="2" t="s">
        <v>1</v>
      </c>
      <c r="B5" s="3" t="s">
        <v>2</v>
      </c>
      <c r="C5" s="3"/>
      <c r="D5" s="3"/>
      <c r="E5" s="3"/>
      <c r="F5" s="3"/>
      <c r="G5" s="3"/>
      <c r="H5" s="3"/>
      <c r="I5" s="3" t="s">
        <v>3</v>
      </c>
      <c r="K5" t="s">
        <v>96</v>
      </c>
      <c r="L5" t="s">
        <v>97</v>
      </c>
      <c r="M5">
        <v>58.91</v>
      </c>
      <c r="N5">
        <f>ROUND(M5*2.1,2)</f>
        <v>123.71</v>
      </c>
    </row>
    <row r="6" spans="1:14" x14ac:dyDescent="0.35">
      <c r="A6" s="2" t="s">
        <v>4</v>
      </c>
      <c r="B6" s="3" t="s">
        <v>2</v>
      </c>
      <c r="C6" s="3"/>
      <c r="D6" s="3"/>
      <c r="E6" s="3"/>
      <c r="F6" s="3"/>
      <c r="G6" s="3"/>
      <c r="H6" s="3"/>
      <c r="I6" s="3" t="s">
        <v>3</v>
      </c>
      <c r="K6" t="s">
        <v>98</v>
      </c>
      <c r="L6" t="s">
        <v>99</v>
      </c>
      <c r="M6">
        <v>38.729999999999997</v>
      </c>
      <c r="N6">
        <f t="shared" ref="N6:N7" si="0">ROUND(M6*2.1,2)</f>
        <v>81.33</v>
      </c>
    </row>
    <row r="7" spans="1:14" x14ac:dyDescent="0.35">
      <c r="A7" s="2" t="s">
        <v>5</v>
      </c>
      <c r="B7" s="3" t="s">
        <v>2</v>
      </c>
      <c r="C7" s="3"/>
      <c r="D7" s="3"/>
      <c r="E7" s="3"/>
      <c r="F7" s="3"/>
      <c r="G7" s="3"/>
      <c r="H7" s="3"/>
      <c r="I7" s="3" t="s">
        <v>3</v>
      </c>
      <c r="K7" t="s">
        <v>100</v>
      </c>
      <c r="L7" t="s">
        <v>101</v>
      </c>
      <c r="M7">
        <v>20.38</v>
      </c>
      <c r="N7">
        <f t="shared" si="0"/>
        <v>42.8</v>
      </c>
    </row>
    <row r="8" spans="1:14" s="81" customFormat="1" ht="24" customHeight="1" x14ac:dyDescent="0.35">
      <c r="A8" s="196" t="s">
        <v>6</v>
      </c>
      <c r="B8" s="196"/>
      <c r="C8" s="48"/>
      <c r="D8" s="48"/>
      <c r="E8" s="48"/>
      <c r="F8" s="48"/>
      <c r="G8" s="48"/>
      <c r="H8" s="48"/>
      <c r="I8" s="80" t="s">
        <v>3</v>
      </c>
    </row>
    <row r="9" spans="1:14" s="81" customFormat="1" x14ac:dyDescent="0.35">
      <c r="A9" s="82" t="s">
        <v>54</v>
      </c>
      <c r="B9" s="48">
        <v>0.5</v>
      </c>
      <c r="C9" s="48">
        <v>1</v>
      </c>
      <c r="D9" s="48">
        <f>B9*C9</f>
        <v>0.5</v>
      </c>
      <c r="E9" s="48">
        <f>'Working Respondent'!$F$4</f>
        <v>315</v>
      </c>
      <c r="F9" s="83">
        <f>D9*E9</f>
        <v>157.5</v>
      </c>
      <c r="G9" s="84">
        <f>F9*0.05</f>
        <v>7.875</v>
      </c>
      <c r="H9" s="84">
        <f>F9*0.1</f>
        <v>15.75</v>
      </c>
      <c r="I9" s="85">
        <f>F9*F$3+G9*G$3+H9*H$3</f>
        <v>14457.79125</v>
      </c>
    </row>
    <row r="10" spans="1:14" s="81" customFormat="1" x14ac:dyDescent="0.35">
      <c r="A10" s="196" t="s">
        <v>7</v>
      </c>
      <c r="B10" s="196"/>
      <c r="C10" s="48"/>
      <c r="D10" s="48"/>
      <c r="E10" s="48"/>
      <c r="F10" s="48"/>
      <c r="G10" s="86"/>
      <c r="H10" s="86"/>
      <c r="I10" s="80" t="s">
        <v>3</v>
      </c>
    </row>
    <row r="11" spans="1:14" s="81" customFormat="1" x14ac:dyDescent="0.35">
      <c r="A11" s="82" t="s">
        <v>102</v>
      </c>
      <c r="B11" s="48" t="s">
        <v>2</v>
      </c>
      <c r="C11" s="48"/>
      <c r="D11" s="48"/>
      <c r="E11" s="48"/>
      <c r="F11" s="48"/>
      <c r="G11" s="87"/>
      <c r="H11" s="87"/>
      <c r="I11" s="80"/>
    </row>
    <row r="12" spans="1:14" s="81" customFormat="1" x14ac:dyDescent="0.35">
      <c r="A12" s="82" t="s">
        <v>104</v>
      </c>
      <c r="B12" s="48">
        <v>4</v>
      </c>
      <c r="C12" s="48">
        <v>1</v>
      </c>
      <c r="D12" s="48">
        <f>B12*C12</f>
        <v>4</v>
      </c>
      <c r="E12" s="48">
        <v>0</v>
      </c>
      <c r="F12" s="48">
        <f t="shared" ref="F12:F14" si="1">D12*E12</f>
        <v>0</v>
      </c>
      <c r="G12" s="86">
        <f t="shared" ref="G12:G14" si="2">F12*0.05</f>
        <v>0</v>
      </c>
      <c r="H12" s="86">
        <f t="shared" ref="H12:H14" si="3">F12*0.1</f>
        <v>0</v>
      </c>
      <c r="I12" s="85">
        <f t="shared" ref="I12:I14" si="4">F12*F$3+G12*G$3+H12*H$3</f>
        <v>0</v>
      </c>
    </row>
    <row r="13" spans="1:14" s="81" customFormat="1" x14ac:dyDescent="0.35">
      <c r="A13" s="82" t="s">
        <v>55</v>
      </c>
      <c r="B13" s="48" t="s">
        <v>2</v>
      </c>
      <c r="C13" s="48"/>
      <c r="D13" s="48"/>
      <c r="E13" s="48"/>
      <c r="F13" s="48"/>
      <c r="G13" s="87"/>
      <c r="H13" s="87"/>
      <c r="I13" s="80"/>
    </row>
    <row r="14" spans="1:14" s="81" customFormat="1" x14ac:dyDescent="0.35">
      <c r="A14" s="82" t="s">
        <v>105</v>
      </c>
      <c r="B14" s="48">
        <v>0</v>
      </c>
      <c r="C14" s="48">
        <v>0</v>
      </c>
      <c r="D14" s="48">
        <f>B14*C14</f>
        <v>0</v>
      </c>
      <c r="E14" s="48">
        <v>0</v>
      </c>
      <c r="F14" s="48">
        <f t="shared" si="1"/>
        <v>0</v>
      </c>
      <c r="G14" s="48">
        <f t="shared" si="2"/>
        <v>0</v>
      </c>
      <c r="H14" s="48">
        <f t="shared" si="3"/>
        <v>0</v>
      </c>
      <c r="I14" s="85">
        <f t="shared" si="4"/>
        <v>0</v>
      </c>
    </row>
    <row r="15" spans="1:14" s="81" customFormat="1" x14ac:dyDescent="0.35">
      <c r="A15" s="82" t="s">
        <v>8</v>
      </c>
      <c r="B15" s="48" t="s">
        <v>9</v>
      </c>
      <c r="C15" s="48"/>
      <c r="D15" s="48"/>
      <c r="E15" s="48"/>
      <c r="F15" s="48"/>
      <c r="G15" s="48"/>
      <c r="H15" s="48"/>
      <c r="I15" s="80" t="s">
        <v>3</v>
      </c>
    </row>
    <row r="16" spans="1:14" x14ac:dyDescent="0.35">
      <c r="A16" s="2" t="s">
        <v>10</v>
      </c>
      <c r="B16" s="3" t="s">
        <v>9</v>
      </c>
      <c r="C16" s="3"/>
      <c r="D16" s="3"/>
      <c r="E16" s="3"/>
      <c r="F16" s="3"/>
      <c r="G16" s="3"/>
      <c r="H16" s="3"/>
      <c r="I16" s="4" t="s">
        <v>3</v>
      </c>
    </row>
    <row r="17" spans="1:9" x14ac:dyDescent="0.35">
      <c r="A17" s="2" t="s">
        <v>11</v>
      </c>
      <c r="B17" s="3" t="s">
        <v>9</v>
      </c>
      <c r="C17" s="3"/>
      <c r="D17" s="3"/>
      <c r="E17" s="3"/>
      <c r="F17" s="3"/>
      <c r="G17" s="3"/>
      <c r="H17" s="3"/>
      <c r="I17" s="4" t="s">
        <v>3</v>
      </c>
    </row>
    <row r="18" spans="1:9" x14ac:dyDescent="0.35">
      <c r="A18" s="10" t="s">
        <v>107</v>
      </c>
      <c r="B18" s="3">
        <v>2</v>
      </c>
      <c r="C18" s="3">
        <v>1</v>
      </c>
      <c r="D18" s="3">
        <f t="shared" ref="D18:D19" si="5">B18*C18</f>
        <v>2</v>
      </c>
      <c r="E18" s="3">
        <v>0</v>
      </c>
      <c r="F18" s="3">
        <f t="shared" ref="F18:F19" si="6">D18*E18</f>
        <v>0</v>
      </c>
      <c r="G18" s="3">
        <f t="shared" ref="G18:G19" si="7">F18*0.05</f>
        <v>0</v>
      </c>
      <c r="H18" s="3">
        <f t="shared" ref="H18:H19" si="8">F18*0.1</f>
        <v>0</v>
      </c>
      <c r="I18" s="9">
        <f t="shared" ref="I18:I19" si="9">F18*F$3+G18*G$3+H18*H$3</f>
        <v>0</v>
      </c>
    </row>
    <row r="19" spans="1:9" x14ac:dyDescent="0.35">
      <c r="A19" s="2" t="s">
        <v>108</v>
      </c>
      <c r="B19" s="3">
        <v>4</v>
      </c>
      <c r="C19" s="3">
        <v>1</v>
      </c>
      <c r="D19" s="3">
        <f t="shared" si="5"/>
        <v>4</v>
      </c>
      <c r="E19" s="3">
        <v>0</v>
      </c>
      <c r="F19" s="3">
        <f t="shared" si="6"/>
        <v>0</v>
      </c>
      <c r="G19" s="18">
        <f t="shared" si="7"/>
        <v>0</v>
      </c>
      <c r="H19" s="18">
        <f t="shared" si="8"/>
        <v>0</v>
      </c>
      <c r="I19" s="9">
        <f t="shared" si="9"/>
        <v>0</v>
      </c>
    </row>
    <row r="20" spans="1:9" s="81" customFormat="1" x14ac:dyDescent="0.35">
      <c r="A20" s="82" t="s">
        <v>109</v>
      </c>
      <c r="B20" s="48" t="s">
        <v>2</v>
      </c>
      <c r="C20" s="48"/>
      <c r="D20" s="48"/>
      <c r="E20" s="48"/>
      <c r="F20" s="48"/>
      <c r="G20" s="48"/>
      <c r="H20" s="48"/>
      <c r="I20" s="80" t="s">
        <v>3</v>
      </c>
    </row>
    <row r="21" spans="1:9" s="81" customFormat="1" x14ac:dyDescent="0.35">
      <c r="A21" s="82" t="s">
        <v>110</v>
      </c>
      <c r="B21" s="48" t="s">
        <v>2</v>
      </c>
      <c r="C21" s="48"/>
      <c r="D21" s="48"/>
      <c r="E21" s="48"/>
      <c r="F21" s="48"/>
      <c r="G21" s="48"/>
      <c r="H21" s="48"/>
      <c r="I21" s="80" t="s">
        <v>3</v>
      </c>
    </row>
    <row r="22" spans="1:9" s="81" customFormat="1" x14ac:dyDescent="0.35">
      <c r="A22" s="82" t="s">
        <v>117</v>
      </c>
      <c r="B22" s="48">
        <v>1</v>
      </c>
      <c r="C22" s="48">
        <v>0</v>
      </c>
      <c r="D22" s="48">
        <f t="shared" ref="D22" si="10">B22*C22</f>
        <v>0</v>
      </c>
      <c r="E22" s="48">
        <v>0</v>
      </c>
      <c r="F22" s="48">
        <f t="shared" ref="F22" si="11">D22*E22</f>
        <v>0</v>
      </c>
      <c r="G22" s="86">
        <f t="shared" ref="G22" si="12">F22*0.05</f>
        <v>0</v>
      </c>
      <c r="H22" s="86">
        <f t="shared" ref="H22" si="13">F22*0.1</f>
        <v>0</v>
      </c>
      <c r="I22" s="85">
        <f t="shared" ref="I22" si="14">F22*F$3+G22*G$3+H22*H$3</f>
        <v>0</v>
      </c>
    </row>
    <row r="23" spans="1:9" s="81" customFormat="1" x14ac:dyDescent="0.35">
      <c r="A23" s="82" t="s">
        <v>111</v>
      </c>
      <c r="B23" s="48" t="s">
        <v>2</v>
      </c>
      <c r="C23" s="48"/>
      <c r="D23" s="48"/>
      <c r="E23" s="48"/>
      <c r="F23" s="48"/>
      <c r="G23" s="48"/>
      <c r="H23" s="48"/>
      <c r="I23" s="80" t="s">
        <v>3</v>
      </c>
    </row>
    <row r="24" spans="1:9" x14ac:dyDescent="0.35">
      <c r="A24" s="82" t="s">
        <v>112</v>
      </c>
      <c r="B24" s="3" t="s">
        <v>2</v>
      </c>
      <c r="C24" s="3"/>
      <c r="D24" s="3"/>
      <c r="E24" s="3"/>
      <c r="F24" s="3"/>
      <c r="G24" s="3"/>
      <c r="H24" s="3"/>
      <c r="I24" s="4" t="s">
        <v>3</v>
      </c>
    </row>
    <row r="25" spans="1:9" x14ac:dyDescent="0.35">
      <c r="A25" s="82" t="s">
        <v>113</v>
      </c>
      <c r="B25" s="3" t="s">
        <v>2</v>
      </c>
      <c r="C25" s="3"/>
      <c r="D25" s="3"/>
      <c r="E25" s="3"/>
      <c r="F25" s="3"/>
      <c r="G25" s="3"/>
      <c r="H25" s="3"/>
      <c r="I25" s="4" t="s">
        <v>3</v>
      </c>
    </row>
    <row r="26" spans="1:9" x14ac:dyDescent="0.35">
      <c r="A26" s="82" t="s">
        <v>114</v>
      </c>
      <c r="B26" s="3" t="s">
        <v>2</v>
      </c>
      <c r="C26" s="3"/>
      <c r="D26" s="3"/>
      <c r="E26" s="3"/>
      <c r="F26" s="3"/>
      <c r="G26" s="3"/>
      <c r="H26" s="3"/>
      <c r="I26" s="4" t="s">
        <v>3</v>
      </c>
    </row>
    <row r="27" spans="1:9" x14ac:dyDescent="0.35">
      <c r="A27" s="88" t="s">
        <v>115</v>
      </c>
      <c r="B27" s="3" t="s">
        <v>2</v>
      </c>
      <c r="C27" s="3"/>
      <c r="D27" s="3"/>
      <c r="E27" s="3"/>
      <c r="F27" s="3"/>
      <c r="G27" s="3"/>
      <c r="H27" s="3"/>
      <c r="I27" s="4" t="s">
        <v>3</v>
      </c>
    </row>
    <row r="28" spans="1:9" x14ac:dyDescent="0.35">
      <c r="A28" s="82" t="s">
        <v>116</v>
      </c>
      <c r="B28" s="3" t="s">
        <v>2</v>
      </c>
      <c r="C28" s="3"/>
      <c r="D28" s="3"/>
      <c r="E28" s="3"/>
      <c r="F28" s="3"/>
      <c r="G28" s="3"/>
      <c r="H28" s="3"/>
      <c r="I28" s="4" t="s">
        <v>3</v>
      </c>
    </row>
    <row r="29" spans="1:9" x14ac:dyDescent="0.35">
      <c r="A29" s="82" t="s">
        <v>119</v>
      </c>
      <c r="B29" s="3" t="s">
        <v>2</v>
      </c>
      <c r="C29" s="3"/>
      <c r="D29" s="3"/>
      <c r="E29" s="3"/>
      <c r="F29" s="3"/>
      <c r="G29" s="3"/>
      <c r="H29" s="3"/>
      <c r="I29" s="4" t="s">
        <v>3</v>
      </c>
    </row>
    <row r="30" spans="1:9" x14ac:dyDescent="0.35">
      <c r="A30" s="139" t="s">
        <v>208</v>
      </c>
      <c r="B30" s="3" t="s">
        <v>2</v>
      </c>
      <c r="C30" s="3"/>
      <c r="D30" s="3"/>
      <c r="E30" s="3"/>
      <c r="F30" s="3"/>
      <c r="G30" s="3"/>
      <c r="H30" s="3"/>
      <c r="I30" s="4"/>
    </row>
    <row r="31" spans="1:9" x14ac:dyDescent="0.35">
      <c r="A31" s="82" t="s">
        <v>190</v>
      </c>
      <c r="B31" s="3">
        <v>4</v>
      </c>
      <c r="C31" s="3">
        <v>2</v>
      </c>
      <c r="D31" s="48">
        <f t="shared" ref="D31" si="15">B31*C31</f>
        <v>8</v>
      </c>
      <c r="E31" s="48">
        <f>'Working Respondent'!$F$4</f>
        <v>315</v>
      </c>
      <c r="F31" s="48">
        <f t="shared" ref="F31" si="16">D31*E31</f>
        <v>2520</v>
      </c>
      <c r="G31" s="86">
        <f t="shared" ref="G31" si="17">F31*0.05</f>
        <v>126</v>
      </c>
      <c r="H31" s="86">
        <f t="shared" ref="H31" si="18">F31*0.1</f>
        <v>252</v>
      </c>
      <c r="I31" s="85">
        <f t="shared" ref="I31" si="19">F31*F$3+G31*G$3+H31*H$3</f>
        <v>231324.66</v>
      </c>
    </row>
    <row r="32" spans="1:9" x14ac:dyDescent="0.35">
      <c r="A32" s="5" t="s">
        <v>12</v>
      </c>
      <c r="B32" s="3"/>
      <c r="C32" s="3"/>
      <c r="D32" s="3"/>
      <c r="E32" s="3"/>
      <c r="F32" s="192">
        <f>SUM(F5:H31)</f>
        <v>3079.125</v>
      </c>
      <c r="G32" s="193"/>
      <c r="H32" s="194"/>
      <c r="I32" s="35">
        <f>SUM(I5:I31)</f>
        <v>245782.45125000001</v>
      </c>
    </row>
    <row r="33" spans="1:9" x14ac:dyDescent="0.35">
      <c r="A33" s="197" t="s">
        <v>13</v>
      </c>
      <c r="B33" s="197"/>
      <c r="C33" s="197"/>
      <c r="D33" s="3"/>
      <c r="E33" s="3"/>
      <c r="F33" s="3"/>
      <c r="G33" s="3"/>
      <c r="H33" s="3"/>
      <c r="I33" s="4" t="s">
        <v>3</v>
      </c>
    </row>
    <row r="34" spans="1:9" x14ac:dyDescent="0.35">
      <c r="A34" s="2" t="s">
        <v>48</v>
      </c>
      <c r="B34" s="3" t="s">
        <v>14</v>
      </c>
      <c r="C34" s="3"/>
      <c r="D34" s="3"/>
      <c r="E34" s="3"/>
      <c r="F34" s="3"/>
      <c r="G34" s="3"/>
      <c r="H34" s="3"/>
      <c r="I34" s="4" t="s">
        <v>3</v>
      </c>
    </row>
    <row r="35" spans="1:9" x14ac:dyDescent="0.35">
      <c r="A35" s="2" t="s">
        <v>152</v>
      </c>
      <c r="B35" s="3">
        <v>2</v>
      </c>
      <c r="C35" s="3">
        <v>1</v>
      </c>
      <c r="D35" s="3">
        <f t="shared" ref="D35:D36" si="20">B35*C35</f>
        <v>2</v>
      </c>
      <c r="E35" s="86">
        <f>'Working Respondent'!$F$4/3</f>
        <v>105</v>
      </c>
      <c r="F35" s="3">
        <f t="shared" ref="F35:F36" si="21">D35*E35</f>
        <v>210</v>
      </c>
      <c r="G35" s="18">
        <f t="shared" ref="G35:G36" si="22">F35*0.05</f>
        <v>10.5</v>
      </c>
      <c r="H35" s="18">
        <f t="shared" ref="H35:H36" si="23">F35*0.1</f>
        <v>21</v>
      </c>
      <c r="I35" s="9">
        <f t="shared" ref="I35:I36" si="24">F35*F$3+G35*G$3+H35*H$3</f>
        <v>19277.054999999997</v>
      </c>
    </row>
    <row r="36" spans="1:9" x14ac:dyDescent="0.35">
      <c r="A36" s="2" t="s">
        <v>151</v>
      </c>
      <c r="B36" s="3">
        <v>2</v>
      </c>
      <c r="C36" s="3">
        <v>1</v>
      </c>
      <c r="D36" s="3">
        <f t="shared" si="20"/>
        <v>2</v>
      </c>
      <c r="E36" s="86">
        <f>'Working Respondent'!$F$4/3</f>
        <v>105</v>
      </c>
      <c r="F36" s="3">
        <f t="shared" si="21"/>
        <v>210</v>
      </c>
      <c r="G36" s="18">
        <f t="shared" si="22"/>
        <v>10.5</v>
      </c>
      <c r="H36" s="18">
        <f t="shared" si="23"/>
        <v>21</v>
      </c>
      <c r="I36" s="9">
        <f t="shared" si="24"/>
        <v>19277.054999999997</v>
      </c>
    </row>
    <row r="37" spans="1:9" x14ac:dyDescent="0.35">
      <c r="A37" s="2" t="s">
        <v>121</v>
      </c>
      <c r="B37" s="3">
        <v>1</v>
      </c>
      <c r="C37" s="3">
        <v>1</v>
      </c>
      <c r="D37" s="3">
        <f t="shared" ref="D37:D41" si="25">B37*C37</f>
        <v>1</v>
      </c>
      <c r="E37" s="86">
        <f>'Working Respondent'!$F$4/3</f>
        <v>105</v>
      </c>
      <c r="F37" s="3">
        <f>D37*E37</f>
        <v>105</v>
      </c>
      <c r="G37" s="18">
        <f t="shared" ref="G37:G40" si="26">F37*0.05</f>
        <v>5.25</v>
      </c>
      <c r="H37" s="18">
        <f t="shared" ref="H37:H40" si="27">F37*0.1</f>
        <v>10.5</v>
      </c>
      <c r="I37" s="9">
        <f>F37*F$3+G37*G$3+H37*H$3</f>
        <v>9638.5274999999983</v>
      </c>
    </row>
    <row r="38" spans="1:9" x14ac:dyDescent="0.35">
      <c r="A38" s="2" t="s">
        <v>120</v>
      </c>
      <c r="B38" s="3">
        <v>0.1</v>
      </c>
      <c r="C38" s="3">
        <v>52</v>
      </c>
      <c r="D38" s="3">
        <f t="shared" si="25"/>
        <v>5.2</v>
      </c>
      <c r="E38" s="86">
        <f>'Working Respondent'!$F$4</f>
        <v>315</v>
      </c>
      <c r="F38" s="17">
        <f>D38*E38</f>
        <v>1638</v>
      </c>
      <c r="G38" s="7">
        <f t="shared" si="26"/>
        <v>81.900000000000006</v>
      </c>
      <c r="H38" s="7">
        <f t="shared" si="27"/>
        <v>163.80000000000001</v>
      </c>
      <c r="I38" s="4">
        <f t="shared" ref="I38:I40" si="28">F38*F$3+G38*G$3+H38*H$3</f>
        <v>150361.02900000001</v>
      </c>
    </row>
    <row r="39" spans="1:9" x14ac:dyDescent="0.35">
      <c r="A39" s="2" t="s">
        <v>15</v>
      </c>
      <c r="B39" s="3">
        <v>0.25</v>
      </c>
      <c r="C39" s="3">
        <v>2</v>
      </c>
      <c r="D39" s="3">
        <f t="shared" si="25"/>
        <v>0.5</v>
      </c>
      <c r="E39" s="86">
        <f>'Working Respondent'!$F$4</f>
        <v>315</v>
      </c>
      <c r="F39" s="18">
        <f t="shared" ref="F39" si="29">D39*E39</f>
        <v>157.5</v>
      </c>
      <c r="G39" s="7">
        <f t="shared" si="26"/>
        <v>7.875</v>
      </c>
      <c r="H39" s="7">
        <f t="shared" si="27"/>
        <v>15.75</v>
      </c>
      <c r="I39" s="4">
        <f t="shared" si="28"/>
        <v>14457.79125</v>
      </c>
    </row>
    <row r="40" spans="1:9" x14ac:dyDescent="0.35">
      <c r="A40" s="10" t="s">
        <v>123</v>
      </c>
      <c r="B40" s="3">
        <v>1</v>
      </c>
      <c r="C40" s="3">
        <v>1</v>
      </c>
      <c r="D40" s="3">
        <f t="shared" si="25"/>
        <v>1</v>
      </c>
      <c r="E40" s="86">
        <f>'Working Respondent'!$F$4/3</f>
        <v>105</v>
      </c>
      <c r="F40" s="18">
        <f>D40*E40</f>
        <v>105</v>
      </c>
      <c r="G40" s="18">
        <f t="shared" si="26"/>
        <v>5.25</v>
      </c>
      <c r="H40" s="18">
        <f t="shared" si="27"/>
        <v>10.5</v>
      </c>
      <c r="I40" s="9">
        <f t="shared" si="28"/>
        <v>9638.5274999999983</v>
      </c>
    </row>
    <row r="41" spans="1:9" s="81" customFormat="1" x14ac:dyDescent="0.35">
      <c r="A41" s="82" t="s">
        <v>122</v>
      </c>
      <c r="B41" s="48">
        <v>2</v>
      </c>
      <c r="C41" s="48">
        <v>1</v>
      </c>
      <c r="D41" s="48">
        <f t="shared" si="25"/>
        <v>2</v>
      </c>
      <c r="E41" s="86">
        <f>'Working Respondent'!$F$4/3</f>
        <v>105</v>
      </c>
      <c r="F41" s="83">
        <f>D41*E41</f>
        <v>210</v>
      </c>
      <c r="G41" s="84">
        <f t="shared" ref="G41" si="30">F41*0.05</f>
        <v>10.5</v>
      </c>
      <c r="H41" s="84">
        <f t="shared" ref="H41" si="31">F41*0.1</f>
        <v>21</v>
      </c>
      <c r="I41" s="85">
        <f t="shared" ref="I41" si="32">F41*F$3+G41*G$3+H41*H$3</f>
        <v>19277.054999999997</v>
      </c>
    </row>
    <row r="42" spans="1:9" x14ac:dyDescent="0.35">
      <c r="A42" s="2" t="s">
        <v>16</v>
      </c>
      <c r="B42" s="3" t="s">
        <v>2</v>
      </c>
      <c r="C42" s="3"/>
      <c r="D42" s="3"/>
      <c r="E42" s="3"/>
      <c r="F42" s="3"/>
      <c r="G42" s="3"/>
      <c r="H42" s="3"/>
      <c r="I42" s="4" t="s">
        <v>3</v>
      </c>
    </row>
    <row r="43" spans="1:9" x14ac:dyDescent="0.35">
      <c r="A43" s="5" t="s">
        <v>17</v>
      </c>
      <c r="B43" s="3"/>
      <c r="C43" s="3"/>
      <c r="D43" s="3"/>
      <c r="E43" s="3"/>
      <c r="F43" s="192">
        <f>SUM(F33:H42)</f>
        <v>3030.8250000000003</v>
      </c>
      <c r="G43" s="193"/>
      <c r="H43" s="194"/>
      <c r="I43" s="35">
        <f>SUM(I33:I42)</f>
        <v>241927.04024999999</v>
      </c>
    </row>
    <row r="44" spans="1:9" ht="21" customHeight="1" x14ac:dyDescent="0.35">
      <c r="A44" s="6" t="s">
        <v>125</v>
      </c>
      <c r="B44" s="39"/>
      <c r="C44" s="39"/>
      <c r="D44" s="40"/>
      <c r="E44" s="40"/>
      <c r="F44" s="195">
        <f>ROUND(F43+F32,-1)</f>
        <v>6110</v>
      </c>
      <c r="G44" s="195"/>
      <c r="H44" s="195"/>
      <c r="I44" s="145">
        <f>ROUND(I43+I32,-3)</f>
        <v>488000</v>
      </c>
    </row>
    <row r="45" spans="1:9" s="28" customFormat="1" ht="15.5" x14ac:dyDescent="0.35">
      <c r="A45" s="36" t="s">
        <v>126</v>
      </c>
      <c r="B45" s="41"/>
      <c r="C45" s="41"/>
      <c r="D45" s="42"/>
      <c r="E45" s="42"/>
      <c r="F45" s="198"/>
      <c r="G45" s="198"/>
      <c r="H45" s="198"/>
      <c r="I45" s="49">
        <v>0</v>
      </c>
    </row>
    <row r="46" spans="1:9" x14ac:dyDescent="0.35">
      <c r="A46" s="8" t="s">
        <v>127</v>
      </c>
      <c r="B46" s="43"/>
      <c r="C46" s="43"/>
      <c r="D46" s="43"/>
      <c r="E46" s="43"/>
      <c r="F46" s="195">
        <f>ROUND(F43+F32,-1)</f>
        <v>6110</v>
      </c>
      <c r="G46" s="195"/>
      <c r="H46" s="195"/>
      <c r="I46" s="50">
        <f>ROUND(I43+I32,-3)</f>
        <v>488000</v>
      </c>
    </row>
    <row r="47" spans="1:9" x14ac:dyDescent="0.35">
      <c r="A47" s="13"/>
      <c r="B47" s="14"/>
      <c r="C47" s="14"/>
      <c r="D47" s="14"/>
      <c r="E47" s="14"/>
      <c r="F47" s="15"/>
      <c r="G47" s="14"/>
      <c r="H47" s="14"/>
      <c r="I47" s="16"/>
    </row>
    <row r="48" spans="1:9" x14ac:dyDescent="0.35">
      <c r="A48" s="12" t="s">
        <v>35</v>
      </c>
    </row>
    <row r="49" spans="1:9" ht="15.5" x14ac:dyDescent="0.35">
      <c r="A49" s="162" t="s">
        <v>212</v>
      </c>
      <c r="B49" s="162"/>
      <c r="C49" s="163"/>
    </row>
    <row r="50" spans="1:9" ht="15.5" x14ac:dyDescent="0.35">
      <c r="A50" s="34" t="s">
        <v>103</v>
      </c>
      <c r="B50" s="34"/>
      <c r="C50" s="163"/>
    </row>
    <row r="51" spans="1:9" ht="15.5" x14ac:dyDescent="0.35">
      <c r="A51" s="34" t="s">
        <v>46</v>
      </c>
      <c r="B51" s="34"/>
      <c r="C51" s="163"/>
    </row>
    <row r="52" spans="1:9" x14ac:dyDescent="0.35">
      <c r="A52" s="34" t="s">
        <v>106</v>
      </c>
      <c r="B52" s="34"/>
      <c r="C52" s="34"/>
    </row>
    <row r="53" spans="1:9" ht="15.5" x14ac:dyDescent="0.35">
      <c r="A53" s="34" t="s">
        <v>118</v>
      </c>
      <c r="B53" s="164"/>
      <c r="C53" s="164"/>
      <c r="D53" s="46"/>
      <c r="E53" s="46"/>
      <c r="F53" s="46"/>
      <c r="G53" s="46"/>
      <c r="H53" s="46"/>
      <c r="I53" s="46"/>
    </row>
    <row r="54" spans="1:9" ht="15.5" x14ac:dyDescent="0.35">
      <c r="A54" s="162" t="s">
        <v>213</v>
      </c>
      <c r="B54" s="162"/>
      <c r="C54" s="163"/>
    </row>
    <row r="55" spans="1:9" ht="15.5" x14ac:dyDescent="0.35">
      <c r="A55" s="162" t="s">
        <v>214</v>
      </c>
      <c r="B55" s="162"/>
      <c r="C55" s="163"/>
    </row>
    <row r="56" spans="1:9" x14ac:dyDescent="0.35">
      <c r="A56" s="34" t="s">
        <v>215</v>
      </c>
      <c r="B56" s="34"/>
      <c r="C56" s="34"/>
    </row>
  </sheetData>
  <mergeCells count="8">
    <mergeCell ref="F32:H32"/>
    <mergeCell ref="F44:H44"/>
    <mergeCell ref="F46:H46"/>
    <mergeCell ref="F43:H43"/>
    <mergeCell ref="A8:B8"/>
    <mergeCell ref="A10:B10"/>
    <mergeCell ref="A33:C33"/>
    <mergeCell ref="F45:H45"/>
  </mergeCells>
  <hyperlinks>
    <hyperlink ref="L2" r:id="rId1" xr:uid="{24E63BBC-D1C6-44D3-ABA6-01492BDF1F84}"/>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4"/>
  <sheetViews>
    <sheetView topLeftCell="A16" zoomScaleNormal="100" workbookViewId="0">
      <selection activeCell="J1" sqref="J1:K1048576"/>
    </sheetView>
  </sheetViews>
  <sheetFormatPr defaultColWidth="9.1796875" defaultRowHeight="12" x14ac:dyDescent="0.3"/>
  <cols>
    <col min="1" max="1" width="52.1796875" style="91" customWidth="1"/>
    <col min="2" max="8" width="9.1796875" style="91"/>
    <col min="9" max="9" width="11.1796875" style="91" bestFit="1" customWidth="1"/>
    <col min="10" max="16384" width="9.1796875" style="91"/>
  </cols>
  <sheetData>
    <row r="1" spans="1:15" ht="14.5" x14ac:dyDescent="0.35">
      <c r="A1" s="91" t="s">
        <v>216</v>
      </c>
      <c r="J1"/>
      <c r="K1" t="s">
        <v>89</v>
      </c>
      <c r="L1"/>
      <c r="M1"/>
      <c r="N1"/>
      <c r="O1"/>
    </row>
    <row r="2" spans="1:15" ht="14.5" x14ac:dyDescent="0.35">
      <c r="J2"/>
      <c r="K2" s="142" t="s">
        <v>90</v>
      </c>
      <c r="L2" s="143" t="s">
        <v>91</v>
      </c>
      <c r="M2"/>
      <c r="N2"/>
      <c r="O2"/>
    </row>
    <row r="3" spans="1:15" ht="14.5" x14ac:dyDescent="0.35">
      <c r="F3" s="91">
        <f>N6</f>
        <v>81.33</v>
      </c>
      <c r="G3" s="91">
        <f>N5</f>
        <v>123.71</v>
      </c>
      <c r="H3" s="91">
        <f>N7</f>
        <v>42.8</v>
      </c>
      <c r="J3"/>
      <c r="K3"/>
      <c r="L3"/>
      <c r="M3"/>
      <c r="N3"/>
      <c r="O3"/>
    </row>
    <row r="4" spans="1:15" ht="69" x14ac:dyDescent="0.35">
      <c r="A4" s="93" t="s">
        <v>0</v>
      </c>
      <c r="B4" s="93" t="s">
        <v>21</v>
      </c>
      <c r="C4" s="93" t="s">
        <v>22</v>
      </c>
      <c r="D4" s="93" t="s">
        <v>23</v>
      </c>
      <c r="E4" s="93" t="s">
        <v>79</v>
      </c>
      <c r="F4" s="93" t="s">
        <v>24</v>
      </c>
      <c r="G4" s="93" t="s">
        <v>25</v>
      </c>
      <c r="H4" s="93" t="s">
        <v>26</v>
      </c>
      <c r="I4" s="93" t="s">
        <v>80</v>
      </c>
      <c r="J4"/>
      <c r="K4" s="144" t="s">
        <v>92</v>
      </c>
      <c r="L4" s="144" t="s">
        <v>93</v>
      </c>
      <c r="M4" s="144" t="s">
        <v>94</v>
      </c>
      <c r="N4" s="144" t="s">
        <v>95</v>
      </c>
      <c r="O4"/>
    </row>
    <row r="5" spans="1:15" ht="14.5" x14ac:dyDescent="0.35">
      <c r="A5" s="61" t="s">
        <v>1</v>
      </c>
      <c r="B5" s="25" t="s">
        <v>2</v>
      </c>
      <c r="C5" s="25"/>
      <c r="D5" s="25"/>
      <c r="E5" s="25"/>
      <c r="F5" s="25"/>
      <c r="G5" s="25"/>
      <c r="H5" s="25"/>
      <c r="I5" s="25"/>
      <c r="J5"/>
      <c r="K5" t="s">
        <v>96</v>
      </c>
      <c r="L5" t="s">
        <v>97</v>
      </c>
      <c r="M5">
        <v>58.91</v>
      </c>
      <c r="N5">
        <f>ROUND(M5*2.1,2)</f>
        <v>123.71</v>
      </c>
      <c r="O5"/>
    </row>
    <row r="6" spans="1:15" ht="14.5" x14ac:dyDescent="0.35">
      <c r="A6" s="61" t="s">
        <v>4</v>
      </c>
      <c r="B6" s="25" t="s">
        <v>2</v>
      </c>
      <c r="C6" s="25"/>
      <c r="D6" s="25"/>
      <c r="E6" s="25"/>
      <c r="F6" s="25"/>
      <c r="G6" s="25"/>
      <c r="H6" s="25"/>
      <c r="I6" s="25"/>
      <c r="J6"/>
      <c r="K6" t="s">
        <v>98</v>
      </c>
      <c r="L6" t="s">
        <v>99</v>
      </c>
      <c r="M6">
        <v>38.729999999999997</v>
      </c>
      <c r="N6">
        <f t="shared" ref="N6:N7" si="0">ROUND(M6*2.1,2)</f>
        <v>81.33</v>
      </c>
      <c r="O6"/>
    </row>
    <row r="7" spans="1:15" ht="14.5" x14ac:dyDescent="0.35">
      <c r="A7" s="61" t="s">
        <v>18</v>
      </c>
      <c r="B7" s="25" t="s">
        <v>2</v>
      </c>
      <c r="C7" s="25"/>
      <c r="D7" s="25"/>
      <c r="E7" s="25"/>
      <c r="F7" s="25"/>
      <c r="G7" s="25"/>
      <c r="H7" s="25"/>
      <c r="I7" s="25"/>
      <c r="J7"/>
      <c r="K7" t="s">
        <v>100</v>
      </c>
      <c r="L7" t="s">
        <v>101</v>
      </c>
      <c r="M7">
        <v>20.38</v>
      </c>
      <c r="N7">
        <f t="shared" si="0"/>
        <v>42.8</v>
      </c>
      <c r="O7"/>
    </row>
    <row r="8" spans="1:15" ht="24" customHeight="1" x14ac:dyDescent="0.3">
      <c r="A8" s="199" t="s">
        <v>6</v>
      </c>
      <c r="B8" s="199"/>
      <c r="C8" s="25"/>
      <c r="D8" s="25"/>
      <c r="E8" s="25"/>
      <c r="F8" s="25"/>
      <c r="G8" s="25"/>
      <c r="H8" s="25"/>
      <c r="I8" s="25"/>
    </row>
    <row r="9" spans="1:15" ht="14" x14ac:dyDescent="0.3">
      <c r="A9" s="61" t="s">
        <v>56</v>
      </c>
      <c r="B9" s="25">
        <v>1</v>
      </c>
      <c r="C9" s="25">
        <v>1</v>
      </c>
      <c r="D9" s="25">
        <f>B9*C9</f>
        <v>1</v>
      </c>
      <c r="E9" s="25">
        <f>'Working Respondent'!$F$5</f>
        <v>75</v>
      </c>
      <c r="F9" s="29">
        <f>D9*E9</f>
        <v>75</v>
      </c>
      <c r="G9" s="33">
        <f>F9*0.05</f>
        <v>3.75</v>
      </c>
      <c r="H9" s="33">
        <f>F9*0.1</f>
        <v>7.5</v>
      </c>
      <c r="I9" s="38">
        <f>F9*F$3+G9*G$3+H9*H$3</f>
        <v>6884.6625000000004</v>
      </c>
    </row>
    <row r="10" spans="1:15" x14ac:dyDescent="0.3">
      <c r="A10" s="61" t="s">
        <v>19</v>
      </c>
      <c r="B10" s="25"/>
      <c r="C10" s="25"/>
      <c r="D10" s="25"/>
      <c r="E10" s="25"/>
      <c r="F10" s="29"/>
      <c r="G10" s="29"/>
      <c r="H10" s="29"/>
      <c r="I10" s="38"/>
    </row>
    <row r="11" spans="1:15" ht="14" x14ac:dyDescent="0.3">
      <c r="A11" s="90" t="s">
        <v>186</v>
      </c>
      <c r="B11" s="25">
        <v>70</v>
      </c>
      <c r="C11" s="25">
        <v>0.2</v>
      </c>
      <c r="D11" s="25">
        <f>B11*C11</f>
        <v>14</v>
      </c>
      <c r="E11" s="25">
        <f>'Working Respondent'!$F$5</f>
        <v>75</v>
      </c>
      <c r="F11" s="33">
        <f>D11*E11</f>
        <v>1050</v>
      </c>
      <c r="G11" s="31">
        <f>F11*0.05</f>
        <v>52.5</v>
      </c>
      <c r="H11" s="31">
        <f>F11*0.1</f>
        <v>105</v>
      </c>
      <c r="I11" s="38">
        <f>F11*F$3+G11*G$3+H11*H$3</f>
        <v>96385.274999999994</v>
      </c>
    </row>
    <row r="12" spans="1:15" ht="14" x14ac:dyDescent="0.3">
      <c r="A12" s="90" t="s">
        <v>187</v>
      </c>
      <c r="B12" s="25">
        <v>3</v>
      </c>
      <c r="C12" s="25">
        <v>2</v>
      </c>
      <c r="D12" s="25">
        <f t="shared" ref="D12:D18" si="1">B12*C12</f>
        <v>6</v>
      </c>
      <c r="E12" s="25">
        <f>'Working Respondent'!$F$5</f>
        <v>75</v>
      </c>
      <c r="F12" s="33">
        <f>D12*E12</f>
        <v>450</v>
      </c>
      <c r="G12" s="31">
        <f>F12*0.05</f>
        <v>22.5</v>
      </c>
      <c r="H12" s="31">
        <f t="shared" ref="H12:H18" si="2">F12*0.1</f>
        <v>45</v>
      </c>
      <c r="I12" s="38">
        <f>F12*F$3+G12*G$3+H12*H$3</f>
        <v>41307.974999999999</v>
      </c>
    </row>
    <row r="13" spans="1:15" ht="14" x14ac:dyDescent="0.3">
      <c r="A13" s="61" t="s">
        <v>130</v>
      </c>
      <c r="B13" s="25">
        <v>4</v>
      </c>
      <c r="C13" s="25">
        <v>1</v>
      </c>
      <c r="D13" s="25">
        <f t="shared" si="1"/>
        <v>4</v>
      </c>
      <c r="E13" s="25">
        <v>0</v>
      </c>
      <c r="F13" s="29">
        <f t="shared" ref="F13:F18" si="3">D13*E13</f>
        <v>0</v>
      </c>
      <c r="G13" s="29">
        <f t="shared" ref="G13:G18" si="4">F13*0.05</f>
        <v>0</v>
      </c>
      <c r="H13" s="29">
        <f t="shared" si="2"/>
        <v>0</v>
      </c>
      <c r="I13" s="38">
        <f t="shared" ref="I13:I18" si="5">F13*F$3+G13*G$3+H13*H$3</f>
        <v>0</v>
      </c>
    </row>
    <row r="14" spans="1:15" ht="14" x14ac:dyDescent="0.3">
      <c r="A14" s="61" t="s">
        <v>131</v>
      </c>
      <c r="B14" s="25">
        <v>8</v>
      </c>
      <c r="C14" s="25">
        <v>1</v>
      </c>
      <c r="D14" s="25">
        <f t="shared" si="1"/>
        <v>8</v>
      </c>
      <c r="E14" s="25">
        <v>0</v>
      </c>
      <c r="F14" s="29">
        <f t="shared" si="3"/>
        <v>0</v>
      </c>
      <c r="G14" s="29">
        <f t="shared" si="4"/>
        <v>0</v>
      </c>
      <c r="H14" s="29">
        <f t="shared" si="2"/>
        <v>0</v>
      </c>
      <c r="I14" s="38">
        <f t="shared" si="5"/>
        <v>0</v>
      </c>
    </row>
    <row r="15" spans="1:15" ht="14" x14ac:dyDescent="0.3">
      <c r="A15" s="61" t="s">
        <v>132</v>
      </c>
      <c r="B15" s="25">
        <v>4</v>
      </c>
      <c r="C15" s="25">
        <v>1</v>
      </c>
      <c r="D15" s="25">
        <f t="shared" si="1"/>
        <v>4</v>
      </c>
      <c r="E15" s="25">
        <v>0</v>
      </c>
      <c r="F15" s="29">
        <f t="shared" ref="F15" si="6">D15*E15</f>
        <v>0</v>
      </c>
      <c r="G15" s="29">
        <f t="shared" ref="G15" si="7">F15*0.05</f>
        <v>0</v>
      </c>
      <c r="H15" s="29">
        <f t="shared" ref="H15" si="8">F15*0.1</f>
        <v>0</v>
      </c>
      <c r="I15" s="38">
        <f t="shared" ref="I15" si="9">F15*F$3+G15*G$3+H15*H$3</f>
        <v>0</v>
      </c>
    </row>
    <row r="16" spans="1:15" ht="14" x14ac:dyDescent="0.3">
      <c r="A16" s="61" t="s">
        <v>133</v>
      </c>
      <c r="B16" s="25">
        <v>70</v>
      </c>
      <c r="C16" s="25">
        <v>0</v>
      </c>
      <c r="D16" s="25">
        <f t="shared" si="1"/>
        <v>0</v>
      </c>
      <c r="E16" s="25">
        <v>0</v>
      </c>
      <c r="F16" s="25">
        <f t="shared" si="3"/>
        <v>0</v>
      </c>
      <c r="G16" s="25">
        <f t="shared" si="4"/>
        <v>0</v>
      </c>
      <c r="H16" s="25">
        <f t="shared" si="2"/>
        <v>0</v>
      </c>
      <c r="I16" s="38">
        <f t="shared" si="5"/>
        <v>0</v>
      </c>
    </row>
    <row r="17" spans="1:9" ht="25.5" x14ac:dyDescent="0.3">
      <c r="A17" s="51" t="s">
        <v>134</v>
      </c>
      <c r="B17" s="25">
        <v>2</v>
      </c>
      <c r="C17" s="25">
        <v>12</v>
      </c>
      <c r="D17" s="25">
        <f t="shared" si="1"/>
        <v>24</v>
      </c>
      <c r="E17" s="25">
        <f>'Working Respondent'!$F$5</f>
        <v>75</v>
      </c>
      <c r="F17" s="25">
        <f t="shared" si="3"/>
        <v>1800</v>
      </c>
      <c r="G17" s="25">
        <f t="shared" si="4"/>
        <v>90</v>
      </c>
      <c r="H17" s="25">
        <f t="shared" si="2"/>
        <v>180</v>
      </c>
      <c r="I17" s="38">
        <f t="shared" si="5"/>
        <v>165231.9</v>
      </c>
    </row>
    <row r="18" spans="1:9" ht="14" x14ac:dyDescent="0.3">
      <c r="A18" s="61" t="s">
        <v>135</v>
      </c>
      <c r="B18" s="25">
        <v>0.25</v>
      </c>
      <c r="C18" s="25">
        <v>12</v>
      </c>
      <c r="D18" s="25">
        <f t="shared" si="1"/>
        <v>3</v>
      </c>
      <c r="E18" s="25">
        <f>'Working Respondent'!$F$5/2</f>
        <v>37.5</v>
      </c>
      <c r="F18" s="25">
        <f t="shared" si="3"/>
        <v>112.5</v>
      </c>
      <c r="G18" s="25">
        <f t="shared" si="4"/>
        <v>5.625</v>
      </c>
      <c r="H18" s="25">
        <f t="shared" si="2"/>
        <v>11.25</v>
      </c>
      <c r="I18" s="38">
        <f t="shared" si="5"/>
        <v>10326.99375</v>
      </c>
    </row>
    <row r="19" spans="1:9" x14ac:dyDescent="0.3">
      <c r="A19" s="61" t="s">
        <v>8</v>
      </c>
      <c r="B19" s="25" t="s">
        <v>9</v>
      </c>
      <c r="C19" s="25"/>
      <c r="D19" s="25"/>
      <c r="E19" s="25"/>
      <c r="F19" s="25"/>
      <c r="G19" s="25"/>
      <c r="H19" s="25"/>
      <c r="I19" s="38"/>
    </row>
    <row r="20" spans="1:9" x14ac:dyDescent="0.3">
      <c r="A20" s="61" t="s">
        <v>10</v>
      </c>
      <c r="B20" s="25" t="s">
        <v>9</v>
      </c>
      <c r="C20" s="25"/>
      <c r="D20" s="25"/>
      <c r="E20" s="25"/>
      <c r="F20" s="25"/>
      <c r="G20" s="25"/>
      <c r="H20" s="25"/>
      <c r="I20" s="38"/>
    </row>
    <row r="21" spans="1:9" x14ac:dyDescent="0.3">
      <c r="A21" s="61" t="s">
        <v>11</v>
      </c>
      <c r="B21" s="25" t="s">
        <v>9</v>
      </c>
      <c r="C21" s="25"/>
      <c r="D21" s="25"/>
      <c r="E21" s="25"/>
      <c r="F21" s="25"/>
      <c r="G21" s="25"/>
      <c r="H21" s="25"/>
      <c r="I21" s="38"/>
    </row>
    <row r="22" spans="1:9" ht="14" x14ac:dyDescent="0.3">
      <c r="A22" s="61" t="s">
        <v>138</v>
      </c>
      <c r="B22" s="25">
        <v>4</v>
      </c>
      <c r="C22" s="25">
        <v>1</v>
      </c>
      <c r="D22" s="25">
        <f>B22*C22</f>
        <v>4</v>
      </c>
      <c r="E22" s="25">
        <v>0</v>
      </c>
      <c r="F22" s="29">
        <f t="shared" ref="F22:F23" si="10">D22*E22</f>
        <v>0</v>
      </c>
      <c r="G22" s="29">
        <f t="shared" ref="G22:G23" si="11">F22*0.05</f>
        <v>0</v>
      </c>
      <c r="H22" s="29">
        <f t="shared" ref="H22:H23" si="12">F22*0.1</f>
        <v>0</v>
      </c>
      <c r="I22" s="38">
        <f t="shared" ref="I22:I23" si="13">F22*F$3+G22*G$3+H22*H$3</f>
        <v>0</v>
      </c>
    </row>
    <row r="23" spans="1:9" ht="14" x14ac:dyDescent="0.3">
      <c r="A23" s="61" t="s">
        <v>139</v>
      </c>
      <c r="B23" s="25">
        <v>8</v>
      </c>
      <c r="C23" s="25">
        <v>1</v>
      </c>
      <c r="D23" s="25">
        <f>B23*C23</f>
        <v>8</v>
      </c>
      <c r="E23" s="25">
        <v>0</v>
      </c>
      <c r="F23" s="29">
        <f t="shared" si="10"/>
        <v>0</v>
      </c>
      <c r="G23" s="29">
        <f t="shared" si="11"/>
        <v>0</v>
      </c>
      <c r="H23" s="29">
        <f t="shared" si="12"/>
        <v>0</v>
      </c>
      <c r="I23" s="38">
        <f t="shared" si="13"/>
        <v>0</v>
      </c>
    </row>
    <row r="24" spans="1:9" ht="14" x14ac:dyDescent="0.3">
      <c r="A24" s="61" t="s">
        <v>140</v>
      </c>
      <c r="B24" s="25" t="s">
        <v>2</v>
      </c>
      <c r="C24" s="25"/>
      <c r="D24" s="25"/>
      <c r="E24" s="25"/>
      <c r="F24" s="25"/>
      <c r="G24" s="25"/>
      <c r="H24" s="25"/>
      <c r="I24" s="30"/>
    </row>
    <row r="25" spans="1:9" ht="14" x14ac:dyDescent="0.3">
      <c r="A25" s="61" t="s">
        <v>141</v>
      </c>
      <c r="B25" s="25" t="s">
        <v>2</v>
      </c>
      <c r="C25" s="25"/>
      <c r="D25" s="25"/>
      <c r="E25" s="25"/>
      <c r="F25" s="25"/>
      <c r="G25" s="25"/>
      <c r="H25" s="25"/>
      <c r="I25" s="30"/>
    </row>
    <row r="26" spans="1:9" ht="14" x14ac:dyDescent="0.3">
      <c r="A26" s="61" t="s">
        <v>143</v>
      </c>
      <c r="B26" s="25">
        <v>1</v>
      </c>
      <c r="C26" s="25">
        <v>0</v>
      </c>
      <c r="D26" s="25">
        <v>0</v>
      </c>
      <c r="E26" s="25">
        <v>0</v>
      </c>
      <c r="F26" s="25">
        <v>0</v>
      </c>
      <c r="G26" s="25">
        <v>0</v>
      </c>
      <c r="H26" s="25">
        <v>0</v>
      </c>
      <c r="I26" s="38">
        <f t="shared" ref="I26:I29" si="14">F26*F$3+G26*G$3+H26*H$3</f>
        <v>0</v>
      </c>
    </row>
    <row r="27" spans="1:9" ht="14" x14ac:dyDescent="0.3">
      <c r="A27" s="61" t="s">
        <v>144</v>
      </c>
      <c r="B27" s="25" t="s">
        <v>2</v>
      </c>
      <c r="C27" s="25"/>
      <c r="D27" s="25"/>
      <c r="E27" s="25"/>
      <c r="F27" s="25"/>
      <c r="G27" s="25"/>
      <c r="H27" s="25"/>
      <c r="I27" s="30"/>
    </row>
    <row r="28" spans="1:9" ht="14" x14ac:dyDescent="0.3">
      <c r="A28" s="61" t="s">
        <v>145</v>
      </c>
      <c r="B28" s="25">
        <v>1</v>
      </c>
      <c r="C28" s="25">
        <v>0.2</v>
      </c>
      <c r="D28" s="25">
        <f>B28*C28</f>
        <v>0.2</v>
      </c>
      <c r="E28" s="25">
        <f>'Working Respondent'!$F$5</f>
        <v>75</v>
      </c>
      <c r="F28" s="33">
        <f>D28*E28</f>
        <v>15</v>
      </c>
      <c r="G28" s="31">
        <f t="shared" ref="G28:G29" si="15">F28*0.05</f>
        <v>0.75</v>
      </c>
      <c r="H28" s="31">
        <f t="shared" ref="H28:H29" si="16">F28*0.1</f>
        <v>1.5</v>
      </c>
      <c r="I28" s="38">
        <f t="shared" si="14"/>
        <v>1376.9325000000001</v>
      </c>
    </row>
    <row r="29" spans="1:9" ht="14" x14ac:dyDescent="0.3">
      <c r="A29" s="61" t="s">
        <v>146</v>
      </c>
      <c r="B29" s="25">
        <v>0</v>
      </c>
      <c r="C29" s="25">
        <v>0</v>
      </c>
      <c r="D29" s="25">
        <f>B29*C29</f>
        <v>0</v>
      </c>
      <c r="E29" s="25">
        <v>0</v>
      </c>
      <c r="F29" s="25">
        <f t="shared" ref="F29" si="17">D29*E29</f>
        <v>0</v>
      </c>
      <c r="G29" s="25">
        <f t="shared" si="15"/>
        <v>0</v>
      </c>
      <c r="H29" s="25">
        <f t="shared" si="16"/>
        <v>0</v>
      </c>
      <c r="I29" s="38">
        <f t="shared" si="14"/>
        <v>0</v>
      </c>
    </row>
    <row r="30" spans="1:9" ht="14" x14ac:dyDescent="0.3">
      <c r="A30" s="61" t="s">
        <v>147</v>
      </c>
      <c r="B30" s="25" t="s">
        <v>2</v>
      </c>
      <c r="C30" s="25"/>
      <c r="D30" s="25"/>
      <c r="E30" s="25"/>
      <c r="F30" s="25"/>
      <c r="G30" s="25"/>
      <c r="H30" s="25"/>
      <c r="I30" s="30"/>
    </row>
    <row r="31" spans="1:9" ht="14" x14ac:dyDescent="0.3">
      <c r="A31" s="61" t="s">
        <v>149</v>
      </c>
      <c r="B31" s="25" t="s">
        <v>2</v>
      </c>
      <c r="C31" s="25"/>
      <c r="D31" s="25"/>
      <c r="E31" s="25"/>
      <c r="F31" s="25"/>
      <c r="G31" s="25"/>
      <c r="H31" s="25"/>
      <c r="I31" s="30"/>
    </row>
    <row r="32" spans="1:9" ht="14" x14ac:dyDescent="0.3">
      <c r="A32" s="61" t="s">
        <v>148</v>
      </c>
      <c r="B32" s="25" t="s">
        <v>2</v>
      </c>
      <c r="C32" s="25"/>
      <c r="D32" s="25"/>
      <c r="E32" s="25"/>
      <c r="F32" s="25"/>
      <c r="G32" s="25"/>
      <c r="H32" s="25"/>
      <c r="I32" s="30"/>
    </row>
    <row r="33" spans="1:9" x14ac:dyDescent="0.3">
      <c r="A33" s="61" t="s">
        <v>119</v>
      </c>
      <c r="B33" s="25" t="s">
        <v>2</v>
      </c>
      <c r="C33" s="25"/>
      <c r="D33" s="25"/>
      <c r="E33" s="25"/>
      <c r="F33" s="25"/>
      <c r="G33" s="25"/>
      <c r="H33" s="25"/>
      <c r="I33" s="30"/>
    </row>
    <row r="34" spans="1:9" ht="14" x14ac:dyDescent="0.3">
      <c r="A34" s="139" t="s">
        <v>208</v>
      </c>
      <c r="B34" s="25">
        <v>8</v>
      </c>
      <c r="C34" s="25">
        <v>0.2</v>
      </c>
      <c r="D34" s="25">
        <f>B34*C34</f>
        <v>1.6</v>
      </c>
      <c r="E34" s="25">
        <f>'Working Respondent'!$F$5</f>
        <v>75</v>
      </c>
      <c r="F34" s="33">
        <f>D34*E34</f>
        <v>120</v>
      </c>
      <c r="G34" s="31">
        <f t="shared" ref="G34" si="18">F34*0.05</f>
        <v>6</v>
      </c>
      <c r="H34" s="31">
        <f t="shared" ref="H34" si="19">F34*0.1</f>
        <v>12</v>
      </c>
      <c r="I34" s="38">
        <f t="shared" ref="I34" si="20">F34*F$3+G34*G$3+H34*H$3</f>
        <v>11015.460000000001</v>
      </c>
    </row>
    <row r="35" spans="1:9" ht="14" x14ac:dyDescent="0.3">
      <c r="A35" s="61" t="s">
        <v>191</v>
      </c>
      <c r="B35" s="25">
        <v>8</v>
      </c>
      <c r="C35" s="25">
        <v>2</v>
      </c>
      <c r="D35" s="25">
        <f>B35*C35</f>
        <v>16</v>
      </c>
      <c r="E35" s="25">
        <f>'Working Respondent'!$F$5</f>
        <v>75</v>
      </c>
      <c r="F35" s="29">
        <f>D35*E35</f>
        <v>1200</v>
      </c>
      <c r="G35" s="33">
        <f>F35*0.05</f>
        <v>60</v>
      </c>
      <c r="H35" s="33">
        <f>F35*0.1</f>
        <v>120</v>
      </c>
      <c r="I35" s="38">
        <f t="shared" ref="I35" si="21">F35*F$3+G35*G$3+H35*H$3</f>
        <v>110154.6</v>
      </c>
    </row>
    <row r="36" spans="1:9" x14ac:dyDescent="0.3">
      <c r="A36" s="32" t="s">
        <v>12</v>
      </c>
      <c r="B36" s="25"/>
      <c r="C36" s="25"/>
      <c r="D36" s="25"/>
      <c r="E36" s="25"/>
      <c r="F36" s="200">
        <f>SUM(F5:H35)</f>
        <v>5545.875</v>
      </c>
      <c r="G36" s="201"/>
      <c r="H36" s="202"/>
      <c r="I36" s="54">
        <f>SUM(I5:I35)</f>
        <v>442683.79875000007</v>
      </c>
    </row>
    <row r="37" spans="1:9" ht="24" customHeight="1" x14ac:dyDescent="0.3">
      <c r="A37" s="199" t="s">
        <v>13</v>
      </c>
      <c r="B37" s="199"/>
      <c r="C37" s="25"/>
      <c r="D37" s="25"/>
      <c r="E37" s="25"/>
      <c r="F37" s="25"/>
      <c r="G37" s="25"/>
      <c r="H37" s="25"/>
      <c r="I37" s="30"/>
    </row>
    <row r="38" spans="1:9" x14ac:dyDescent="0.3">
      <c r="A38" s="61" t="s">
        <v>48</v>
      </c>
      <c r="B38" s="25" t="s">
        <v>14</v>
      </c>
      <c r="C38" s="25"/>
      <c r="D38" s="25"/>
      <c r="E38" s="25"/>
      <c r="F38" s="25"/>
      <c r="G38" s="25"/>
      <c r="H38" s="25"/>
      <c r="I38" s="30"/>
    </row>
    <row r="39" spans="1:9" ht="14" x14ac:dyDescent="0.3">
      <c r="A39" s="61" t="s">
        <v>162</v>
      </c>
      <c r="B39" s="25">
        <v>4</v>
      </c>
      <c r="C39" s="25">
        <v>1</v>
      </c>
      <c r="D39" s="25">
        <f t="shared" ref="D39:D40" si="22">B39*C39</f>
        <v>4</v>
      </c>
      <c r="E39" s="29">
        <f>'Working Respondent'!$F$5/3</f>
        <v>25</v>
      </c>
      <c r="F39" s="29">
        <f t="shared" ref="F39:F40" si="23">D39*E39</f>
        <v>100</v>
      </c>
      <c r="G39" s="29">
        <f t="shared" ref="G39:G40" si="24">F39*0.05</f>
        <v>5</v>
      </c>
      <c r="H39" s="29">
        <f t="shared" ref="H39:H40" si="25">F39*0.1</f>
        <v>10</v>
      </c>
      <c r="I39" s="29">
        <f t="shared" ref="I39:I40" si="26">F39*F$3+G39*G$3+H39*H$3</f>
        <v>9179.5499999999993</v>
      </c>
    </row>
    <row r="40" spans="1:9" ht="14" x14ac:dyDescent="0.3">
      <c r="A40" s="61" t="s">
        <v>163</v>
      </c>
      <c r="B40" s="25">
        <v>4</v>
      </c>
      <c r="C40" s="25">
        <v>1</v>
      </c>
      <c r="D40" s="25">
        <f t="shared" si="22"/>
        <v>4</v>
      </c>
      <c r="E40" s="29">
        <f>'Working Respondent'!$F$5/3</f>
        <v>25</v>
      </c>
      <c r="F40" s="29">
        <f t="shared" si="23"/>
        <v>100</v>
      </c>
      <c r="G40" s="29">
        <f t="shared" si="24"/>
        <v>5</v>
      </c>
      <c r="H40" s="29">
        <f t="shared" si="25"/>
        <v>10</v>
      </c>
      <c r="I40" s="29">
        <f t="shared" si="26"/>
        <v>9179.5499999999993</v>
      </c>
    </row>
    <row r="41" spans="1:9" ht="14" x14ac:dyDescent="0.3">
      <c r="A41" s="61" t="s">
        <v>164</v>
      </c>
      <c r="B41" s="25">
        <v>2</v>
      </c>
      <c r="C41" s="25">
        <v>1</v>
      </c>
      <c r="D41" s="25">
        <f t="shared" ref="D41:D45" si="27">B41*C41</f>
        <v>2</v>
      </c>
      <c r="E41" s="29">
        <f>'Working Respondent'!$F$5/3</f>
        <v>25</v>
      </c>
      <c r="F41" s="29">
        <f t="shared" ref="F41:F45" si="28">D41*E41</f>
        <v>50</v>
      </c>
      <c r="G41" s="29">
        <f t="shared" ref="G41:G45" si="29">F41*0.05</f>
        <v>2.5</v>
      </c>
      <c r="H41" s="29">
        <f t="shared" ref="H41:H45" si="30">F41*0.1</f>
        <v>5</v>
      </c>
      <c r="I41" s="29">
        <f t="shared" ref="I41:I45" si="31">F41*F$3+G41*G$3+H41*H$3</f>
        <v>4589.7749999999996</v>
      </c>
    </row>
    <row r="42" spans="1:9" ht="14" x14ac:dyDescent="0.3">
      <c r="A42" s="61" t="s">
        <v>165</v>
      </c>
      <c r="B42" s="25">
        <v>0.5</v>
      </c>
      <c r="C42" s="25">
        <v>52</v>
      </c>
      <c r="D42" s="25">
        <f t="shared" si="27"/>
        <v>26</v>
      </c>
      <c r="E42" s="29">
        <f>'Working Respondent'!$F$5</f>
        <v>75</v>
      </c>
      <c r="F42" s="23">
        <f t="shared" si="28"/>
        <v>1950</v>
      </c>
      <c r="G42" s="33">
        <f t="shared" si="29"/>
        <v>97.5</v>
      </c>
      <c r="H42" s="33">
        <f t="shared" si="30"/>
        <v>195</v>
      </c>
      <c r="I42" s="38">
        <f t="shared" si="31"/>
        <v>179001.22500000001</v>
      </c>
    </row>
    <row r="43" spans="1:9" ht="14" x14ac:dyDescent="0.3">
      <c r="A43" s="61" t="s">
        <v>170</v>
      </c>
      <c r="B43" s="25">
        <v>0.25</v>
      </c>
      <c r="C43" s="25">
        <v>2</v>
      </c>
      <c r="D43" s="25">
        <f t="shared" si="27"/>
        <v>0.5</v>
      </c>
      <c r="E43" s="29">
        <f>'Working Respondent'!$F$5</f>
        <v>75</v>
      </c>
      <c r="F43" s="29">
        <f t="shared" si="28"/>
        <v>37.5</v>
      </c>
      <c r="G43" s="33">
        <f t="shared" si="29"/>
        <v>1.875</v>
      </c>
      <c r="H43" s="33">
        <f t="shared" si="30"/>
        <v>3.75</v>
      </c>
      <c r="I43" s="38">
        <f t="shared" si="31"/>
        <v>3442.3312500000002</v>
      </c>
    </row>
    <row r="44" spans="1:9" ht="14" x14ac:dyDescent="0.3">
      <c r="A44" s="61" t="s">
        <v>168</v>
      </c>
      <c r="B44" s="25">
        <v>2</v>
      </c>
      <c r="C44" s="25">
        <v>1</v>
      </c>
      <c r="D44" s="25">
        <f t="shared" si="27"/>
        <v>2</v>
      </c>
      <c r="E44" s="29">
        <f>'Working Respondent'!$F$5/3</f>
        <v>25</v>
      </c>
      <c r="F44" s="29">
        <f t="shared" si="28"/>
        <v>50</v>
      </c>
      <c r="G44" s="29">
        <f t="shared" si="29"/>
        <v>2.5</v>
      </c>
      <c r="H44" s="29">
        <f t="shared" si="30"/>
        <v>5</v>
      </c>
      <c r="I44" s="38">
        <f t="shared" si="31"/>
        <v>4589.7749999999996</v>
      </c>
    </row>
    <row r="45" spans="1:9" ht="14" x14ac:dyDescent="0.3">
      <c r="A45" s="61" t="s">
        <v>169</v>
      </c>
      <c r="B45" s="25">
        <v>4</v>
      </c>
      <c r="C45" s="25">
        <v>1</v>
      </c>
      <c r="D45" s="25">
        <f t="shared" si="27"/>
        <v>4</v>
      </c>
      <c r="E45" s="29">
        <f>'Working Respondent'!$F$5/3</f>
        <v>25</v>
      </c>
      <c r="F45" s="29">
        <f t="shared" si="28"/>
        <v>100</v>
      </c>
      <c r="G45" s="33">
        <f t="shared" si="29"/>
        <v>5</v>
      </c>
      <c r="H45" s="33">
        <f t="shared" si="30"/>
        <v>10</v>
      </c>
      <c r="I45" s="38">
        <f t="shared" si="31"/>
        <v>9179.5499999999993</v>
      </c>
    </row>
    <row r="46" spans="1:9" x14ac:dyDescent="0.3">
      <c r="A46" s="61" t="s">
        <v>16</v>
      </c>
      <c r="B46" s="25" t="s">
        <v>2</v>
      </c>
      <c r="C46" s="25"/>
      <c r="D46" s="25"/>
      <c r="E46" s="25"/>
      <c r="F46" s="25"/>
      <c r="G46" s="25"/>
      <c r="H46" s="25"/>
      <c r="I46" s="30"/>
    </row>
    <row r="47" spans="1:9" x14ac:dyDescent="0.3">
      <c r="A47" s="32" t="s">
        <v>17</v>
      </c>
      <c r="B47" s="25"/>
      <c r="C47" s="25"/>
      <c r="D47" s="25"/>
      <c r="E47" s="25"/>
      <c r="F47" s="200">
        <f>SUM(F37:H46)</f>
        <v>2745.625</v>
      </c>
      <c r="G47" s="201"/>
      <c r="H47" s="202"/>
      <c r="I47" s="37">
        <f>SUM(I37:I46)</f>
        <v>219161.75624999998</v>
      </c>
    </row>
    <row r="48" spans="1:9" ht="14" x14ac:dyDescent="0.3">
      <c r="A48" s="94" t="s">
        <v>171</v>
      </c>
      <c r="B48" s="94"/>
      <c r="C48" s="94"/>
      <c r="D48" s="95"/>
      <c r="E48" s="95"/>
      <c r="F48" s="205">
        <f>ROUND(F47+F36,-1)</f>
        <v>8290</v>
      </c>
      <c r="G48" s="205"/>
      <c r="H48" s="205"/>
      <c r="I48" s="62">
        <f>ROUND(I47+I36,-3)</f>
        <v>662000</v>
      </c>
    </row>
    <row r="49" spans="1:9" ht="14" x14ac:dyDescent="0.3">
      <c r="A49" s="96" t="s">
        <v>172</v>
      </c>
      <c r="B49" s="96"/>
      <c r="C49" s="96"/>
      <c r="D49" s="97"/>
      <c r="E49" s="97"/>
      <c r="F49" s="206"/>
      <c r="G49" s="207"/>
      <c r="H49" s="208"/>
      <c r="I49" s="52">
        <f>ROUND(OpCosts!G9,-3)</f>
        <v>0</v>
      </c>
    </row>
    <row r="50" spans="1:9" ht="14" x14ac:dyDescent="0.3">
      <c r="A50" s="26" t="s">
        <v>173</v>
      </c>
      <c r="B50" s="98"/>
      <c r="C50" s="98"/>
      <c r="D50" s="98"/>
      <c r="E50" s="98"/>
      <c r="F50" s="203">
        <f>F48</f>
        <v>8290</v>
      </c>
      <c r="G50" s="204"/>
      <c r="H50" s="204"/>
      <c r="I50" s="55">
        <f>ROUND(I36+I47+OpCosts!G9,-3)</f>
        <v>662000</v>
      </c>
    </row>
    <row r="52" spans="1:9" x14ac:dyDescent="0.3">
      <c r="A52" s="99" t="s">
        <v>35</v>
      </c>
    </row>
    <row r="53" spans="1:9" ht="14" x14ac:dyDescent="0.3">
      <c r="A53" s="34" t="s">
        <v>217</v>
      </c>
    </row>
    <row r="54" spans="1:9" ht="14" x14ac:dyDescent="0.3">
      <c r="A54" s="34" t="s">
        <v>103</v>
      </c>
    </row>
    <row r="55" spans="1:9" ht="14" x14ac:dyDescent="0.3">
      <c r="A55" s="34" t="s">
        <v>218</v>
      </c>
    </row>
    <row r="56" spans="1:9" ht="14" x14ac:dyDescent="0.3">
      <c r="A56" s="34" t="s">
        <v>129</v>
      </c>
    </row>
    <row r="57" spans="1:9" ht="14" x14ac:dyDescent="0.3">
      <c r="A57" s="34" t="s">
        <v>136</v>
      </c>
    </row>
    <row r="58" spans="1:9" ht="14" x14ac:dyDescent="0.3">
      <c r="A58" s="34" t="s">
        <v>137</v>
      </c>
    </row>
    <row r="59" spans="1:9" ht="14" x14ac:dyDescent="0.3">
      <c r="A59" s="34" t="s">
        <v>161</v>
      </c>
    </row>
    <row r="60" spans="1:9" ht="14" x14ac:dyDescent="0.3">
      <c r="A60" s="34" t="s">
        <v>142</v>
      </c>
    </row>
    <row r="61" spans="1:9" ht="14" x14ac:dyDescent="0.3">
      <c r="A61" s="34" t="s">
        <v>150</v>
      </c>
    </row>
    <row r="62" spans="1:9" ht="14" x14ac:dyDescent="0.3">
      <c r="A62" s="162" t="s">
        <v>219</v>
      </c>
    </row>
    <row r="63" spans="1:9" ht="14" x14ac:dyDescent="0.3">
      <c r="A63" s="34" t="s">
        <v>166</v>
      </c>
    </row>
    <row r="64" spans="1:9" ht="14.5" x14ac:dyDescent="0.3">
      <c r="A64" s="44" t="s">
        <v>167</v>
      </c>
    </row>
  </sheetData>
  <mergeCells count="7">
    <mergeCell ref="A37:B37"/>
    <mergeCell ref="F36:H36"/>
    <mergeCell ref="F47:H47"/>
    <mergeCell ref="F50:H50"/>
    <mergeCell ref="A8:B8"/>
    <mergeCell ref="F48:H48"/>
    <mergeCell ref="F49:H49"/>
  </mergeCells>
  <hyperlinks>
    <hyperlink ref="L2" r:id="rId1" xr:uid="{F8528B36-0526-4D8C-8CC1-0AFFB8A7F54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B0709-5990-4BBF-A291-7FC555D0288B}">
  <dimension ref="A1:G11"/>
  <sheetViews>
    <sheetView workbookViewId="0">
      <selection activeCell="F9" sqref="F9"/>
    </sheetView>
  </sheetViews>
  <sheetFormatPr defaultRowHeight="14.5" x14ac:dyDescent="0.35"/>
  <cols>
    <col min="1" max="1" width="23.54296875" customWidth="1"/>
    <col min="2" max="4" width="12.54296875" customWidth="1"/>
    <col min="5" max="7" width="11.81640625" customWidth="1"/>
  </cols>
  <sheetData>
    <row r="1" spans="1:7" ht="15.5" x14ac:dyDescent="0.35">
      <c r="A1" s="209"/>
      <c r="B1" s="210"/>
      <c r="C1" s="210"/>
      <c r="D1" s="210"/>
      <c r="E1" s="210"/>
      <c r="F1" s="210"/>
      <c r="G1" s="211"/>
    </row>
    <row r="2" spans="1:7" ht="15.5" thickBot="1" x14ac:dyDescent="0.4">
      <c r="A2" s="212" t="s">
        <v>174</v>
      </c>
      <c r="B2" s="213"/>
      <c r="C2" s="213"/>
      <c r="D2" s="213"/>
      <c r="E2" s="213"/>
      <c r="F2" s="213"/>
      <c r="G2" s="214"/>
    </row>
    <row r="3" spans="1:7" ht="15" x14ac:dyDescent="0.35">
      <c r="A3" s="146"/>
      <c r="B3" s="147"/>
      <c r="C3" s="147"/>
      <c r="D3" s="147"/>
      <c r="E3" s="147"/>
      <c r="F3" s="147"/>
      <c r="G3" s="148"/>
    </row>
    <row r="4" spans="1:7" x14ac:dyDescent="0.35">
      <c r="A4" s="149" t="s">
        <v>60</v>
      </c>
      <c r="B4" s="149" t="s">
        <v>62</v>
      </c>
      <c r="C4" s="149" t="s">
        <v>64</v>
      </c>
      <c r="D4" s="149" t="s">
        <v>66</v>
      </c>
      <c r="E4" s="149" t="s">
        <v>68</v>
      </c>
      <c r="F4" s="149" t="s">
        <v>175</v>
      </c>
      <c r="G4" s="149" t="s">
        <v>176</v>
      </c>
    </row>
    <row r="5" spans="1:7" ht="41.5" x14ac:dyDescent="0.35">
      <c r="A5" s="150" t="s">
        <v>177</v>
      </c>
      <c r="B5" s="150" t="s">
        <v>178</v>
      </c>
      <c r="C5" s="150" t="s">
        <v>179</v>
      </c>
      <c r="D5" s="150" t="s">
        <v>184</v>
      </c>
      <c r="E5" s="150" t="s">
        <v>180</v>
      </c>
      <c r="F5" s="150" t="s">
        <v>193</v>
      </c>
      <c r="G5" s="150" t="s">
        <v>185</v>
      </c>
    </row>
    <row r="6" spans="1:7" x14ac:dyDescent="0.35">
      <c r="A6" s="151" t="s">
        <v>181</v>
      </c>
      <c r="B6" s="152">
        <v>9000</v>
      </c>
      <c r="C6" s="153">
        <v>0</v>
      </c>
      <c r="D6" s="152">
        <v>0</v>
      </c>
      <c r="E6" s="152">
        <v>1470</v>
      </c>
      <c r="F6" s="153">
        <v>0</v>
      </c>
      <c r="G6" s="152">
        <f>E6*F6</f>
        <v>0</v>
      </c>
    </row>
    <row r="7" spans="1:7" x14ac:dyDescent="0.35">
      <c r="A7" s="151" t="s">
        <v>182</v>
      </c>
      <c r="B7" s="152">
        <v>7500</v>
      </c>
      <c r="C7" s="153">
        <v>0</v>
      </c>
      <c r="D7" s="152">
        <v>0</v>
      </c>
      <c r="E7" s="152">
        <v>2000</v>
      </c>
      <c r="F7" s="153">
        <v>0</v>
      </c>
      <c r="G7" s="152">
        <f t="shared" ref="G7:G8" si="0">E7*F7</f>
        <v>0</v>
      </c>
    </row>
    <row r="8" spans="1:7" x14ac:dyDescent="0.35">
      <c r="A8" s="151" t="s">
        <v>183</v>
      </c>
      <c r="B8" s="152">
        <v>7500</v>
      </c>
      <c r="C8" s="153">
        <v>0</v>
      </c>
      <c r="D8" s="152">
        <v>0</v>
      </c>
      <c r="E8" s="152">
        <v>2000</v>
      </c>
      <c r="F8" s="153">
        <v>0</v>
      </c>
      <c r="G8" s="152">
        <f t="shared" si="0"/>
        <v>0</v>
      </c>
    </row>
    <row r="9" spans="1:7" ht="15.5" x14ac:dyDescent="0.35">
      <c r="A9" s="151" t="s">
        <v>195</v>
      </c>
      <c r="B9" s="153"/>
      <c r="C9" s="153"/>
      <c r="D9" s="152">
        <v>0</v>
      </c>
      <c r="E9" s="153"/>
      <c r="F9" s="153"/>
      <c r="G9" s="152">
        <f>ROUND(SUM(G6:G8),-3)</f>
        <v>0</v>
      </c>
    </row>
    <row r="10" spans="1:7" ht="16" x14ac:dyDescent="0.35">
      <c r="A10" s="118" t="s">
        <v>194</v>
      </c>
    </row>
    <row r="11" spans="1:7" ht="16" x14ac:dyDescent="0.35">
      <c r="A11" s="118" t="s">
        <v>196</v>
      </c>
    </row>
  </sheetData>
  <mergeCells count="2">
    <mergeCell ref="A1:G1"/>
    <mergeCell ref="A2:G2"/>
  </mergeCells>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workbookViewId="0">
      <selection activeCell="G7" sqref="G7"/>
    </sheetView>
  </sheetViews>
  <sheetFormatPr defaultColWidth="9.1796875" defaultRowHeight="13" x14ac:dyDescent="0.3"/>
  <cols>
    <col min="1" max="1" width="9.1796875" style="118"/>
    <col min="2" max="2" width="13.81640625" style="119" customWidth="1"/>
    <col min="3" max="3" width="14.26953125" style="119" bestFit="1" customWidth="1"/>
    <col min="4" max="4" width="18.453125" style="119" bestFit="1" customWidth="1"/>
    <col min="5" max="5" width="15.453125" style="119" bestFit="1" customWidth="1"/>
    <col min="6" max="6" width="16.1796875" style="119" bestFit="1" customWidth="1"/>
    <col min="7" max="7" width="17.26953125" style="118" bestFit="1" customWidth="1"/>
    <col min="8" max="16384" width="9.1796875" style="118"/>
  </cols>
  <sheetData>
    <row r="1" spans="1:8" x14ac:dyDescent="0.3">
      <c r="A1" s="135" t="s">
        <v>43</v>
      </c>
    </row>
    <row r="4" spans="1:8" x14ac:dyDescent="0.3">
      <c r="B4" s="120" t="s">
        <v>88</v>
      </c>
      <c r="C4" s="120" t="s">
        <v>37</v>
      </c>
      <c r="D4" s="120" t="s">
        <v>38</v>
      </c>
      <c r="E4" s="121" t="s">
        <v>84</v>
      </c>
      <c r="F4" s="121" t="s">
        <v>83</v>
      </c>
      <c r="G4" s="122" t="s">
        <v>85</v>
      </c>
    </row>
    <row r="5" spans="1:8" x14ac:dyDescent="0.3">
      <c r="B5" s="123" t="s">
        <v>86</v>
      </c>
      <c r="C5" s="124">
        <f>'1a_small'!F32</f>
        <v>3079.125</v>
      </c>
      <c r="D5" s="124">
        <f>'1a_small'!F43</f>
        <v>3030.8250000000003</v>
      </c>
      <c r="E5" s="125">
        <f>SUM('1a_small'!F44:H44)</f>
        <v>6110</v>
      </c>
      <c r="F5" s="126">
        <f>'1a_small'!I44</f>
        <v>488000</v>
      </c>
      <c r="G5" s="127">
        <f>Responses!E11</f>
        <v>630</v>
      </c>
      <c r="H5" s="128"/>
    </row>
    <row r="6" spans="1:8" x14ac:dyDescent="0.3">
      <c r="B6" s="123" t="s">
        <v>87</v>
      </c>
      <c r="C6" s="124">
        <f>'1b_large'!F36</f>
        <v>5545.875</v>
      </c>
      <c r="D6" s="124">
        <f>'1b_large'!F47</f>
        <v>2745.625</v>
      </c>
      <c r="E6" s="125">
        <f>SUM('1b_large'!F48:H48)</f>
        <v>8290</v>
      </c>
      <c r="F6" s="126">
        <f>'1b_large'!I48</f>
        <v>662000</v>
      </c>
      <c r="G6" s="127">
        <f>Responses!E9+Responses!E12+Responses!E10</f>
        <v>180</v>
      </c>
      <c r="H6" s="128"/>
    </row>
    <row r="7" spans="1:8" x14ac:dyDescent="0.3">
      <c r="B7" s="120" t="s">
        <v>75</v>
      </c>
      <c r="C7" s="129">
        <f>SUM(C5:C6)</f>
        <v>8625</v>
      </c>
      <c r="D7" s="129">
        <f>SUM(D5:D6)</f>
        <v>5776.4500000000007</v>
      </c>
      <c r="E7" s="130">
        <f>SUM(E5:E6)</f>
        <v>14400</v>
      </c>
      <c r="F7" s="131">
        <f>ROUND(SUM(F5:F6), -4)</f>
        <v>1150000</v>
      </c>
      <c r="G7" s="136">
        <f>SUM(G5:G6)</f>
        <v>810</v>
      </c>
      <c r="H7" s="128"/>
    </row>
    <row r="9" spans="1:8" x14ac:dyDescent="0.3">
      <c r="D9" s="132"/>
    </row>
    <row r="10" spans="1:8" x14ac:dyDescent="0.3">
      <c r="E10" s="133">
        <f>E7/ROUND(G7,0)</f>
        <v>17.777777777777779</v>
      </c>
      <c r="F10" s="119" t="s">
        <v>36</v>
      </c>
      <c r="G10" s="13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workbookViewId="0">
      <selection activeCell="D7" sqref="D7"/>
    </sheetView>
  </sheetViews>
  <sheetFormatPr defaultColWidth="9.1796875" defaultRowHeight="12" x14ac:dyDescent="0.3"/>
  <cols>
    <col min="1" max="1" width="32.54296875" style="104" bestFit="1" customWidth="1"/>
    <col min="2" max="8" width="9.1796875" style="104"/>
    <col min="9" max="9" width="12.453125" style="104" customWidth="1"/>
    <col min="10" max="10" width="4" style="104" customWidth="1"/>
    <col min="11" max="11" width="70.7265625" style="104" customWidth="1"/>
    <col min="12" max="16384" width="9.1796875" style="104"/>
  </cols>
  <sheetData>
    <row r="1" spans="1:11" x14ac:dyDescent="0.3">
      <c r="A1" s="111" t="s">
        <v>42</v>
      </c>
    </row>
    <row r="2" spans="1:11" x14ac:dyDescent="0.3">
      <c r="E2" s="105" t="s">
        <v>206</v>
      </c>
      <c r="F2" s="161">
        <f>D24</f>
        <v>49.44</v>
      </c>
      <c r="G2" s="161">
        <f>D23</f>
        <v>66.623999999999995</v>
      </c>
      <c r="H2" s="161">
        <f>D25</f>
        <v>26.751999999999995</v>
      </c>
    </row>
    <row r="3" spans="1:11" ht="69" x14ac:dyDescent="0.3">
      <c r="A3" s="106" t="s">
        <v>28</v>
      </c>
      <c r="B3" s="106" t="s">
        <v>29</v>
      </c>
      <c r="C3" s="106" t="s">
        <v>30</v>
      </c>
      <c r="D3" s="106" t="s">
        <v>31</v>
      </c>
      <c r="E3" s="106" t="s">
        <v>81</v>
      </c>
      <c r="F3" s="106" t="s">
        <v>32</v>
      </c>
      <c r="G3" s="93" t="s">
        <v>33</v>
      </c>
      <c r="H3" s="93" t="s">
        <v>34</v>
      </c>
      <c r="I3" s="106" t="s">
        <v>82</v>
      </c>
    </row>
    <row r="4" spans="1:11" x14ac:dyDescent="0.3">
      <c r="A4" s="20" t="s">
        <v>20</v>
      </c>
      <c r="B4" s="21"/>
      <c r="C4" s="21"/>
      <c r="D4" s="21"/>
      <c r="E4" s="21"/>
      <c r="F4" s="21"/>
      <c r="G4" s="21"/>
      <c r="H4" s="21"/>
      <c r="I4" s="21"/>
    </row>
    <row r="5" spans="1:11" ht="14" x14ac:dyDescent="0.3">
      <c r="A5" s="20" t="s">
        <v>40</v>
      </c>
      <c r="B5" s="22">
        <v>1</v>
      </c>
      <c r="C5" s="22">
        <v>1</v>
      </c>
      <c r="D5" s="22">
        <f t="shared" ref="D5:D10" si="0">B5*C5</f>
        <v>1</v>
      </c>
      <c r="E5" s="22">
        <v>0</v>
      </c>
      <c r="F5" s="56">
        <f t="shared" ref="F5:F10" si="1">D5*E5</f>
        <v>0</v>
      </c>
      <c r="G5" s="56">
        <f>F5*0.05</f>
        <v>0</v>
      </c>
      <c r="H5" s="56">
        <f>F5*0.1</f>
        <v>0</v>
      </c>
      <c r="I5" s="101">
        <f t="shared" ref="I5:I10" si="2">F5*F$2+G5*G$2+H5*H$2</f>
        <v>0</v>
      </c>
    </row>
    <row r="6" spans="1:11" s="91" customFormat="1" ht="14" x14ac:dyDescent="0.3">
      <c r="A6" s="141" t="s">
        <v>41</v>
      </c>
      <c r="B6" s="25">
        <v>2</v>
      </c>
      <c r="C6" s="25">
        <v>1</v>
      </c>
      <c r="D6" s="25">
        <f t="shared" si="0"/>
        <v>2</v>
      </c>
      <c r="E6" s="25">
        <v>0</v>
      </c>
      <c r="F6" s="23">
        <f t="shared" si="1"/>
        <v>0</v>
      </c>
      <c r="G6" s="23">
        <f t="shared" ref="G6:G10" si="3">F6*0.05</f>
        <v>0</v>
      </c>
      <c r="H6" s="23">
        <f t="shared" ref="H6:H10" si="4">F6*0.1</f>
        <v>0</v>
      </c>
      <c r="I6" s="103">
        <f t="shared" si="2"/>
        <v>0</v>
      </c>
    </row>
    <row r="7" spans="1:11" s="91" customFormat="1" ht="14" x14ac:dyDescent="0.3">
      <c r="A7" s="61" t="s">
        <v>47</v>
      </c>
      <c r="B7" s="25">
        <v>1</v>
      </c>
      <c r="C7" s="25">
        <f>'1b_large'!C28</f>
        <v>0.2</v>
      </c>
      <c r="D7" s="25">
        <f t="shared" si="0"/>
        <v>0.2</v>
      </c>
      <c r="E7" s="25">
        <f>'1b_large'!E28</f>
        <v>75</v>
      </c>
      <c r="F7" s="53">
        <f t="shared" si="1"/>
        <v>15</v>
      </c>
      <c r="G7" s="24">
        <f t="shared" ref="G7:G9" si="5">F7*0.05</f>
        <v>0.75</v>
      </c>
      <c r="H7" s="24">
        <f t="shared" ref="H7:H9" si="6">F7*0.1</f>
        <v>1.5</v>
      </c>
      <c r="I7" s="102">
        <f t="shared" si="2"/>
        <v>831.69599999999991</v>
      </c>
      <c r="K7" s="107"/>
    </row>
    <row r="8" spans="1:11" s="91" customFormat="1" ht="14" x14ac:dyDescent="0.3">
      <c r="A8" s="139" t="s">
        <v>210</v>
      </c>
      <c r="B8" s="25">
        <v>2</v>
      </c>
      <c r="C8" s="25">
        <f>'1b_large'!C34</f>
        <v>0.2</v>
      </c>
      <c r="D8" s="25">
        <f t="shared" ref="D8" si="7">B8*C8</f>
        <v>0.4</v>
      </c>
      <c r="E8" s="25">
        <f>'1b_large'!E34</f>
        <v>75</v>
      </c>
      <c r="F8" s="53">
        <f t="shared" ref="F8" si="8">D8*E8</f>
        <v>30</v>
      </c>
      <c r="G8" s="24">
        <f t="shared" ref="G8" si="9">F8*0.05</f>
        <v>1.5</v>
      </c>
      <c r="H8" s="24">
        <f t="shared" ref="H8" si="10">F8*0.1</f>
        <v>3</v>
      </c>
      <c r="I8" s="102">
        <f t="shared" ref="I8" si="11">F8*F$2+G8*G$2+H8*H$2</f>
        <v>1663.3919999999998</v>
      </c>
      <c r="K8" s="107"/>
    </row>
    <row r="9" spans="1:11" s="91" customFormat="1" ht="14" x14ac:dyDescent="0.3">
      <c r="A9" s="100" t="s">
        <v>188</v>
      </c>
      <c r="B9" s="25">
        <v>1</v>
      </c>
      <c r="C9" s="25">
        <f>'1a_small'!C31</f>
        <v>2</v>
      </c>
      <c r="D9" s="25">
        <f t="shared" ref="D9" si="12">B9*C9</f>
        <v>2</v>
      </c>
      <c r="E9" s="25">
        <f>'1a_small'!E31</f>
        <v>315</v>
      </c>
      <c r="F9" s="23">
        <f t="shared" ref="F9" si="13">D9*E9</f>
        <v>630</v>
      </c>
      <c r="G9" s="53">
        <f t="shared" si="5"/>
        <v>31.5</v>
      </c>
      <c r="H9" s="53">
        <f t="shared" si="6"/>
        <v>63</v>
      </c>
      <c r="I9" s="102">
        <f t="shared" ref="I9" si="14">F9*F$2+G9*G$2+H9*H$2</f>
        <v>34931.231999999996</v>
      </c>
      <c r="K9" s="107"/>
    </row>
    <row r="10" spans="1:11" s="91" customFormat="1" ht="14" x14ac:dyDescent="0.3">
      <c r="A10" s="100" t="s">
        <v>189</v>
      </c>
      <c r="B10" s="25">
        <v>2</v>
      </c>
      <c r="C10" s="25">
        <f>'1b_large'!C35</f>
        <v>2</v>
      </c>
      <c r="D10" s="25">
        <f t="shared" si="0"/>
        <v>4</v>
      </c>
      <c r="E10" s="25">
        <f>'1b_large'!E35</f>
        <v>75</v>
      </c>
      <c r="F10" s="23">
        <f t="shared" si="1"/>
        <v>300</v>
      </c>
      <c r="G10" s="53">
        <f t="shared" si="3"/>
        <v>15</v>
      </c>
      <c r="H10" s="53">
        <f t="shared" si="4"/>
        <v>30</v>
      </c>
      <c r="I10" s="102">
        <f t="shared" si="2"/>
        <v>16633.920000000002</v>
      </c>
    </row>
    <row r="11" spans="1:11" ht="14" x14ac:dyDescent="0.3">
      <c r="A11" s="26" t="s">
        <v>57</v>
      </c>
      <c r="B11" s="108"/>
      <c r="C11" s="108"/>
      <c r="D11" s="108"/>
      <c r="E11" s="108"/>
      <c r="F11" s="215">
        <f>SUM(F5:H10)</f>
        <v>1121.25</v>
      </c>
      <c r="G11" s="215"/>
      <c r="H11" s="215"/>
      <c r="I11" s="27">
        <f>ROUND(SUM(I5:I10),-2)</f>
        <v>54100</v>
      </c>
    </row>
    <row r="13" spans="1:11" x14ac:dyDescent="0.3">
      <c r="A13" s="109" t="s">
        <v>35</v>
      </c>
    </row>
    <row r="14" spans="1:11" ht="14" x14ac:dyDescent="0.3">
      <c r="A14" s="165" t="s">
        <v>220</v>
      </c>
      <c r="K14" s="110"/>
    </row>
    <row r="15" spans="1:11" ht="14" x14ac:dyDescent="0.3">
      <c r="A15" s="162" t="s">
        <v>224</v>
      </c>
    </row>
    <row r="16" spans="1:11" ht="14" x14ac:dyDescent="0.3">
      <c r="A16" s="162" t="s">
        <v>221</v>
      </c>
    </row>
    <row r="17" spans="1:4" ht="14" x14ac:dyDescent="0.3">
      <c r="A17" s="162" t="s">
        <v>222</v>
      </c>
    </row>
    <row r="18" spans="1:4" ht="14" x14ac:dyDescent="0.3">
      <c r="A18" s="162" t="s">
        <v>223</v>
      </c>
    </row>
    <row r="21" spans="1:4" ht="12.5" thickBot="1" x14ac:dyDescent="0.35"/>
    <row r="22" spans="1:4" ht="18.5" thickBot="1" x14ac:dyDescent="0.35">
      <c r="A22" s="154" t="s">
        <v>197</v>
      </c>
      <c r="B22" s="155" t="s">
        <v>198</v>
      </c>
      <c r="C22" s="155" t="s">
        <v>199</v>
      </c>
      <c r="D22" s="155" t="s">
        <v>200</v>
      </c>
    </row>
    <row r="23" spans="1:4" ht="16" thickBot="1" x14ac:dyDescent="0.35">
      <c r="A23" s="156" t="s">
        <v>201</v>
      </c>
      <c r="B23" s="157">
        <v>41.64</v>
      </c>
      <c r="C23" s="158">
        <f>0.6*B23</f>
        <v>24.983999999999998</v>
      </c>
      <c r="D23" s="158">
        <f>B23+C23</f>
        <v>66.623999999999995</v>
      </c>
    </row>
    <row r="24" spans="1:4" ht="16" thickBot="1" x14ac:dyDescent="0.35">
      <c r="A24" s="156" t="s">
        <v>202</v>
      </c>
      <c r="B24" s="157">
        <v>30.9</v>
      </c>
      <c r="C24" s="158">
        <f t="shared" ref="C24:C25" si="15">0.6*B24</f>
        <v>18.54</v>
      </c>
      <c r="D24" s="158">
        <f t="shared" ref="D24:D25" si="16">B24+C24</f>
        <v>49.44</v>
      </c>
    </row>
    <row r="25" spans="1:4" ht="16" thickBot="1" x14ac:dyDescent="0.35">
      <c r="A25" s="156" t="s">
        <v>203</v>
      </c>
      <c r="B25" s="157">
        <v>16.72</v>
      </c>
      <c r="C25" s="158">
        <f t="shared" si="15"/>
        <v>10.031999999999998</v>
      </c>
      <c r="D25" s="158">
        <f t="shared" si="16"/>
        <v>26.751999999999995</v>
      </c>
    </row>
    <row r="26" spans="1:4" ht="14.5" x14ac:dyDescent="0.35">
      <c r="A26" s="159" t="s">
        <v>204</v>
      </c>
      <c r="B26"/>
      <c r="C26"/>
      <c r="D26"/>
    </row>
    <row r="27" spans="1:4" ht="15.5" x14ac:dyDescent="0.35">
      <c r="A27" s="160" t="s">
        <v>205</v>
      </c>
      <c r="B27"/>
      <c r="C27"/>
      <c r="D27"/>
    </row>
  </sheetData>
  <mergeCells count="1">
    <mergeCell ref="F11:H11"/>
  </mergeCells>
  <hyperlinks>
    <hyperlink ref="A26" r:id="rId1" display="https://www.opm.gov/policy-data-oversight/pay-leave/salaries-wages/salary-tables/pdf/2019/GS_h.pdf" xr:uid="{56A11988-8FF4-4BB5-BE48-7B2CF02FD1AC}"/>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
  <sheetViews>
    <sheetView workbookViewId="0">
      <selection activeCell="C11" sqref="C11"/>
    </sheetView>
  </sheetViews>
  <sheetFormatPr defaultRowHeight="14.5" x14ac:dyDescent="0.35"/>
  <cols>
    <col min="1" max="1" width="34.81640625" customWidth="1"/>
    <col min="2" max="2" width="10.81640625" customWidth="1"/>
    <col min="4" max="4" width="20.26953125" customWidth="1"/>
    <col min="5" max="5" width="24" customWidth="1"/>
  </cols>
  <sheetData>
    <row r="1" spans="1:5" ht="15" thickBot="1" x14ac:dyDescent="0.4"/>
    <row r="2" spans="1:5" x14ac:dyDescent="0.35">
      <c r="A2" s="57"/>
      <c r="B2" s="59"/>
      <c r="C2" s="59"/>
      <c r="D2" s="59"/>
      <c r="E2" s="59"/>
    </row>
    <row r="3" spans="1:5" x14ac:dyDescent="0.35">
      <c r="A3" s="58" t="s">
        <v>60</v>
      </c>
      <c r="B3" s="60" t="s">
        <v>62</v>
      </c>
      <c r="C3" s="60" t="s">
        <v>64</v>
      </c>
      <c r="D3" s="60" t="s">
        <v>66</v>
      </c>
      <c r="E3" s="60" t="s">
        <v>68</v>
      </c>
    </row>
    <row r="4" spans="1:5" ht="46" x14ac:dyDescent="0.35">
      <c r="A4" s="116" t="s">
        <v>61</v>
      </c>
      <c r="B4" s="116" t="s">
        <v>63</v>
      </c>
      <c r="C4" s="116" t="s">
        <v>65</v>
      </c>
      <c r="D4" s="116" t="s">
        <v>67</v>
      </c>
      <c r="E4" s="116" t="s">
        <v>69</v>
      </c>
    </row>
    <row r="5" spans="1:5" x14ac:dyDescent="0.35">
      <c r="A5" s="64"/>
      <c r="B5" s="64"/>
      <c r="C5" s="64"/>
      <c r="D5" s="113"/>
      <c r="E5" s="112" t="s">
        <v>70</v>
      </c>
    </row>
    <row r="6" spans="1:5" x14ac:dyDescent="0.35">
      <c r="A6" s="114" t="s">
        <v>71</v>
      </c>
      <c r="B6" s="112">
        <v>0</v>
      </c>
      <c r="C6" s="112">
        <v>0</v>
      </c>
      <c r="D6" s="112">
        <v>0</v>
      </c>
      <c r="E6" s="112">
        <v>0</v>
      </c>
    </row>
    <row r="7" spans="1:5" x14ac:dyDescent="0.35">
      <c r="A7" s="114" t="s">
        <v>72</v>
      </c>
      <c r="B7" s="112">
        <v>0</v>
      </c>
      <c r="C7" s="112">
        <v>0</v>
      </c>
      <c r="D7" s="112">
        <v>0</v>
      </c>
      <c r="E7" s="112">
        <v>0</v>
      </c>
    </row>
    <row r="8" spans="1:5" x14ac:dyDescent="0.35">
      <c r="A8" s="114" t="s">
        <v>73</v>
      </c>
      <c r="B8" s="112">
        <v>0</v>
      </c>
      <c r="C8" s="112">
        <v>0</v>
      </c>
      <c r="D8" s="112">
        <v>0</v>
      </c>
      <c r="E8" s="112">
        <v>0</v>
      </c>
    </row>
    <row r="9" spans="1:5" ht="25.5" x14ac:dyDescent="0.35">
      <c r="A9" s="114" t="s">
        <v>207</v>
      </c>
      <c r="B9" s="112">
        <f>'1b_large'!E28</f>
        <v>75</v>
      </c>
      <c r="C9" s="112">
        <f>'1b_large'!C28</f>
        <v>0.2</v>
      </c>
      <c r="D9" s="112">
        <v>0</v>
      </c>
      <c r="E9" s="112">
        <f t="shared" ref="E9:E11" si="0">B9*C9</f>
        <v>15</v>
      </c>
    </row>
    <row r="10" spans="1:5" ht="27" customHeight="1" x14ac:dyDescent="0.35">
      <c r="A10" s="114" t="s">
        <v>209</v>
      </c>
      <c r="B10" s="112">
        <f>'1b_large'!E34</f>
        <v>75</v>
      </c>
      <c r="C10" s="112">
        <f>'1b_large'!C34</f>
        <v>0.2</v>
      </c>
      <c r="D10" s="112">
        <v>1</v>
      </c>
      <c r="E10" s="112">
        <f t="shared" ref="E10" si="1">B10*C10</f>
        <v>15</v>
      </c>
    </row>
    <row r="11" spans="1:5" x14ac:dyDescent="0.35">
      <c r="A11" s="114" t="s">
        <v>192</v>
      </c>
      <c r="B11" s="112">
        <f>'1a_small'!E31</f>
        <v>315</v>
      </c>
      <c r="C11" s="112">
        <f>'1a_small'!C31</f>
        <v>2</v>
      </c>
      <c r="D11" s="112">
        <v>0</v>
      </c>
      <c r="E11" s="112">
        <f t="shared" si="0"/>
        <v>630</v>
      </c>
    </row>
    <row r="12" spans="1:5" s="63" customFormat="1" x14ac:dyDescent="0.35">
      <c r="A12" s="114" t="s">
        <v>74</v>
      </c>
      <c r="B12" s="112">
        <f>'1b_large'!E35</f>
        <v>75</v>
      </c>
      <c r="C12" s="112">
        <f>'1b_large'!C35</f>
        <v>2</v>
      </c>
      <c r="D12" s="112">
        <v>0</v>
      </c>
      <c r="E12" s="112">
        <f>B12*C12</f>
        <v>150</v>
      </c>
    </row>
    <row r="13" spans="1:5" x14ac:dyDescent="0.35">
      <c r="A13" s="115"/>
      <c r="B13" s="115"/>
      <c r="C13" s="115"/>
      <c r="D13" s="116" t="s">
        <v>75</v>
      </c>
      <c r="E13" s="117">
        <f>SUM(E6:E12)</f>
        <v>810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
  <sheetViews>
    <sheetView workbookViewId="0">
      <selection activeCell="E23" sqref="E23"/>
    </sheetView>
  </sheetViews>
  <sheetFormatPr defaultColWidth="9.1796875" defaultRowHeight="13" x14ac:dyDescent="0.3"/>
  <cols>
    <col min="1" max="1" width="9.1796875" style="77"/>
    <col min="2" max="2" width="11.7265625" style="78" customWidth="1"/>
    <col min="3" max="3" width="11.54296875" style="78" bestFit="1" customWidth="1"/>
    <col min="4" max="4" width="12.453125" style="78" customWidth="1"/>
    <col min="5" max="5" width="26" style="78" customWidth="1"/>
    <col min="6" max="6" width="12.26953125" style="78" customWidth="1"/>
    <col min="7" max="7" width="39.1796875" style="78" customWidth="1"/>
    <col min="8" max="8" width="12.54296875" style="78" customWidth="1"/>
    <col min="9" max="9" width="25.453125" style="78" customWidth="1"/>
    <col min="10" max="16384" width="9.1796875" style="78"/>
  </cols>
  <sheetData>
    <row r="1" spans="1:9" s="66" customFormat="1" x14ac:dyDescent="0.35">
      <c r="A1" s="65"/>
      <c r="B1" s="216" t="s">
        <v>157</v>
      </c>
      <c r="C1" s="216"/>
      <c r="D1" s="216"/>
      <c r="E1" s="216"/>
      <c r="F1" s="216" t="s">
        <v>159</v>
      </c>
      <c r="G1" s="216"/>
      <c r="H1" s="216"/>
      <c r="I1" s="216"/>
    </row>
    <row r="2" spans="1:9" s="69" customFormat="1" ht="26" x14ac:dyDescent="0.35">
      <c r="A2" s="67"/>
      <c r="B2" s="68" t="s">
        <v>76</v>
      </c>
      <c r="C2" s="68" t="s">
        <v>51</v>
      </c>
      <c r="D2" s="68" t="s">
        <v>77</v>
      </c>
      <c r="E2" s="68" t="s">
        <v>78</v>
      </c>
      <c r="F2" s="68" t="s">
        <v>76</v>
      </c>
      <c r="G2" s="68" t="s">
        <v>78</v>
      </c>
      <c r="H2" s="68" t="s">
        <v>77</v>
      </c>
      <c r="I2" s="68" t="s">
        <v>78</v>
      </c>
    </row>
    <row r="3" spans="1:9" s="75" customFormat="1" ht="26" x14ac:dyDescent="0.35">
      <c r="A3" s="70" t="s">
        <v>75</v>
      </c>
      <c r="B3" s="71">
        <f>SUM(B4:B5)</f>
        <v>392</v>
      </c>
      <c r="C3" s="72">
        <f>SUM(C4:C5)</f>
        <v>1</v>
      </c>
      <c r="D3" s="73">
        <f>SUM(D4:D5)</f>
        <v>302.79999999999995</v>
      </c>
      <c r="E3" s="71"/>
      <c r="F3" s="71">
        <v>390</v>
      </c>
      <c r="G3" s="74" t="s">
        <v>158</v>
      </c>
      <c r="H3" s="71"/>
      <c r="I3" s="71"/>
    </row>
    <row r="4" spans="1:9" s="75" customFormat="1" ht="26" x14ac:dyDescent="0.35">
      <c r="A4" s="76" t="s">
        <v>49</v>
      </c>
      <c r="B4" s="71">
        <v>316</v>
      </c>
      <c r="C4" s="72">
        <f>B4/$B$3</f>
        <v>0.80612244897959184</v>
      </c>
      <c r="D4" s="73">
        <f>0.85*B4</f>
        <v>268.59999999999997</v>
      </c>
      <c r="E4" s="74" t="s">
        <v>58</v>
      </c>
      <c r="F4" s="71">
        <v>315</v>
      </c>
      <c r="G4" s="71" t="s">
        <v>52</v>
      </c>
      <c r="H4" s="71">
        <f>ROUND(0.85*F4,0)</f>
        <v>268</v>
      </c>
      <c r="I4" s="74" t="s">
        <v>58</v>
      </c>
    </row>
    <row r="5" spans="1:9" s="75" customFormat="1" ht="26" x14ac:dyDescent="0.35">
      <c r="A5" s="76" t="s">
        <v>50</v>
      </c>
      <c r="B5" s="71">
        <v>76</v>
      </c>
      <c r="C5" s="72">
        <f>B5/$B$3</f>
        <v>0.19387755102040816</v>
      </c>
      <c r="D5" s="73">
        <f>0.45*B5</f>
        <v>34.200000000000003</v>
      </c>
      <c r="E5" s="74" t="s">
        <v>59</v>
      </c>
      <c r="F5" s="71">
        <v>75</v>
      </c>
      <c r="G5" s="71" t="s">
        <v>53</v>
      </c>
      <c r="H5" s="71">
        <f>ROUND(0.45*F5,0)</f>
        <v>34</v>
      </c>
      <c r="I5" s="74" t="s">
        <v>59</v>
      </c>
    </row>
  </sheetData>
  <mergeCells count="2">
    <mergeCell ref="B1:E1"/>
    <mergeCell ref="F1:I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B569-F457-4D85-A919-395E2FD4C305}">
  <dimension ref="A1:W59"/>
  <sheetViews>
    <sheetView tabSelected="1" topLeftCell="F1" workbookViewId="0">
      <selection activeCell="Q48" sqref="Q48:R49"/>
    </sheetView>
  </sheetViews>
  <sheetFormatPr defaultRowHeight="14.5" x14ac:dyDescent="0.35"/>
  <cols>
    <col min="1" max="1" width="43.26953125" customWidth="1"/>
    <col min="2" max="3" width="11.453125" customWidth="1"/>
    <col min="4" max="4" width="13" customWidth="1"/>
    <col min="5" max="5" width="13.81640625" customWidth="1"/>
    <col min="9" max="9" width="11.1796875" bestFit="1" customWidth="1"/>
    <col min="10" max="10" width="11.1796875" customWidth="1"/>
    <col min="11" max="11" width="10.81640625" customWidth="1"/>
    <col min="12" max="12" width="10.1796875" style="92" customWidth="1"/>
    <col min="15" max="15" width="12.1796875" customWidth="1"/>
  </cols>
  <sheetData>
    <row r="1" spans="1:23" x14ac:dyDescent="0.35">
      <c r="A1" t="s">
        <v>45</v>
      </c>
      <c r="K1" s="92"/>
      <c r="L1"/>
      <c r="T1" t="s">
        <v>89</v>
      </c>
    </row>
    <row r="2" spans="1:23" x14ac:dyDescent="0.35">
      <c r="K2" s="92"/>
      <c r="L2"/>
      <c r="T2" s="142" t="s">
        <v>90</v>
      </c>
      <c r="U2" s="143" t="s">
        <v>91</v>
      </c>
    </row>
    <row r="3" spans="1:23" x14ac:dyDescent="0.35">
      <c r="B3" s="190" t="s">
        <v>225</v>
      </c>
      <c r="D3" s="79"/>
      <c r="E3" s="11"/>
      <c r="F3" s="11">
        <f>W6</f>
        <v>81.33</v>
      </c>
      <c r="G3" s="11">
        <f>W5</f>
        <v>123.71</v>
      </c>
      <c r="H3" s="11">
        <f>W7</f>
        <v>42.8</v>
      </c>
      <c r="J3" s="170"/>
      <c r="K3" s="190" t="s">
        <v>226</v>
      </c>
      <c r="L3" s="191"/>
      <c r="M3" s="79"/>
      <c r="N3" s="11"/>
      <c r="O3" s="11">
        <f>F3</f>
        <v>81.33</v>
      </c>
      <c r="P3" s="11">
        <f t="shared" ref="P3:Q3" si="0">G3</f>
        <v>123.71</v>
      </c>
      <c r="Q3" s="11">
        <f t="shared" si="0"/>
        <v>42.8</v>
      </c>
    </row>
    <row r="4" spans="1:23" ht="78.75" customHeight="1" x14ac:dyDescent="0.35">
      <c r="A4" s="1" t="s">
        <v>0</v>
      </c>
      <c r="B4" s="1" t="s">
        <v>21</v>
      </c>
      <c r="C4" s="1" t="s">
        <v>22</v>
      </c>
      <c r="D4" s="1" t="s">
        <v>23</v>
      </c>
      <c r="E4" s="19" t="s">
        <v>39</v>
      </c>
      <c r="F4" s="1" t="s">
        <v>24</v>
      </c>
      <c r="G4" s="1" t="s">
        <v>25</v>
      </c>
      <c r="H4" s="1" t="s">
        <v>26</v>
      </c>
      <c r="I4" s="1" t="s">
        <v>27</v>
      </c>
      <c r="J4" s="171"/>
      <c r="K4" s="1" t="s">
        <v>21</v>
      </c>
      <c r="L4" s="1" t="s">
        <v>22</v>
      </c>
      <c r="M4" s="1" t="s">
        <v>23</v>
      </c>
      <c r="N4" s="19" t="s">
        <v>39</v>
      </c>
      <c r="O4" s="1" t="s">
        <v>24</v>
      </c>
      <c r="P4" s="1" t="s">
        <v>25</v>
      </c>
      <c r="Q4" s="1" t="s">
        <v>26</v>
      </c>
      <c r="R4" s="1" t="s">
        <v>27</v>
      </c>
      <c r="S4" s="180"/>
      <c r="T4" s="144" t="s">
        <v>92</v>
      </c>
      <c r="U4" s="144" t="s">
        <v>93</v>
      </c>
      <c r="V4" s="144" t="s">
        <v>94</v>
      </c>
      <c r="W4" s="144" t="s">
        <v>95</v>
      </c>
    </row>
    <row r="5" spans="1:23" x14ac:dyDescent="0.35">
      <c r="A5" s="138" t="s">
        <v>1</v>
      </c>
      <c r="B5" s="3" t="s">
        <v>2</v>
      </c>
      <c r="C5" s="3"/>
      <c r="D5" s="3"/>
      <c r="E5" s="3"/>
      <c r="F5" s="3"/>
      <c r="G5" s="3"/>
      <c r="H5" s="3"/>
      <c r="I5" s="3" t="s">
        <v>3</v>
      </c>
      <c r="J5" s="172"/>
      <c r="K5" s="3" t="s">
        <v>2</v>
      </c>
      <c r="L5" s="3"/>
      <c r="M5" s="3"/>
      <c r="N5" s="3"/>
      <c r="O5" s="3"/>
      <c r="P5" s="3"/>
      <c r="Q5" s="3"/>
      <c r="R5" s="3" t="s">
        <v>3</v>
      </c>
      <c r="S5" s="181"/>
      <c r="T5" t="s">
        <v>96</v>
      </c>
      <c r="U5" t="s">
        <v>97</v>
      </c>
      <c r="V5">
        <v>58.91</v>
      </c>
      <c r="W5">
        <f>ROUND(V5*2.1,2)</f>
        <v>123.71</v>
      </c>
    </row>
    <row r="6" spans="1:23" x14ac:dyDescent="0.35">
      <c r="A6" s="138" t="s">
        <v>4</v>
      </c>
      <c r="B6" s="3" t="s">
        <v>2</v>
      </c>
      <c r="C6" s="3"/>
      <c r="D6" s="3"/>
      <c r="E6" s="3"/>
      <c r="F6" s="3"/>
      <c r="G6" s="3"/>
      <c r="H6" s="3"/>
      <c r="I6" s="3" t="s">
        <v>3</v>
      </c>
      <c r="J6" s="172"/>
      <c r="K6" s="3" t="s">
        <v>2</v>
      </c>
      <c r="L6" s="3"/>
      <c r="M6" s="3"/>
      <c r="N6" s="3"/>
      <c r="O6" s="3"/>
      <c r="P6" s="3"/>
      <c r="Q6" s="3"/>
      <c r="R6" s="3" t="s">
        <v>3</v>
      </c>
      <c r="S6" s="181"/>
      <c r="T6" t="s">
        <v>98</v>
      </c>
      <c r="U6" t="s">
        <v>99</v>
      </c>
      <c r="V6">
        <v>38.729999999999997</v>
      </c>
      <c r="W6">
        <f t="shared" ref="W6:W7" si="1">ROUND(V6*2.1,2)</f>
        <v>81.33</v>
      </c>
    </row>
    <row r="7" spans="1:23" x14ac:dyDescent="0.35">
      <c r="A7" s="138" t="s">
        <v>5</v>
      </c>
      <c r="B7" s="3" t="s">
        <v>2</v>
      </c>
      <c r="C7" s="3"/>
      <c r="D7" s="3"/>
      <c r="E7" s="3"/>
      <c r="F7" s="3"/>
      <c r="G7" s="3"/>
      <c r="H7" s="3"/>
      <c r="I7" s="3" t="s">
        <v>3</v>
      </c>
      <c r="J7" s="172"/>
      <c r="K7" s="3" t="s">
        <v>2</v>
      </c>
      <c r="L7" s="3"/>
      <c r="M7" s="3"/>
      <c r="N7" s="3"/>
      <c r="O7" s="3"/>
      <c r="P7" s="3"/>
      <c r="Q7" s="3"/>
      <c r="R7" s="3" t="s">
        <v>3</v>
      </c>
      <c r="S7" s="181"/>
      <c r="T7" t="s">
        <v>100</v>
      </c>
      <c r="U7" t="s">
        <v>101</v>
      </c>
      <c r="V7">
        <v>20.38</v>
      </c>
      <c r="W7">
        <f t="shared" si="1"/>
        <v>42.8</v>
      </c>
    </row>
    <row r="8" spans="1:23" s="81" customFormat="1" ht="24" customHeight="1" x14ac:dyDescent="0.35">
      <c r="A8" s="196" t="s">
        <v>6</v>
      </c>
      <c r="B8" s="196"/>
      <c r="C8" s="48"/>
      <c r="D8" s="48"/>
      <c r="E8" s="48"/>
      <c r="F8" s="48"/>
      <c r="G8" s="48"/>
      <c r="H8" s="48"/>
      <c r="I8" s="80" t="s">
        <v>3</v>
      </c>
      <c r="J8" s="173"/>
      <c r="K8" s="166"/>
      <c r="L8" s="48"/>
      <c r="M8" s="48"/>
      <c r="N8" s="48"/>
      <c r="O8" s="48"/>
      <c r="P8" s="48"/>
      <c r="Q8" s="48"/>
      <c r="R8" s="80" t="s">
        <v>3</v>
      </c>
      <c r="S8" s="182"/>
    </row>
    <row r="9" spans="1:23" s="81" customFormat="1" x14ac:dyDescent="0.35">
      <c r="A9" s="137" t="s">
        <v>54</v>
      </c>
      <c r="B9" s="48">
        <v>0.5</v>
      </c>
      <c r="C9" s="48">
        <v>1</v>
      </c>
      <c r="D9" s="48">
        <f>B9*C9</f>
        <v>0.5</v>
      </c>
      <c r="E9" s="48">
        <v>0</v>
      </c>
      <c r="F9" s="83">
        <f>D9*E9</f>
        <v>0</v>
      </c>
      <c r="G9" s="84">
        <f>F9*0.05</f>
        <v>0</v>
      </c>
      <c r="H9" s="84">
        <f>F9*0.1</f>
        <v>0</v>
      </c>
      <c r="I9" s="80">
        <f>F9*F$3+G9*G$3+H9*H$3</f>
        <v>0</v>
      </c>
      <c r="J9" s="173"/>
      <c r="K9" s="48">
        <v>0.5</v>
      </c>
      <c r="L9" s="48">
        <v>1</v>
      </c>
      <c r="M9" s="48">
        <f>K9*L9</f>
        <v>0.5</v>
      </c>
      <c r="N9" s="48">
        <v>0</v>
      </c>
      <c r="O9" s="83">
        <f>M9*N9</f>
        <v>0</v>
      </c>
      <c r="P9" s="84">
        <f>O9*0.05</f>
        <v>0</v>
      </c>
      <c r="Q9" s="84">
        <f>O9*0.1</f>
        <v>0</v>
      </c>
      <c r="R9" s="80">
        <f>O9*O$3+P9*P$3+Q9*Q$3</f>
        <v>0</v>
      </c>
      <c r="S9" s="182"/>
    </row>
    <row r="10" spans="1:23" s="81" customFormat="1" x14ac:dyDescent="0.35">
      <c r="A10" s="196" t="s">
        <v>7</v>
      </c>
      <c r="B10" s="196"/>
      <c r="C10" s="48"/>
      <c r="D10" s="48"/>
      <c r="E10" s="48"/>
      <c r="F10" s="48"/>
      <c r="G10" s="86"/>
      <c r="H10" s="86"/>
      <c r="I10" s="80" t="s">
        <v>3</v>
      </c>
      <c r="J10" s="173"/>
      <c r="K10" s="166"/>
      <c r="L10" s="48"/>
      <c r="M10" s="48"/>
      <c r="N10" s="48"/>
      <c r="O10" s="48"/>
      <c r="P10" s="86"/>
      <c r="Q10" s="86"/>
      <c r="R10" s="80" t="s">
        <v>3</v>
      </c>
      <c r="S10" s="182"/>
    </row>
    <row r="11" spans="1:23" s="81" customFormat="1" x14ac:dyDescent="0.35">
      <c r="A11" s="137" t="s">
        <v>102</v>
      </c>
      <c r="B11" s="48" t="s">
        <v>2</v>
      </c>
      <c r="C11" s="48"/>
      <c r="D11" s="48"/>
      <c r="E11" s="48"/>
      <c r="F11" s="48"/>
      <c r="G11" s="87"/>
      <c r="H11" s="87"/>
      <c r="I11" s="80"/>
      <c r="J11" s="173"/>
      <c r="K11" s="48" t="s">
        <v>2</v>
      </c>
      <c r="L11" s="48"/>
      <c r="M11" s="48"/>
      <c r="N11" s="48"/>
      <c r="O11" s="48"/>
      <c r="P11" s="87"/>
      <c r="Q11" s="87"/>
      <c r="R11" s="80"/>
      <c r="S11" s="182"/>
    </row>
    <row r="12" spans="1:23" s="81" customFormat="1" x14ac:dyDescent="0.35">
      <c r="A12" s="137" t="s">
        <v>104</v>
      </c>
      <c r="B12" s="48">
        <v>4</v>
      </c>
      <c r="C12" s="48">
        <v>1</v>
      </c>
      <c r="D12" s="48">
        <f>B12*C12</f>
        <v>4</v>
      </c>
      <c r="E12" s="48">
        <v>0</v>
      </c>
      <c r="F12" s="48">
        <f t="shared" ref="F12:F14" si="2">D12*E12</f>
        <v>0</v>
      </c>
      <c r="G12" s="86">
        <f t="shared" ref="G12:G14" si="3">F12*0.05</f>
        <v>0</v>
      </c>
      <c r="H12" s="86">
        <f t="shared" ref="H12:H14" si="4">F12*0.1</f>
        <v>0</v>
      </c>
      <c r="I12" s="85">
        <f t="shared" ref="I12:I14" si="5">F12*F$3+G12*G$3+H12*H$3</f>
        <v>0</v>
      </c>
      <c r="J12" s="174"/>
      <c r="K12" s="48">
        <v>4</v>
      </c>
      <c r="L12" s="48">
        <v>1</v>
      </c>
      <c r="M12" s="48">
        <f>K12*L12</f>
        <v>4</v>
      </c>
      <c r="N12" s="48">
        <v>0</v>
      </c>
      <c r="O12" s="48">
        <f t="shared" ref="O12" si="6">M12*N12</f>
        <v>0</v>
      </c>
      <c r="P12" s="86">
        <f t="shared" ref="P12" si="7">O12*0.05</f>
        <v>0</v>
      </c>
      <c r="Q12" s="86">
        <f t="shared" ref="Q12" si="8">O12*0.1</f>
        <v>0</v>
      </c>
      <c r="R12" s="85">
        <f t="shared" ref="R12" si="9">O12*O$3+P12*P$3+Q12*Q$3</f>
        <v>0</v>
      </c>
      <c r="S12" s="183"/>
    </row>
    <row r="13" spans="1:23" s="81" customFormat="1" x14ac:dyDescent="0.35">
      <c r="A13" s="137" t="s">
        <v>55</v>
      </c>
      <c r="B13" s="48" t="s">
        <v>2</v>
      </c>
      <c r="C13" s="48"/>
      <c r="D13" s="48"/>
      <c r="E13" s="48"/>
      <c r="F13" s="48"/>
      <c r="G13" s="87"/>
      <c r="H13" s="87"/>
      <c r="I13" s="80"/>
      <c r="J13" s="173"/>
      <c r="K13" s="48" t="s">
        <v>2</v>
      </c>
      <c r="L13" s="48"/>
      <c r="M13" s="48"/>
      <c r="N13" s="48"/>
      <c r="O13" s="48"/>
      <c r="P13" s="87"/>
      <c r="Q13" s="87"/>
      <c r="R13" s="80"/>
      <c r="S13" s="182"/>
    </row>
    <row r="14" spans="1:23" s="81" customFormat="1" x14ac:dyDescent="0.35">
      <c r="A14" s="137" t="s">
        <v>105</v>
      </c>
      <c r="B14" s="48">
        <v>0</v>
      </c>
      <c r="C14" s="48">
        <v>0</v>
      </c>
      <c r="D14" s="48">
        <f>B14*C14</f>
        <v>0</v>
      </c>
      <c r="E14" s="48">
        <v>0</v>
      </c>
      <c r="F14" s="48">
        <f t="shared" si="2"/>
        <v>0</v>
      </c>
      <c r="G14" s="48">
        <f t="shared" si="3"/>
        <v>0</v>
      </c>
      <c r="H14" s="48">
        <f t="shared" si="4"/>
        <v>0</v>
      </c>
      <c r="I14" s="85">
        <f t="shared" si="5"/>
        <v>0</v>
      </c>
      <c r="J14" s="174"/>
      <c r="K14" s="48">
        <v>0</v>
      </c>
      <c r="L14" s="48">
        <v>0</v>
      </c>
      <c r="M14" s="48">
        <f>K14*L14</f>
        <v>0</v>
      </c>
      <c r="N14" s="48">
        <v>0</v>
      </c>
      <c r="O14" s="48">
        <f t="shared" ref="O14" si="10">M14*N14</f>
        <v>0</v>
      </c>
      <c r="P14" s="48">
        <f t="shared" ref="P14" si="11">O14*0.05</f>
        <v>0</v>
      </c>
      <c r="Q14" s="48">
        <f t="shared" ref="Q14" si="12">O14*0.1</f>
        <v>0</v>
      </c>
      <c r="R14" s="85">
        <f t="shared" ref="R14" si="13">O14*O$3+P14*P$3+Q14*Q$3</f>
        <v>0</v>
      </c>
      <c r="S14" s="183"/>
    </row>
    <row r="15" spans="1:23" s="81" customFormat="1" x14ac:dyDescent="0.35">
      <c r="A15" s="137" t="s">
        <v>8</v>
      </c>
      <c r="B15" s="48" t="s">
        <v>9</v>
      </c>
      <c r="C15" s="48"/>
      <c r="D15" s="48"/>
      <c r="E15" s="48"/>
      <c r="F15" s="48"/>
      <c r="G15" s="48"/>
      <c r="H15" s="48"/>
      <c r="I15" s="80" t="s">
        <v>3</v>
      </c>
      <c r="J15" s="173"/>
      <c r="K15" s="48" t="s">
        <v>9</v>
      </c>
      <c r="L15" s="48"/>
      <c r="M15" s="48"/>
      <c r="N15" s="48"/>
      <c r="O15" s="48"/>
      <c r="P15" s="48"/>
      <c r="Q15" s="48"/>
      <c r="R15" s="80" t="s">
        <v>3</v>
      </c>
      <c r="S15" s="182"/>
    </row>
    <row r="16" spans="1:23" x14ac:dyDescent="0.35">
      <c r="A16" s="138" t="s">
        <v>10</v>
      </c>
      <c r="B16" s="3" t="s">
        <v>9</v>
      </c>
      <c r="C16" s="3"/>
      <c r="D16" s="3"/>
      <c r="E16" s="3"/>
      <c r="F16" s="3"/>
      <c r="G16" s="3"/>
      <c r="H16" s="3"/>
      <c r="I16" s="4" t="s">
        <v>3</v>
      </c>
      <c r="J16" s="175"/>
      <c r="K16" s="3" t="s">
        <v>9</v>
      </c>
      <c r="L16" s="3"/>
      <c r="M16" s="3"/>
      <c r="N16" s="3"/>
      <c r="O16" s="3"/>
      <c r="P16" s="3"/>
      <c r="Q16" s="3"/>
      <c r="R16" s="4" t="s">
        <v>3</v>
      </c>
      <c r="S16" s="184"/>
    </row>
    <row r="17" spans="1:19" x14ac:dyDescent="0.35">
      <c r="A17" s="138" t="s">
        <v>11</v>
      </c>
      <c r="B17" s="3" t="s">
        <v>9</v>
      </c>
      <c r="C17" s="3"/>
      <c r="D17" s="3"/>
      <c r="E17" s="3"/>
      <c r="F17" s="3"/>
      <c r="G17" s="3"/>
      <c r="H17" s="3"/>
      <c r="I17" s="4" t="s">
        <v>3</v>
      </c>
      <c r="J17" s="175"/>
      <c r="K17" s="3" t="s">
        <v>9</v>
      </c>
      <c r="L17" s="3"/>
      <c r="M17" s="3"/>
      <c r="N17" s="3"/>
      <c r="O17" s="3"/>
      <c r="P17" s="3"/>
      <c r="Q17" s="3"/>
      <c r="R17" s="4" t="s">
        <v>3</v>
      </c>
      <c r="S17" s="184"/>
    </row>
    <row r="18" spans="1:19" x14ac:dyDescent="0.35">
      <c r="A18" s="138" t="s">
        <v>107</v>
      </c>
      <c r="B18" s="3">
        <v>2</v>
      </c>
      <c r="C18" s="3">
        <v>1</v>
      </c>
      <c r="D18" s="3">
        <f t="shared" ref="D18:D19" si="14">B18*C18</f>
        <v>2</v>
      </c>
      <c r="E18" s="3">
        <v>0</v>
      </c>
      <c r="F18" s="3">
        <f t="shared" ref="F18:F19" si="15">D18*E18</f>
        <v>0</v>
      </c>
      <c r="G18" s="3">
        <f t="shared" ref="G18:G19" si="16">F18*0.05</f>
        <v>0</v>
      </c>
      <c r="H18" s="3">
        <f t="shared" ref="H18:H19" si="17">F18*0.1</f>
        <v>0</v>
      </c>
      <c r="I18" s="9">
        <f t="shared" ref="I18:I19" si="18">F18*F$3+G18*G$3+H18*H$3</f>
        <v>0</v>
      </c>
      <c r="J18" s="176"/>
      <c r="K18" s="3">
        <v>2</v>
      </c>
      <c r="L18" s="3">
        <v>1</v>
      </c>
      <c r="M18" s="3">
        <f t="shared" ref="M18:M19" si="19">K18*L18</f>
        <v>2</v>
      </c>
      <c r="N18" s="3">
        <v>0</v>
      </c>
      <c r="O18" s="3">
        <f t="shared" ref="O18:O19" si="20">M18*N18</f>
        <v>0</v>
      </c>
      <c r="P18" s="3">
        <f t="shared" ref="P18:P19" si="21">O18*0.05</f>
        <v>0</v>
      </c>
      <c r="Q18" s="3">
        <f t="shared" ref="Q18:Q19" si="22">O18*0.1</f>
        <v>0</v>
      </c>
      <c r="R18" s="9">
        <f t="shared" ref="R18:R19" si="23">O18*O$3+P18*P$3+Q18*Q$3</f>
        <v>0</v>
      </c>
      <c r="S18" s="185"/>
    </row>
    <row r="19" spans="1:19" x14ac:dyDescent="0.35">
      <c r="A19" s="138" t="s">
        <v>108</v>
      </c>
      <c r="B19" s="3">
        <v>4</v>
      </c>
      <c r="C19" s="3">
        <v>1</v>
      </c>
      <c r="D19" s="3">
        <f t="shared" si="14"/>
        <v>4</v>
      </c>
      <c r="E19" s="3">
        <v>0</v>
      </c>
      <c r="F19" s="3">
        <f t="shared" si="15"/>
        <v>0</v>
      </c>
      <c r="G19" s="18">
        <f t="shared" si="16"/>
        <v>0</v>
      </c>
      <c r="H19" s="18">
        <f t="shared" si="17"/>
        <v>0</v>
      </c>
      <c r="I19" s="9">
        <f t="shared" si="18"/>
        <v>0</v>
      </c>
      <c r="J19" s="176"/>
      <c r="K19" s="3">
        <v>4</v>
      </c>
      <c r="L19" s="3">
        <v>1</v>
      </c>
      <c r="M19" s="3">
        <f t="shared" si="19"/>
        <v>4</v>
      </c>
      <c r="N19" s="3">
        <v>0</v>
      </c>
      <c r="O19" s="3">
        <f t="shared" si="20"/>
        <v>0</v>
      </c>
      <c r="P19" s="18">
        <f t="shared" si="21"/>
        <v>0</v>
      </c>
      <c r="Q19" s="18">
        <f t="shared" si="22"/>
        <v>0</v>
      </c>
      <c r="R19" s="9">
        <f t="shared" si="23"/>
        <v>0</v>
      </c>
      <c r="S19" s="185"/>
    </row>
    <row r="20" spans="1:19" s="81" customFormat="1" x14ac:dyDescent="0.35">
      <c r="A20" s="137" t="s">
        <v>109</v>
      </c>
      <c r="B20" s="48" t="s">
        <v>2</v>
      </c>
      <c r="C20" s="48"/>
      <c r="D20" s="48"/>
      <c r="E20" s="48"/>
      <c r="F20" s="48"/>
      <c r="G20" s="48"/>
      <c r="H20" s="48"/>
      <c r="I20" s="80" t="s">
        <v>3</v>
      </c>
      <c r="J20" s="173"/>
      <c r="K20" s="48" t="s">
        <v>2</v>
      </c>
      <c r="L20" s="48"/>
      <c r="M20" s="48"/>
      <c r="N20" s="48"/>
      <c r="O20" s="48"/>
      <c r="P20" s="48"/>
      <c r="Q20" s="48"/>
      <c r="R20" s="80" t="s">
        <v>3</v>
      </c>
      <c r="S20" s="182"/>
    </row>
    <row r="21" spans="1:19" s="81" customFormat="1" x14ac:dyDescent="0.35">
      <c r="A21" s="137" t="s">
        <v>110</v>
      </c>
      <c r="B21" s="48" t="s">
        <v>2</v>
      </c>
      <c r="C21" s="48"/>
      <c r="D21" s="48"/>
      <c r="E21" s="48"/>
      <c r="F21" s="48"/>
      <c r="G21" s="48"/>
      <c r="H21" s="48"/>
      <c r="I21" s="80" t="s">
        <v>3</v>
      </c>
      <c r="J21" s="173"/>
      <c r="K21" s="48" t="s">
        <v>2</v>
      </c>
      <c r="L21" s="48"/>
      <c r="M21" s="48"/>
      <c r="N21" s="48"/>
      <c r="O21" s="48"/>
      <c r="P21" s="48"/>
      <c r="Q21" s="48"/>
      <c r="R21" s="80" t="s">
        <v>3</v>
      </c>
      <c r="S21" s="182"/>
    </row>
    <row r="22" spans="1:19" s="81" customFormat="1" x14ac:dyDescent="0.35">
      <c r="A22" s="137" t="s">
        <v>117</v>
      </c>
      <c r="B22" s="48">
        <v>1</v>
      </c>
      <c r="C22" s="48">
        <v>0</v>
      </c>
      <c r="D22" s="48">
        <f t="shared" ref="D22" si="24">B22*C22</f>
        <v>0</v>
      </c>
      <c r="E22" s="48">
        <v>0</v>
      </c>
      <c r="F22" s="48">
        <f t="shared" ref="F22" si="25">D22*E22</f>
        <v>0</v>
      </c>
      <c r="G22" s="86">
        <f t="shared" ref="G22" si="26">F22*0.05</f>
        <v>0</v>
      </c>
      <c r="H22" s="86">
        <f t="shared" ref="H22" si="27">F22*0.1</f>
        <v>0</v>
      </c>
      <c r="I22" s="85">
        <f t="shared" ref="I22" si="28">F22*F$3+G22*G$3+H22*H$3</f>
        <v>0</v>
      </c>
      <c r="J22" s="174"/>
      <c r="K22" s="48">
        <v>1</v>
      </c>
      <c r="L22" s="48">
        <v>0</v>
      </c>
      <c r="M22" s="48">
        <f t="shared" ref="M22" si="29">K22*L22</f>
        <v>0</v>
      </c>
      <c r="N22" s="48">
        <v>0</v>
      </c>
      <c r="O22" s="48">
        <f t="shared" ref="O22" si="30">M22*N22</f>
        <v>0</v>
      </c>
      <c r="P22" s="86">
        <f t="shared" ref="P22" si="31">O22*0.05</f>
        <v>0</v>
      </c>
      <c r="Q22" s="86">
        <f t="shared" ref="Q22" si="32">O22*0.1</f>
        <v>0</v>
      </c>
      <c r="R22" s="85">
        <f t="shared" ref="R22" si="33">O22*O$3+P22*P$3+Q22*Q$3</f>
        <v>0</v>
      </c>
      <c r="S22" s="183"/>
    </row>
    <row r="23" spans="1:19" s="81" customFormat="1" x14ac:dyDescent="0.35">
      <c r="A23" s="137" t="s">
        <v>111</v>
      </c>
      <c r="B23" s="48" t="s">
        <v>2</v>
      </c>
      <c r="C23" s="48"/>
      <c r="D23" s="48"/>
      <c r="E23" s="48"/>
      <c r="F23" s="48"/>
      <c r="G23" s="48"/>
      <c r="H23" s="48"/>
      <c r="I23" s="80" t="s">
        <v>3</v>
      </c>
      <c r="J23" s="173"/>
      <c r="K23" s="48" t="s">
        <v>2</v>
      </c>
      <c r="L23" s="48"/>
      <c r="M23" s="48"/>
      <c r="N23" s="48"/>
      <c r="O23" s="48"/>
      <c r="P23" s="48"/>
      <c r="Q23" s="48"/>
      <c r="R23" s="80" t="s">
        <v>3</v>
      </c>
      <c r="S23" s="182"/>
    </row>
    <row r="24" spans="1:19" x14ac:dyDescent="0.35">
      <c r="A24" s="137" t="s">
        <v>112</v>
      </c>
      <c r="B24" s="3" t="s">
        <v>2</v>
      </c>
      <c r="C24" s="3"/>
      <c r="D24" s="3"/>
      <c r="E24" s="3"/>
      <c r="F24" s="3"/>
      <c r="G24" s="3"/>
      <c r="H24" s="3"/>
      <c r="I24" s="4" t="s">
        <v>3</v>
      </c>
      <c r="J24" s="175"/>
      <c r="K24" s="3" t="s">
        <v>2</v>
      </c>
      <c r="L24" s="3"/>
      <c r="M24" s="3"/>
      <c r="N24" s="3"/>
      <c r="O24" s="3"/>
      <c r="P24" s="3"/>
      <c r="Q24" s="3"/>
      <c r="R24" s="4" t="s">
        <v>3</v>
      </c>
      <c r="S24" s="184"/>
    </row>
    <row r="25" spans="1:19" x14ac:dyDescent="0.35">
      <c r="A25" s="137" t="s">
        <v>113</v>
      </c>
      <c r="B25" s="3" t="s">
        <v>2</v>
      </c>
      <c r="C25" s="3"/>
      <c r="D25" s="3"/>
      <c r="E25" s="3"/>
      <c r="F25" s="3"/>
      <c r="G25" s="3"/>
      <c r="H25" s="3"/>
      <c r="I25" s="4" t="s">
        <v>3</v>
      </c>
      <c r="J25" s="175"/>
      <c r="K25" s="3" t="s">
        <v>2</v>
      </c>
      <c r="L25" s="3"/>
      <c r="M25" s="3"/>
      <c r="N25" s="3"/>
      <c r="O25" s="3"/>
      <c r="P25" s="3"/>
      <c r="Q25" s="3"/>
      <c r="R25" s="4" t="s">
        <v>3</v>
      </c>
      <c r="S25" s="184"/>
    </row>
    <row r="26" spans="1:19" x14ac:dyDescent="0.35">
      <c r="A26" s="137" t="s">
        <v>114</v>
      </c>
      <c r="B26" s="3" t="s">
        <v>2</v>
      </c>
      <c r="C26" s="3"/>
      <c r="D26" s="3"/>
      <c r="E26" s="3"/>
      <c r="F26" s="3"/>
      <c r="G26" s="3"/>
      <c r="H26" s="3"/>
      <c r="I26" s="4" t="s">
        <v>3</v>
      </c>
      <c r="J26" s="175"/>
      <c r="K26" s="3" t="s">
        <v>2</v>
      </c>
      <c r="L26" s="3"/>
      <c r="M26" s="3"/>
      <c r="N26" s="3"/>
      <c r="O26" s="3"/>
      <c r="P26" s="3"/>
      <c r="Q26" s="3"/>
      <c r="R26" s="4" t="s">
        <v>3</v>
      </c>
      <c r="S26" s="184"/>
    </row>
    <row r="27" spans="1:19" x14ac:dyDescent="0.35">
      <c r="A27" s="88" t="s">
        <v>115</v>
      </c>
      <c r="B27" s="3" t="s">
        <v>2</v>
      </c>
      <c r="C27" s="3"/>
      <c r="D27" s="3"/>
      <c r="E27" s="3"/>
      <c r="F27" s="3"/>
      <c r="G27" s="3"/>
      <c r="H27" s="3"/>
      <c r="I27" s="4" t="s">
        <v>3</v>
      </c>
      <c r="J27" s="175"/>
      <c r="K27" s="3" t="s">
        <v>2</v>
      </c>
      <c r="L27" s="3"/>
      <c r="M27" s="3"/>
      <c r="N27" s="3"/>
      <c r="O27" s="3"/>
      <c r="P27" s="3"/>
      <c r="Q27" s="3"/>
      <c r="R27" s="4" t="s">
        <v>3</v>
      </c>
      <c r="S27" s="184"/>
    </row>
    <row r="28" spans="1:19" x14ac:dyDescent="0.35">
      <c r="A28" s="137" t="s">
        <v>116</v>
      </c>
      <c r="B28" s="3" t="s">
        <v>2</v>
      </c>
      <c r="C28" s="3"/>
      <c r="D28" s="3"/>
      <c r="E28" s="3"/>
      <c r="F28" s="3"/>
      <c r="G28" s="3"/>
      <c r="H28" s="3"/>
      <c r="I28" s="4" t="s">
        <v>3</v>
      </c>
      <c r="J28" s="175"/>
      <c r="K28" s="3" t="s">
        <v>2</v>
      </c>
      <c r="L28" s="3"/>
      <c r="M28" s="3"/>
      <c r="N28" s="3"/>
      <c r="O28" s="3"/>
      <c r="P28" s="3"/>
      <c r="Q28" s="3"/>
      <c r="R28" s="4" t="s">
        <v>3</v>
      </c>
      <c r="S28" s="184"/>
    </row>
    <row r="29" spans="1:19" x14ac:dyDescent="0.35">
      <c r="A29" s="137" t="s">
        <v>119</v>
      </c>
      <c r="B29" s="3" t="s">
        <v>2</v>
      </c>
      <c r="C29" s="3"/>
      <c r="D29" s="3"/>
      <c r="E29" s="3"/>
      <c r="F29" s="3"/>
      <c r="G29" s="3"/>
      <c r="H29" s="3"/>
      <c r="I29" s="4" t="s">
        <v>3</v>
      </c>
      <c r="J29" s="175"/>
      <c r="K29" s="3" t="s">
        <v>2</v>
      </c>
      <c r="L29" s="3"/>
      <c r="M29" s="3"/>
      <c r="N29" s="3"/>
      <c r="O29" s="3"/>
      <c r="P29" s="3"/>
      <c r="Q29" s="3"/>
      <c r="R29" s="4" t="s">
        <v>3</v>
      </c>
      <c r="S29" s="184"/>
    </row>
    <row r="30" spans="1:19" x14ac:dyDescent="0.35">
      <c r="A30" s="139" t="s">
        <v>208</v>
      </c>
      <c r="B30" s="3" t="s">
        <v>2</v>
      </c>
      <c r="C30" s="3"/>
      <c r="D30" s="3"/>
      <c r="E30" s="3"/>
      <c r="F30" s="3"/>
      <c r="G30" s="3"/>
      <c r="H30" s="3"/>
      <c r="I30" s="4"/>
      <c r="J30" s="175"/>
      <c r="K30" s="3" t="s">
        <v>2</v>
      </c>
      <c r="L30" s="3"/>
      <c r="M30" s="3"/>
      <c r="N30" s="3"/>
      <c r="O30" s="3"/>
      <c r="P30" s="3"/>
      <c r="Q30" s="3"/>
      <c r="R30" s="4"/>
      <c r="S30" s="184"/>
    </row>
    <row r="31" spans="1:19" x14ac:dyDescent="0.35">
      <c r="A31" s="137" t="s">
        <v>190</v>
      </c>
      <c r="B31" s="3">
        <v>4</v>
      </c>
      <c r="C31" s="3">
        <v>2</v>
      </c>
      <c r="D31" s="48">
        <f t="shared" ref="D31" si="34">B31*C31</f>
        <v>8</v>
      </c>
      <c r="E31" s="48">
        <v>0</v>
      </c>
      <c r="F31" s="48">
        <f t="shared" ref="F31" si="35">D31*E31</f>
        <v>0</v>
      </c>
      <c r="G31" s="86">
        <f t="shared" ref="G31" si="36">F31*0.05</f>
        <v>0</v>
      </c>
      <c r="H31" s="86">
        <f t="shared" ref="H31" si="37">F31*0.1</f>
        <v>0</v>
      </c>
      <c r="I31" s="85">
        <f t="shared" ref="I31" si="38">F31*F$3+G31*G$3+H31*H$3</f>
        <v>0</v>
      </c>
      <c r="J31" s="174"/>
      <c r="K31" s="3">
        <v>-1</v>
      </c>
      <c r="L31" s="3">
        <v>2</v>
      </c>
      <c r="M31" s="48">
        <f t="shared" ref="M31" si="39">K31*L31</f>
        <v>-2</v>
      </c>
      <c r="N31" s="48">
        <v>315</v>
      </c>
      <c r="O31" s="48">
        <f t="shared" ref="O31" si="40">M31*N31</f>
        <v>-630</v>
      </c>
      <c r="P31" s="86">
        <f t="shared" ref="P31" si="41">O31*0.05</f>
        <v>-31.5</v>
      </c>
      <c r="Q31" s="86">
        <f t="shared" ref="Q31" si="42">O31*0.1</f>
        <v>-63</v>
      </c>
      <c r="R31" s="85">
        <f t="shared" ref="R31" si="43">O31*O$3+P31*P$3+Q31*Q$3</f>
        <v>-57831.165000000001</v>
      </c>
      <c r="S31" s="183"/>
    </row>
    <row r="32" spans="1:19" x14ac:dyDescent="0.35">
      <c r="A32" s="5" t="s">
        <v>12</v>
      </c>
      <c r="B32" s="3"/>
      <c r="C32" s="3"/>
      <c r="D32" s="3"/>
      <c r="E32" s="3"/>
      <c r="F32" s="192">
        <f>SUM(F5:H31)</f>
        <v>0</v>
      </c>
      <c r="G32" s="193"/>
      <c r="H32" s="194"/>
      <c r="I32" s="35">
        <f>SUM(I5:I31)</f>
        <v>0</v>
      </c>
      <c r="J32" s="177"/>
      <c r="K32" s="3"/>
      <c r="L32" s="3"/>
      <c r="M32" s="3"/>
      <c r="N32" s="3"/>
      <c r="O32" s="192">
        <f>SUM(O5:Q31)</f>
        <v>-724.5</v>
      </c>
      <c r="P32" s="193"/>
      <c r="Q32" s="194"/>
      <c r="R32" s="35">
        <f>SUM(R5:R31)</f>
        <v>-57831.165000000001</v>
      </c>
      <c r="S32" s="186"/>
    </row>
    <row r="33" spans="1:19" x14ac:dyDescent="0.35">
      <c r="A33" s="197" t="s">
        <v>13</v>
      </c>
      <c r="B33" s="197"/>
      <c r="C33" s="197"/>
      <c r="D33" s="3"/>
      <c r="E33" s="3"/>
      <c r="F33" s="3"/>
      <c r="G33" s="3"/>
      <c r="H33" s="3"/>
      <c r="I33" s="4" t="s">
        <v>3</v>
      </c>
      <c r="J33" s="175"/>
      <c r="K33" s="167"/>
      <c r="L33" s="167"/>
      <c r="M33" s="3"/>
      <c r="N33" s="3"/>
      <c r="O33" s="3"/>
      <c r="P33" s="3"/>
      <c r="Q33" s="3"/>
      <c r="R33" s="4" t="s">
        <v>3</v>
      </c>
      <c r="S33" s="184"/>
    </row>
    <row r="34" spans="1:19" x14ac:dyDescent="0.35">
      <c r="A34" s="138" t="s">
        <v>48</v>
      </c>
      <c r="B34" s="3" t="s">
        <v>14</v>
      </c>
      <c r="C34" s="3"/>
      <c r="D34" s="3"/>
      <c r="E34" s="3"/>
      <c r="F34" s="3"/>
      <c r="G34" s="3"/>
      <c r="H34" s="3"/>
      <c r="I34" s="4" t="s">
        <v>3</v>
      </c>
      <c r="J34" s="175"/>
      <c r="K34" s="3" t="s">
        <v>14</v>
      </c>
      <c r="L34" s="3"/>
      <c r="M34" s="3"/>
      <c r="N34" s="3"/>
      <c r="O34" s="3"/>
      <c r="P34" s="3"/>
      <c r="Q34" s="3"/>
      <c r="R34" s="4" t="s">
        <v>3</v>
      </c>
      <c r="S34" s="184"/>
    </row>
    <row r="35" spans="1:19" x14ac:dyDescent="0.35">
      <c r="A35" s="138" t="s">
        <v>152</v>
      </c>
      <c r="B35" s="3">
        <v>2</v>
      </c>
      <c r="C35" s="3">
        <v>1</v>
      </c>
      <c r="D35" s="3">
        <f t="shared" ref="D35:D41" si="44">B35*C35</f>
        <v>2</v>
      </c>
      <c r="E35" s="86">
        <v>315</v>
      </c>
      <c r="F35" s="3">
        <f t="shared" ref="F35:F36" si="45">D35*E35</f>
        <v>630</v>
      </c>
      <c r="G35" s="18">
        <f t="shared" ref="G35:G41" si="46">F35*0.05</f>
        <v>31.5</v>
      </c>
      <c r="H35" s="18">
        <f t="shared" ref="H35:H41" si="47">F35*0.1</f>
        <v>63</v>
      </c>
      <c r="I35" s="9">
        <f t="shared" ref="I35:I36" si="48">F35*F$3+G35*G$3+H35*H$3</f>
        <v>57831.165000000001</v>
      </c>
      <c r="J35" s="176"/>
      <c r="K35" s="3">
        <v>2</v>
      </c>
      <c r="L35" s="3">
        <v>1</v>
      </c>
      <c r="M35" s="3">
        <f t="shared" ref="M35:M41" si="49">K35*L35</f>
        <v>2</v>
      </c>
      <c r="N35" s="86"/>
      <c r="O35" s="3">
        <f t="shared" ref="O35:O36" si="50">M35*N35</f>
        <v>0</v>
      </c>
      <c r="P35" s="18">
        <f t="shared" ref="P35:P41" si="51">O35*0.05</f>
        <v>0</v>
      </c>
      <c r="Q35" s="18">
        <f t="shared" ref="Q35:Q41" si="52">O35*0.1</f>
        <v>0</v>
      </c>
      <c r="R35" s="9">
        <f t="shared" ref="R35:R36" si="53">O35*O$3+P35*P$3+Q35*Q$3</f>
        <v>0</v>
      </c>
      <c r="S35" s="185"/>
    </row>
    <row r="36" spans="1:19" x14ac:dyDescent="0.35">
      <c r="A36" s="138" t="s">
        <v>151</v>
      </c>
      <c r="B36" s="3">
        <v>2</v>
      </c>
      <c r="C36" s="3">
        <v>1</v>
      </c>
      <c r="D36" s="3">
        <f t="shared" si="44"/>
        <v>2</v>
      </c>
      <c r="E36" s="86">
        <v>315</v>
      </c>
      <c r="F36" s="3">
        <f t="shared" si="45"/>
        <v>630</v>
      </c>
      <c r="G36" s="18">
        <f t="shared" si="46"/>
        <v>31.5</v>
      </c>
      <c r="H36" s="18">
        <f t="shared" si="47"/>
        <v>63</v>
      </c>
      <c r="I36" s="9">
        <f t="shared" si="48"/>
        <v>57831.165000000001</v>
      </c>
      <c r="J36" s="176"/>
      <c r="K36" s="3">
        <v>2</v>
      </c>
      <c r="L36" s="3">
        <v>1</v>
      </c>
      <c r="M36" s="3">
        <f t="shared" si="49"/>
        <v>2</v>
      </c>
      <c r="N36" s="86"/>
      <c r="O36" s="3">
        <f t="shared" si="50"/>
        <v>0</v>
      </c>
      <c r="P36" s="18">
        <f t="shared" si="51"/>
        <v>0</v>
      </c>
      <c r="Q36" s="18">
        <f t="shared" si="52"/>
        <v>0</v>
      </c>
      <c r="R36" s="9">
        <f t="shared" si="53"/>
        <v>0</v>
      </c>
      <c r="S36" s="185"/>
    </row>
    <row r="37" spans="1:19" x14ac:dyDescent="0.35">
      <c r="A37" s="138" t="s">
        <v>121</v>
      </c>
      <c r="B37" s="3">
        <v>1</v>
      </c>
      <c r="C37" s="3">
        <v>1</v>
      </c>
      <c r="D37" s="3">
        <f t="shared" si="44"/>
        <v>1</v>
      </c>
      <c r="E37" s="86">
        <v>315</v>
      </c>
      <c r="F37" s="3">
        <f>D37*E37</f>
        <v>315</v>
      </c>
      <c r="G37" s="18">
        <f t="shared" si="46"/>
        <v>15.75</v>
      </c>
      <c r="H37" s="18">
        <f t="shared" si="47"/>
        <v>31.5</v>
      </c>
      <c r="I37" s="9">
        <f>F37*F$3+G37*G$3+H37*H$3</f>
        <v>28915.5825</v>
      </c>
      <c r="J37" s="176"/>
      <c r="K37" s="3">
        <v>1</v>
      </c>
      <c r="L37" s="3">
        <v>1</v>
      </c>
      <c r="M37" s="3">
        <f t="shared" si="49"/>
        <v>1</v>
      </c>
      <c r="N37" s="86"/>
      <c r="O37" s="3">
        <f>M37*N37</f>
        <v>0</v>
      </c>
      <c r="P37" s="18">
        <f t="shared" si="51"/>
        <v>0</v>
      </c>
      <c r="Q37" s="18">
        <f t="shared" si="52"/>
        <v>0</v>
      </c>
      <c r="R37" s="9">
        <f>O37*O$3+P37*P$3+Q37*Q$3</f>
        <v>0</v>
      </c>
      <c r="S37" s="185"/>
    </row>
    <row r="38" spans="1:19" x14ac:dyDescent="0.35">
      <c r="A38" s="138" t="s">
        <v>120</v>
      </c>
      <c r="B38" s="3">
        <v>0.1</v>
      </c>
      <c r="C38" s="3">
        <v>52</v>
      </c>
      <c r="D38" s="3">
        <f t="shared" si="44"/>
        <v>5.2</v>
      </c>
      <c r="E38" s="86">
        <v>0</v>
      </c>
      <c r="F38" s="17">
        <f>D38*E38</f>
        <v>0</v>
      </c>
      <c r="G38" s="7">
        <f t="shared" si="46"/>
        <v>0</v>
      </c>
      <c r="H38" s="7">
        <f t="shared" si="47"/>
        <v>0</v>
      </c>
      <c r="I38" s="4">
        <f t="shared" ref="I38:I41" si="54">F38*F$3+G38*G$3+H38*H$3</f>
        <v>0</v>
      </c>
      <c r="J38" s="175"/>
      <c r="K38" s="3">
        <v>0.1</v>
      </c>
      <c r="L38" s="3">
        <v>52</v>
      </c>
      <c r="M38" s="3">
        <f t="shared" si="49"/>
        <v>5.2</v>
      </c>
      <c r="N38" s="86"/>
      <c r="O38" s="17">
        <f>M38*N38</f>
        <v>0</v>
      </c>
      <c r="P38" s="7">
        <f t="shared" si="51"/>
        <v>0</v>
      </c>
      <c r="Q38" s="7">
        <f t="shared" si="52"/>
        <v>0</v>
      </c>
      <c r="R38" s="4">
        <f t="shared" ref="R38:R41" si="55">O38*O$3+P38*P$3+Q38*Q$3</f>
        <v>0</v>
      </c>
      <c r="S38" s="184"/>
    </row>
    <row r="39" spans="1:19" x14ac:dyDescent="0.35">
      <c r="A39" s="138" t="s">
        <v>15</v>
      </c>
      <c r="B39" s="3">
        <v>0.25</v>
      </c>
      <c r="C39" s="3">
        <v>2</v>
      </c>
      <c r="D39" s="3">
        <f t="shared" si="44"/>
        <v>0.5</v>
      </c>
      <c r="E39" s="86">
        <v>0</v>
      </c>
      <c r="F39" s="18">
        <f t="shared" ref="F39" si="56">D39*E39</f>
        <v>0</v>
      </c>
      <c r="G39" s="7">
        <f t="shared" si="46"/>
        <v>0</v>
      </c>
      <c r="H39" s="7">
        <f t="shared" si="47"/>
        <v>0</v>
      </c>
      <c r="I39" s="4">
        <f t="shared" si="54"/>
        <v>0</v>
      </c>
      <c r="J39" s="175"/>
      <c r="K39" s="3">
        <v>0.25</v>
      </c>
      <c r="L39" s="3">
        <v>2</v>
      </c>
      <c r="M39" s="3">
        <f t="shared" si="49"/>
        <v>0.5</v>
      </c>
      <c r="N39" s="86"/>
      <c r="O39" s="18">
        <f t="shared" ref="O39" si="57">M39*N39</f>
        <v>0</v>
      </c>
      <c r="P39" s="7">
        <f t="shared" si="51"/>
        <v>0</v>
      </c>
      <c r="Q39" s="7">
        <f t="shared" si="52"/>
        <v>0</v>
      </c>
      <c r="R39" s="4">
        <f t="shared" si="55"/>
        <v>0</v>
      </c>
      <c r="S39" s="184"/>
    </row>
    <row r="40" spans="1:19" x14ac:dyDescent="0.35">
      <c r="A40" s="138" t="s">
        <v>123</v>
      </c>
      <c r="B40" s="3">
        <v>1</v>
      </c>
      <c r="C40" s="3">
        <v>1</v>
      </c>
      <c r="D40" s="3">
        <f t="shared" si="44"/>
        <v>1</v>
      </c>
      <c r="E40" s="86">
        <v>315</v>
      </c>
      <c r="F40" s="18">
        <f>D40*E40</f>
        <v>315</v>
      </c>
      <c r="G40" s="18">
        <f t="shared" si="46"/>
        <v>15.75</v>
      </c>
      <c r="H40" s="18">
        <f t="shared" si="47"/>
        <v>31.5</v>
      </c>
      <c r="I40" s="9">
        <f t="shared" si="54"/>
        <v>28915.5825</v>
      </c>
      <c r="J40" s="176"/>
      <c r="K40" s="3">
        <v>1</v>
      </c>
      <c r="L40" s="3">
        <v>1</v>
      </c>
      <c r="M40" s="3">
        <f t="shared" si="49"/>
        <v>1</v>
      </c>
      <c r="N40" s="86"/>
      <c r="O40" s="18">
        <f>M40*N40</f>
        <v>0</v>
      </c>
      <c r="P40" s="18">
        <f t="shared" si="51"/>
        <v>0</v>
      </c>
      <c r="Q40" s="18">
        <f t="shared" si="52"/>
        <v>0</v>
      </c>
      <c r="R40" s="9">
        <f t="shared" si="55"/>
        <v>0</v>
      </c>
      <c r="S40" s="185"/>
    </row>
    <row r="41" spans="1:19" s="81" customFormat="1" x14ac:dyDescent="0.35">
      <c r="A41" s="137" t="s">
        <v>122</v>
      </c>
      <c r="B41" s="48">
        <v>2</v>
      </c>
      <c r="C41" s="48">
        <v>1</v>
      </c>
      <c r="D41" s="48">
        <f t="shared" si="44"/>
        <v>2</v>
      </c>
      <c r="E41" s="86">
        <v>315</v>
      </c>
      <c r="F41" s="83">
        <f>D41*E41</f>
        <v>630</v>
      </c>
      <c r="G41" s="84">
        <f t="shared" si="46"/>
        <v>31.5</v>
      </c>
      <c r="H41" s="84">
        <f t="shared" si="47"/>
        <v>63</v>
      </c>
      <c r="I41" s="85">
        <f t="shared" si="54"/>
        <v>57831.165000000001</v>
      </c>
      <c r="J41" s="174"/>
      <c r="K41" s="48">
        <v>2</v>
      </c>
      <c r="L41" s="48">
        <v>1</v>
      </c>
      <c r="M41" s="48">
        <f t="shared" si="49"/>
        <v>2</v>
      </c>
      <c r="N41" s="86"/>
      <c r="O41" s="83">
        <f>M41*N41</f>
        <v>0</v>
      </c>
      <c r="P41" s="84">
        <f t="shared" si="51"/>
        <v>0</v>
      </c>
      <c r="Q41" s="84">
        <f t="shared" si="52"/>
        <v>0</v>
      </c>
      <c r="R41" s="85">
        <f t="shared" si="55"/>
        <v>0</v>
      </c>
      <c r="S41" s="183"/>
    </row>
    <row r="42" spans="1:19" x14ac:dyDescent="0.35">
      <c r="A42" s="138" t="s">
        <v>16</v>
      </c>
      <c r="B42" s="3" t="s">
        <v>2</v>
      </c>
      <c r="C42" s="3"/>
      <c r="D42" s="3"/>
      <c r="E42" s="3"/>
      <c r="F42" s="3"/>
      <c r="G42" s="3"/>
      <c r="H42" s="3"/>
      <c r="I42" s="4" t="s">
        <v>3</v>
      </c>
      <c r="J42" s="175"/>
      <c r="K42" s="3" t="s">
        <v>2</v>
      </c>
      <c r="L42" s="3"/>
      <c r="M42" s="3"/>
      <c r="N42" s="3"/>
      <c r="O42" s="3"/>
      <c r="P42" s="3"/>
      <c r="Q42" s="3"/>
      <c r="R42" s="4" t="s">
        <v>3</v>
      </c>
      <c r="S42" s="184"/>
    </row>
    <row r="43" spans="1:19" x14ac:dyDescent="0.35">
      <c r="A43" s="5" t="s">
        <v>17</v>
      </c>
      <c r="B43" s="3"/>
      <c r="C43" s="3"/>
      <c r="D43" s="3"/>
      <c r="E43" s="3"/>
      <c r="F43" s="192">
        <f>SUM(F33:H42)</f>
        <v>2898</v>
      </c>
      <c r="G43" s="193"/>
      <c r="H43" s="194"/>
      <c r="I43" s="35">
        <f>SUM(I33:I42)</f>
        <v>231324.66</v>
      </c>
      <c r="J43" s="177"/>
      <c r="K43" s="3"/>
      <c r="L43" s="3"/>
      <c r="M43" s="3"/>
      <c r="N43" s="3"/>
      <c r="O43" s="192">
        <f>SUM(O33:Q42)</f>
        <v>0</v>
      </c>
      <c r="P43" s="193"/>
      <c r="Q43" s="194"/>
      <c r="R43" s="35">
        <f>SUM(R33:R42)</f>
        <v>0</v>
      </c>
      <c r="S43" s="186"/>
    </row>
    <row r="44" spans="1:19" ht="21" customHeight="1" x14ac:dyDescent="0.35">
      <c r="A44" s="6" t="s">
        <v>125</v>
      </c>
      <c r="B44" s="39"/>
      <c r="C44" s="39"/>
      <c r="D44" s="40"/>
      <c r="E44" s="40"/>
      <c r="F44" s="195">
        <f>ROUND(F43+F32,-1)</f>
        <v>2900</v>
      </c>
      <c r="G44" s="195"/>
      <c r="H44" s="195"/>
      <c r="I44" s="145">
        <f>ROUND(I43+I32,-3)</f>
        <v>231000</v>
      </c>
      <c r="J44" s="178"/>
      <c r="K44" s="39"/>
      <c r="L44" s="39"/>
      <c r="M44" s="40"/>
      <c r="N44" s="40"/>
      <c r="O44" s="195">
        <f>ROUND(O43+O32,-1)</f>
        <v>-720</v>
      </c>
      <c r="P44" s="195"/>
      <c r="Q44" s="195"/>
      <c r="R44" s="145">
        <f>ROUND(R43+R32,-2)</f>
        <v>-57800</v>
      </c>
      <c r="S44" s="187"/>
    </row>
    <row r="45" spans="1:19" s="28" customFormat="1" ht="15.5" x14ac:dyDescent="0.35">
      <c r="A45" s="36" t="s">
        <v>126</v>
      </c>
      <c r="B45" s="41"/>
      <c r="C45" s="41"/>
      <c r="D45" s="42"/>
      <c r="E45" s="42"/>
      <c r="F45" s="198"/>
      <c r="G45" s="198"/>
      <c r="H45" s="198"/>
      <c r="I45" s="49">
        <v>0</v>
      </c>
      <c r="J45" s="52"/>
      <c r="K45" s="41"/>
      <c r="L45" s="41"/>
      <c r="M45" s="42"/>
      <c r="N45" s="42"/>
      <c r="O45" s="198"/>
      <c r="P45" s="198"/>
      <c r="Q45" s="198"/>
      <c r="R45" s="49">
        <v>0</v>
      </c>
      <c r="S45" s="188"/>
    </row>
    <row r="46" spans="1:19" x14ac:dyDescent="0.35">
      <c r="A46" s="8" t="s">
        <v>127</v>
      </c>
      <c r="B46" s="43"/>
      <c r="C46" s="43"/>
      <c r="D46" s="43"/>
      <c r="E46" s="43"/>
      <c r="F46" s="195">
        <f>ROUND(F43+F32,-1)</f>
        <v>2900</v>
      </c>
      <c r="G46" s="195"/>
      <c r="H46" s="195"/>
      <c r="I46" s="50">
        <f>ROUND(I43+I32,-3)</f>
        <v>231000</v>
      </c>
      <c r="J46" s="179"/>
      <c r="K46" s="43"/>
      <c r="L46" s="43"/>
      <c r="M46" s="43"/>
      <c r="N46" s="43"/>
      <c r="O46" s="195">
        <f>ROUND(O43+O32,-1)</f>
        <v>-720</v>
      </c>
      <c r="P46" s="195"/>
      <c r="Q46" s="195"/>
      <c r="R46" s="50">
        <f>ROUND(R43+R32,-2)</f>
        <v>-57800</v>
      </c>
      <c r="S46" s="189"/>
    </row>
    <row r="47" spans="1:19" x14ac:dyDescent="0.35">
      <c r="A47" s="13"/>
      <c r="B47" s="14"/>
      <c r="C47" s="14"/>
      <c r="D47" s="14"/>
      <c r="E47" s="14"/>
      <c r="F47" s="15"/>
      <c r="G47" s="14"/>
      <c r="H47" s="14"/>
      <c r="I47" s="16"/>
      <c r="J47" s="16"/>
    </row>
    <row r="48" spans="1:19" x14ac:dyDescent="0.35">
      <c r="A48" s="13"/>
      <c r="B48" s="14"/>
      <c r="C48" s="14"/>
      <c r="D48" s="14"/>
      <c r="E48" s="14"/>
      <c r="F48" s="15"/>
      <c r="G48" s="14"/>
      <c r="H48" s="14" t="s">
        <v>227</v>
      </c>
      <c r="I48" s="16">
        <f>I46+'1b_increment'!I50</f>
        <v>352000</v>
      </c>
      <c r="J48" s="16"/>
      <c r="Q48" s="14" t="s">
        <v>227</v>
      </c>
      <c r="R48" s="16">
        <f>R46+'1b_increment'!R50</f>
        <v>-67400</v>
      </c>
    </row>
    <row r="49" spans="1:18" x14ac:dyDescent="0.35">
      <c r="A49" s="13"/>
      <c r="B49" s="14"/>
      <c r="C49" s="14"/>
      <c r="D49" s="14"/>
      <c r="E49" s="14"/>
      <c r="F49" s="15"/>
      <c r="G49" s="14"/>
      <c r="H49" s="14" t="s">
        <v>228</v>
      </c>
      <c r="I49" s="16">
        <f>I48/390</f>
        <v>902.56410256410254</v>
      </c>
      <c r="J49" s="16"/>
      <c r="Q49" s="14" t="s">
        <v>228</v>
      </c>
      <c r="R49" s="16">
        <f>R48/390</f>
        <v>-172.82051282051282</v>
      </c>
    </row>
    <row r="50" spans="1:18" x14ac:dyDescent="0.35">
      <c r="A50" s="13"/>
      <c r="B50" s="14"/>
      <c r="C50" s="14"/>
      <c r="D50" s="14"/>
      <c r="E50" s="14"/>
      <c r="F50" s="15"/>
      <c r="G50" s="14"/>
      <c r="H50" s="14"/>
      <c r="I50" s="16"/>
      <c r="J50" s="16"/>
    </row>
    <row r="51" spans="1:18" x14ac:dyDescent="0.35">
      <c r="A51" s="12" t="s">
        <v>35</v>
      </c>
    </row>
    <row r="52" spans="1:18" x14ac:dyDescent="0.35">
      <c r="A52" s="89" t="s">
        <v>155</v>
      </c>
    </row>
    <row r="53" spans="1:18" x14ac:dyDescent="0.35">
      <c r="A53" s="34" t="s">
        <v>103</v>
      </c>
    </row>
    <row r="54" spans="1:18" x14ac:dyDescent="0.35">
      <c r="A54" s="34" t="s">
        <v>46</v>
      </c>
    </row>
    <row r="55" spans="1:18" x14ac:dyDescent="0.35">
      <c r="A55" s="34" t="s">
        <v>106</v>
      </c>
    </row>
    <row r="56" spans="1:18" x14ac:dyDescent="0.35">
      <c r="A56" s="34" t="s">
        <v>118</v>
      </c>
      <c r="B56" s="46"/>
      <c r="C56" s="46"/>
      <c r="D56" s="46"/>
      <c r="E56" s="46"/>
      <c r="F56" s="46"/>
      <c r="G56" s="46"/>
      <c r="H56" s="46"/>
      <c r="I56" s="46"/>
      <c r="J56" s="46"/>
    </row>
    <row r="57" spans="1:18" x14ac:dyDescent="0.35">
      <c r="A57" s="47" t="s">
        <v>156</v>
      </c>
    </row>
    <row r="58" spans="1:18" x14ac:dyDescent="0.35">
      <c r="A58" s="47" t="s">
        <v>153</v>
      </c>
      <c r="K58" s="92"/>
    </row>
    <row r="59" spans="1:18" ht="15" x14ac:dyDescent="0.35">
      <c r="A59" s="45" t="s">
        <v>124</v>
      </c>
    </row>
  </sheetData>
  <mergeCells count="13">
    <mergeCell ref="F45:H45"/>
    <mergeCell ref="F46:H46"/>
    <mergeCell ref="A8:B8"/>
    <mergeCell ref="A10:B10"/>
    <mergeCell ref="F32:H32"/>
    <mergeCell ref="A33:C33"/>
    <mergeCell ref="F43:H43"/>
    <mergeCell ref="F44:H44"/>
    <mergeCell ref="O32:Q32"/>
    <mergeCell ref="O43:Q43"/>
    <mergeCell ref="O44:Q44"/>
    <mergeCell ref="O45:Q45"/>
    <mergeCell ref="O46:Q46"/>
  </mergeCells>
  <hyperlinks>
    <hyperlink ref="U2" r:id="rId1" xr:uid="{AC3A05DE-6B68-4FBE-A0C8-B20DDCB1AFA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69E5-AD1E-40D4-A84A-345912B9B263}">
  <dimension ref="A1:W64"/>
  <sheetViews>
    <sheetView topLeftCell="A31" workbookViewId="0">
      <selection activeCell="R50" sqref="R50"/>
    </sheetView>
  </sheetViews>
  <sheetFormatPr defaultColWidth="9.1796875" defaultRowHeight="12" x14ac:dyDescent="0.3"/>
  <cols>
    <col min="1" max="1" width="52.1796875" style="91" customWidth="1"/>
    <col min="2" max="8" width="9.1796875" style="91"/>
    <col min="9" max="9" width="11.1796875" style="91" bestFit="1" customWidth="1"/>
    <col min="10" max="17" width="9.1796875" style="91"/>
    <col min="18" max="18" width="10.81640625" style="91" customWidth="1"/>
    <col min="19" max="20" width="9.1796875" style="91"/>
    <col min="21" max="21" width="14.26953125" style="91" customWidth="1"/>
    <col min="22" max="16384" width="9.1796875" style="91"/>
  </cols>
  <sheetData>
    <row r="1" spans="1:23" ht="14.5" x14ac:dyDescent="0.35">
      <c r="A1" s="91" t="s">
        <v>44</v>
      </c>
      <c r="J1"/>
      <c r="N1"/>
      <c r="T1" t="s">
        <v>89</v>
      </c>
      <c r="U1"/>
      <c r="V1"/>
      <c r="W1"/>
    </row>
    <row r="2" spans="1:23" ht="14.5" x14ac:dyDescent="0.35">
      <c r="J2"/>
      <c r="N2"/>
      <c r="T2" s="142" t="s">
        <v>90</v>
      </c>
      <c r="U2" s="143" t="s">
        <v>91</v>
      </c>
      <c r="V2"/>
      <c r="W2"/>
    </row>
    <row r="3" spans="1:23" ht="14.5" x14ac:dyDescent="0.35">
      <c r="B3" s="190" t="s">
        <v>225</v>
      </c>
      <c r="F3" s="91">
        <f>W6</f>
        <v>81.33</v>
      </c>
      <c r="G3" s="91">
        <f>W5</f>
        <v>123.71</v>
      </c>
      <c r="H3" s="91">
        <f>W7</f>
        <v>42.8</v>
      </c>
      <c r="J3"/>
      <c r="K3" s="190" t="s">
        <v>226</v>
      </c>
      <c r="L3" s="191"/>
      <c r="M3" s="79"/>
      <c r="N3" s="11"/>
      <c r="O3" s="11">
        <f>F3</f>
        <v>81.33</v>
      </c>
      <c r="P3" s="11">
        <f t="shared" ref="P3:Q3" si="0">G3</f>
        <v>123.71</v>
      </c>
      <c r="Q3" s="11">
        <f t="shared" si="0"/>
        <v>42.8</v>
      </c>
      <c r="T3"/>
      <c r="U3"/>
      <c r="V3"/>
      <c r="W3"/>
    </row>
    <row r="4" spans="1:23" ht="69" x14ac:dyDescent="0.35">
      <c r="A4" s="93" t="s">
        <v>0</v>
      </c>
      <c r="B4" s="93" t="s">
        <v>21</v>
      </c>
      <c r="C4" s="93" t="s">
        <v>22</v>
      </c>
      <c r="D4" s="93" t="s">
        <v>23</v>
      </c>
      <c r="E4" s="93" t="s">
        <v>79</v>
      </c>
      <c r="F4" s="93" t="s">
        <v>24</v>
      </c>
      <c r="G4" s="93" t="s">
        <v>25</v>
      </c>
      <c r="H4" s="93" t="s">
        <v>26</v>
      </c>
      <c r="I4" s="93" t="s">
        <v>80</v>
      </c>
      <c r="J4"/>
      <c r="K4" s="93" t="s">
        <v>21</v>
      </c>
      <c r="L4" s="93" t="s">
        <v>22</v>
      </c>
      <c r="M4" s="93" t="s">
        <v>23</v>
      </c>
      <c r="N4" s="93" t="s">
        <v>79</v>
      </c>
      <c r="O4" s="93" t="s">
        <v>24</v>
      </c>
      <c r="P4" s="93" t="s">
        <v>25</v>
      </c>
      <c r="Q4" s="93" t="s">
        <v>26</v>
      </c>
      <c r="R4" s="93" t="s">
        <v>80</v>
      </c>
      <c r="T4" s="144" t="s">
        <v>92</v>
      </c>
      <c r="U4" s="144" t="s">
        <v>93</v>
      </c>
      <c r="V4" s="144" t="s">
        <v>94</v>
      </c>
      <c r="W4" s="144" t="s">
        <v>95</v>
      </c>
    </row>
    <row r="5" spans="1:23" ht="14.5" x14ac:dyDescent="0.35">
      <c r="A5" s="139" t="s">
        <v>1</v>
      </c>
      <c r="B5" s="25" t="s">
        <v>2</v>
      </c>
      <c r="C5" s="25"/>
      <c r="D5" s="25"/>
      <c r="E5" s="25"/>
      <c r="F5" s="25"/>
      <c r="G5" s="25"/>
      <c r="H5" s="25"/>
      <c r="I5" s="25"/>
      <c r="J5"/>
      <c r="K5" s="25" t="s">
        <v>2</v>
      </c>
      <c r="L5" s="25"/>
      <c r="M5" s="25"/>
      <c r="N5" s="25"/>
      <c r="O5" s="25"/>
      <c r="P5" s="25"/>
      <c r="Q5" s="25"/>
      <c r="R5" s="25"/>
      <c r="T5" t="s">
        <v>96</v>
      </c>
      <c r="U5" t="s">
        <v>97</v>
      </c>
      <c r="V5">
        <v>58.91</v>
      </c>
      <c r="W5">
        <f>ROUND(V5*2.1,2)</f>
        <v>123.71</v>
      </c>
    </row>
    <row r="6" spans="1:23" ht="14.5" x14ac:dyDescent="0.35">
      <c r="A6" s="139" t="s">
        <v>4</v>
      </c>
      <c r="B6" s="25" t="s">
        <v>2</v>
      </c>
      <c r="C6" s="25"/>
      <c r="D6" s="25"/>
      <c r="E6" s="25"/>
      <c r="F6" s="25"/>
      <c r="G6" s="25"/>
      <c r="H6" s="25"/>
      <c r="I6" s="25"/>
      <c r="J6"/>
      <c r="K6" s="25" t="s">
        <v>2</v>
      </c>
      <c r="L6" s="25"/>
      <c r="M6" s="25"/>
      <c r="N6" s="25"/>
      <c r="O6" s="25"/>
      <c r="P6" s="25"/>
      <c r="Q6" s="25"/>
      <c r="R6" s="25"/>
      <c r="T6" t="s">
        <v>98</v>
      </c>
      <c r="U6" t="s">
        <v>99</v>
      </c>
      <c r="V6">
        <v>38.729999999999997</v>
      </c>
      <c r="W6">
        <f t="shared" ref="W6:W7" si="1">ROUND(V6*2.1,2)</f>
        <v>81.33</v>
      </c>
    </row>
    <row r="7" spans="1:23" ht="14.5" x14ac:dyDescent="0.35">
      <c r="A7" s="139" t="s">
        <v>18</v>
      </c>
      <c r="B7" s="25" t="s">
        <v>2</v>
      </c>
      <c r="C7" s="25"/>
      <c r="D7" s="25"/>
      <c r="E7" s="25"/>
      <c r="F7" s="25"/>
      <c r="G7" s="25"/>
      <c r="H7" s="25"/>
      <c r="I7" s="25"/>
      <c r="J7"/>
      <c r="K7" s="25" t="s">
        <v>2</v>
      </c>
      <c r="L7" s="25"/>
      <c r="M7" s="25"/>
      <c r="N7" s="25"/>
      <c r="O7" s="25"/>
      <c r="P7" s="25"/>
      <c r="Q7" s="25"/>
      <c r="R7" s="25"/>
      <c r="T7" t="s">
        <v>100</v>
      </c>
      <c r="U7" t="s">
        <v>101</v>
      </c>
      <c r="V7">
        <v>20.38</v>
      </c>
      <c r="W7">
        <f t="shared" si="1"/>
        <v>42.8</v>
      </c>
    </row>
    <row r="8" spans="1:23" ht="24" customHeight="1" x14ac:dyDescent="0.3">
      <c r="A8" s="199" t="s">
        <v>6</v>
      </c>
      <c r="B8" s="199"/>
      <c r="C8" s="25"/>
      <c r="D8" s="25"/>
      <c r="E8" s="25"/>
      <c r="F8" s="25"/>
      <c r="G8" s="25"/>
      <c r="H8" s="25"/>
      <c r="I8" s="25"/>
      <c r="K8" s="168"/>
      <c r="L8" s="25"/>
      <c r="M8" s="25"/>
      <c r="N8" s="25"/>
      <c r="O8" s="25"/>
      <c r="P8" s="25"/>
      <c r="Q8" s="25"/>
      <c r="R8" s="25"/>
    </row>
    <row r="9" spans="1:23" ht="14" x14ac:dyDescent="0.3">
      <c r="A9" s="139" t="s">
        <v>56</v>
      </c>
      <c r="B9" s="25">
        <v>1</v>
      </c>
      <c r="C9" s="25">
        <v>1</v>
      </c>
      <c r="D9" s="25">
        <f>B9*C9</f>
        <v>1</v>
      </c>
      <c r="E9" s="25"/>
      <c r="F9" s="29">
        <f>D9*E9</f>
        <v>0</v>
      </c>
      <c r="G9" s="33">
        <f>F9*0.05</f>
        <v>0</v>
      </c>
      <c r="H9" s="33">
        <f>F9*0.1</f>
        <v>0</v>
      </c>
      <c r="I9" s="30">
        <f>F9*F$3+G9*G$3+H9*H$3</f>
        <v>0</v>
      </c>
      <c r="K9" s="25">
        <v>1</v>
      </c>
      <c r="L9" s="25">
        <v>1</v>
      </c>
      <c r="M9" s="25">
        <f>K9*L9</f>
        <v>1</v>
      </c>
      <c r="N9" s="25"/>
      <c r="O9" s="29">
        <f>M9*N9</f>
        <v>0</v>
      </c>
      <c r="P9" s="33">
        <f>O9*0.05</f>
        <v>0</v>
      </c>
      <c r="Q9" s="33">
        <f>O9*0.1</f>
        <v>0</v>
      </c>
      <c r="R9" s="30">
        <f>O9*O$3+P9*P$3+Q9*Q$3</f>
        <v>0</v>
      </c>
    </row>
    <row r="10" spans="1:23" x14ac:dyDescent="0.3">
      <c r="A10" s="139" t="s">
        <v>19</v>
      </c>
      <c r="B10" s="25"/>
      <c r="C10" s="25"/>
      <c r="D10" s="25"/>
      <c r="E10" s="25"/>
      <c r="F10" s="29"/>
      <c r="G10" s="29"/>
      <c r="H10" s="29"/>
      <c r="I10" s="30"/>
      <c r="K10" s="25"/>
      <c r="L10" s="25"/>
      <c r="M10" s="25"/>
      <c r="N10" s="25"/>
      <c r="O10" s="29"/>
      <c r="P10" s="29"/>
      <c r="Q10" s="29"/>
      <c r="R10" s="30"/>
    </row>
    <row r="11" spans="1:23" ht="14" x14ac:dyDescent="0.3">
      <c r="A11" s="90" t="s">
        <v>186</v>
      </c>
      <c r="B11" s="25">
        <v>70</v>
      </c>
      <c r="C11" s="25">
        <v>0.2</v>
      </c>
      <c r="D11" s="25">
        <f>B11*C11</f>
        <v>14</v>
      </c>
      <c r="E11" s="25"/>
      <c r="F11" s="33">
        <f>D11*E11</f>
        <v>0</v>
      </c>
      <c r="G11" s="31">
        <f>F11*0.05</f>
        <v>0</v>
      </c>
      <c r="H11" s="31">
        <f>F11*0.1</f>
        <v>0</v>
      </c>
      <c r="I11" s="30">
        <f>F11*F$3+G11*G$3+H11*H$3</f>
        <v>0</v>
      </c>
      <c r="K11" s="25">
        <v>70</v>
      </c>
      <c r="L11" s="25">
        <v>0.2</v>
      </c>
      <c r="M11" s="25">
        <f>K11*L11</f>
        <v>14</v>
      </c>
      <c r="N11" s="25"/>
      <c r="O11" s="33">
        <f>M11*N11</f>
        <v>0</v>
      </c>
      <c r="P11" s="31">
        <f>O11*0.05</f>
        <v>0</v>
      </c>
      <c r="Q11" s="31">
        <f>O11*0.1</f>
        <v>0</v>
      </c>
      <c r="R11" s="30">
        <f>O11*O$3+P11*P$3+Q11*Q$3</f>
        <v>0</v>
      </c>
    </row>
    <row r="12" spans="1:23" ht="14" x14ac:dyDescent="0.3">
      <c r="A12" s="90" t="s">
        <v>187</v>
      </c>
      <c r="B12" s="25">
        <v>3</v>
      </c>
      <c r="C12" s="25">
        <v>2</v>
      </c>
      <c r="D12" s="25">
        <f t="shared" ref="D12:D18" si="2">B12*C12</f>
        <v>6</v>
      </c>
      <c r="E12" s="25"/>
      <c r="F12" s="33">
        <f>D12*E12</f>
        <v>0</v>
      </c>
      <c r="G12" s="31">
        <f>F12*0.05</f>
        <v>0</v>
      </c>
      <c r="H12" s="31">
        <f t="shared" ref="H12:H18" si="3">F12*0.1</f>
        <v>0</v>
      </c>
      <c r="I12" s="30">
        <f>F12*F$3+G12*G$3+H12*H$3</f>
        <v>0</v>
      </c>
      <c r="K12" s="25">
        <v>3</v>
      </c>
      <c r="L12" s="25">
        <v>2</v>
      </c>
      <c r="M12" s="25">
        <f t="shared" ref="M12:M18" si="4">K12*L12</f>
        <v>6</v>
      </c>
      <c r="N12" s="25"/>
      <c r="O12" s="33">
        <f>M12*N12</f>
        <v>0</v>
      </c>
      <c r="P12" s="31">
        <f>O12*0.05</f>
        <v>0</v>
      </c>
      <c r="Q12" s="31">
        <f t="shared" ref="Q12:Q18" si="5">O12*0.1</f>
        <v>0</v>
      </c>
      <c r="R12" s="30">
        <f>O12*O$3+P12*P$3+Q12*Q$3</f>
        <v>0</v>
      </c>
    </row>
    <row r="13" spans="1:23" ht="14" x14ac:dyDescent="0.3">
      <c r="A13" s="139" t="s">
        <v>130</v>
      </c>
      <c r="B13" s="25">
        <v>4</v>
      </c>
      <c r="C13" s="25">
        <v>1</v>
      </c>
      <c r="D13" s="25">
        <f t="shared" si="2"/>
        <v>4</v>
      </c>
      <c r="E13" s="25">
        <v>0</v>
      </c>
      <c r="F13" s="29">
        <f t="shared" ref="F13:F18" si="6">D13*E13</f>
        <v>0</v>
      </c>
      <c r="G13" s="29">
        <f t="shared" ref="G13:G18" si="7">F13*0.05</f>
        <v>0</v>
      </c>
      <c r="H13" s="29">
        <f t="shared" si="3"/>
        <v>0</v>
      </c>
      <c r="I13" s="38">
        <f t="shared" ref="I13:I18" si="8">F13*F$3+G13*G$3+H13*H$3</f>
        <v>0</v>
      </c>
      <c r="K13" s="25">
        <v>4</v>
      </c>
      <c r="L13" s="25">
        <v>1</v>
      </c>
      <c r="M13" s="25">
        <f t="shared" si="4"/>
        <v>4</v>
      </c>
      <c r="N13" s="25">
        <v>0</v>
      </c>
      <c r="O13" s="29">
        <f t="shared" ref="O13:O18" si="9">M13*N13</f>
        <v>0</v>
      </c>
      <c r="P13" s="29">
        <f t="shared" ref="P13:P18" si="10">O13*0.05</f>
        <v>0</v>
      </c>
      <c r="Q13" s="29">
        <f t="shared" si="5"/>
        <v>0</v>
      </c>
      <c r="R13" s="38">
        <f t="shared" ref="R13:R18" si="11">O13*O$3+P13*P$3+Q13*Q$3</f>
        <v>0</v>
      </c>
    </row>
    <row r="14" spans="1:23" ht="14" x14ac:dyDescent="0.3">
      <c r="A14" s="139" t="s">
        <v>131</v>
      </c>
      <c r="B14" s="25">
        <v>8</v>
      </c>
      <c r="C14" s="25">
        <v>1</v>
      </c>
      <c r="D14" s="25">
        <f t="shared" si="2"/>
        <v>8</v>
      </c>
      <c r="E14" s="25">
        <v>0</v>
      </c>
      <c r="F14" s="29">
        <f t="shared" si="6"/>
        <v>0</v>
      </c>
      <c r="G14" s="29">
        <f t="shared" si="7"/>
        <v>0</v>
      </c>
      <c r="H14" s="29">
        <f t="shared" si="3"/>
        <v>0</v>
      </c>
      <c r="I14" s="38">
        <f t="shared" si="8"/>
        <v>0</v>
      </c>
      <c r="K14" s="25">
        <v>8</v>
      </c>
      <c r="L14" s="25">
        <v>1</v>
      </c>
      <c r="M14" s="25">
        <f t="shared" si="4"/>
        <v>8</v>
      </c>
      <c r="N14" s="25">
        <v>0</v>
      </c>
      <c r="O14" s="29">
        <f t="shared" si="9"/>
        <v>0</v>
      </c>
      <c r="P14" s="29">
        <f t="shared" si="10"/>
        <v>0</v>
      </c>
      <c r="Q14" s="29">
        <f t="shared" si="5"/>
        <v>0</v>
      </c>
      <c r="R14" s="38">
        <f t="shared" si="11"/>
        <v>0</v>
      </c>
    </row>
    <row r="15" spans="1:23" ht="14" x14ac:dyDescent="0.3">
      <c r="A15" s="139" t="s">
        <v>132</v>
      </c>
      <c r="B15" s="25">
        <v>4</v>
      </c>
      <c r="C15" s="25">
        <v>1</v>
      </c>
      <c r="D15" s="25">
        <f t="shared" si="2"/>
        <v>4</v>
      </c>
      <c r="E15" s="25">
        <v>0</v>
      </c>
      <c r="F15" s="29">
        <f t="shared" si="6"/>
        <v>0</v>
      </c>
      <c r="G15" s="29">
        <f t="shared" si="7"/>
        <v>0</v>
      </c>
      <c r="H15" s="29">
        <f t="shared" si="3"/>
        <v>0</v>
      </c>
      <c r="I15" s="38">
        <f t="shared" si="8"/>
        <v>0</v>
      </c>
      <c r="K15" s="25">
        <v>4</v>
      </c>
      <c r="L15" s="25">
        <v>1</v>
      </c>
      <c r="M15" s="25">
        <f t="shared" si="4"/>
        <v>4</v>
      </c>
      <c r="N15" s="25">
        <v>0</v>
      </c>
      <c r="O15" s="29">
        <f t="shared" si="9"/>
        <v>0</v>
      </c>
      <c r="P15" s="29">
        <f t="shared" si="10"/>
        <v>0</v>
      </c>
      <c r="Q15" s="29">
        <f t="shared" si="5"/>
        <v>0</v>
      </c>
      <c r="R15" s="38">
        <f t="shared" si="11"/>
        <v>0</v>
      </c>
    </row>
    <row r="16" spans="1:23" ht="14" x14ac:dyDescent="0.3">
      <c r="A16" s="139" t="s">
        <v>133</v>
      </c>
      <c r="B16" s="25">
        <v>70</v>
      </c>
      <c r="C16" s="25">
        <v>0</v>
      </c>
      <c r="D16" s="25">
        <f t="shared" si="2"/>
        <v>0</v>
      </c>
      <c r="E16" s="25">
        <v>0</v>
      </c>
      <c r="F16" s="25">
        <f t="shared" si="6"/>
        <v>0</v>
      </c>
      <c r="G16" s="25">
        <f t="shared" si="7"/>
        <v>0</v>
      </c>
      <c r="H16" s="25">
        <f t="shared" si="3"/>
        <v>0</v>
      </c>
      <c r="I16" s="38">
        <f t="shared" si="8"/>
        <v>0</v>
      </c>
      <c r="K16" s="25">
        <v>70</v>
      </c>
      <c r="L16" s="25">
        <v>0</v>
      </c>
      <c r="M16" s="25">
        <f t="shared" si="4"/>
        <v>0</v>
      </c>
      <c r="N16" s="25">
        <v>0</v>
      </c>
      <c r="O16" s="25">
        <f t="shared" si="9"/>
        <v>0</v>
      </c>
      <c r="P16" s="25">
        <f t="shared" si="10"/>
        <v>0</v>
      </c>
      <c r="Q16" s="25">
        <f t="shared" si="5"/>
        <v>0</v>
      </c>
      <c r="R16" s="38">
        <f t="shared" si="11"/>
        <v>0</v>
      </c>
    </row>
    <row r="17" spans="1:18" ht="25.5" x14ac:dyDescent="0.3">
      <c r="A17" s="51" t="s">
        <v>134</v>
      </c>
      <c r="B17" s="25">
        <v>2</v>
      </c>
      <c r="C17" s="25">
        <v>12</v>
      </c>
      <c r="D17" s="25">
        <f t="shared" si="2"/>
        <v>24</v>
      </c>
      <c r="E17" s="25"/>
      <c r="F17" s="25">
        <f t="shared" si="6"/>
        <v>0</v>
      </c>
      <c r="G17" s="25">
        <f t="shared" si="7"/>
        <v>0</v>
      </c>
      <c r="H17" s="25">
        <f t="shared" si="3"/>
        <v>0</v>
      </c>
      <c r="I17" s="38">
        <f t="shared" si="8"/>
        <v>0</v>
      </c>
      <c r="K17" s="25">
        <v>2</v>
      </c>
      <c r="L17" s="25">
        <v>12</v>
      </c>
      <c r="M17" s="25">
        <f t="shared" si="4"/>
        <v>24</v>
      </c>
      <c r="N17" s="25"/>
      <c r="O17" s="25">
        <f t="shared" si="9"/>
        <v>0</v>
      </c>
      <c r="P17" s="25">
        <f t="shared" si="10"/>
        <v>0</v>
      </c>
      <c r="Q17" s="25">
        <f t="shared" si="5"/>
        <v>0</v>
      </c>
      <c r="R17" s="38">
        <f t="shared" si="11"/>
        <v>0</v>
      </c>
    </row>
    <row r="18" spans="1:18" ht="14" x14ac:dyDescent="0.3">
      <c r="A18" s="139" t="s">
        <v>135</v>
      </c>
      <c r="B18" s="25">
        <v>0.25</v>
      </c>
      <c r="C18" s="25">
        <v>12</v>
      </c>
      <c r="D18" s="25">
        <f t="shared" si="2"/>
        <v>3</v>
      </c>
      <c r="E18" s="25"/>
      <c r="F18" s="25">
        <f t="shared" si="6"/>
        <v>0</v>
      </c>
      <c r="G18" s="25">
        <f t="shared" si="7"/>
        <v>0</v>
      </c>
      <c r="H18" s="25">
        <f t="shared" si="3"/>
        <v>0</v>
      </c>
      <c r="I18" s="38">
        <f t="shared" si="8"/>
        <v>0</v>
      </c>
      <c r="K18" s="25">
        <v>0.25</v>
      </c>
      <c r="L18" s="25">
        <v>12</v>
      </c>
      <c r="M18" s="25">
        <f t="shared" si="4"/>
        <v>3</v>
      </c>
      <c r="N18" s="25"/>
      <c r="O18" s="25">
        <f t="shared" si="9"/>
        <v>0</v>
      </c>
      <c r="P18" s="25">
        <f t="shared" si="10"/>
        <v>0</v>
      </c>
      <c r="Q18" s="25">
        <f t="shared" si="5"/>
        <v>0</v>
      </c>
      <c r="R18" s="38">
        <f t="shared" si="11"/>
        <v>0</v>
      </c>
    </row>
    <row r="19" spans="1:18" x14ac:dyDescent="0.3">
      <c r="A19" s="139" t="s">
        <v>8</v>
      </c>
      <c r="B19" s="25" t="s">
        <v>9</v>
      </c>
      <c r="C19" s="25"/>
      <c r="D19" s="25"/>
      <c r="E19" s="25"/>
      <c r="F19" s="25"/>
      <c r="G19" s="25"/>
      <c r="H19" s="25"/>
      <c r="I19" s="38"/>
      <c r="K19" s="25" t="s">
        <v>9</v>
      </c>
      <c r="L19" s="25"/>
      <c r="M19" s="25"/>
      <c r="N19" s="25"/>
      <c r="O19" s="25"/>
      <c r="P19" s="25"/>
      <c r="Q19" s="25"/>
      <c r="R19" s="38"/>
    </row>
    <row r="20" spans="1:18" x14ac:dyDescent="0.3">
      <c r="A20" s="139" t="s">
        <v>10</v>
      </c>
      <c r="B20" s="25" t="s">
        <v>9</v>
      </c>
      <c r="C20" s="25"/>
      <c r="D20" s="25"/>
      <c r="E20" s="25"/>
      <c r="F20" s="25"/>
      <c r="G20" s="25"/>
      <c r="H20" s="25"/>
      <c r="I20" s="38"/>
      <c r="K20" s="25" t="s">
        <v>9</v>
      </c>
      <c r="L20" s="25"/>
      <c r="M20" s="25"/>
      <c r="N20" s="25"/>
      <c r="O20" s="25"/>
      <c r="P20" s="25"/>
      <c r="Q20" s="25"/>
      <c r="R20" s="38"/>
    </row>
    <row r="21" spans="1:18" x14ac:dyDescent="0.3">
      <c r="A21" s="139" t="s">
        <v>11</v>
      </c>
      <c r="B21" s="25" t="s">
        <v>9</v>
      </c>
      <c r="C21" s="25"/>
      <c r="D21" s="25"/>
      <c r="E21" s="25"/>
      <c r="F21" s="25"/>
      <c r="G21" s="25"/>
      <c r="H21" s="25"/>
      <c r="I21" s="38"/>
      <c r="K21" s="25" t="s">
        <v>9</v>
      </c>
      <c r="L21" s="25"/>
      <c r="M21" s="25"/>
      <c r="N21" s="25"/>
      <c r="O21" s="25"/>
      <c r="P21" s="25"/>
      <c r="Q21" s="25"/>
      <c r="R21" s="38"/>
    </row>
    <row r="22" spans="1:18" ht="14" x14ac:dyDescent="0.3">
      <c r="A22" s="139" t="s">
        <v>138</v>
      </c>
      <c r="B22" s="25">
        <v>4</v>
      </c>
      <c r="C22" s="25">
        <v>1</v>
      </c>
      <c r="D22" s="25">
        <f>B22*C22</f>
        <v>4</v>
      </c>
      <c r="E22" s="25">
        <v>0</v>
      </c>
      <c r="F22" s="29">
        <f t="shared" ref="F22:F23" si="12">D22*E22</f>
        <v>0</v>
      </c>
      <c r="G22" s="29">
        <f t="shared" ref="G22:G23" si="13">F22*0.05</f>
        <v>0</v>
      </c>
      <c r="H22" s="29">
        <f t="shared" ref="H22:H23" si="14">F22*0.1</f>
        <v>0</v>
      </c>
      <c r="I22" s="38">
        <f t="shared" ref="I22:I23" si="15">F22*F$3+G22*G$3+H22*H$3</f>
        <v>0</v>
      </c>
      <c r="K22" s="25">
        <v>4</v>
      </c>
      <c r="L22" s="25">
        <v>1</v>
      </c>
      <c r="M22" s="25">
        <f>K22*L22</f>
        <v>4</v>
      </c>
      <c r="N22" s="25">
        <v>0</v>
      </c>
      <c r="O22" s="29">
        <f t="shared" ref="O22:O23" si="16">M22*N22</f>
        <v>0</v>
      </c>
      <c r="P22" s="29">
        <f t="shared" ref="P22:P23" si="17">O22*0.05</f>
        <v>0</v>
      </c>
      <c r="Q22" s="29">
        <f t="shared" ref="Q22:Q23" si="18">O22*0.1</f>
        <v>0</v>
      </c>
      <c r="R22" s="38">
        <f t="shared" ref="R22:R23" si="19">O22*O$3+P22*P$3+Q22*Q$3</f>
        <v>0</v>
      </c>
    </row>
    <row r="23" spans="1:18" ht="14" x14ac:dyDescent="0.3">
      <c r="A23" s="139" t="s">
        <v>139</v>
      </c>
      <c r="B23" s="25">
        <v>8</v>
      </c>
      <c r="C23" s="25">
        <v>1</v>
      </c>
      <c r="D23" s="25">
        <f>B23*C23</f>
        <v>8</v>
      </c>
      <c r="E23" s="25">
        <v>0</v>
      </c>
      <c r="F23" s="29">
        <f t="shared" si="12"/>
        <v>0</v>
      </c>
      <c r="G23" s="29">
        <f t="shared" si="13"/>
        <v>0</v>
      </c>
      <c r="H23" s="29">
        <f t="shared" si="14"/>
        <v>0</v>
      </c>
      <c r="I23" s="38">
        <f t="shared" si="15"/>
        <v>0</v>
      </c>
      <c r="K23" s="25">
        <v>8</v>
      </c>
      <c r="L23" s="25">
        <v>1</v>
      </c>
      <c r="M23" s="25">
        <f>K23*L23</f>
        <v>8</v>
      </c>
      <c r="N23" s="25">
        <v>0</v>
      </c>
      <c r="O23" s="29">
        <f t="shared" si="16"/>
        <v>0</v>
      </c>
      <c r="P23" s="29">
        <f t="shared" si="17"/>
        <v>0</v>
      </c>
      <c r="Q23" s="29">
        <f t="shared" si="18"/>
        <v>0</v>
      </c>
      <c r="R23" s="38">
        <f t="shared" si="19"/>
        <v>0</v>
      </c>
    </row>
    <row r="24" spans="1:18" ht="14" x14ac:dyDescent="0.3">
      <c r="A24" s="139" t="s">
        <v>140</v>
      </c>
      <c r="B24" s="25" t="s">
        <v>2</v>
      </c>
      <c r="C24" s="25"/>
      <c r="D24" s="25"/>
      <c r="E24" s="25"/>
      <c r="F24" s="25"/>
      <c r="G24" s="25"/>
      <c r="H24" s="25"/>
      <c r="I24" s="30"/>
      <c r="K24" s="25" t="s">
        <v>2</v>
      </c>
      <c r="L24" s="25"/>
      <c r="M24" s="25"/>
      <c r="N24" s="25"/>
      <c r="O24" s="25"/>
      <c r="P24" s="25"/>
      <c r="Q24" s="25"/>
      <c r="R24" s="30"/>
    </row>
    <row r="25" spans="1:18" ht="14" x14ac:dyDescent="0.3">
      <c r="A25" s="139" t="s">
        <v>141</v>
      </c>
      <c r="B25" s="25" t="s">
        <v>2</v>
      </c>
      <c r="C25" s="25"/>
      <c r="D25" s="25"/>
      <c r="E25" s="25"/>
      <c r="F25" s="25"/>
      <c r="G25" s="25"/>
      <c r="H25" s="25"/>
      <c r="I25" s="30"/>
      <c r="K25" s="25" t="s">
        <v>2</v>
      </c>
      <c r="L25" s="25"/>
      <c r="M25" s="25"/>
      <c r="N25" s="25"/>
      <c r="O25" s="25"/>
      <c r="P25" s="25"/>
      <c r="Q25" s="25"/>
      <c r="R25" s="30"/>
    </row>
    <row r="26" spans="1:18" ht="14" x14ac:dyDescent="0.3">
      <c r="A26" s="139" t="s">
        <v>143</v>
      </c>
      <c r="B26" s="25">
        <v>1</v>
      </c>
      <c r="C26" s="25">
        <v>0</v>
      </c>
      <c r="D26" s="25">
        <v>0</v>
      </c>
      <c r="E26" s="25">
        <v>0</v>
      </c>
      <c r="F26" s="25">
        <v>0</v>
      </c>
      <c r="G26" s="25">
        <v>0</v>
      </c>
      <c r="H26" s="25">
        <v>0</v>
      </c>
      <c r="I26" s="38">
        <f t="shared" ref="I26:I29" si="20">F26*F$3+G26*G$3+H26*H$3</f>
        <v>0</v>
      </c>
      <c r="K26" s="25">
        <v>1</v>
      </c>
      <c r="L26" s="25">
        <v>0</v>
      </c>
      <c r="M26" s="25">
        <v>0</v>
      </c>
      <c r="N26" s="25">
        <v>0</v>
      </c>
      <c r="O26" s="25">
        <v>0</v>
      </c>
      <c r="P26" s="25">
        <v>0</v>
      </c>
      <c r="Q26" s="25">
        <v>0</v>
      </c>
      <c r="R26" s="38">
        <f t="shared" ref="R26" si="21">O26*O$3+P26*P$3+Q26*Q$3</f>
        <v>0</v>
      </c>
    </row>
    <row r="27" spans="1:18" ht="14" x14ac:dyDescent="0.3">
      <c r="A27" s="139" t="s">
        <v>144</v>
      </c>
      <c r="B27" s="25" t="s">
        <v>2</v>
      </c>
      <c r="C27" s="25"/>
      <c r="D27" s="25"/>
      <c r="E27" s="25"/>
      <c r="F27" s="25"/>
      <c r="G27" s="25"/>
      <c r="H27" s="25"/>
      <c r="I27" s="30"/>
      <c r="K27" s="25" t="s">
        <v>2</v>
      </c>
      <c r="L27" s="25"/>
      <c r="M27" s="25"/>
      <c r="N27" s="25"/>
      <c r="O27" s="25"/>
      <c r="P27" s="25"/>
      <c r="Q27" s="25"/>
      <c r="R27" s="30"/>
    </row>
    <row r="28" spans="1:18" ht="14" x14ac:dyDescent="0.3">
      <c r="A28" s="139" t="s">
        <v>145</v>
      </c>
      <c r="B28" s="25">
        <v>1</v>
      </c>
      <c r="C28" s="25">
        <v>0.2</v>
      </c>
      <c r="D28" s="25">
        <f>B28*C28</f>
        <v>0.2</v>
      </c>
      <c r="E28" s="25"/>
      <c r="F28" s="33">
        <f>D28*E28</f>
        <v>0</v>
      </c>
      <c r="G28" s="31">
        <f t="shared" ref="G28:G29" si="22">F28*0.05</f>
        <v>0</v>
      </c>
      <c r="H28" s="31">
        <f t="shared" ref="H28:H29" si="23">F28*0.1</f>
        <v>0</v>
      </c>
      <c r="I28" s="30">
        <f t="shared" si="20"/>
        <v>0</v>
      </c>
      <c r="K28" s="25">
        <v>1</v>
      </c>
      <c r="L28" s="25">
        <v>0.2</v>
      </c>
      <c r="M28" s="25">
        <f>K28*L28</f>
        <v>0.2</v>
      </c>
      <c r="N28" s="25"/>
      <c r="O28" s="33">
        <f>M28*N28</f>
        <v>0</v>
      </c>
      <c r="P28" s="31">
        <f t="shared" ref="P28:P29" si="24">O28*0.05</f>
        <v>0</v>
      </c>
      <c r="Q28" s="31">
        <f t="shared" ref="Q28:Q29" si="25">O28*0.1</f>
        <v>0</v>
      </c>
      <c r="R28" s="30">
        <f t="shared" ref="R28:R29" si="26">O28*O$3+P28*P$3+Q28*Q$3</f>
        <v>0</v>
      </c>
    </row>
    <row r="29" spans="1:18" ht="14" x14ac:dyDescent="0.3">
      <c r="A29" s="139" t="s">
        <v>146</v>
      </c>
      <c r="B29" s="25">
        <v>0</v>
      </c>
      <c r="C29" s="25">
        <v>0</v>
      </c>
      <c r="D29" s="25">
        <f>B29*C29</f>
        <v>0</v>
      </c>
      <c r="E29" s="25">
        <v>0</v>
      </c>
      <c r="F29" s="25">
        <f t="shared" ref="F29" si="27">D29*E29</f>
        <v>0</v>
      </c>
      <c r="G29" s="25">
        <f t="shared" si="22"/>
        <v>0</v>
      </c>
      <c r="H29" s="25">
        <f t="shared" si="23"/>
        <v>0</v>
      </c>
      <c r="I29" s="38">
        <f t="shared" si="20"/>
        <v>0</v>
      </c>
      <c r="K29" s="25">
        <v>0</v>
      </c>
      <c r="L29" s="25">
        <v>0</v>
      </c>
      <c r="M29" s="25">
        <f>K29*L29</f>
        <v>0</v>
      </c>
      <c r="N29" s="25">
        <v>0</v>
      </c>
      <c r="O29" s="25">
        <f t="shared" ref="O29" si="28">M29*N29</f>
        <v>0</v>
      </c>
      <c r="P29" s="25">
        <f t="shared" si="24"/>
        <v>0</v>
      </c>
      <c r="Q29" s="25">
        <f t="shared" si="25"/>
        <v>0</v>
      </c>
      <c r="R29" s="38">
        <f t="shared" si="26"/>
        <v>0</v>
      </c>
    </row>
    <row r="30" spans="1:18" ht="14" x14ac:dyDescent="0.3">
      <c r="A30" s="139" t="s">
        <v>147</v>
      </c>
      <c r="B30" s="25" t="s">
        <v>2</v>
      </c>
      <c r="C30" s="25"/>
      <c r="D30" s="25"/>
      <c r="E30" s="25"/>
      <c r="F30" s="25"/>
      <c r="G30" s="25"/>
      <c r="H30" s="25"/>
      <c r="I30" s="30"/>
      <c r="K30" s="25" t="s">
        <v>2</v>
      </c>
      <c r="L30" s="25"/>
      <c r="M30" s="25"/>
      <c r="N30" s="25"/>
      <c r="O30" s="25"/>
      <c r="P30" s="25"/>
      <c r="Q30" s="25"/>
      <c r="R30" s="30"/>
    </row>
    <row r="31" spans="1:18" ht="14" x14ac:dyDescent="0.3">
      <c r="A31" s="139" t="s">
        <v>149</v>
      </c>
      <c r="B31" s="25" t="s">
        <v>2</v>
      </c>
      <c r="C31" s="25"/>
      <c r="D31" s="25"/>
      <c r="E31" s="25"/>
      <c r="F31" s="25"/>
      <c r="G31" s="25"/>
      <c r="H31" s="25"/>
      <c r="I31" s="30"/>
      <c r="K31" s="25" t="s">
        <v>2</v>
      </c>
      <c r="L31" s="25"/>
      <c r="M31" s="25"/>
      <c r="N31" s="25"/>
      <c r="O31" s="25"/>
      <c r="P31" s="25"/>
      <c r="Q31" s="25"/>
      <c r="R31" s="30"/>
    </row>
    <row r="32" spans="1:18" ht="14" x14ac:dyDescent="0.3">
      <c r="A32" s="139" t="s">
        <v>148</v>
      </c>
      <c r="B32" s="25" t="s">
        <v>2</v>
      </c>
      <c r="C32" s="25"/>
      <c r="D32" s="25"/>
      <c r="E32" s="25"/>
      <c r="F32" s="25"/>
      <c r="G32" s="25"/>
      <c r="H32" s="25"/>
      <c r="I32" s="30"/>
      <c r="K32" s="25" t="s">
        <v>2</v>
      </c>
      <c r="L32" s="25"/>
      <c r="M32" s="25"/>
      <c r="N32" s="25"/>
      <c r="O32" s="25"/>
      <c r="P32" s="25"/>
      <c r="Q32" s="25"/>
      <c r="R32" s="30"/>
    </row>
    <row r="33" spans="1:18" x14ac:dyDescent="0.3">
      <c r="A33" s="139" t="s">
        <v>119</v>
      </c>
      <c r="B33" s="25" t="s">
        <v>2</v>
      </c>
      <c r="C33" s="25"/>
      <c r="D33" s="25"/>
      <c r="E33" s="25"/>
      <c r="F33" s="25"/>
      <c r="G33" s="25"/>
      <c r="H33" s="25"/>
      <c r="I33" s="30"/>
      <c r="K33" s="25" t="s">
        <v>2</v>
      </c>
      <c r="L33" s="25"/>
      <c r="M33" s="25"/>
      <c r="N33" s="25"/>
      <c r="O33" s="25"/>
      <c r="P33" s="25"/>
      <c r="Q33" s="25"/>
      <c r="R33" s="30"/>
    </row>
    <row r="34" spans="1:18" ht="14" x14ac:dyDescent="0.3">
      <c r="A34" s="139" t="s">
        <v>208</v>
      </c>
      <c r="B34" s="25">
        <v>8</v>
      </c>
      <c r="C34" s="25">
        <v>0.2</v>
      </c>
      <c r="D34" s="25">
        <f>B34*C34</f>
        <v>1.6</v>
      </c>
      <c r="E34" s="25">
        <f>'Working Respondent'!$F$5</f>
        <v>75</v>
      </c>
      <c r="F34" s="33">
        <f>D34*E34</f>
        <v>120</v>
      </c>
      <c r="G34" s="31">
        <f t="shared" ref="G34" si="29">F34*0.05</f>
        <v>6</v>
      </c>
      <c r="H34" s="31">
        <f t="shared" ref="H34" si="30">F34*0.1</f>
        <v>12</v>
      </c>
      <c r="I34" s="30">
        <f t="shared" ref="I34" si="31">F34*F$3+G34*G$3+H34*H$3</f>
        <v>11015.460000000001</v>
      </c>
      <c r="K34" s="25">
        <v>8</v>
      </c>
      <c r="L34" s="25">
        <v>0.2</v>
      </c>
      <c r="M34" s="25">
        <f>K34*L34</f>
        <v>1.6</v>
      </c>
      <c r="N34" s="25">
        <f>'Working Respondent'!$F$5</f>
        <v>75</v>
      </c>
      <c r="O34" s="33">
        <f>M34*N34</f>
        <v>120</v>
      </c>
      <c r="P34" s="31">
        <f t="shared" ref="P34" si="32">O34*0.05</f>
        <v>6</v>
      </c>
      <c r="Q34" s="31">
        <f t="shared" ref="Q34" si="33">O34*0.1</f>
        <v>12</v>
      </c>
      <c r="R34" s="30">
        <f t="shared" ref="R34:R35" si="34">O34*O$3+P34*P$3+Q34*Q$3</f>
        <v>11015.460000000001</v>
      </c>
    </row>
    <row r="35" spans="1:18" ht="14" x14ac:dyDescent="0.3">
      <c r="A35" s="139" t="s">
        <v>191</v>
      </c>
      <c r="B35" s="25">
        <v>8</v>
      </c>
      <c r="C35" s="25">
        <v>2</v>
      </c>
      <c r="D35" s="25">
        <f>B35*C35</f>
        <v>16</v>
      </c>
      <c r="E35" s="25">
        <v>0</v>
      </c>
      <c r="F35" s="29">
        <f>D35*E35</f>
        <v>0</v>
      </c>
      <c r="G35" s="33">
        <f>F35*0.05</f>
        <v>0</v>
      </c>
      <c r="H35" s="33">
        <f>F35*0.1</f>
        <v>0</v>
      </c>
      <c r="I35" s="30">
        <f t="shared" ref="I35" si="35">F35*F$3+G35*G$3+H35*H$3</f>
        <v>0</v>
      </c>
      <c r="K35" s="25">
        <v>-1.5</v>
      </c>
      <c r="L35" s="25">
        <v>2</v>
      </c>
      <c r="M35" s="25">
        <f>K35*L35</f>
        <v>-3</v>
      </c>
      <c r="N35" s="25">
        <v>75</v>
      </c>
      <c r="O35" s="29">
        <f>M35*N35</f>
        <v>-225</v>
      </c>
      <c r="P35" s="33">
        <f>O35*0.05</f>
        <v>-11.25</v>
      </c>
      <c r="Q35" s="33">
        <f>O35*0.1</f>
        <v>-22.5</v>
      </c>
      <c r="R35" s="30">
        <f t="shared" si="34"/>
        <v>-20653.987499999999</v>
      </c>
    </row>
    <row r="36" spans="1:18" x14ac:dyDescent="0.3">
      <c r="A36" s="32" t="s">
        <v>12</v>
      </c>
      <c r="B36" s="25"/>
      <c r="C36" s="25"/>
      <c r="D36" s="25"/>
      <c r="E36" s="25"/>
      <c r="F36" s="200">
        <f>SUM(F5:H35)</f>
        <v>138</v>
      </c>
      <c r="G36" s="201"/>
      <c r="H36" s="202"/>
      <c r="I36" s="54">
        <f>SUM(I5:I35)</f>
        <v>11015.460000000001</v>
      </c>
      <c r="K36" s="25"/>
      <c r="L36" s="25"/>
      <c r="M36" s="25"/>
      <c r="N36" s="25"/>
      <c r="O36" s="200">
        <f>SUM(O5:Q35)</f>
        <v>-120.75</v>
      </c>
      <c r="P36" s="201"/>
      <c r="Q36" s="202"/>
      <c r="R36" s="54">
        <f>SUM(R5:R35)</f>
        <v>-9638.5274999999983</v>
      </c>
    </row>
    <row r="37" spans="1:18" ht="24" customHeight="1" x14ac:dyDescent="0.3">
      <c r="A37" s="199" t="s">
        <v>13</v>
      </c>
      <c r="B37" s="199"/>
      <c r="C37" s="25"/>
      <c r="D37" s="25"/>
      <c r="E37" s="25"/>
      <c r="F37" s="25"/>
      <c r="G37" s="25"/>
      <c r="H37" s="25"/>
      <c r="I37" s="30"/>
      <c r="K37" s="168"/>
      <c r="L37" s="25"/>
      <c r="M37" s="25"/>
      <c r="N37" s="25"/>
      <c r="O37" s="25"/>
      <c r="P37" s="25"/>
      <c r="Q37" s="25"/>
      <c r="R37" s="30"/>
    </row>
    <row r="38" spans="1:18" x14ac:dyDescent="0.3">
      <c r="A38" s="139" t="s">
        <v>48</v>
      </c>
      <c r="B38" s="25" t="s">
        <v>14</v>
      </c>
      <c r="C38" s="25"/>
      <c r="D38" s="25"/>
      <c r="E38" s="25"/>
      <c r="F38" s="25"/>
      <c r="G38" s="25"/>
      <c r="H38" s="25"/>
      <c r="I38" s="30"/>
      <c r="K38" s="25" t="s">
        <v>14</v>
      </c>
      <c r="L38" s="25"/>
      <c r="M38" s="25"/>
      <c r="N38" s="25"/>
      <c r="O38" s="25"/>
      <c r="P38" s="25"/>
      <c r="Q38" s="25"/>
      <c r="R38" s="30"/>
    </row>
    <row r="39" spans="1:18" ht="14" x14ac:dyDescent="0.3">
      <c r="A39" s="139" t="s">
        <v>162</v>
      </c>
      <c r="B39" s="25">
        <v>4</v>
      </c>
      <c r="C39" s="25">
        <v>1</v>
      </c>
      <c r="D39" s="25">
        <f t="shared" ref="D39:D45" si="36">B39*C39</f>
        <v>4</v>
      </c>
      <c r="E39" s="25">
        <f>'Working Respondent'!$F$5</f>
        <v>75</v>
      </c>
      <c r="F39" s="29">
        <f t="shared" ref="F39:F45" si="37">D39*E39</f>
        <v>300</v>
      </c>
      <c r="G39" s="29">
        <f t="shared" ref="G39:G45" si="38">F39*0.05</f>
        <v>15</v>
      </c>
      <c r="H39" s="29">
        <f t="shared" ref="H39:H45" si="39">F39*0.1</f>
        <v>30</v>
      </c>
      <c r="I39" s="29">
        <f t="shared" ref="I39:I45" si="40">F39*F$3+G39*G$3+H39*H$3</f>
        <v>27538.65</v>
      </c>
      <c r="K39" s="25">
        <v>4</v>
      </c>
      <c r="L39" s="25">
        <v>1</v>
      </c>
      <c r="M39" s="25">
        <f t="shared" ref="M39:M45" si="41">K39*L39</f>
        <v>4</v>
      </c>
      <c r="N39" s="25"/>
      <c r="O39" s="29">
        <f t="shared" ref="O39:O45" si="42">M39*N39</f>
        <v>0</v>
      </c>
      <c r="P39" s="29">
        <f t="shared" ref="P39:P45" si="43">O39*0.05</f>
        <v>0</v>
      </c>
      <c r="Q39" s="29">
        <f t="shared" ref="Q39:Q45" si="44">O39*0.1</f>
        <v>0</v>
      </c>
      <c r="R39" s="29">
        <f t="shared" ref="R39:R45" si="45">O39*O$3+P39*P$3+Q39*Q$3</f>
        <v>0</v>
      </c>
    </row>
    <row r="40" spans="1:18" ht="14" x14ac:dyDescent="0.3">
      <c r="A40" s="139" t="s">
        <v>163</v>
      </c>
      <c r="B40" s="25">
        <v>4</v>
      </c>
      <c r="C40" s="25">
        <v>1</v>
      </c>
      <c r="D40" s="25">
        <f t="shared" si="36"/>
        <v>4</v>
      </c>
      <c r="E40" s="25">
        <f>'Working Respondent'!$F$5</f>
        <v>75</v>
      </c>
      <c r="F40" s="29">
        <f t="shared" si="37"/>
        <v>300</v>
      </c>
      <c r="G40" s="29">
        <f t="shared" si="38"/>
        <v>15</v>
      </c>
      <c r="H40" s="29">
        <f t="shared" si="39"/>
        <v>30</v>
      </c>
      <c r="I40" s="29">
        <f t="shared" si="40"/>
        <v>27538.65</v>
      </c>
      <c r="K40" s="25">
        <v>4</v>
      </c>
      <c r="L40" s="25">
        <v>1</v>
      </c>
      <c r="M40" s="25">
        <f t="shared" si="41"/>
        <v>4</v>
      </c>
      <c r="N40" s="25"/>
      <c r="O40" s="29">
        <f t="shared" si="42"/>
        <v>0</v>
      </c>
      <c r="P40" s="29">
        <f t="shared" si="43"/>
        <v>0</v>
      </c>
      <c r="Q40" s="29">
        <f t="shared" si="44"/>
        <v>0</v>
      </c>
      <c r="R40" s="29">
        <f t="shared" si="45"/>
        <v>0</v>
      </c>
    </row>
    <row r="41" spans="1:18" ht="14" x14ac:dyDescent="0.3">
      <c r="A41" s="139" t="s">
        <v>164</v>
      </c>
      <c r="B41" s="25">
        <v>2</v>
      </c>
      <c r="C41" s="25">
        <v>1</v>
      </c>
      <c r="D41" s="25">
        <f t="shared" si="36"/>
        <v>2</v>
      </c>
      <c r="E41" s="25">
        <f>'Working Respondent'!$F$5</f>
        <v>75</v>
      </c>
      <c r="F41" s="29">
        <f t="shared" si="37"/>
        <v>150</v>
      </c>
      <c r="G41" s="29">
        <f t="shared" si="38"/>
        <v>7.5</v>
      </c>
      <c r="H41" s="29">
        <f t="shared" si="39"/>
        <v>15</v>
      </c>
      <c r="I41" s="29">
        <f t="shared" si="40"/>
        <v>13769.325000000001</v>
      </c>
      <c r="K41" s="25">
        <v>2</v>
      </c>
      <c r="L41" s="25">
        <v>1</v>
      </c>
      <c r="M41" s="25">
        <f t="shared" si="41"/>
        <v>2</v>
      </c>
      <c r="N41" s="25"/>
      <c r="O41" s="29">
        <f t="shared" si="42"/>
        <v>0</v>
      </c>
      <c r="P41" s="29">
        <f t="shared" si="43"/>
        <v>0</v>
      </c>
      <c r="Q41" s="29">
        <f t="shared" si="44"/>
        <v>0</v>
      </c>
      <c r="R41" s="29">
        <f t="shared" si="45"/>
        <v>0</v>
      </c>
    </row>
    <row r="42" spans="1:18" ht="14" x14ac:dyDescent="0.3">
      <c r="A42" s="139" t="s">
        <v>165</v>
      </c>
      <c r="B42" s="25">
        <v>0.5</v>
      </c>
      <c r="C42" s="25">
        <v>52</v>
      </c>
      <c r="D42" s="25">
        <f t="shared" si="36"/>
        <v>26</v>
      </c>
      <c r="E42" s="29"/>
      <c r="F42" s="23">
        <f t="shared" si="37"/>
        <v>0</v>
      </c>
      <c r="G42" s="33">
        <f t="shared" si="38"/>
        <v>0</v>
      </c>
      <c r="H42" s="33">
        <f t="shared" si="39"/>
        <v>0</v>
      </c>
      <c r="I42" s="30">
        <f t="shared" si="40"/>
        <v>0</v>
      </c>
      <c r="K42" s="25">
        <v>0.5</v>
      </c>
      <c r="L42" s="25">
        <v>52</v>
      </c>
      <c r="M42" s="25">
        <f t="shared" si="41"/>
        <v>26</v>
      </c>
      <c r="N42" s="25"/>
      <c r="O42" s="23">
        <f t="shared" si="42"/>
        <v>0</v>
      </c>
      <c r="P42" s="33">
        <f t="shared" si="43"/>
        <v>0</v>
      </c>
      <c r="Q42" s="33">
        <f t="shared" si="44"/>
        <v>0</v>
      </c>
      <c r="R42" s="30">
        <f t="shared" si="45"/>
        <v>0</v>
      </c>
    </row>
    <row r="43" spans="1:18" ht="14" x14ac:dyDescent="0.3">
      <c r="A43" s="139" t="s">
        <v>170</v>
      </c>
      <c r="B43" s="25">
        <v>0.25</v>
      </c>
      <c r="C43" s="25">
        <v>2</v>
      </c>
      <c r="D43" s="25">
        <f t="shared" si="36"/>
        <v>0.5</v>
      </c>
      <c r="E43" s="29"/>
      <c r="F43" s="29">
        <f t="shared" si="37"/>
        <v>0</v>
      </c>
      <c r="G43" s="33">
        <f t="shared" si="38"/>
        <v>0</v>
      </c>
      <c r="H43" s="33">
        <f t="shared" si="39"/>
        <v>0</v>
      </c>
      <c r="I43" s="30">
        <f t="shared" si="40"/>
        <v>0</v>
      </c>
      <c r="K43" s="25">
        <v>0.25</v>
      </c>
      <c r="L43" s="25">
        <v>2</v>
      </c>
      <c r="M43" s="25">
        <f t="shared" si="41"/>
        <v>0.5</v>
      </c>
      <c r="N43" s="25"/>
      <c r="O43" s="29">
        <f t="shared" si="42"/>
        <v>0</v>
      </c>
      <c r="P43" s="33">
        <f t="shared" si="43"/>
        <v>0</v>
      </c>
      <c r="Q43" s="33">
        <f t="shared" si="44"/>
        <v>0</v>
      </c>
      <c r="R43" s="30">
        <f t="shared" si="45"/>
        <v>0</v>
      </c>
    </row>
    <row r="44" spans="1:18" ht="14" x14ac:dyDescent="0.3">
      <c r="A44" s="139" t="s">
        <v>168</v>
      </c>
      <c r="B44" s="25">
        <v>2</v>
      </c>
      <c r="C44" s="25">
        <v>1</v>
      </c>
      <c r="D44" s="25">
        <f t="shared" si="36"/>
        <v>2</v>
      </c>
      <c r="E44" s="25">
        <f>'Working Respondent'!$F$5</f>
        <v>75</v>
      </c>
      <c r="F44" s="29">
        <f t="shared" si="37"/>
        <v>150</v>
      </c>
      <c r="G44" s="29">
        <f t="shared" si="38"/>
        <v>7.5</v>
      </c>
      <c r="H44" s="29">
        <f t="shared" si="39"/>
        <v>15</v>
      </c>
      <c r="I44" s="38">
        <f t="shared" si="40"/>
        <v>13769.325000000001</v>
      </c>
      <c r="K44" s="25">
        <v>2</v>
      </c>
      <c r="L44" s="25">
        <v>1</v>
      </c>
      <c r="M44" s="25">
        <f t="shared" si="41"/>
        <v>2</v>
      </c>
      <c r="N44" s="25"/>
      <c r="O44" s="29">
        <f t="shared" si="42"/>
        <v>0</v>
      </c>
      <c r="P44" s="29">
        <f t="shared" si="43"/>
        <v>0</v>
      </c>
      <c r="Q44" s="29">
        <f t="shared" si="44"/>
        <v>0</v>
      </c>
      <c r="R44" s="38">
        <f t="shared" si="45"/>
        <v>0</v>
      </c>
    </row>
    <row r="45" spans="1:18" ht="14" x14ac:dyDescent="0.3">
      <c r="A45" s="139" t="s">
        <v>169</v>
      </c>
      <c r="B45" s="25">
        <v>4</v>
      </c>
      <c r="C45" s="25">
        <v>1</v>
      </c>
      <c r="D45" s="25">
        <f t="shared" si="36"/>
        <v>4</v>
      </c>
      <c r="E45" s="25">
        <f>'Working Respondent'!$F$5</f>
        <v>75</v>
      </c>
      <c r="F45" s="29">
        <f t="shared" si="37"/>
        <v>300</v>
      </c>
      <c r="G45" s="33">
        <f t="shared" si="38"/>
        <v>15</v>
      </c>
      <c r="H45" s="33">
        <f t="shared" si="39"/>
        <v>30</v>
      </c>
      <c r="I45" s="30">
        <f t="shared" si="40"/>
        <v>27538.65</v>
      </c>
      <c r="K45" s="25">
        <v>4</v>
      </c>
      <c r="L45" s="25">
        <v>1</v>
      </c>
      <c r="M45" s="25">
        <f t="shared" si="41"/>
        <v>4</v>
      </c>
      <c r="N45" s="25"/>
      <c r="O45" s="29">
        <f t="shared" si="42"/>
        <v>0</v>
      </c>
      <c r="P45" s="33">
        <f t="shared" si="43"/>
        <v>0</v>
      </c>
      <c r="Q45" s="33">
        <f t="shared" si="44"/>
        <v>0</v>
      </c>
      <c r="R45" s="30">
        <f t="shared" si="45"/>
        <v>0</v>
      </c>
    </row>
    <row r="46" spans="1:18" x14ac:dyDescent="0.3">
      <c r="A46" s="139" t="s">
        <v>16</v>
      </c>
      <c r="B46" s="25" t="s">
        <v>2</v>
      </c>
      <c r="C46" s="25"/>
      <c r="D46" s="25"/>
      <c r="E46" s="25"/>
      <c r="F46" s="25"/>
      <c r="G46" s="25"/>
      <c r="H46" s="25"/>
      <c r="I46" s="30"/>
      <c r="K46" s="25" t="s">
        <v>2</v>
      </c>
      <c r="L46" s="25"/>
      <c r="M46" s="25"/>
      <c r="N46" s="25"/>
      <c r="O46" s="25"/>
      <c r="P46" s="25"/>
      <c r="Q46" s="25"/>
      <c r="R46" s="30"/>
    </row>
    <row r="47" spans="1:18" x14ac:dyDescent="0.3">
      <c r="A47" s="32" t="s">
        <v>17</v>
      </c>
      <c r="B47" s="25"/>
      <c r="C47" s="25"/>
      <c r="D47" s="25"/>
      <c r="E47" s="25"/>
      <c r="F47" s="200">
        <f>SUM(F37:H46)</f>
        <v>1380</v>
      </c>
      <c r="G47" s="201"/>
      <c r="H47" s="202"/>
      <c r="I47" s="37">
        <f>SUM(I37:I46)</f>
        <v>110154.6</v>
      </c>
      <c r="K47" s="25"/>
      <c r="L47" s="25"/>
      <c r="M47" s="25"/>
      <c r="N47" s="25"/>
      <c r="O47" s="200">
        <f>SUM(O37:Q46)</f>
        <v>0</v>
      </c>
      <c r="P47" s="201"/>
      <c r="Q47" s="202"/>
      <c r="R47" s="37">
        <f>SUM(R37:R46)</f>
        <v>0</v>
      </c>
    </row>
    <row r="48" spans="1:18" ht="14" x14ac:dyDescent="0.3">
      <c r="A48" s="94" t="s">
        <v>171</v>
      </c>
      <c r="B48" s="94"/>
      <c r="C48" s="94"/>
      <c r="D48" s="95"/>
      <c r="E48" s="95"/>
      <c r="F48" s="205">
        <f>ROUND(F47+F36,-1)</f>
        <v>1520</v>
      </c>
      <c r="G48" s="205"/>
      <c r="H48" s="205"/>
      <c r="I48" s="140">
        <f>ROUND(I47+I36,-3)</f>
        <v>121000</v>
      </c>
      <c r="K48" s="94"/>
      <c r="L48" s="94"/>
      <c r="M48" s="95"/>
      <c r="N48" s="95"/>
      <c r="O48" s="205">
        <f>ROUND(O47+O36,-1)</f>
        <v>-120</v>
      </c>
      <c r="P48" s="205"/>
      <c r="Q48" s="205"/>
      <c r="R48" s="169">
        <f>ROUND(R47+R36,-2)</f>
        <v>-9600</v>
      </c>
    </row>
    <row r="49" spans="1:18" ht="14" x14ac:dyDescent="0.3">
      <c r="A49" s="96" t="s">
        <v>172</v>
      </c>
      <c r="B49" s="96"/>
      <c r="C49" s="96"/>
      <c r="D49" s="97"/>
      <c r="E49" s="97"/>
      <c r="F49" s="206"/>
      <c r="G49" s="207"/>
      <c r="H49" s="208"/>
      <c r="I49" s="52">
        <v>0</v>
      </c>
      <c r="K49" s="96"/>
      <c r="L49" s="96"/>
      <c r="M49" s="97"/>
      <c r="N49" s="97"/>
      <c r="O49" s="206"/>
      <c r="P49" s="207"/>
      <c r="Q49" s="208"/>
      <c r="R49" s="52">
        <v>0</v>
      </c>
    </row>
    <row r="50" spans="1:18" ht="14" x14ac:dyDescent="0.3">
      <c r="A50" s="26" t="s">
        <v>173</v>
      </c>
      <c r="B50" s="98"/>
      <c r="C50" s="98"/>
      <c r="D50" s="98"/>
      <c r="E50" s="98"/>
      <c r="F50" s="203">
        <f>F48</f>
        <v>1520</v>
      </c>
      <c r="G50" s="204"/>
      <c r="H50" s="204"/>
      <c r="I50" s="55">
        <f>I48</f>
        <v>121000</v>
      </c>
      <c r="K50" s="98"/>
      <c r="L50" s="98"/>
      <c r="M50" s="98"/>
      <c r="N50" s="98"/>
      <c r="O50" s="203">
        <f>O48</f>
        <v>-120</v>
      </c>
      <c r="P50" s="204"/>
      <c r="Q50" s="204"/>
      <c r="R50" s="55">
        <f>R48</f>
        <v>-9600</v>
      </c>
    </row>
    <row r="52" spans="1:18" x14ac:dyDescent="0.3">
      <c r="A52" s="99" t="s">
        <v>35</v>
      </c>
    </row>
    <row r="53" spans="1:18" ht="14" x14ac:dyDescent="0.3">
      <c r="A53" s="34" t="s">
        <v>154</v>
      </c>
    </row>
    <row r="54" spans="1:18" ht="14" x14ac:dyDescent="0.3">
      <c r="A54" s="34" t="s">
        <v>103</v>
      </c>
    </row>
    <row r="55" spans="1:18" ht="14" x14ac:dyDescent="0.3">
      <c r="A55" s="34" t="s">
        <v>128</v>
      </c>
    </row>
    <row r="56" spans="1:18" ht="14" x14ac:dyDescent="0.3">
      <c r="A56" s="34" t="s">
        <v>129</v>
      </c>
    </row>
    <row r="57" spans="1:18" ht="14" x14ac:dyDescent="0.3">
      <c r="A57" s="34" t="s">
        <v>136</v>
      </c>
    </row>
    <row r="58" spans="1:18" ht="14" x14ac:dyDescent="0.3">
      <c r="A58" s="34" t="s">
        <v>137</v>
      </c>
    </row>
    <row r="59" spans="1:18" ht="14" x14ac:dyDescent="0.3">
      <c r="A59" s="34" t="s">
        <v>161</v>
      </c>
    </row>
    <row r="60" spans="1:18" ht="14" x14ac:dyDescent="0.3">
      <c r="A60" s="34" t="s">
        <v>142</v>
      </c>
    </row>
    <row r="61" spans="1:18" ht="14" x14ac:dyDescent="0.3">
      <c r="A61" s="34" t="s">
        <v>150</v>
      </c>
    </row>
    <row r="62" spans="1:18" ht="14" x14ac:dyDescent="0.3">
      <c r="A62" s="47" t="s">
        <v>160</v>
      </c>
    </row>
    <row r="63" spans="1:18" ht="14" x14ac:dyDescent="0.3">
      <c r="A63" s="34" t="s">
        <v>166</v>
      </c>
    </row>
    <row r="64" spans="1:18" ht="14.5" x14ac:dyDescent="0.3">
      <c r="A64" s="44" t="s">
        <v>167</v>
      </c>
    </row>
  </sheetData>
  <mergeCells count="12">
    <mergeCell ref="F50:H50"/>
    <mergeCell ref="A8:B8"/>
    <mergeCell ref="F36:H36"/>
    <mergeCell ref="A37:B37"/>
    <mergeCell ref="F47:H47"/>
    <mergeCell ref="F48:H48"/>
    <mergeCell ref="F49:H49"/>
    <mergeCell ref="O49:Q49"/>
    <mergeCell ref="O50:Q50"/>
    <mergeCell ref="O36:Q36"/>
    <mergeCell ref="O47:Q47"/>
    <mergeCell ref="O48:Q48"/>
  </mergeCells>
  <hyperlinks>
    <hyperlink ref="U2" r:id="rId1" xr:uid="{EDB096A2-0645-4D9C-8805-5408C8AB60A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1a_small</vt:lpstr>
      <vt:lpstr>1b_large</vt:lpstr>
      <vt:lpstr>OpCosts</vt:lpstr>
      <vt:lpstr>1c_Summary</vt:lpstr>
      <vt:lpstr>2_EPA</vt:lpstr>
      <vt:lpstr>Responses</vt:lpstr>
      <vt:lpstr>Working Respondent</vt:lpstr>
      <vt:lpstr>1a_increment</vt:lpstr>
      <vt:lpstr>1b_increment</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Purdy, Mark</cp:lastModifiedBy>
  <dcterms:created xsi:type="dcterms:W3CDTF">2014-09-29T16:56:37Z</dcterms:created>
  <dcterms:modified xsi:type="dcterms:W3CDTF">2021-12-09T20:27:09Z</dcterms:modified>
</cp:coreProperties>
</file>