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hidePivotFieldList="1"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70E7CCB7-0E9E-4590-9996-5E29F61435A7}" xr6:coauthVersionLast="47" xr6:coauthVersionMax="47" xr10:uidLastSave="{00000000-0000-0000-0000-000000000000}"/>
  <bookViews>
    <workbookView xWindow="-110" yWindow="-110" windowWidth="19420" windowHeight="10420" tabRatio="925" xr2:uid="{00000000-000D-0000-FFFF-FFFF00000000}"/>
  </bookViews>
  <sheets>
    <sheet name="Industry" sheetId="97" r:id="rId1"/>
    <sheet name="Record&amp;Reporting Burden Only" sheetId="100" state="hidden" r:id="rId2"/>
    <sheet name="Process Vent - T&amp;M Costs" sheetId="81" state="hidden" r:id="rId3"/>
    <sheet name="Resin T&amp;M Costs" sheetId="82" state="hidden" r:id="rId4"/>
    <sheet name="Wastewater T&amp;M Costs" sheetId="83" state="hidden" r:id="rId5"/>
    <sheet name="EquipmentLeaks - T&amp;M Costs" sheetId="93" state="hidden" r:id="rId6"/>
    <sheet name="Hourly Rates" sheetId="18" state="hidden" r:id="rId7"/>
    <sheet name="Agency" sheetId="99" r:id="rId8"/>
    <sheet name="CAP&amp;O&amp;M" sheetId="101" r:id="rId9"/>
  </sheets>
  <definedNames>
    <definedName name="_Regression_Int" localSheetId="0" hidden="1">1</definedName>
    <definedName name="June_2003_HMIWI_Inventory" localSheetId="6">#REF!</definedName>
    <definedName name="_xlnm.Print_Area" localSheetId="7">Agency!$A$2:$H$28</definedName>
    <definedName name="_xlnm.Print_Area" localSheetId="6">'Hourly Rates'!$A$7:$J$16</definedName>
    <definedName name="_xlnm.Print_Area" localSheetId="0">Industry!$A$1:$M$87</definedName>
    <definedName name="_xlnm.Print_Area" localSheetId="1">'Record&amp;Reporting Burden Only'!$A$1:$K$37</definedName>
    <definedName name="_xlnm.Print_Titles" localSheetId="6">'Hourly Rates'!#REF!</definedName>
    <definedName name="_xlnm.Print_Titles" localSheetId="0">Industry!$5:$11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01" l="1"/>
  <c r="K69" i="97" l="1"/>
  <c r="D17" i="97"/>
  <c r="F17" i="97" s="1"/>
  <c r="H17" i="97" s="1"/>
  <c r="D44" i="97"/>
  <c r="B42" i="97"/>
  <c r="B41" i="97"/>
  <c r="B37" i="97"/>
  <c r="D37" i="97" s="1"/>
  <c r="D27" i="97"/>
  <c r="F27" i="97" s="1"/>
  <c r="E9" i="99"/>
  <c r="C21" i="101"/>
  <c r="F21" i="101"/>
  <c r="G17" i="97" l="1"/>
  <c r="I17" i="97" s="1"/>
  <c r="F20" i="101"/>
  <c r="F16" i="101" l="1"/>
  <c r="F12" i="101" l="1"/>
  <c r="D16" i="99" l="1"/>
  <c r="D6" i="99" l="1"/>
  <c r="D32" i="97" l="1"/>
  <c r="E11" i="101" l="1"/>
  <c r="H12" i="101"/>
  <c r="H15" i="101"/>
  <c r="H21" i="101"/>
  <c r="E21" i="101"/>
  <c r="E19" i="101"/>
  <c r="F19" i="101"/>
  <c r="H19" i="101" s="1"/>
  <c r="H22" i="101"/>
  <c r="H20" i="101"/>
  <c r="H18" i="101"/>
  <c r="F17" i="101"/>
  <c r="H17" i="101" s="1"/>
  <c r="H16" i="101"/>
  <c r="H11" i="101"/>
  <c r="E22" i="101"/>
  <c r="E20" i="101"/>
  <c r="E18" i="101"/>
  <c r="E16" i="101"/>
  <c r="E15" i="101"/>
  <c r="C17" i="101"/>
  <c r="E17" i="101" s="1"/>
  <c r="H24" i="101" l="1"/>
  <c r="I71" i="97" s="1"/>
  <c r="E24" i="101"/>
  <c r="D39" i="97"/>
  <c r="F39" i="97" s="1"/>
  <c r="D40" i="97"/>
  <c r="F40" i="97" s="1"/>
  <c r="D41" i="97"/>
  <c r="F41" i="97" s="1"/>
  <c r="D42" i="97"/>
  <c r="F42" i="97" s="1"/>
  <c r="D43" i="97"/>
  <c r="F43" i="97" s="1"/>
  <c r="F44" i="97"/>
  <c r="B36" i="97"/>
  <c r="B31" i="97"/>
  <c r="B24" i="97"/>
  <c r="H44" i="97" l="1"/>
  <c r="G44" i="97"/>
  <c r="H40" i="97"/>
  <c r="G40" i="97"/>
  <c r="H41" i="97"/>
  <c r="G41" i="97"/>
  <c r="H42" i="97"/>
  <c r="G42" i="97"/>
  <c r="H43" i="97"/>
  <c r="G43" i="97"/>
  <c r="H39" i="97"/>
  <c r="G39" i="97"/>
  <c r="I41" i="97" l="1"/>
  <c r="I40" i="97"/>
  <c r="I42" i="97"/>
  <c r="I44" i="97"/>
  <c r="I43" i="97"/>
  <c r="I39" i="97"/>
  <c r="B30" i="97" l="1"/>
  <c r="B23" i="97"/>
  <c r="D23" i="97" s="1"/>
  <c r="F23" i="97" s="1"/>
  <c r="G23" i="97" s="1"/>
  <c r="B29" i="97"/>
  <c r="B22" i="97"/>
  <c r="B28" i="97"/>
  <c r="B21" i="97"/>
  <c r="H23" i="97" l="1"/>
  <c r="I23" i="97" s="1"/>
  <c r="D19" i="99" l="1"/>
  <c r="F19" i="99" s="1"/>
  <c r="D18" i="99"/>
  <c r="F18" i="99" s="1"/>
  <c r="D17" i="99"/>
  <c r="F17" i="99" s="1"/>
  <c r="F16" i="99"/>
  <c r="D15" i="99"/>
  <c r="F15" i="99" s="1"/>
  <c r="D14" i="99"/>
  <c r="F14" i="99" s="1"/>
  <c r="D13" i="99"/>
  <c r="F13" i="99" s="1"/>
  <c r="D9" i="99"/>
  <c r="D8" i="99"/>
  <c r="F8" i="99" s="1"/>
  <c r="F6" i="99"/>
  <c r="F9" i="99" l="1"/>
  <c r="C29" i="83"/>
  <c r="E8" i="18" l="1"/>
  <c r="D30" i="97" l="1"/>
  <c r="F30" i="97" s="1"/>
  <c r="D31" i="97"/>
  <c r="F31" i="97" s="1"/>
  <c r="F32" i="97"/>
  <c r="I20" i="99"/>
  <c r="H19" i="99"/>
  <c r="H18" i="99"/>
  <c r="H9" i="99"/>
  <c r="H8" i="99"/>
  <c r="D66" i="97"/>
  <c r="F66" i="97" s="1"/>
  <c r="D65" i="97"/>
  <c r="F65" i="97" s="1"/>
  <c r="D64" i="97"/>
  <c r="F64" i="97" s="1"/>
  <c r="D63" i="97"/>
  <c r="F63" i="97" s="1"/>
  <c r="D62" i="97"/>
  <c r="F62" i="97" s="1"/>
  <c r="D61" i="97"/>
  <c r="F61" i="97" s="1"/>
  <c r="D60" i="97"/>
  <c r="F60" i="97" s="1"/>
  <c r="D53" i="97"/>
  <c r="F53" i="97" s="1"/>
  <c r="D52" i="97"/>
  <c r="F52" i="97" s="1"/>
  <c r="D51" i="97"/>
  <c r="D50" i="97"/>
  <c r="D49" i="97"/>
  <c r="D48" i="97"/>
  <c r="F47" i="97"/>
  <c r="H47" i="97" s="1"/>
  <c r="F37" i="97"/>
  <c r="D36" i="97"/>
  <c r="F36" i="97" s="1"/>
  <c r="D34" i="97"/>
  <c r="F34" i="97" s="1"/>
  <c r="D29" i="97"/>
  <c r="F29" i="97" s="1"/>
  <c r="D28" i="97"/>
  <c r="F28" i="97" s="1"/>
  <c r="D25" i="97"/>
  <c r="F25" i="97" s="1"/>
  <c r="D24" i="97"/>
  <c r="F24" i="97" s="1"/>
  <c r="D22" i="97"/>
  <c r="F22" i="97" s="1"/>
  <c r="D21" i="97"/>
  <c r="F21" i="97" s="1"/>
  <c r="D20" i="97"/>
  <c r="F20" i="97" s="1"/>
  <c r="F19" i="97"/>
  <c r="H19" i="97" s="1"/>
  <c r="F18" i="97"/>
  <c r="H18" i="97" s="1"/>
  <c r="D16" i="97"/>
  <c r="F16" i="97" s="1"/>
  <c r="D14" i="97"/>
  <c r="F14" i="97" s="1"/>
  <c r="H13" i="97"/>
  <c r="D13" i="97"/>
  <c r="I12" i="97"/>
  <c r="D12" i="97"/>
  <c r="H16" i="97" l="1"/>
  <c r="H24" i="97"/>
  <c r="H22" i="97"/>
  <c r="H21" i="97"/>
  <c r="H27" i="97"/>
  <c r="F48" i="97"/>
  <c r="F50" i="97"/>
  <c r="H14" i="99"/>
  <c r="H16" i="99"/>
  <c r="G13" i="99"/>
  <c r="H15" i="99"/>
  <c r="G31" i="97"/>
  <c r="H31" i="97"/>
  <c r="G18" i="97"/>
  <c r="G47" i="97"/>
  <c r="F49" i="97"/>
  <c r="F51" i="97"/>
  <c r="H51" i="97" s="1"/>
  <c r="G19" i="99"/>
  <c r="I19" i="99" s="1"/>
  <c r="H30" i="97"/>
  <c r="G30" i="97"/>
  <c r="H32" i="97"/>
  <c r="G32" i="97"/>
  <c r="G17" i="99"/>
  <c r="H17" i="99"/>
  <c r="G6" i="99"/>
  <c r="G8" i="99"/>
  <c r="I8" i="99" s="1"/>
  <c r="G9" i="99"/>
  <c r="G18" i="99"/>
  <c r="I18" i="99" s="1"/>
  <c r="H6" i="99"/>
  <c r="G25" i="97"/>
  <c r="H25" i="97"/>
  <c r="G37" i="97"/>
  <c r="H37" i="97"/>
  <c r="G14" i="97"/>
  <c r="H14" i="97"/>
  <c r="G20" i="97"/>
  <c r="H20" i="97"/>
  <c r="G28" i="97"/>
  <c r="H28" i="97"/>
  <c r="H29" i="97"/>
  <c r="G29" i="97"/>
  <c r="H34" i="97"/>
  <c r="G34" i="97"/>
  <c r="H52" i="97"/>
  <c r="G52" i="97"/>
  <c r="I13" i="97"/>
  <c r="G16" i="97"/>
  <c r="G19" i="97"/>
  <c r="G21" i="97"/>
  <c r="G22" i="97"/>
  <c r="G24" i="97"/>
  <c r="G27" i="97"/>
  <c r="H36" i="97"/>
  <c r="H53" i="97"/>
  <c r="H60" i="97"/>
  <c r="H61" i="97"/>
  <c r="H62" i="97"/>
  <c r="H63" i="97"/>
  <c r="H64" i="97"/>
  <c r="H65" i="97"/>
  <c r="H66" i="97"/>
  <c r="G36" i="97"/>
  <c r="G53" i="97"/>
  <c r="G60" i="97"/>
  <c r="G61" i="97"/>
  <c r="G62" i="97"/>
  <c r="G63" i="97"/>
  <c r="G64" i="97"/>
  <c r="G65" i="97"/>
  <c r="G66" i="97"/>
  <c r="I66" i="97" l="1"/>
  <c r="F69" i="97"/>
  <c r="I14" i="97"/>
  <c r="I61" i="97"/>
  <c r="I9" i="99"/>
  <c r="I63" i="97"/>
  <c r="I31" i="97"/>
  <c r="I20" i="97"/>
  <c r="I24" i="97"/>
  <c r="I6" i="99"/>
  <c r="I37" i="97"/>
  <c r="I16" i="97"/>
  <c r="I17" i="99"/>
  <c r="I62" i="97"/>
  <c r="I53" i="97"/>
  <c r="I34" i="97"/>
  <c r="H13" i="99"/>
  <c r="I13" i="99" s="1"/>
  <c r="I29" i="97"/>
  <c r="I30" i="97"/>
  <c r="I27" i="97"/>
  <c r="I60" i="97"/>
  <c r="I21" i="97"/>
  <c r="I65" i="97"/>
  <c r="I52" i="97"/>
  <c r="I32" i="97"/>
  <c r="I36" i="97"/>
  <c r="I28" i="97"/>
  <c r="I25" i="97"/>
  <c r="I22" i="97"/>
  <c r="G48" i="97"/>
  <c r="H50" i="97"/>
  <c r="H49" i="97"/>
  <c r="G50" i="97"/>
  <c r="G51" i="97"/>
  <c r="I51" i="97" s="1"/>
  <c r="I64" i="97"/>
  <c r="G16" i="99"/>
  <c r="I16" i="99" s="1"/>
  <c r="G49" i="97"/>
  <c r="H48" i="97"/>
  <c r="G15" i="99"/>
  <c r="I15" i="99" s="1"/>
  <c r="G14" i="99"/>
  <c r="I14" i="99" s="1"/>
  <c r="F21" i="99" l="1"/>
  <c r="F54" i="97"/>
  <c r="F70" i="97" s="1"/>
  <c r="K70" i="97" s="1"/>
  <c r="I21" i="99"/>
  <c r="I69" i="97"/>
  <c r="I49" i="97"/>
  <c r="I50" i="97"/>
  <c r="I48" i="97"/>
  <c r="B26" i="83"/>
  <c r="C26" i="83" s="1"/>
  <c r="B25" i="83"/>
  <c r="C25" i="83" s="1"/>
  <c r="B24" i="83"/>
  <c r="C24" i="83" s="1"/>
  <c r="B23" i="83"/>
  <c r="C23" i="83" s="1"/>
  <c r="B22" i="83"/>
  <c r="B20" i="83"/>
  <c r="C20" i="83" s="1"/>
  <c r="B18" i="83"/>
  <c r="C18" i="83" s="1"/>
  <c r="B16" i="83"/>
  <c r="C16" i="83" s="1"/>
  <c r="B12" i="83"/>
  <c r="C12" i="83" s="1"/>
  <c r="D4" i="83"/>
  <c r="E12" i="82"/>
  <c r="D4" i="82"/>
  <c r="E19" i="82" s="1"/>
  <c r="I54" i="97" l="1"/>
  <c r="I70" i="97" s="1"/>
  <c r="I72" i="97" s="1"/>
  <c r="E8" i="82"/>
  <c r="E10" i="82" s="1"/>
  <c r="C37" i="82" s="1"/>
  <c r="B27" i="83"/>
  <c r="C19" i="83" s="1"/>
  <c r="C22" i="83"/>
  <c r="C31" i="82"/>
  <c r="E14" i="82"/>
  <c r="C42" i="82"/>
  <c r="C36" i="82"/>
  <c r="C34" i="82"/>
  <c r="C27" i="82"/>
  <c r="C25" i="82"/>
  <c r="E42" i="82"/>
  <c r="F42" i="82" s="1"/>
  <c r="E40" i="82"/>
  <c r="F40" i="82" s="1"/>
  <c r="E38" i="82"/>
  <c r="F38" i="82" s="1"/>
  <c r="E36" i="82"/>
  <c r="F36" i="82" s="1"/>
  <c r="E34" i="82"/>
  <c r="F34" i="82" s="1"/>
  <c r="E32" i="82"/>
  <c r="F32" i="82" s="1"/>
  <c r="E30" i="82"/>
  <c r="F30" i="82" s="1"/>
  <c r="E27" i="82"/>
  <c r="F27" i="82" s="1"/>
  <c r="E25" i="82"/>
  <c r="F25" i="82" s="1"/>
  <c r="E41" i="82"/>
  <c r="F41" i="82" s="1"/>
  <c r="E39" i="82"/>
  <c r="F39" i="82" s="1"/>
  <c r="E37" i="82"/>
  <c r="F37" i="82" s="1"/>
  <c r="E35" i="82"/>
  <c r="F35" i="82" s="1"/>
  <c r="E33" i="82"/>
  <c r="F33" i="82" s="1"/>
  <c r="E31" i="82"/>
  <c r="F31" i="82" s="1"/>
  <c r="E29" i="82"/>
  <c r="F29" i="82" s="1"/>
  <c r="E28" i="82"/>
  <c r="F28" i="82" s="1"/>
  <c r="E26" i="82"/>
  <c r="F26" i="82" s="1"/>
  <c r="C39" i="82" l="1"/>
  <c r="C30" i="82"/>
  <c r="C38" i="82"/>
  <c r="C26" i="82"/>
  <c r="C33" i="82"/>
  <c r="C41" i="82"/>
  <c r="C32" i="82"/>
  <c r="C40" i="82"/>
  <c r="C28" i="82"/>
  <c r="C35" i="82"/>
  <c r="C29" i="82"/>
  <c r="C15" i="83"/>
  <c r="C13" i="83"/>
  <c r="C21" i="83"/>
  <c r="C17" i="83"/>
  <c r="C14" i="83"/>
  <c r="D18" i="81" l="1"/>
  <c r="G15" i="81" s="1"/>
  <c r="F15" i="81"/>
  <c r="D14" i="81"/>
  <c r="D13" i="81"/>
  <c r="G13" i="81" s="1"/>
  <c r="D12" i="81"/>
  <c r="G11" i="81"/>
  <c r="F11" i="81"/>
  <c r="D23" i="81" l="1"/>
  <c r="G14" i="81"/>
  <c r="H15" i="81"/>
  <c r="G12" i="81"/>
  <c r="H12" i="81" s="1"/>
  <c r="H11" i="81"/>
  <c r="F13" i="81"/>
  <c r="H13" i="81" s="1"/>
  <c r="H22" i="81" s="1"/>
  <c r="F14" i="81"/>
  <c r="H14" i="81" s="1"/>
  <c r="H21" i="81" s="1"/>
  <c r="H23" i="81" s="1"/>
  <c r="E25" i="18" l="1"/>
  <c r="E24" i="18"/>
  <c r="E23" i="18"/>
  <c r="D37" i="18"/>
  <c r="D36" i="18"/>
  <c r="D35" i="18"/>
  <c r="E26" i="18" l="1"/>
  <c r="F20" i="100"/>
  <c r="F36" i="100"/>
  <c r="F19" i="100"/>
  <c r="E22" i="100"/>
  <c r="E18" i="100"/>
  <c r="F17" i="100" l="1"/>
  <c r="E36" i="100"/>
  <c r="F35" i="100"/>
  <c r="F37" i="100" s="1"/>
  <c r="E35" i="100"/>
  <c r="G19" i="100"/>
  <c r="G18" i="100"/>
  <c r="G17" i="100"/>
  <c r="G22" i="100"/>
  <c r="F22" i="100"/>
  <c r="F18" i="100"/>
  <c r="F21" i="100"/>
  <c r="G16" i="100"/>
  <c r="G20" i="100"/>
  <c r="F16" i="100"/>
  <c r="G21" i="100"/>
  <c r="E21" i="100"/>
  <c r="E20" i="100"/>
  <c r="E17" i="100"/>
  <c r="E16" i="100"/>
  <c r="E19" i="100"/>
  <c r="E37" i="100" l="1"/>
  <c r="C18" i="100"/>
  <c r="C16" i="100"/>
  <c r="C36" i="100"/>
  <c r="D35" i="100"/>
  <c r="D36" i="100"/>
  <c r="F23" i="100"/>
  <c r="G23" i="100"/>
  <c r="C20" i="100"/>
  <c r="C22" i="100"/>
  <c r="C21" i="100"/>
  <c r="E23" i="100"/>
  <c r="C17" i="100"/>
  <c r="D37" i="100" l="1"/>
  <c r="C19" i="100" l="1"/>
  <c r="C23" i="100" s="1"/>
  <c r="C35" i="100"/>
  <c r="C37" i="100" s="1"/>
</calcChain>
</file>

<file path=xl/sharedStrings.xml><?xml version="1.0" encoding="utf-8"?>
<sst xmlns="http://schemas.openxmlformats.org/spreadsheetml/2006/main" count="510" uniqueCount="380">
  <si>
    <t>(B)</t>
  </si>
  <si>
    <t>(C)</t>
  </si>
  <si>
    <t>(D)</t>
  </si>
  <si>
    <t>(E)</t>
  </si>
  <si>
    <t>(F)</t>
  </si>
  <si>
    <t>EPA</t>
  </si>
  <si>
    <t>Management</t>
  </si>
  <si>
    <t>Clerical</t>
  </si>
  <si>
    <t>Occurrences</t>
  </si>
  <si>
    <t>Hours</t>
  </si>
  <si>
    <t>Per</t>
  </si>
  <si>
    <t>Per Year</t>
  </si>
  <si>
    <t>Occurrence</t>
  </si>
  <si>
    <t>Burden Item</t>
  </si>
  <si>
    <t>not applicable</t>
  </si>
  <si>
    <t>c</t>
  </si>
  <si>
    <t xml:space="preserve"> </t>
  </si>
  <si>
    <t>f</t>
  </si>
  <si>
    <t>per trip</t>
  </si>
  <si>
    <t>(A)</t>
  </si>
  <si>
    <t>(G)</t>
  </si>
  <si>
    <t>Number of</t>
  </si>
  <si>
    <t>Technical</t>
  </si>
  <si>
    <t>Total</t>
  </si>
  <si>
    <t>Respondents</t>
  </si>
  <si>
    <t>Labor Costs</t>
  </si>
  <si>
    <t>(Technical</t>
  </si>
  <si>
    <t>Respondent</t>
  </si>
  <si>
    <t>hours)</t>
  </si>
  <si>
    <t>e</t>
  </si>
  <si>
    <t>d</t>
  </si>
  <si>
    <t>a</t>
  </si>
  <si>
    <t>b</t>
  </si>
  <si>
    <t>Hours per</t>
  </si>
  <si>
    <t>4.  Recordkeeping Requirements</t>
  </si>
  <si>
    <t>FOOTNOTES</t>
  </si>
  <si>
    <t>Parameters/Costs</t>
  </si>
  <si>
    <t>Equation</t>
  </si>
  <si>
    <t>A. Parameters</t>
  </si>
  <si>
    <t>Notes:</t>
  </si>
  <si>
    <t>Sources:</t>
  </si>
  <si>
    <t>Values</t>
  </si>
  <si>
    <t>B. Testing Costs, $</t>
  </si>
  <si>
    <t>Note:</t>
  </si>
  <si>
    <t>2.  Required activities</t>
  </si>
  <si>
    <t xml:space="preserve">    a.  Perf. spec. tests (certif.) for CMS</t>
  </si>
  <si>
    <t>2.  Person-hours per occurrence for CMS performance specification costs are based on the performance specification costs to certify CMS ($700) divided by the composite hourly</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</si>
  <si>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</si>
  <si>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</si>
  <si>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t>Hourly Mean Wage</t>
  </si>
  <si>
    <t>With  Fringe &amp; Overhead</t>
  </si>
  <si>
    <t>Average</t>
  </si>
  <si>
    <t>from http://www.opm.gov/oca/10tables/</t>
  </si>
  <si>
    <t>Source: http://www.opm.gov/oca/10tables/pdf/gs_h.pdf</t>
  </si>
  <si>
    <t>Labor Type</t>
  </si>
  <si>
    <t>a,d</t>
  </si>
  <si>
    <t>labor rate ($66.41/hr).</t>
  </si>
  <si>
    <t>(GS- 13, step 5) - Mgmt.</t>
  </si>
  <si>
    <t>(GS- 12, step 1) - Tech.</t>
  </si>
  <si>
    <t>(GS-6, step 3) - Cler.</t>
  </si>
  <si>
    <t>Sector and SOC Code*</t>
  </si>
  <si>
    <r>
      <t>Hourly mean wage</t>
    </r>
    <r>
      <rPr>
        <sz val="8"/>
        <rFont val="Arial"/>
        <family val="2"/>
      </rPr>
      <t xml:space="preserve"> (From OES tables)</t>
    </r>
  </si>
  <si>
    <r>
      <t>Loaded Rate</t>
    </r>
    <r>
      <rPr>
        <sz val="8"/>
        <rFont val="Arial"/>
        <family val="2"/>
      </rPr>
      <t xml:space="preserve"> (Rate + 110%rate)</t>
    </r>
  </si>
  <si>
    <t>Mgmt.</t>
  </si>
  <si>
    <t>Tech.</t>
  </si>
  <si>
    <t>Cler.</t>
  </si>
  <si>
    <t xml:space="preserve">      Composite labor rate</t>
  </si>
  <si>
    <t xml:space="preserve">      Contractor</t>
  </si>
  <si>
    <t>http://www.bls.gov/oes/current/naics4_999300.htm</t>
  </si>
  <si>
    <t>N/A</t>
  </si>
  <si>
    <t>Incl. in 3.B</t>
  </si>
  <si>
    <t>Incl. in 3.E</t>
  </si>
  <si>
    <t>Incl. in 3.A</t>
  </si>
  <si>
    <t>Managerial</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</si>
  <si>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</si>
  <si>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</si>
  <si>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</si>
  <si>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</si>
  <si>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</si>
  <si>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</si>
  <si>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</si>
  <si>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</si>
  <si>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</si>
  <si>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</si>
  <si>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</si>
  <si>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</si>
  <si>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1. Initial testing costs to be annualized over 20 years at 7% interest.</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</si>
  <si>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</si>
  <si>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</si>
  <si>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</si>
  <si>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</si>
  <si>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</si>
  <si>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Resin Sampling and Monitoring</t>
  </si>
  <si>
    <t xml:space="preserve">Initial Compliance </t>
  </si>
  <si>
    <t>Total Compliance Cost</t>
  </si>
  <si>
    <t>Annual Cost of Initial Compliance</t>
  </si>
  <si>
    <t>Monitoring</t>
  </si>
  <si>
    <t>Company</t>
  </si>
  <si>
    <t>Location</t>
  </si>
  <si>
    <t>TAC of Resin Testing</t>
  </si>
  <si>
    <t>*National Environmental Methods Index Website https://www.nemi.gov/apex/f?p=237:38:951365369293524::::P38_METHOD_ID:7041</t>
  </si>
  <si>
    <t>Wastewater Sampling and Monitoring</t>
  </si>
  <si>
    <t>These rates are from the United States Department of Labor, Bureau of Labor Statistics, September 2009, ATable 2. Civilian Workers, by occupational and industry group.@  The rates are from column 1, ATotal compensation.@  The rates have been increased by 110 percent to account for the benefit packages available to those employed by private industry.</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</si>
  <si>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</si>
  <si>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</si>
  <si>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</si>
  <si>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</si>
  <si>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</si>
  <si>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</si>
  <si>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</si>
  <si>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</si>
  <si>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</si>
  <si>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</si>
  <si>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</si>
  <si>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</si>
  <si>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</si>
  <si>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</si>
  <si>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</si>
  <si>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</si>
  <si>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g</t>
  </si>
  <si>
    <t>Formosa - Baton Rouge</t>
  </si>
  <si>
    <t>Formosa - Delaware City</t>
  </si>
  <si>
    <t>Formosa - Point Comfort</t>
  </si>
  <si>
    <t>Georgia Gulf - Aberdeen</t>
  </si>
  <si>
    <t>Georgia Gulf - Plaquemine</t>
  </si>
  <si>
    <t>OxyVinyls - Pasadena</t>
  </si>
  <si>
    <t>OxyVinyls - Pedricktown</t>
  </si>
  <si>
    <t>PolyOne - Henry</t>
  </si>
  <si>
    <t>Shintech - Addis</t>
  </si>
  <si>
    <t>Shintech - Freeport</t>
  </si>
  <si>
    <t>Shintech - Plaquemine</t>
  </si>
  <si>
    <t>Dow - Midland</t>
  </si>
  <si>
    <t>Westlake - Calvert City</t>
  </si>
  <si>
    <t>Westlake - Geismar</t>
  </si>
  <si>
    <t>40CFR61 V</t>
  </si>
  <si>
    <t>40CFR63 UU</t>
  </si>
  <si>
    <t>LDAR Cost increase for V to UU</t>
  </si>
  <si>
    <t>5. Method 18 (assumed cost is equal to Method SW 846 0031)</t>
  </si>
  <si>
    <t>PolyOne - Pedricktown</t>
  </si>
  <si>
    <t>Low</t>
  </si>
  <si>
    <t>High</t>
  </si>
  <si>
    <t>Cost of US EPA Method 8260B [1]</t>
  </si>
  <si>
    <t>`= (3 inlet tests*Avg Cost*2 Strippers)*CRF</t>
  </si>
  <si>
    <t>Initial Compliance Costs</t>
  </si>
  <si>
    <t>Annualized Initial Compliance Costs</t>
  </si>
  <si>
    <t>Dispersion</t>
  </si>
  <si>
    <t>Suspension</t>
  </si>
  <si>
    <t>Copolymer (VDCO-S)</t>
  </si>
  <si>
    <t>Copolymer (VACO-D)</t>
  </si>
  <si>
    <t>Suspension Blending</t>
  </si>
  <si>
    <t>1. National Environmental Methods Index Website https://www.nemi.gov/apex/f?p=237:38:951365369293524::::P38_METHOD_ID:7041</t>
  </si>
  <si>
    <t>Cost of US EPA Method 8260B</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</si>
  <si>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</si>
  <si>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</si>
  <si>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</si>
  <si>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</si>
  <si>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</si>
  <si>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</si>
  <si>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</si>
  <si>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Count of Wastewater StreamID_STD</t>
  </si>
  <si>
    <t>FacilityName</t>
  </si>
  <si>
    <t>Formosa Plastics Corporation Baton Rouge</t>
  </si>
  <si>
    <t>Georgia Gulf Chemicals Aberdeen Facility</t>
  </si>
  <si>
    <t>Lake Charles Polymer Plant</t>
  </si>
  <si>
    <t>OxyVinyls Deer Park</t>
  </si>
  <si>
    <t>OxyVinyls Pasadena</t>
  </si>
  <si>
    <t>PolyOne Henry</t>
  </si>
  <si>
    <t>Shintech Addis</t>
  </si>
  <si>
    <t>Shintech Freeport</t>
  </si>
  <si>
    <t>Shintech Plaquemine</t>
  </si>
  <si>
    <t>Union Carbide Texas City</t>
  </si>
  <si>
    <t>Westlake Calvert City</t>
  </si>
  <si>
    <t>Westlake Geismar</t>
  </si>
  <si>
    <t>Grand Total</t>
  </si>
  <si>
    <t>h</t>
  </si>
  <si>
    <t>(H)</t>
  </si>
  <si>
    <t>n/a</t>
  </si>
  <si>
    <t>Other Sources</t>
  </si>
  <si>
    <t>Heat Exchange Systems</t>
  </si>
  <si>
    <t>Storage Vessels</t>
  </si>
  <si>
    <t>Equipment Leaks</t>
  </si>
  <si>
    <t>Wastewater</t>
  </si>
  <si>
    <t>Process Vents</t>
  </si>
  <si>
    <t>Resins</t>
  </si>
  <si>
    <t>Yr 3</t>
  </si>
  <si>
    <t>Yr 2</t>
  </si>
  <si>
    <t>Yr 1</t>
  </si>
  <si>
    <t>Record Keeping and Reporting Burden By Emission Point</t>
  </si>
  <si>
    <t>Initial Cost
($)</t>
  </si>
  <si>
    <t>Annual Cost ($/yr)</t>
  </si>
  <si>
    <t>Initial Notes</t>
  </si>
  <si>
    <t>Labor/Non Labor Costs to "Read/Understand Rule Requirements" divided by 7 emission points</t>
  </si>
  <si>
    <t>Initial Performance Test/Sampling/Report</t>
  </si>
  <si>
    <t>Establishment of operating parameters and monitoring plan</t>
  </si>
  <si>
    <t>Report preparation for item 3.E.1-6 divided by 7 emission points</t>
  </si>
  <si>
    <t>a,b,c,d</t>
  </si>
  <si>
    <t>a,b,d</t>
  </si>
  <si>
    <t>Annual Notes</t>
  </si>
  <si>
    <t>Periodic sampling/testing/and monitoring (not applicable for process vents in year 1)</t>
  </si>
  <si>
    <t>In year 2 and 3, recordkeeping items under 4.D are included</t>
  </si>
  <si>
    <t>includes annual labor cost for PRD monitoring system</t>
  </si>
  <si>
    <t>e,f,g</t>
  </si>
  <si>
    <t>e,f,g,h</t>
  </si>
  <si>
    <t>Years 2 and 3 include items 3.E.5 and 3.E.6 divided by 7 emission points</t>
  </si>
  <si>
    <t>Emission Point</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</si>
  <si>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</si>
  <si>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</si>
  <si>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</si>
  <si>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</si>
  <si>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</si>
  <si>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WastewaterTesting and Sampling Cost Estimate</t>
  </si>
  <si>
    <t>Hourly Rate Determinations</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</si>
  <si>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</si>
  <si>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</si>
  <si>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</si>
  <si>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</si>
  <si>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</si>
  <si>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</si>
  <si>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</si>
  <si>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</si>
  <si>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</si>
  <si>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t>Facilities going from V to UU</t>
  </si>
  <si>
    <t>Incremental BTF Costs for Facilities going from V to UU</t>
  </si>
  <si>
    <t>Equipment Leaks BTF Costs Calculation on a Facility Basis</t>
  </si>
  <si>
    <t>MACT</t>
  </si>
  <si>
    <t>ATTACHMENT E: RECORDKEEPING AND REPORTING COST ALGORITHM</t>
  </si>
  <si>
    <t xml:space="preserve">15 WW Strippers + Sum of Uncontrolled Streams = </t>
  </si>
  <si>
    <t>Increase: Update labor rates</t>
  </si>
  <si>
    <t xml:space="preserve">(C) </t>
  </si>
  <si>
    <t xml:space="preserve">(D) </t>
  </si>
  <si>
    <t>(E) Technical person-hours per year (E=CxD)</t>
  </si>
  <si>
    <t>(F) Management person-hours per year (Ex0.05)</t>
  </si>
  <si>
    <t>(G) Clerical person-hours per year (Ex0.10)</t>
  </si>
  <si>
    <t xml:space="preserve">(H) </t>
  </si>
  <si>
    <t>EPA person-hours per occurrence</t>
  </si>
  <si>
    <t>No. of occurrences per plant per year</t>
  </si>
  <si>
    <t>EPA person-hours per plant per year (C=AxB)</t>
  </si>
  <si>
    <t>hr per resp</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</si>
  <si>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</si>
  <si>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</si>
  <si>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</si>
  <si>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</si>
  <si>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</si>
  <si>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</si>
  <si>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</si>
  <si>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</si>
  <si>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(E X F)</t>
  </si>
  <si>
    <t>Continuous Parameter Monitoring</t>
  </si>
  <si>
    <t>Periodic Testing</t>
  </si>
  <si>
    <t>Gas holders</t>
  </si>
  <si>
    <r>
      <t xml:space="preserve">Stripped resin: Non-VC TOHAP testing </t>
    </r>
    <r>
      <rPr>
        <vertAlign val="superscript"/>
        <sz val="10"/>
        <color rgb="FF000000"/>
        <rFont val="Times New Roman"/>
        <family val="1"/>
      </rPr>
      <t>2</t>
    </r>
  </si>
  <si>
    <r>
      <t>3</t>
    </r>
    <r>
      <rPr>
        <sz val="9"/>
        <color rgb="FF000000"/>
        <rFont val="Times New Roman"/>
        <family val="1"/>
      </rPr>
      <t>Monthly testing ($491 x 12 months = $5,892 per year)</t>
    </r>
  </si>
  <si>
    <r>
      <t>Wastewater Testing</t>
    </r>
    <r>
      <rPr>
        <vertAlign val="superscript"/>
        <sz val="10"/>
        <color rgb="FF000000"/>
        <rFont val="Times New Roman"/>
        <family val="1"/>
      </rPr>
      <t>3</t>
    </r>
  </si>
  <si>
    <r>
      <t>Wastewater: Non-VC TOHAP testing</t>
    </r>
    <r>
      <rPr>
        <vertAlign val="superscript"/>
        <sz val="10"/>
        <color rgb="FF000000"/>
        <rFont val="Times New Roman"/>
        <family val="1"/>
      </rPr>
      <t>4</t>
    </r>
  </si>
  <si>
    <r>
      <t xml:space="preserve">Uncontrolled Wastewater testing </t>
    </r>
    <r>
      <rPr>
        <vertAlign val="superscript"/>
        <sz val="10"/>
        <color rgb="FF000000"/>
        <rFont val="Times New Roman"/>
        <family val="1"/>
      </rPr>
      <t>5</t>
    </r>
  </si>
  <si>
    <r>
      <t xml:space="preserve">Uncontrolled wastewater: Non-VC TOHAP testing </t>
    </r>
    <r>
      <rPr>
        <vertAlign val="superscript"/>
        <sz val="10"/>
        <color rgb="FF000000"/>
        <rFont val="Times New Roman"/>
        <family val="1"/>
      </rPr>
      <t>6</t>
    </r>
  </si>
  <si>
    <r>
      <t xml:space="preserve">Resin Sampling and Monitoring </t>
    </r>
    <r>
      <rPr>
        <vertAlign val="superscript"/>
        <sz val="10"/>
        <color rgb="FF000000"/>
        <rFont val="Times New Roman"/>
        <family val="1"/>
      </rPr>
      <t>1</t>
    </r>
  </si>
  <si>
    <r>
      <t xml:space="preserve">PRD Electronic Monitor </t>
    </r>
    <r>
      <rPr>
        <vertAlign val="superscript"/>
        <sz val="10"/>
        <color rgb="FF000000"/>
        <rFont val="Times New Roman"/>
        <family val="1"/>
      </rPr>
      <t>8</t>
    </r>
  </si>
  <si>
    <r>
      <t xml:space="preserve">VC Ambient monitoring  </t>
    </r>
    <r>
      <rPr>
        <vertAlign val="superscript"/>
        <sz val="10"/>
        <color rgb="FF000000"/>
        <rFont val="Times New Roman"/>
        <family val="1"/>
      </rPr>
      <t>9</t>
    </r>
  </si>
  <si>
    <t>Subtotal for Recordkeeping Requirements</t>
  </si>
  <si>
    <r>
      <t>Process Vent Testing</t>
    </r>
    <r>
      <rPr>
        <vertAlign val="superscript"/>
        <sz val="10"/>
        <color rgb="FF000000"/>
        <rFont val="Times New Roman"/>
        <family val="1"/>
      </rPr>
      <t>10</t>
    </r>
  </si>
  <si>
    <r>
      <t xml:space="preserve">Subtotal for Reporting Requirements </t>
    </r>
    <r>
      <rPr>
        <b/>
        <i/>
        <vertAlign val="superscript"/>
        <sz val="8"/>
        <rFont val="Arial"/>
        <family val="2"/>
      </rPr>
      <t>m</t>
    </r>
  </si>
  <si>
    <r>
      <t>TOTAL LABOR BURDEN AND COSTS (rounded)</t>
    </r>
    <r>
      <rPr>
        <b/>
        <vertAlign val="superscript"/>
        <sz val="8"/>
        <rFont val="Times New Roman"/>
        <family val="1"/>
      </rPr>
      <t>s</t>
    </r>
  </si>
  <si>
    <r>
      <t>GRAND TOTAL (rounded)</t>
    </r>
    <r>
      <rPr>
        <b/>
        <vertAlign val="superscript"/>
        <sz val="8"/>
        <rFont val="Times New Roman"/>
        <family val="1"/>
      </rPr>
      <t>s</t>
    </r>
  </si>
  <si>
    <r>
      <t xml:space="preserve">Plants Per Year </t>
    </r>
    <r>
      <rPr>
        <b/>
        <vertAlign val="superscript"/>
        <sz val="9"/>
        <color rgb="FF000000"/>
        <rFont val="Arial"/>
        <family val="2"/>
      </rPr>
      <t>a</t>
    </r>
  </si>
  <si>
    <r>
      <t xml:space="preserve">EPA Cost Per Year </t>
    </r>
    <r>
      <rPr>
        <b/>
        <vertAlign val="superscript"/>
        <sz val="9"/>
        <rFont val="Arial"/>
        <family val="2"/>
      </rPr>
      <t>b</t>
    </r>
  </si>
  <si>
    <r>
      <t>TOTAL ANNUAL BURDEN AND COST (rounded)</t>
    </r>
    <r>
      <rPr>
        <b/>
        <vertAlign val="superscript"/>
        <sz val="9"/>
        <rFont val="Arial"/>
        <family val="2"/>
      </rPr>
      <t>f</t>
    </r>
  </si>
  <si>
    <r>
      <t>TOTAL CAPITAL AND O&amp;M COST (rounded)</t>
    </r>
    <r>
      <rPr>
        <b/>
        <vertAlign val="superscript"/>
        <sz val="8"/>
        <rFont val="Times New Roman"/>
        <family val="1"/>
      </rPr>
      <t>s</t>
    </r>
  </si>
  <si>
    <r>
      <t xml:space="preserve">Per Year </t>
    </r>
    <r>
      <rPr>
        <vertAlign val="superscript"/>
        <sz val="8"/>
        <rFont val="Arial"/>
        <family val="2"/>
      </rPr>
      <t>a</t>
    </r>
  </si>
  <si>
    <r>
      <t xml:space="preserve">Per Year </t>
    </r>
    <r>
      <rPr>
        <vertAlign val="superscript"/>
        <sz val="8"/>
        <rFont val="Arial"/>
        <family val="2"/>
      </rPr>
      <t>b</t>
    </r>
  </si>
  <si>
    <t>Updated labor rates</t>
  </si>
  <si>
    <r>
      <rPr>
        <vertAlign val="superscript"/>
        <sz val="9"/>
        <rFont val="Times New Roman"/>
        <family val="1"/>
      </rPr>
      <t>9</t>
    </r>
    <r>
      <rPr>
        <sz val="9"/>
        <rFont val="Times New Roman"/>
        <family val="1"/>
      </rPr>
      <t xml:space="preserve"> Per VI's comments, there are approximately 60 GC monitors at the 13 major sources in the industry with an annual O&amp;M cost of $45,000 per monitor.  </t>
    </r>
  </si>
  <si>
    <r>
      <rPr>
        <vertAlign val="superscript"/>
        <sz val="9"/>
        <rFont val="Times New Roman"/>
        <family val="1"/>
      </rPr>
      <t>10</t>
    </r>
    <r>
      <rPr>
        <sz val="9"/>
        <rFont val="Times New Roman"/>
        <family val="1"/>
      </rPr>
      <t xml:space="preserve"> Per VI's comments, the cost to test one thermal oxidizer in 2018 was $99,080 and there are 32 thermal oxidizers in operation at 13 major source facilities</t>
    </r>
  </si>
  <si>
    <r>
      <t>2</t>
    </r>
    <r>
      <rPr>
        <sz val="9"/>
        <color rgb="FF000000"/>
        <rFont val="Times New Roman"/>
        <family val="1"/>
      </rPr>
      <t xml:space="preserve">Per VI's previous comments, the costs of Non-VC TOHAP testing is $650 per sample, and 3 resin samples per facility. </t>
    </r>
  </si>
  <si>
    <r>
      <t>4</t>
    </r>
    <r>
      <rPr>
        <sz val="9"/>
        <color rgb="FF000000"/>
        <rFont val="Times New Roman"/>
        <family val="1"/>
      </rPr>
      <t>Per VI's previous comments, the costs of Non-VC TOHAP testing is $650 per sample, and one sample per facility.</t>
    </r>
  </si>
  <si>
    <r>
      <t>1</t>
    </r>
    <r>
      <rPr>
        <sz val="9"/>
        <color rgb="FF000000"/>
        <rFont val="Times New Roman"/>
        <family val="1"/>
      </rPr>
      <t xml:space="preserve">Per VI's comments, monthly maintenance and service of a lab GC costs $600 per unit. </t>
    </r>
  </si>
  <si>
    <r>
      <t>5</t>
    </r>
    <r>
      <rPr>
        <sz val="9"/>
        <color rgb="FF000000"/>
        <rFont val="Times New Roman"/>
        <family val="1"/>
      </rPr>
      <t>Per VI's comments, there are 5 uncontrolled wastewater streams and 2 cooling tower streams per source sampled annually. Using a cost of $491 per sample x 7 samples = $3,437</t>
    </r>
  </si>
  <si>
    <r>
      <t>6</t>
    </r>
    <r>
      <rPr>
        <sz val="9"/>
        <color rgb="FF000000"/>
        <rFont val="Times New Roman"/>
        <family val="1"/>
      </rPr>
      <t>The costs of Non-VC TOHAP testing is assumed to be $650 per sample. Per VI's comments there are 5 uncontrolled wastewater streams and 2 cooling water streams per source sampled annually. $650 x 7 = $4,550</t>
    </r>
  </si>
  <si>
    <r>
      <t>Equipment Leak Testing</t>
    </r>
    <r>
      <rPr>
        <vertAlign val="superscript"/>
        <sz val="10"/>
        <color rgb="FF000000"/>
        <rFont val="Times New Roman"/>
        <family val="1"/>
      </rPr>
      <t xml:space="preserve"> 7</t>
    </r>
  </si>
  <si>
    <t>2021:</t>
  </si>
  <si>
    <t>1. Applications</t>
  </si>
  <si>
    <t>2. Familiarization with Rule Requirements</t>
  </si>
  <si>
    <t>3. Required Activities</t>
  </si>
  <si>
    <t xml:space="preserve">4. Travel expenses:  (1 person *  30 hours per year / 8 hours per day * $75 per diem) + ($600 per round trip) = </t>
  </si>
  <si>
    <r>
      <rPr>
        <vertAlign val="superscript"/>
        <sz val="8"/>
        <rFont val="Arial"/>
        <family val="2"/>
      </rPr>
      <t>a</t>
    </r>
    <r>
      <rPr>
        <sz val="8"/>
        <rFont val="Arial"/>
        <family val="2"/>
      </rPr>
      <t xml:space="preserve">Assumes that, over the next three years, approximately 13 respondents per year will be subject to the standard, and no additional respondents per year will become subject to the standard. </t>
    </r>
  </si>
  <si>
    <r>
      <rPr>
        <vertAlign val="superscript"/>
        <sz val="8"/>
        <rFont val="Arial"/>
        <family val="2"/>
      </rPr>
      <t>b</t>
    </r>
    <r>
      <rPr>
        <sz val="8"/>
        <rFont val="Arial"/>
        <family val="2"/>
      </rPr>
      <t>Labor rates are $69.04 for managerial (GS-13, Step 5, $43.15 + 60%), $51.23 for technical (GS-12, Step 1, $32.02 + 60%), and $27.73 for clerical (GS-6, Step 3, $17.33 + 60%). These rates are from the Office of Personnel Management (OPM), 2021 General Schedule, which excludes locality rates of pay. The rates have been increased by 60 percent to account for the benefit packages available to government employees.</t>
    </r>
  </si>
  <si>
    <r>
      <rPr>
        <vertAlign val="superscript"/>
        <sz val="8"/>
        <rFont val="Arial"/>
        <family val="2"/>
      </rPr>
      <t>c</t>
    </r>
    <r>
      <rPr>
        <sz val="8"/>
        <rFont val="Arial"/>
        <family val="2"/>
      </rPr>
      <t>Assumes EPA personnel attend 20 percent of the initial process vent stack tests.</t>
    </r>
  </si>
  <si>
    <r>
      <rPr>
        <vertAlign val="superscript"/>
        <sz val="8"/>
        <rFont val="Arial"/>
        <family val="2"/>
      </rPr>
      <t>d</t>
    </r>
    <r>
      <rPr>
        <sz val="8"/>
        <rFont val="Arial"/>
        <family val="2"/>
      </rPr>
      <t>Assume 10% of major source facilities (13) have emission exceedances.</t>
    </r>
  </si>
  <si>
    <r>
      <rPr>
        <vertAlign val="superscript"/>
        <sz val="8"/>
        <rFont val="Arial"/>
        <family val="2"/>
      </rPr>
      <t>e</t>
    </r>
    <r>
      <rPr>
        <sz val="8"/>
        <rFont val="Arial"/>
        <family val="2"/>
      </rPr>
      <t>Using four hours per state (6 states) to write annual summary report.</t>
    </r>
  </si>
  <si>
    <r>
      <rPr>
        <vertAlign val="superscript"/>
        <sz val="8"/>
        <rFont val="Arial"/>
        <family val="2"/>
      </rPr>
      <t>f</t>
    </r>
    <r>
      <rPr>
        <sz val="8"/>
        <rFont val="Arial"/>
        <family val="2"/>
      </rPr>
      <t>Totals have been rounded to 3 significant figures.  Figures may not add exactly due to rounding.</t>
    </r>
  </si>
  <si>
    <r>
      <t xml:space="preserve">    A. Observe initial performance tests </t>
    </r>
    <r>
      <rPr>
        <vertAlign val="superscript"/>
        <sz val="9"/>
        <rFont val="Arial"/>
        <family val="2"/>
      </rPr>
      <t>c</t>
    </r>
  </si>
  <si>
    <r>
      <t xml:space="preserve">    B. Excess emissions -- Enforcement Activities </t>
    </r>
    <r>
      <rPr>
        <vertAlign val="superscript"/>
        <sz val="9"/>
        <color rgb="FF000000"/>
        <rFont val="Arial"/>
        <family val="2"/>
      </rPr>
      <t>d</t>
    </r>
  </si>
  <si>
    <t xml:space="preserve">    E. Report Reviews</t>
  </si>
  <si>
    <t xml:space="preserve">    D. Gather Information</t>
  </si>
  <si>
    <t xml:space="preserve">    C. Create Information</t>
  </si>
  <si>
    <t xml:space="preserve">        1) Review initial notification</t>
  </si>
  <si>
    <t xml:space="preserve">        2) Review batch precompliance report</t>
  </si>
  <si>
    <t xml:space="preserve">        3) Review notification of performance test</t>
  </si>
  <si>
    <t xml:space="preserve">        4) Review notification of compliance status</t>
  </si>
  <si>
    <t xml:space="preserve">        5) Review compliance report</t>
  </si>
  <si>
    <t xml:space="preserve">        6) Review notice of inspection</t>
  </si>
  <si>
    <r>
      <t xml:space="preserve">    F. Prepare annual summary report </t>
    </r>
    <r>
      <rPr>
        <vertAlign val="superscript"/>
        <sz val="9"/>
        <rFont val="Arial"/>
        <family val="2"/>
      </rPr>
      <t>e</t>
    </r>
  </si>
  <si>
    <t>(C=A x B)</t>
  </si>
  <si>
    <t>(C x D)</t>
  </si>
  <si>
    <t>(E x 0.05)</t>
  </si>
  <si>
    <t>(E x 0.1)</t>
  </si>
  <si>
    <r>
      <rPr>
        <vertAlign val="superscript"/>
        <sz val="9"/>
        <rFont val="Times New Roman"/>
        <family val="1"/>
      </rPr>
      <t>8</t>
    </r>
    <r>
      <rPr>
        <sz val="9"/>
        <rFont val="Times New Roman"/>
        <family val="1"/>
      </rPr>
      <t xml:space="preserve"> The capital cost of a PRD monitor is $15,000 per device, and it is assumed that 25 devices per facility require indicators.</t>
    </r>
  </si>
  <si>
    <r>
      <t>7</t>
    </r>
    <r>
      <rPr>
        <sz val="9"/>
        <rFont val="Times New Roman"/>
        <family val="1"/>
      </rPr>
      <t xml:space="preserve">13 facilities maintain LDAR programs to comply with 40 CFR 63, Subpart UU </t>
    </r>
  </si>
  <si>
    <t>Table 1: Annual Respondent Burden and Cost – NESHAP for Polyvinyl Chloride and Copolymers Production (40 CFR Part 63, Subpart HHHHHHH) (Renewal)</t>
  </si>
  <si>
    <t xml:space="preserve">Table 2: Average Annual EPA Burden and Cost – NESHAP for Polyvinyl Chloride and Copolymers Production (40 CFR Part 63, Subpart HHHHHHH) (Renewal)   </t>
  </si>
  <si>
    <t>2. Surveys and Studies</t>
  </si>
  <si>
    <t>3. Reporting Requirements</t>
  </si>
  <si>
    <r>
      <t xml:space="preserve">    A. Familiarization with Regulatory Requirements </t>
    </r>
    <r>
      <rPr>
        <vertAlign val="superscript"/>
        <sz val="8"/>
        <rFont val="Arial"/>
        <family val="2"/>
      </rPr>
      <t>e,n</t>
    </r>
  </si>
  <si>
    <t xml:space="preserve">        1) Existing respondents</t>
  </si>
  <si>
    <t xml:space="preserve">        2) New respondents</t>
  </si>
  <si>
    <t xml:space="preserve">    B. Required Activities</t>
  </si>
  <si>
    <t xml:space="preserve">        1) Initial performance test, sampling, and report</t>
  </si>
  <si>
    <r>
      <t xml:space="preserve">            a) Process Vents </t>
    </r>
    <r>
      <rPr>
        <vertAlign val="superscript"/>
        <sz val="8"/>
        <rFont val="Arial"/>
        <family val="2"/>
      </rPr>
      <t>c,e</t>
    </r>
  </si>
  <si>
    <r>
      <t xml:space="preserve">            b) Resins </t>
    </r>
    <r>
      <rPr>
        <vertAlign val="superscript"/>
        <sz val="8"/>
        <rFont val="Arial"/>
        <family val="2"/>
      </rPr>
      <t>c,g</t>
    </r>
    <r>
      <rPr>
        <sz val="8"/>
        <rFont val="Arial"/>
        <family val="2"/>
      </rPr>
      <t xml:space="preserve"> </t>
    </r>
  </si>
  <si>
    <r>
      <t xml:space="preserve">            c) wastewater </t>
    </r>
    <r>
      <rPr>
        <vertAlign val="superscript"/>
        <sz val="8"/>
        <rFont val="Arial"/>
        <family val="2"/>
      </rPr>
      <t>c,h</t>
    </r>
  </si>
  <si>
    <r>
      <t xml:space="preserve">            d) uncontrolled wastewater </t>
    </r>
    <r>
      <rPr>
        <vertAlign val="superscript"/>
        <sz val="8"/>
        <rFont val="Arial"/>
        <family val="2"/>
      </rPr>
      <t>c,h</t>
    </r>
  </si>
  <si>
    <r>
      <t xml:space="preserve">            e) heat exchangers </t>
    </r>
    <r>
      <rPr>
        <vertAlign val="superscript"/>
        <sz val="8"/>
        <rFont val="Arial"/>
        <family val="2"/>
      </rPr>
      <t>c,i</t>
    </r>
  </si>
  <si>
    <r>
      <t xml:space="preserve">            f) equipment leaks </t>
    </r>
    <r>
      <rPr>
        <vertAlign val="superscript"/>
        <sz val="8"/>
        <rFont val="Arial"/>
        <family val="2"/>
      </rPr>
      <t>c,j</t>
    </r>
  </si>
  <si>
    <t xml:space="preserve">        2) Periodic performance test, sampling, and report</t>
  </si>
  <si>
    <t xml:space="preserve">        3) Establish operating parameters and monitoring plan</t>
  </si>
  <si>
    <t xml:space="preserve">        4) Continuous parameter monitoring</t>
  </si>
  <si>
    <t xml:space="preserve">        5) Other requirements</t>
  </si>
  <si>
    <r>
      <t xml:space="preserve">            a) Process Vents</t>
    </r>
    <r>
      <rPr>
        <vertAlign val="superscript"/>
        <sz val="8"/>
        <rFont val="Arial"/>
        <family val="2"/>
      </rPr>
      <t xml:space="preserve"> f</t>
    </r>
  </si>
  <si>
    <r>
      <t xml:space="preserve">            b) Resins </t>
    </r>
    <r>
      <rPr>
        <vertAlign val="superscript"/>
        <sz val="8"/>
        <rFont val="Arial"/>
        <family val="2"/>
      </rPr>
      <t>g</t>
    </r>
  </si>
  <si>
    <r>
      <t xml:space="preserve">            c) wastewater </t>
    </r>
    <r>
      <rPr>
        <vertAlign val="superscript"/>
        <sz val="8"/>
        <rFont val="Arial"/>
        <family val="2"/>
      </rPr>
      <t>h</t>
    </r>
  </si>
  <si>
    <r>
      <t xml:space="preserve">            e) heat exchangers </t>
    </r>
    <r>
      <rPr>
        <vertAlign val="superscript"/>
        <sz val="8"/>
        <rFont val="Arial"/>
        <family val="2"/>
      </rPr>
      <t>i</t>
    </r>
  </si>
  <si>
    <r>
      <t xml:space="preserve">            f) equipment leaks </t>
    </r>
    <r>
      <rPr>
        <vertAlign val="superscript"/>
        <sz val="8"/>
        <rFont val="Arial"/>
        <family val="2"/>
      </rPr>
      <t>j</t>
    </r>
  </si>
  <si>
    <r>
      <t xml:space="preserve">            a) Process Vents </t>
    </r>
    <r>
      <rPr>
        <vertAlign val="superscript"/>
        <sz val="8"/>
        <rFont val="Arial"/>
        <family val="2"/>
      </rPr>
      <t>c,d,e</t>
    </r>
  </si>
  <si>
    <r>
      <t xml:space="preserve">            a) Initial capital costs (PRD Electronic Monitor) </t>
    </r>
    <r>
      <rPr>
        <vertAlign val="superscript"/>
        <sz val="8"/>
        <rFont val="Arial"/>
        <family val="2"/>
      </rPr>
      <t>c,ik</t>
    </r>
  </si>
  <si>
    <r>
      <t xml:space="preserve">            b) Annualized PRD Electronic Monitor Review </t>
    </r>
    <r>
      <rPr>
        <vertAlign val="superscript"/>
        <sz val="8"/>
        <rFont val="Arial"/>
        <family val="2"/>
      </rPr>
      <t>k</t>
    </r>
  </si>
  <si>
    <r>
      <t xml:space="preserve">            a) equipment openings, initial measurement </t>
    </r>
    <r>
      <rPr>
        <vertAlign val="superscript"/>
        <sz val="8"/>
        <rFont val="Arial"/>
        <family val="2"/>
      </rPr>
      <t>c,o</t>
    </r>
  </si>
  <si>
    <r>
      <t xml:space="preserve">            b) equipment openings, daily measurement</t>
    </r>
    <r>
      <rPr>
        <vertAlign val="superscript"/>
        <sz val="8"/>
        <rFont val="Arial"/>
        <family val="2"/>
      </rPr>
      <t xml:space="preserve"> o</t>
    </r>
  </si>
  <si>
    <r>
      <t xml:space="preserve">            c) gasholders </t>
    </r>
    <r>
      <rPr>
        <vertAlign val="superscript"/>
        <sz val="8"/>
        <rFont val="Arial"/>
        <family val="2"/>
      </rPr>
      <t>p</t>
    </r>
  </si>
  <si>
    <r>
      <t xml:space="preserve">            d) storage vessels</t>
    </r>
    <r>
      <rPr>
        <vertAlign val="superscript"/>
        <sz val="8"/>
        <rFont val="Arial"/>
        <family val="2"/>
      </rPr>
      <t xml:space="preserve"> q</t>
    </r>
  </si>
  <si>
    <r>
      <t xml:space="preserve">            e) bypasses, initial requirement </t>
    </r>
    <r>
      <rPr>
        <vertAlign val="superscript"/>
        <sz val="8"/>
        <rFont val="Arial"/>
        <family val="2"/>
      </rPr>
      <t>c,r</t>
    </r>
  </si>
  <si>
    <r>
      <t xml:space="preserve">            f) bypasses, ongoing inspection </t>
    </r>
    <r>
      <rPr>
        <vertAlign val="superscript"/>
        <sz val="8"/>
        <rFont val="Arial"/>
        <family val="2"/>
      </rPr>
      <t>r</t>
    </r>
  </si>
  <si>
    <t xml:space="preserve">    E. Report Preparation</t>
  </si>
  <si>
    <t xml:space="preserve">    A.  Familiarization with Regulatory Requirements</t>
  </si>
  <si>
    <t xml:space="preserve">    B.  Implement Activities</t>
  </si>
  <si>
    <t xml:space="preserve">    C.  Develop Record System</t>
  </si>
  <si>
    <t xml:space="preserve">    D.  Record Information</t>
  </si>
  <si>
    <t xml:space="preserve">    E. Personnel Training</t>
  </si>
  <si>
    <t xml:space="preserve">    F. Time for Audits</t>
  </si>
  <si>
    <r>
      <t xml:space="preserve">        1) Initial Notification </t>
    </r>
    <r>
      <rPr>
        <vertAlign val="superscript"/>
        <sz val="8"/>
        <rFont val="Arial"/>
        <family val="2"/>
      </rPr>
      <t>c,d</t>
    </r>
  </si>
  <si>
    <r>
      <t xml:space="preserve">        2) Batch precompliance report </t>
    </r>
    <r>
      <rPr>
        <vertAlign val="superscript"/>
        <sz val="8"/>
        <rFont val="Arial"/>
        <family val="2"/>
      </rPr>
      <t>c,d</t>
    </r>
  </si>
  <si>
    <r>
      <t xml:space="preserve">        3) Notification of performance test with test plan </t>
    </r>
    <r>
      <rPr>
        <vertAlign val="superscript"/>
        <sz val="8"/>
        <rFont val="Arial"/>
        <family val="2"/>
      </rPr>
      <t>c,d</t>
    </r>
  </si>
  <si>
    <r>
      <t xml:space="preserve">        4) Notification of compliance status </t>
    </r>
    <r>
      <rPr>
        <vertAlign val="superscript"/>
        <sz val="8"/>
        <rFont val="Arial"/>
        <family val="2"/>
      </rPr>
      <t>c,d</t>
    </r>
  </si>
  <si>
    <r>
      <t xml:space="preserve">        5) Compliance report </t>
    </r>
    <r>
      <rPr>
        <vertAlign val="superscript"/>
        <sz val="8"/>
        <rFont val="Arial"/>
        <family val="2"/>
      </rPr>
      <t>d,k</t>
    </r>
  </si>
  <si>
    <r>
      <t xml:space="preserve">        6) Notice of inspection </t>
    </r>
    <r>
      <rPr>
        <vertAlign val="superscript"/>
        <sz val="8"/>
        <rFont val="Arial"/>
        <family val="2"/>
      </rPr>
      <t>d</t>
    </r>
  </si>
  <si>
    <r>
      <t xml:space="preserve">        1) Records of process vent requirements </t>
    </r>
    <r>
      <rPr>
        <vertAlign val="superscript"/>
        <sz val="8"/>
        <rFont val="Arial"/>
        <family val="2"/>
      </rPr>
      <t>d</t>
    </r>
  </si>
  <si>
    <r>
      <t xml:space="preserve">        2) Records of resin stripper requirements </t>
    </r>
    <r>
      <rPr>
        <vertAlign val="superscript"/>
        <sz val="8"/>
        <rFont val="Arial"/>
        <family val="2"/>
      </rPr>
      <t>d</t>
    </r>
  </si>
  <si>
    <r>
      <t xml:space="preserve">        3) Records wastewater requirements </t>
    </r>
    <r>
      <rPr>
        <vertAlign val="superscript"/>
        <sz val="8"/>
        <rFont val="Arial"/>
        <family val="2"/>
      </rPr>
      <t>d</t>
    </r>
  </si>
  <si>
    <r>
      <t xml:space="preserve">        4) Records of storage vessel requirements </t>
    </r>
    <r>
      <rPr>
        <vertAlign val="superscript"/>
        <sz val="8"/>
        <rFont val="Arial"/>
        <family val="2"/>
      </rPr>
      <t>d</t>
    </r>
  </si>
  <si>
    <r>
      <t xml:space="preserve">        5) Records of equipment leak requirements </t>
    </r>
    <r>
      <rPr>
        <vertAlign val="superscript"/>
        <sz val="8"/>
        <rFont val="Arial"/>
        <family val="2"/>
      </rPr>
      <t>d</t>
    </r>
  </si>
  <si>
    <r>
      <t xml:space="preserve">        6) Records of heat exchanger requirements </t>
    </r>
    <r>
      <rPr>
        <vertAlign val="superscript"/>
        <sz val="8"/>
        <rFont val="Arial"/>
        <family val="2"/>
      </rPr>
      <t>d</t>
    </r>
  </si>
  <si>
    <r>
      <t xml:space="preserve">        7) Records of other emission sources requirements </t>
    </r>
    <r>
      <rPr>
        <vertAlign val="superscript"/>
        <sz val="8"/>
        <rFont val="Arial"/>
        <family val="2"/>
      </rPr>
      <t>d</t>
    </r>
  </si>
  <si>
    <r>
      <rPr>
        <vertAlign val="superscript"/>
        <sz val="8"/>
        <rFont val="Arial"/>
        <family val="2"/>
      </rPr>
      <t>b</t>
    </r>
    <r>
      <rPr>
        <sz val="8"/>
        <rFont val="Arial"/>
        <family val="2"/>
      </rPr>
      <t>Labor rates are $153.55 for managerial, $122.20 for technical, and $61.51 for clerical. These rates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</si>
  <si>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8"/>
        <rFont val="Arial"/>
        <family val="2"/>
      </rPr>
      <t>c</t>
    </r>
    <r>
      <rPr>
        <sz val="8"/>
        <rFont val="Arial"/>
        <family val="2"/>
      </rPr>
      <t>One-time only costs.</t>
    </r>
  </si>
  <si>
    <r>
      <rPr>
        <vertAlign val="superscript"/>
        <sz val="8"/>
        <rFont val="Arial"/>
        <family val="2"/>
      </rPr>
      <t>d</t>
    </r>
    <r>
      <rPr>
        <sz val="8"/>
        <rFont val="Arial"/>
        <family val="2"/>
      </rPr>
      <t>Cost incurred by a facility regardless of the number of affected units at the plant. Per VI's comments, this is performed monthly. We have assumed 10 hours per month for each process listed.</t>
    </r>
  </si>
  <si>
    <r>
      <rPr>
        <vertAlign val="superscript"/>
        <sz val="8"/>
        <rFont val="Arial"/>
        <family val="2"/>
      </rPr>
      <t>e</t>
    </r>
    <r>
      <rPr>
        <sz val="8"/>
        <rFont val="Arial"/>
        <family val="2"/>
      </rPr>
      <t>There are 13 major sources in the affected source category. The previous count of 15 major sources counted Formosa Point Comfort as two facilities; however, this ICR assumes this is a single facility due to shared equipment, controls, and/or employees. Additionally, the Vinyl Institute (VI) informed EPA that the Wacker Calvert city facility discontinued PVC operations. Therefore, the count of major source facilities is adjusted to 13.</t>
    </r>
  </si>
  <si>
    <r>
      <rPr>
        <vertAlign val="superscript"/>
        <sz val="8"/>
        <rFont val="Arial"/>
        <family val="2"/>
      </rPr>
      <t>f</t>
    </r>
    <r>
      <rPr>
        <sz val="8"/>
        <rFont val="Arial"/>
        <family val="2"/>
      </rPr>
      <t xml:space="preserve">13 major sources are expected to perform testing for process vents.  OxyVinyls Pedricktown does not operate a process vent control, but rather sends process vent gas streams to Mexichem Pedricktown for control. Per VI, it is assumed that performance testing for process vents will take 120 hours per occurrence initially.  The initial compliance and operating procedure development for continuous compliance and will take 8 hours.  The daily monitoring of parameters will take 5 min per record with 112 records a day across 32 devices in the industry.  There are 3 area source and 13 major sources subject to this requirement.  Therefore, the continuous/daily monitoring will take on avg 17.1 hr per facility per day over 350 day/yr. </t>
    </r>
  </si>
  <si>
    <r>
      <rPr>
        <vertAlign val="superscript"/>
        <sz val="8"/>
        <rFont val="Arial"/>
        <family val="2"/>
      </rPr>
      <t>g</t>
    </r>
    <r>
      <rPr>
        <sz val="8"/>
        <rFont val="Arial"/>
        <family val="2"/>
      </rPr>
      <t>Per VI's previous comments, it is assumed that performance testing for resins will take 4 hours per sample for 9 samples per facility, initially and daily (350 days per year). Pursuant to 40 CFR 63.11960(d)(2), we have increased the number of occurrences from 350 to 362 to account for 12 monthly samples.</t>
    </r>
  </si>
  <si>
    <r>
      <rPr>
        <vertAlign val="superscript"/>
        <sz val="8"/>
        <rFont val="Arial"/>
        <family val="2"/>
      </rPr>
      <t>h</t>
    </r>
    <r>
      <rPr>
        <sz val="8"/>
        <rFont val="Arial"/>
        <family val="2"/>
      </rPr>
      <t>Per VI, wastewater testing is estimated to take 4 hours per sample for 2 samples per facility. There are 13 wastewater streams for 13 major sources, yields 13/13 wastewater streams per major source that are sampled monthly.  There are 5 uncontrolled wastewater streams per source that are sampled annually.  See Capital/O&amp;M costs for non-VC TOHAP samples.</t>
    </r>
  </si>
  <si>
    <r>
      <rPr>
        <vertAlign val="superscript"/>
        <sz val="8"/>
        <rFont val="Arial"/>
        <family val="2"/>
      </rPr>
      <t>i</t>
    </r>
    <r>
      <rPr>
        <sz val="8"/>
        <rFont val="Arial"/>
        <family val="2"/>
      </rPr>
      <t>Per VI, it is assumed that performance testing on heat exchangers will take 4 hours per sample for 2 samples per facility, initially and monthly,  for 16 of the 17 major sources.  One of the sources relies on another facility to cool the water.</t>
    </r>
  </si>
  <si>
    <r>
      <rPr>
        <vertAlign val="superscript"/>
        <sz val="8"/>
        <rFont val="Arial"/>
        <family val="2"/>
      </rPr>
      <t>j</t>
    </r>
    <r>
      <rPr>
        <sz val="8"/>
        <rFont val="Arial"/>
        <family val="2"/>
      </rPr>
      <t xml:space="preserve">For Equipment leaks, VI estimates approx 10,000 components per facility and 5 minutes per component, plus additional time calibration of analytical device for a total of 850 hr per facility.  For continuous monitoring, we assume 1 hr is required per component for leak repair, if detected. It was assumed that overall continuous compliace of leak monitoring will take 5% of the time with initial monitoring per month. </t>
    </r>
  </si>
  <si>
    <r>
      <rPr>
        <vertAlign val="superscript"/>
        <sz val="8"/>
        <rFont val="Arial"/>
        <family val="2"/>
      </rPr>
      <t>k</t>
    </r>
    <r>
      <rPr>
        <sz val="8"/>
        <rFont val="Arial"/>
        <family val="2"/>
      </rPr>
      <t>The Annualized PRD Electronic Monitor Review hours have been updated to include hours for corrective action for discharges and hours for replacement analysis. Per VI's comments, corrective action for discharge from a PRD would take 24 hours, and less than one PRD discharge event occurs per year in the entire industry. The number of hours for a discharge event is estimated to be 24/13 = 1.8 (rounded to 2) hours per facility. Per VI's comments, analysis for replacement of PRD monitors is estimated to take 24 hours per facility. Because the lifetime of a PRD monitor is expected to be 7 years, we do not expect the replacement analysis to occur annually, and we have assumed that this occurs once every 3 years (24 hrs/3 years = 8 hours per year).</t>
    </r>
  </si>
  <si>
    <r>
      <rPr>
        <vertAlign val="superscript"/>
        <sz val="8"/>
        <rFont val="Arial"/>
        <family val="2"/>
      </rPr>
      <t>m</t>
    </r>
    <r>
      <rPr>
        <sz val="8"/>
        <rFont val="Arial"/>
        <family val="2"/>
      </rPr>
      <t xml:space="preserve">Reporting subtotal does not include capital costs for PRD monitoring system.  </t>
    </r>
  </si>
  <si>
    <r>
      <rPr>
        <vertAlign val="superscript"/>
        <sz val="8"/>
        <rFont val="Arial"/>
        <family val="2"/>
      </rPr>
      <t>n</t>
    </r>
    <r>
      <rPr>
        <sz val="8"/>
        <rFont val="Arial"/>
        <family val="2"/>
      </rPr>
      <t>Because the rule requirements have not changed for existing respondents, we assume it will take 8 hours per respondent to read and understand the rule requirements (1 hr for 8 employees). We assume minimal time is needed each year to refamiliarize with rule requirements for existing employees. We assume that new employees will need 320 hours to familiarize with rule requirements (40 hours for 8 employees).</t>
    </r>
  </si>
  <si>
    <r>
      <rPr>
        <vertAlign val="superscript"/>
        <sz val="8"/>
        <rFont val="Arial"/>
        <family val="2"/>
      </rPr>
      <t>o</t>
    </r>
    <r>
      <rPr>
        <sz val="8"/>
        <rFont val="Arial"/>
        <family val="2"/>
      </rPr>
      <t xml:space="preserve">For Equipment openings, Per VI, 1.5 hr to obtain measurement, initially, daily. </t>
    </r>
  </si>
  <si>
    <r>
      <rPr>
        <vertAlign val="superscript"/>
        <sz val="8"/>
        <rFont val="Arial"/>
        <family val="2"/>
      </rPr>
      <t>p</t>
    </r>
    <r>
      <rPr>
        <sz val="8"/>
        <rFont val="Arial"/>
        <family val="2"/>
      </rPr>
      <t>Per VI's previous comments, this will require 24 hrs to evaluate compliance options, order materials, monitor installation, and developing O&amp;M procedures. Note: there are only 13 gas holders in the industry among major &amp; area sources (12 at major sources and 1 at an area source). This is assumed to be a one-time cost. Per VI's comments, facilities are performing this annually. We have assumed that annual updates to compliance options, order materials, monitor installation, and O&amp;M procedures will require 5% of the time that was needed to meet the initial requirements.</t>
    </r>
  </si>
  <si>
    <r>
      <rPr>
        <vertAlign val="superscript"/>
        <sz val="8"/>
        <rFont val="Arial"/>
        <family val="2"/>
      </rPr>
      <t>q</t>
    </r>
    <r>
      <rPr>
        <sz val="8"/>
        <rFont val="Arial"/>
        <family val="2"/>
      </rPr>
      <t>Per VI's previous comments, 40 hrs per facility to develop initial and ongoing compliance, inspection,and maintenance plans and procedures. This is assumed to be a one-time cost. Per VI's comments, facilities are performing this annually. We have assumed that annual updates will require 5% of the time that was needed to meet the initial requirements.</t>
    </r>
  </si>
  <si>
    <r>
      <rPr>
        <vertAlign val="superscript"/>
        <sz val="8"/>
        <rFont val="Arial"/>
        <family val="2"/>
      </rPr>
      <t>r</t>
    </r>
    <r>
      <rPr>
        <sz val="8"/>
        <rFont val="Arial"/>
        <family val="2"/>
      </rPr>
      <t xml:space="preserve">Per VI, 40 hrs per facility for traning, development, and implementation; and it will take 2 hrs per month to inspect car seals per facility. </t>
    </r>
  </si>
  <si>
    <r>
      <rPr>
        <vertAlign val="superscript"/>
        <sz val="8"/>
        <rFont val="Arial"/>
        <family val="2"/>
      </rPr>
      <t>s</t>
    </r>
    <r>
      <rPr>
        <sz val="8"/>
        <rFont val="Arial"/>
        <family val="2"/>
      </rPr>
      <t>Totals have been rounded to 3 significant figures.  Figures may not add exactly due to rounding.</t>
    </r>
  </si>
  <si>
    <r>
      <t xml:space="preserve">            d) uncontrolled wastewater </t>
    </r>
    <r>
      <rPr>
        <vertAlign val="superscript"/>
        <sz val="8"/>
        <rFont val="Arial"/>
        <family val="2"/>
      </rPr>
      <t>h</t>
    </r>
  </si>
  <si>
    <r>
      <rPr>
        <vertAlign val="superscript"/>
        <sz val="8"/>
        <rFont val="Arial"/>
        <family val="2"/>
      </rPr>
      <t>l</t>
    </r>
    <r>
      <rPr>
        <sz val="8"/>
        <rFont val="Arial"/>
        <family val="2"/>
      </rPr>
      <t>Per VI, Estimated that semiannual compliance reports would take 40 technical hours twice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</si>
</sst>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s>
  <fonts count="69" x14ac:knownFonts="1">
    <font>
      <sz val="8"/>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Helv"/>
    </font>
    <font>
      <sz val="8"/>
      <name val="Courier"/>
      <family val="3"/>
    </font>
    <font>
      <sz val="10"/>
      <color indexed="8"/>
      <name val="Arial"/>
      <family val="2"/>
    </font>
    <font>
      <sz val="8"/>
      <name val="Arial"/>
      <family val="2"/>
    </font>
    <font>
      <b/>
      <sz val="10"/>
      <name val="Arial"/>
      <family val="2"/>
    </font>
    <font>
      <sz val="10"/>
      <name val="Arial"/>
      <family val="2"/>
    </font>
    <font>
      <sz val="10"/>
      <color indexed="8"/>
      <name val="Arial"/>
      <family val="2"/>
    </font>
    <font>
      <u/>
      <sz val="10"/>
      <name val="Arial"/>
      <family val="2"/>
    </font>
    <font>
      <u/>
      <sz val="10"/>
      <name val="Arial"/>
      <family val="2"/>
    </font>
    <font>
      <u/>
      <sz val="10"/>
      <color indexed="8"/>
      <name val="Arial"/>
      <family val="2"/>
    </font>
    <font>
      <b/>
      <u/>
      <sz val="10"/>
      <name val="Arial"/>
      <family val="2"/>
    </font>
    <font>
      <b/>
      <sz val="8"/>
      <name val="Arial"/>
      <family val="2"/>
    </font>
    <font>
      <sz val="8"/>
      <color indexed="8"/>
      <name val="Verdana"/>
      <family val="2"/>
    </font>
    <font>
      <sz val="8"/>
      <name val="Arial"/>
      <family val="2"/>
    </font>
    <font>
      <b/>
      <u/>
      <sz val="8"/>
      <name val="Arial"/>
      <family val="2"/>
    </font>
    <font>
      <sz val="8"/>
      <name val="Verdana"/>
      <family val="2"/>
    </font>
    <font>
      <b/>
      <sz val="12"/>
      <name val="Arial"/>
      <family val="2"/>
    </font>
    <font>
      <sz val="22"/>
      <name val="Arial"/>
      <family val="2"/>
    </font>
    <font>
      <sz val="8"/>
      <color indexed="8"/>
      <name val="Arial"/>
      <family val="2"/>
    </font>
    <font>
      <b/>
      <sz val="9"/>
      <name val="Arial"/>
      <family val="2"/>
    </font>
    <font>
      <sz val="9"/>
      <name val="Arial"/>
      <family val="2"/>
    </font>
    <font>
      <sz val="9"/>
      <color indexed="8"/>
      <name val="Arial"/>
      <family val="2"/>
    </font>
    <font>
      <b/>
      <sz val="9"/>
      <color indexed="8"/>
      <name val="Arial"/>
      <family val="2"/>
    </font>
    <font>
      <u/>
      <sz val="8"/>
      <name val="Arial"/>
      <family val="2"/>
    </font>
    <font>
      <vertAlign val="superscript"/>
      <sz val="10"/>
      <name val="Arial"/>
      <family val="2"/>
    </font>
    <font>
      <sz val="11"/>
      <name val="Arial"/>
      <family val="2"/>
    </font>
    <font>
      <sz val="9"/>
      <color rgb="FFFF0000"/>
      <name val="Arial"/>
      <family val="2"/>
    </font>
    <font>
      <sz val="8"/>
      <name val="Times New Roman"/>
      <family val="1"/>
    </font>
    <font>
      <sz val="10"/>
      <color rgb="FF0070C0"/>
      <name val="Arial"/>
      <family val="2"/>
    </font>
    <font>
      <b/>
      <sz val="11"/>
      <color theme="1"/>
      <name val="Calibri"/>
      <family val="2"/>
      <scheme val="minor"/>
    </font>
    <font>
      <b/>
      <u val="double"/>
      <sz val="16"/>
      <name val="Helv"/>
    </font>
    <font>
      <u val="double"/>
      <sz val="16"/>
      <name val="Helv"/>
    </font>
    <font>
      <b/>
      <u val="double"/>
      <sz val="16"/>
      <name val="Arial"/>
      <family val="2"/>
    </font>
    <font>
      <b/>
      <sz val="10"/>
      <name val="Times New Roman"/>
      <family val="1"/>
    </font>
    <font>
      <b/>
      <vertAlign val="superscript"/>
      <sz val="10"/>
      <name val="Times New Roman"/>
      <family val="1"/>
    </font>
    <font>
      <sz val="11"/>
      <color rgb="FFFF0000"/>
      <name val="Calibri"/>
      <family val="2"/>
      <scheme val="minor"/>
    </font>
    <font>
      <b/>
      <sz val="12"/>
      <color rgb="FFFF0000"/>
      <name val="Times New Roman"/>
      <family val="1"/>
    </font>
    <font>
      <vertAlign val="superscript"/>
      <sz val="8"/>
      <name val="Arial"/>
      <family val="2"/>
    </font>
    <font>
      <b/>
      <i/>
      <sz val="8"/>
      <name val="Arial"/>
      <family val="2"/>
    </font>
    <font>
      <b/>
      <i/>
      <vertAlign val="superscript"/>
      <sz val="8"/>
      <name val="Arial"/>
      <family val="2"/>
    </font>
    <font>
      <b/>
      <sz val="8"/>
      <name val="Times New Roman"/>
      <family val="1"/>
    </font>
    <font>
      <b/>
      <sz val="9"/>
      <color rgb="FF000000"/>
      <name val="Arial"/>
      <family val="2"/>
    </font>
    <font>
      <b/>
      <vertAlign val="superscript"/>
      <sz val="9"/>
      <name val="Arial"/>
      <family val="2"/>
    </font>
    <font>
      <vertAlign val="superscript"/>
      <sz val="9"/>
      <name val="Arial"/>
      <family val="2"/>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vertAlign val="superscript"/>
      <sz val="10"/>
      <color rgb="FF000000"/>
      <name val="Times New Roman"/>
      <family val="1"/>
    </font>
    <font>
      <sz val="10"/>
      <name val="Times New Roman"/>
      <family val="1"/>
    </font>
    <font>
      <vertAlign val="superscript"/>
      <sz val="9"/>
      <color rgb="FF000000"/>
      <name val="Times New Roman"/>
      <family val="1"/>
    </font>
    <font>
      <sz val="9"/>
      <color rgb="FF000000"/>
      <name val="Times New Roman"/>
      <family val="1"/>
    </font>
    <font>
      <vertAlign val="superscript"/>
      <sz val="12"/>
      <color rgb="FF000000"/>
      <name val="Times New Roman"/>
      <family val="1"/>
    </font>
    <font>
      <sz val="9"/>
      <name val="Times New Roman"/>
      <family val="1"/>
    </font>
    <font>
      <vertAlign val="superscript"/>
      <sz val="9"/>
      <name val="Times New Roman"/>
      <family val="1"/>
    </font>
    <font>
      <b/>
      <vertAlign val="superscript"/>
      <sz val="8"/>
      <name val="Times New Roman"/>
      <family val="1"/>
    </font>
    <font>
      <sz val="8"/>
      <color theme="1"/>
      <name val="Times New Roman"/>
      <family val="1"/>
    </font>
    <font>
      <sz val="8"/>
      <color rgb="FFFF0000"/>
      <name val="Arial"/>
      <family val="2"/>
    </font>
    <font>
      <b/>
      <vertAlign val="superscript"/>
      <sz val="9"/>
      <color rgb="FF000000"/>
      <name val="Arial"/>
      <family val="2"/>
    </font>
    <font>
      <sz val="8"/>
      <color rgb="FFFF0000"/>
      <name val="Helv"/>
    </font>
    <font>
      <vertAlign val="superscript"/>
      <sz val="9"/>
      <color rgb="FF0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98">
    <border>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8"/>
      </right>
      <top style="thin">
        <color indexed="8"/>
      </top>
      <bottom style="medium">
        <color indexed="64"/>
      </bottom>
      <diagonal/>
    </border>
    <border>
      <left/>
      <right/>
      <top style="thin">
        <color indexed="8"/>
      </top>
      <bottom/>
      <diagonal/>
    </border>
    <border>
      <left/>
      <right/>
      <top/>
      <bottom style="thin">
        <color indexed="8"/>
      </bottom>
      <diagonal/>
    </border>
    <border>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bottom style="thin">
        <color indexed="8"/>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medium">
        <color indexed="64"/>
      </top>
      <bottom style="thin">
        <color indexed="64"/>
      </bottom>
      <diagonal/>
    </border>
    <border>
      <left style="thin">
        <color indexed="64"/>
      </left>
      <right style="medium">
        <color indexed="64"/>
      </right>
      <top/>
      <bottom/>
      <diagonal/>
    </border>
    <border>
      <left style="thin">
        <color indexed="8"/>
      </left>
      <right style="medium">
        <color indexed="64"/>
      </right>
      <top style="thin">
        <color indexed="64"/>
      </top>
      <bottom/>
      <diagonal/>
    </border>
    <border>
      <left/>
      <right style="thin">
        <color indexed="8"/>
      </right>
      <top style="thin">
        <color indexed="8"/>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rgb="FFFFFFFF"/>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medium">
        <color rgb="FFFFFFFF"/>
      </right>
      <top/>
      <bottom/>
      <diagonal/>
    </border>
    <border>
      <left/>
      <right style="thin">
        <color rgb="FF000000"/>
      </right>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right/>
      <top style="thin">
        <color auto="1"/>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4">
    <xf numFmtId="164"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9" fillId="0" borderId="0"/>
    <xf numFmtId="0" fontId="7" fillId="0" borderId="0"/>
    <xf numFmtId="0" fontId="7" fillId="0" borderId="0"/>
    <xf numFmtId="0" fontId="10" fillId="0" borderId="0"/>
    <xf numFmtId="164" fontId="8" fillId="0" borderId="0"/>
    <xf numFmtId="0" fontId="7" fillId="0" borderId="0"/>
    <xf numFmtId="0" fontId="6" fillId="0" borderId="0"/>
    <xf numFmtId="0" fontId="3" fillId="0" borderId="0"/>
    <xf numFmtId="0" fontId="2" fillId="0" borderId="0"/>
    <xf numFmtId="0" fontId="1" fillId="0" borderId="0"/>
  </cellStyleXfs>
  <cellXfs count="428">
    <xf numFmtId="164" fontId="0" fillId="0" borderId="0" xfId="0"/>
    <xf numFmtId="0" fontId="13" fillId="0" borderId="0" xfId="4" applyFont="1" applyBorder="1"/>
    <xf numFmtId="0" fontId="14" fillId="0" borderId="6" xfId="4" applyFont="1" applyFill="1" applyBorder="1" applyAlignment="1" applyProtection="1">
      <alignment vertical="top" wrapText="1"/>
    </xf>
    <xf numFmtId="3" fontId="14" fillId="0" borderId="3" xfId="4" applyNumberFormat="1" applyFont="1" applyFill="1" applyBorder="1" applyAlignment="1" applyProtection="1">
      <alignment horizontal="right" vertical="top"/>
    </xf>
    <xf numFmtId="0" fontId="13" fillId="0" borderId="7" xfId="4" applyFont="1" applyBorder="1" applyAlignment="1">
      <alignment vertical="top"/>
    </xf>
    <xf numFmtId="0" fontId="14" fillId="0" borderId="0" xfId="4" applyFont="1" applyFill="1" applyBorder="1" applyAlignment="1" applyProtection="1"/>
    <xf numFmtId="0" fontId="14" fillId="0" borderId="0" xfId="5" applyFont="1" applyFill="1" applyAlignment="1" applyProtection="1"/>
    <xf numFmtId="0" fontId="17" fillId="0" borderId="0" xfId="7" applyFont="1" applyFill="1" applyBorder="1" applyAlignment="1">
      <alignment vertical="top"/>
    </xf>
    <xf numFmtId="0" fontId="13" fillId="0" borderId="0" xfId="5" quotePrefix="1" applyFont="1" applyFill="1" applyBorder="1"/>
    <xf numFmtId="0" fontId="13" fillId="0" borderId="0" xfId="5" applyFont="1" applyFill="1" applyBorder="1"/>
    <xf numFmtId="0" fontId="16" fillId="0" borderId="0" xfId="5" applyFont="1" applyBorder="1"/>
    <xf numFmtId="1" fontId="13" fillId="0" borderId="0" xfId="4" applyNumberFormat="1" applyFont="1" applyBorder="1"/>
    <xf numFmtId="0" fontId="13" fillId="0" borderId="0" xfId="4" applyFont="1" applyFill="1" applyBorder="1"/>
    <xf numFmtId="0" fontId="13" fillId="0" borderId="0" xfId="4" applyFont="1" applyFill="1" applyBorder="1" applyAlignment="1">
      <alignment wrapText="1"/>
    </xf>
    <xf numFmtId="164" fontId="8" fillId="0" borderId="0" xfId="8"/>
    <xf numFmtId="164" fontId="8" fillId="0" borderId="0" xfId="8" applyFill="1"/>
    <xf numFmtId="164" fontId="19" fillId="0" borderId="0" xfId="8" applyFont="1" applyFill="1" applyBorder="1" applyAlignment="1">
      <alignment horizontal="left" vertical="center" wrapText="1"/>
    </xf>
    <xf numFmtId="164" fontId="19" fillId="0" borderId="0" xfId="8" applyFont="1" applyFill="1" applyBorder="1" applyAlignment="1">
      <alignment horizontal="center" vertical="center" wrapText="1"/>
    </xf>
    <xf numFmtId="164" fontId="11" fillId="0" borderId="0" xfId="8" applyFont="1" applyFill="1" applyBorder="1" applyAlignment="1">
      <alignment wrapText="1"/>
    </xf>
    <xf numFmtId="169" fontId="11" fillId="0" borderId="0" xfId="8" applyNumberFormat="1" applyFont="1" applyFill="1" applyBorder="1"/>
    <xf numFmtId="169" fontId="20" fillId="0" borderId="0" xfId="8" applyNumberFormat="1" applyFont="1" applyFill="1" applyBorder="1" applyAlignment="1">
      <alignment horizontal="right" wrapText="1"/>
    </xf>
    <xf numFmtId="164" fontId="13" fillId="0" borderId="0" xfId="8" applyFont="1" applyFill="1" applyBorder="1" applyAlignment="1">
      <alignment horizontal="left" vertical="center" wrapText="1"/>
    </xf>
    <xf numFmtId="0" fontId="16" fillId="0" borderId="0" xfId="4" applyFont="1" applyBorder="1"/>
    <xf numFmtId="169" fontId="20" fillId="3" borderId="3" xfId="8" applyNumberFormat="1" applyFont="1" applyFill="1" applyBorder="1" applyAlignment="1">
      <alignment horizontal="right" wrapText="1"/>
    </xf>
    <xf numFmtId="169" fontId="13" fillId="3" borderId="9" xfId="4" applyNumberFormat="1" applyFont="1" applyFill="1" applyBorder="1"/>
    <xf numFmtId="169" fontId="13" fillId="3" borderId="3" xfId="4" applyNumberFormat="1" applyFont="1" applyFill="1" applyBorder="1"/>
    <xf numFmtId="164" fontId="21" fillId="0" borderId="0" xfId="0" applyFont="1" applyFill="1" applyBorder="1" applyAlignment="1">
      <alignment vertical="center"/>
    </xf>
    <xf numFmtId="164" fontId="21" fillId="0" borderId="0" xfId="0" applyFont="1" applyFill="1"/>
    <xf numFmtId="164" fontId="21" fillId="0" borderId="0" xfId="0" applyFont="1" applyFill="1" applyBorder="1"/>
    <xf numFmtId="164" fontId="21" fillId="0" borderId="0" xfId="0" applyFont="1" applyFill="1" applyProtection="1">
      <protection locked="0"/>
    </xf>
    <xf numFmtId="164" fontId="21" fillId="0" borderId="23" xfId="0" applyFont="1" applyFill="1" applyBorder="1" applyAlignment="1" applyProtection="1">
      <alignment horizontal="center"/>
    </xf>
    <xf numFmtId="164" fontId="21" fillId="0" borderId="27" xfId="0" applyFont="1" applyFill="1" applyBorder="1" applyAlignment="1" applyProtection="1">
      <alignment horizontal="center"/>
    </xf>
    <xf numFmtId="164" fontId="21" fillId="0" borderId="28" xfId="0" applyFont="1" applyFill="1" applyBorder="1" applyAlignment="1" applyProtection="1">
      <alignment horizontal="center"/>
    </xf>
    <xf numFmtId="164" fontId="21" fillId="0" borderId="29" xfId="0" applyFont="1" applyFill="1" applyBorder="1" applyAlignment="1" applyProtection="1">
      <alignment horizontal="center"/>
    </xf>
    <xf numFmtId="164" fontId="21" fillId="0" borderId="27" xfId="0" quotePrefix="1" applyFont="1" applyFill="1" applyBorder="1" applyAlignment="1" applyProtection="1">
      <alignment horizontal="center"/>
    </xf>
    <xf numFmtId="164" fontId="21" fillId="0" borderId="29" xfId="0" quotePrefix="1" applyFont="1" applyFill="1" applyBorder="1" applyAlignment="1" applyProtection="1">
      <alignment horizontal="center"/>
    </xf>
    <xf numFmtId="164" fontId="21" fillId="0" borderId="31" xfId="0" applyFont="1" applyFill="1" applyBorder="1" applyAlignment="1">
      <alignment horizontal="center"/>
    </xf>
    <xf numFmtId="164" fontId="21" fillId="0" borderId="32" xfId="0" applyFont="1" applyFill="1" applyBorder="1" applyAlignment="1" applyProtection="1">
      <alignment horizontal="center"/>
    </xf>
    <xf numFmtId="164" fontId="21" fillId="0" borderId="36" xfId="0" applyFont="1" applyFill="1" applyBorder="1" applyAlignment="1">
      <alignment horizontal="center" vertical="center"/>
    </xf>
    <xf numFmtId="165" fontId="21" fillId="0" borderId="36" xfId="0" applyNumberFormat="1" applyFont="1" applyFill="1" applyBorder="1" applyAlignment="1" applyProtection="1">
      <alignment horizontal="center" vertical="center"/>
    </xf>
    <xf numFmtId="165" fontId="21" fillId="0" borderId="24" xfId="0" applyNumberFormat="1" applyFont="1" applyFill="1" applyBorder="1" applyAlignment="1" applyProtection="1">
      <alignment horizontal="center" vertical="center"/>
      <protection locked="0"/>
    </xf>
    <xf numFmtId="164" fontId="21" fillId="0" borderId="24" xfId="0" applyFont="1" applyFill="1" applyBorder="1" applyAlignment="1">
      <alignment horizontal="center" vertical="center"/>
    </xf>
    <xf numFmtId="164" fontId="21" fillId="0" borderId="37" xfId="0" applyFont="1" applyFill="1" applyBorder="1" applyAlignment="1">
      <alignment horizontal="center" vertical="center"/>
    </xf>
    <xf numFmtId="164" fontId="21" fillId="0" borderId="40" xfId="0" applyFont="1" applyFill="1" applyBorder="1" applyAlignment="1">
      <alignment horizontal="center" vertical="center"/>
    </xf>
    <xf numFmtId="164" fontId="21" fillId="0" borderId="41" xfId="0" applyFont="1" applyFill="1" applyBorder="1" applyAlignment="1">
      <alignment horizontal="center" vertical="center"/>
    </xf>
    <xf numFmtId="165" fontId="21" fillId="0" borderId="43" xfId="0" applyNumberFormat="1" applyFont="1" applyFill="1" applyBorder="1" applyAlignment="1" applyProtection="1">
      <alignment horizontal="center" vertical="center"/>
    </xf>
    <xf numFmtId="168" fontId="26" fillId="0" borderId="0" xfId="5" quotePrefix="1" applyNumberFormat="1" applyFont="1" applyFill="1" applyBorder="1" applyAlignment="1" applyProtection="1">
      <alignment vertical="top" wrapText="1"/>
    </xf>
    <xf numFmtId="44" fontId="21" fillId="0" borderId="0" xfId="2" applyFont="1"/>
    <xf numFmtId="164" fontId="21" fillId="0" borderId="46" xfId="0" applyFont="1" applyFill="1" applyBorder="1" applyAlignment="1" applyProtection="1">
      <alignment horizontal="center" vertical="center"/>
    </xf>
    <xf numFmtId="166" fontId="21" fillId="0" borderId="46" xfId="0" applyNumberFormat="1" applyFont="1" applyFill="1" applyBorder="1" applyAlignment="1" applyProtection="1">
      <alignment horizontal="center" vertical="center"/>
      <protection locked="0"/>
    </xf>
    <xf numFmtId="37" fontId="21" fillId="0" borderId="46" xfId="0" applyNumberFormat="1" applyFont="1" applyFill="1" applyBorder="1" applyAlignment="1" applyProtection="1">
      <alignment horizontal="center" vertical="center"/>
    </xf>
    <xf numFmtId="37" fontId="21" fillId="0" borderId="47" xfId="0" applyNumberFormat="1" applyFont="1" applyFill="1" applyBorder="1" applyAlignment="1" applyProtection="1">
      <alignment horizontal="center" vertical="center"/>
    </xf>
    <xf numFmtId="166" fontId="21" fillId="0" borderId="40" xfId="0" applyNumberFormat="1" applyFont="1" applyFill="1" applyBorder="1" applyAlignment="1" applyProtection="1">
      <alignment horizontal="center" vertical="center"/>
      <protection locked="0"/>
    </xf>
    <xf numFmtId="37" fontId="21" fillId="0" borderId="40" xfId="0" applyNumberFormat="1" applyFont="1" applyFill="1" applyBorder="1" applyAlignment="1" applyProtection="1">
      <alignment horizontal="center" vertical="center"/>
    </xf>
    <xf numFmtId="37" fontId="21" fillId="0" borderId="49" xfId="0" applyNumberFormat="1" applyFont="1" applyFill="1" applyBorder="1" applyAlignment="1" applyProtection="1">
      <alignment horizontal="center" vertical="center"/>
    </xf>
    <xf numFmtId="164" fontId="21" fillId="0" borderId="50" xfId="0" applyFont="1" applyFill="1" applyBorder="1" applyAlignment="1" applyProtection="1">
      <alignment horizontal="center" vertical="center"/>
    </xf>
    <xf numFmtId="164" fontId="21" fillId="0" borderId="0" xfId="0" applyFont="1" applyFill="1" applyBorder="1" applyAlignment="1">
      <alignment horizontal="center" vertical="center"/>
    </xf>
    <xf numFmtId="164" fontId="21" fillId="0" borderId="0" xfId="0" applyFont="1" applyFill="1" applyBorder="1" applyAlignment="1">
      <alignment horizontal="center"/>
    </xf>
    <xf numFmtId="167" fontId="21" fillId="0" borderId="0" xfId="0" applyNumberFormat="1" applyFont="1" applyFill="1" applyBorder="1" applyAlignment="1">
      <alignment horizontal="center" vertical="center"/>
    </xf>
    <xf numFmtId="5" fontId="21" fillId="0" borderId="0" xfId="0" applyNumberFormat="1" applyFont="1" applyFill="1" applyBorder="1" applyAlignment="1">
      <alignment horizontal="center"/>
    </xf>
    <xf numFmtId="164" fontId="21" fillId="0" borderId="0" xfId="0" applyFont="1" applyFill="1" applyAlignment="1">
      <alignment horizontal="center"/>
    </xf>
    <xf numFmtId="164" fontId="21" fillId="0" borderId="3" xfId="0" applyFont="1" applyFill="1" applyBorder="1" applyAlignment="1">
      <alignment horizontal="center" vertical="center"/>
    </xf>
    <xf numFmtId="0" fontId="7" fillId="0" borderId="0" xfId="3"/>
    <xf numFmtId="0" fontId="21" fillId="0" borderId="1" xfId="0" applyNumberFormat="1" applyFont="1" applyFill="1" applyBorder="1" applyAlignment="1" applyProtection="1">
      <alignment vertical="center"/>
      <protection locked="0"/>
    </xf>
    <xf numFmtId="0" fontId="21" fillId="0" borderId="54" xfId="0" applyNumberFormat="1" applyFont="1" applyFill="1" applyBorder="1" applyAlignment="1" applyProtection="1">
      <alignment vertical="center"/>
      <protection locked="0"/>
    </xf>
    <xf numFmtId="165" fontId="21" fillId="0" borderId="55" xfId="0" applyNumberFormat="1" applyFont="1" applyFill="1" applyBorder="1" applyAlignment="1" applyProtection="1">
      <alignment horizontal="center" vertical="center"/>
    </xf>
    <xf numFmtId="164" fontId="21" fillId="0" borderId="3" xfId="0" applyFont="1" applyFill="1" applyBorder="1" applyAlignment="1" applyProtection="1">
      <alignment horizontal="center" vertical="center"/>
    </xf>
    <xf numFmtId="165" fontId="21" fillId="0" borderId="3" xfId="0" applyNumberFormat="1" applyFont="1" applyFill="1" applyBorder="1" applyAlignment="1" applyProtection="1">
      <alignment horizontal="center" vertical="center"/>
    </xf>
    <xf numFmtId="0" fontId="25" fillId="0" borderId="3" xfId="0" applyNumberFormat="1" applyFont="1" applyFill="1" applyBorder="1" applyAlignment="1" applyProtection="1">
      <alignment horizontal="center" vertical="center"/>
      <protection locked="0"/>
    </xf>
    <xf numFmtId="37" fontId="21" fillId="0" borderId="3" xfId="0" applyNumberFormat="1" applyFont="1" applyFill="1" applyBorder="1" applyAlignment="1" applyProtection="1">
      <alignment horizontal="center" vertical="center"/>
      <protection locked="0"/>
    </xf>
    <xf numFmtId="37" fontId="21" fillId="0" borderId="3" xfId="0" applyNumberFormat="1" applyFont="1" applyFill="1" applyBorder="1" applyAlignment="1" applyProtection="1">
      <alignment horizontal="center" vertical="center"/>
    </xf>
    <xf numFmtId="166" fontId="21" fillId="0" borderId="3" xfId="0" applyNumberFormat="1" applyFont="1" applyFill="1" applyBorder="1" applyAlignment="1" applyProtection="1">
      <alignment horizontal="center" vertical="center"/>
      <protection locked="0"/>
    </xf>
    <xf numFmtId="164" fontId="18" fillId="0" borderId="4" xfId="8" applyFont="1" applyFill="1" applyBorder="1" applyAlignment="1">
      <alignment horizontal="center" vertical="center" wrapText="1"/>
    </xf>
    <xf numFmtId="164" fontId="22" fillId="0" borderId="3" xfId="8" applyFont="1" applyFill="1" applyBorder="1" applyAlignment="1">
      <alignment horizontal="center" vertical="center" wrapText="1"/>
    </xf>
    <xf numFmtId="164" fontId="19" fillId="0" borderId="3" xfId="8" applyFont="1" applyFill="1" applyBorder="1" applyAlignment="1">
      <alignment horizontal="left" vertical="center" wrapText="1" indent="2"/>
    </xf>
    <xf numFmtId="164" fontId="21" fillId="0" borderId="3" xfId="8" applyFont="1" applyFill="1" applyBorder="1" applyAlignment="1">
      <alignment horizontal="center" vertical="center" wrapText="1"/>
    </xf>
    <xf numFmtId="169" fontId="23" fillId="0" borderId="3" xfId="8" applyNumberFormat="1" applyFont="1" applyFill="1" applyBorder="1" applyAlignment="1">
      <alignment horizontal="right" wrapText="1"/>
    </xf>
    <xf numFmtId="164" fontId="19" fillId="0" borderId="3" xfId="8" applyFont="1" applyFill="1" applyBorder="1" applyAlignment="1">
      <alignment horizontal="left" vertical="center" wrapText="1"/>
    </xf>
    <xf numFmtId="164" fontId="19" fillId="0" borderId="3" xfId="8" applyFont="1" applyFill="1" applyBorder="1" applyAlignment="1">
      <alignment horizontal="center" vertical="center" wrapText="1"/>
    </xf>
    <xf numFmtId="164" fontId="11" fillId="0" borderId="3" xfId="8" applyFont="1" applyFill="1" applyBorder="1" applyAlignment="1">
      <alignment wrapText="1"/>
    </xf>
    <xf numFmtId="0" fontId="12" fillId="0" borderId="0" xfId="5" applyFont="1" applyFill="1" applyBorder="1"/>
    <xf numFmtId="0" fontId="7" fillId="0" borderId="56" xfId="5" applyFill="1" applyBorder="1" applyAlignment="1">
      <alignment wrapText="1"/>
    </xf>
    <xf numFmtId="0" fontId="12" fillId="0" borderId="8" xfId="5" applyFont="1" applyFill="1" applyBorder="1" applyAlignment="1">
      <alignment wrapText="1"/>
    </xf>
    <xf numFmtId="0" fontId="12" fillId="0" borderId="57" xfId="5" applyFont="1" applyFill="1" applyBorder="1" applyAlignment="1">
      <alignment wrapText="1"/>
    </xf>
    <xf numFmtId="0" fontId="13" fillId="0" borderId="9" xfId="5" applyFont="1" applyFill="1" applyBorder="1"/>
    <xf numFmtId="0" fontId="13" fillId="0" borderId="3" xfId="4" applyFont="1" applyFill="1" applyBorder="1"/>
    <xf numFmtId="0" fontId="13" fillId="0" borderId="3" xfId="5" applyFont="1" applyFill="1" applyBorder="1"/>
    <xf numFmtId="164" fontId="12" fillId="0" borderId="0" xfId="0" applyFont="1" applyBorder="1"/>
    <xf numFmtId="164" fontId="21" fillId="0" borderId="27" xfId="0" applyFont="1" applyFill="1" applyBorder="1" applyAlignment="1">
      <alignment horizontal="center"/>
    </xf>
    <xf numFmtId="0" fontId="7" fillId="0" borderId="0" xfId="0" applyNumberFormat="1" applyFont="1"/>
    <xf numFmtId="0" fontId="0" fillId="0" borderId="0" xfId="0" applyNumberFormat="1"/>
    <xf numFmtId="0" fontId="12" fillId="0" borderId="0" xfId="0" applyNumberFormat="1" applyFont="1"/>
    <xf numFmtId="0" fontId="12" fillId="2" borderId="3" xfId="0" applyNumberFormat="1" applyFont="1" applyFill="1" applyBorder="1"/>
    <xf numFmtId="0" fontId="12" fillId="2" borderId="3" xfId="0" applyNumberFormat="1" applyFont="1" applyFill="1" applyBorder="1" applyAlignment="1">
      <alignment horizontal="center"/>
    </xf>
    <xf numFmtId="0" fontId="27" fillId="0" borderId="3" xfId="0" applyNumberFormat="1" applyFont="1" applyBorder="1"/>
    <xf numFmtId="0" fontId="27" fillId="0" borderId="3" xfId="0" applyNumberFormat="1" applyFont="1" applyBorder="1" applyAlignment="1">
      <alignment horizontal="center"/>
    </xf>
    <xf numFmtId="0" fontId="0" fillId="0" borderId="3" xfId="0" applyNumberFormat="1" applyBorder="1"/>
    <xf numFmtId="0" fontId="28" fillId="0" borderId="3" xfId="0" applyNumberFormat="1" applyFont="1" applyFill="1" applyBorder="1"/>
    <xf numFmtId="0" fontId="28" fillId="0" borderId="3" xfId="0" applyNumberFormat="1" applyFont="1" applyBorder="1"/>
    <xf numFmtId="0" fontId="29" fillId="0" borderId="3" xfId="0" applyNumberFormat="1" applyFont="1" applyFill="1" applyBorder="1" applyAlignment="1">
      <alignment vertical="top" wrapText="1"/>
    </xf>
    <xf numFmtId="0" fontId="29" fillId="0" borderId="3" xfId="0" applyNumberFormat="1" applyFont="1" applyFill="1" applyBorder="1" applyAlignment="1">
      <alignment horizontal="left" vertical="top" wrapText="1" indent="1"/>
    </xf>
    <xf numFmtId="44" fontId="28" fillId="0" borderId="3" xfId="2" applyFont="1" applyBorder="1"/>
    <xf numFmtId="44" fontId="0" fillId="0" borderId="3" xfId="0" applyNumberFormat="1" applyBorder="1"/>
    <xf numFmtId="171" fontId="0" fillId="0" borderId="3" xfId="0" applyNumberFormat="1" applyBorder="1"/>
    <xf numFmtId="167" fontId="28" fillId="0" borderId="3" xfId="0" quotePrefix="1" applyNumberFormat="1" applyFont="1" applyBorder="1"/>
    <xf numFmtId="167" fontId="28" fillId="0" borderId="3" xfId="0" applyNumberFormat="1" applyFont="1" applyBorder="1"/>
    <xf numFmtId="170" fontId="0" fillId="0" borderId="3" xfId="0" applyNumberFormat="1" applyBorder="1"/>
    <xf numFmtId="172" fontId="0" fillId="0" borderId="3" xfId="0" applyNumberFormat="1" applyBorder="1"/>
    <xf numFmtId="49" fontId="28" fillId="0" borderId="3" xfId="0" applyNumberFormat="1" applyFont="1" applyBorder="1"/>
    <xf numFmtId="168" fontId="29" fillId="0" borderId="3" xfId="0" quotePrefix="1" applyNumberFormat="1" applyFont="1" applyFill="1" applyBorder="1" applyAlignment="1" applyProtection="1">
      <alignment vertical="top" wrapText="1"/>
    </xf>
    <xf numFmtId="168" fontId="30" fillId="0" borderId="3" xfId="0" quotePrefix="1" applyNumberFormat="1" applyFont="1" applyFill="1" applyBorder="1" applyAlignment="1" applyProtection="1">
      <alignment vertical="top" wrapText="1"/>
    </xf>
    <xf numFmtId="172" fontId="12" fillId="0" borderId="3" xfId="0" applyNumberFormat="1" applyFont="1" applyBorder="1"/>
    <xf numFmtId="0" fontId="28" fillId="0" borderId="0" xfId="0" applyNumberFormat="1" applyFont="1"/>
    <xf numFmtId="44" fontId="0" fillId="0" borderId="0" xfId="2" applyFont="1"/>
    <xf numFmtId="0" fontId="31" fillId="0" borderId="0" xfId="0" applyNumberFormat="1" applyFont="1"/>
    <xf numFmtId="0" fontId="11" fillId="0" borderId="0" xfId="0" applyNumberFormat="1" applyFont="1"/>
    <xf numFmtId="0" fontId="15" fillId="0" borderId="0" xfId="0" applyNumberFormat="1" applyFont="1"/>
    <xf numFmtId="167" fontId="0" fillId="0" borderId="0" xfId="0" applyNumberFormat="1"/>
    <xf numFmtId="0" fontId="0" fillId="0" borderId="0" xfId="0" applyNumberFormat="1" applyFill="1" applyBorder="1" applyAlignment="1">
      <alignment vertical="top"/>
    </xf>
    <xf numFmtId="172" fontId="12" fillId="5" borderId="3" xfId="0" applyNumberFormat="1" applyFont="1" applyFill="1" applyBorder="1"/>
    <xf numFmtId="164" fontId="21" fillId="0" borderId="51" xfId="0" applyFont="1" applyFill="1" applyBorder="1" applyAlignment="1">
      <alignment horizontal="center"/>
    </xf>
    <xf numFmtId="0" fontId="7" fillId="0" borderId="0" xfId="6" applyFont="1" applyAlignment="1">
      <alignment horizontal="centerContinuous"/>
    </xf>
    <xf numFmtId="0" fontId="7" fillId="0" borderId="0" xfId="6" applyFont="1"/>
    <xf numFmtId="164" fontId="11" fillId="0" borderId="0" xfId="0" applyFont="1" applyBorder="1"/>
    <xf numFmtId="164" fontId="11" fillId="0" borderId="0" xfId="0" applyFont="1" applyBorder="1" applyAlignment="1"/>
    <xf numFmtId="164" fontId="11" fillId="0" borderId="0" xfId="0" applyFont="1" applyBorder="1" applyAlignment="1">
      <alignment horizontal="center"/>
    </xf>
    <xf numFmtId="3" fontId="11" fillId="0" borderId="0" xfId="1" applyNumberFormat="1" applyFont="1" applyBorder="1" applyAlignment="1">
      <alignment horizontal="right"/>
    </xf>
    <xf numFmtId="3" fontId="11" fillId="0" borderId="0" xfId="0" applyNumberFormat="1" applyFont="1"/>
    <xf numFmtId="164" fontId="11" fillId="0" borderId="0" xfId="0" applyFont="1"/>
    <xf numFmtId="167" fontId="11" fillId="0" borderId="0" xfId="0" applyNumberFormat="1" applyFont="1" applyBorder="1"/>
    <xf numFmtId="0" fontId="28" fillId="0" borderId="0" xfId="6" applyFont="1"/>
    <xf numFmtId="164" fontId="28" fillId="0" borderId="4" xfId="0" applyFont="1" applyBorder="1" applyAlignment="1" applyProtection="1">
      <alignment horizontal="left" vertical="center"/>
    </xf>
    <xf numFmtId="1" fontId="28" fillId="0" borderId="3" xfId="0" applyNumberFormat="1" applyFont="1" applyBorder="1" applyAlignment="1" applyProtection="1">
      <alignment horizontal="center" vertical="center"/>
    </xf>
    <xf numFmtId="0" fontId="28" fillId="0" borderId="0" xfId="6" applyFont="1" applyBorder="1"/>
    <xf numFmtId="1" fontId="28" fillId="0" borderId="3" xfId="0" applyNumberFormat="1" applyFont="1" applyFill="1" applyBorder="1" applyAlignment="1" applyProtection="1">
      <alignment horizontal="center" vertical="center"/>
    </xf>
    <xf numFmtId="164" fontId="28" fillId="0" borderId="6" xfId="0" applyFont="1" applyBorder="1" applyAlignment="1" applyProtection="1">
      <alignment horizontal="left" vertical="center"/>
    </xf>
    <xf numFmtId="164" fontId="28" fillId="0" borderId="3" xfId="0" applyFont="1" applyFill="1" applyBorder="1" applyAlignment="1">
      <alignment horizontal="center" vertical="center"/>
    </xf>
    <xf numFmtId="9" fontId="29" fillId="0" borderId="6" xfId="0" applyNumberFormat="1" applyFont="1" applyBorder="1" applyAlignment="1" applyProtection="1">
      <alignment vertical="center"/>
      <protection locked="0"/>
    </xf>
    <xf numFmtId="1" fontId="28" fillId="0" borderId="3" xfId="0" applyNumberFormat="1" applyFont="1" applyFill="1" applyBorder="1" applyAlignment="1">
      <alignment horizontal="center" vertical="center"/>
    </xf>
    <xf numFmtId="9" fontId="28" fillId="0" borderId="6" xfId="0" applyNumberFormat="1" applyFont="1" applyBorder="1" applyAlignment="1" applyProtection="1">
      <alignment vertical="center"/>
    </xf>
    <xf numFmtId="9" fontId="28" fillId="0" borderId="6" xfId="0" applyNumberFormat="1" applyFont="1" applyBorder="1" applyAlignment="1" applyProtection="1">
      <alignment horizontal="left" vertical="center"/>
    </xf>
    <xf numFmtId="165" fontId="28" fillId="0" borderId="3" xfId="0" applyNumberFormat="1" applyFont="1" applyFill="1" applyBorder="1" applyAlignment="1" applyProtection="1">
      <alignment horizontal="center" vertical="center"/>
      <protection locked="0"/>
    </xf>
    <xf numFmtId="0" fontId="28" fillId="0" borderId="6" xfId="6" applyFont="1" applyFill="1" applyBorder="1" applyAlignment="1">
      <alignment vertical="center"/>
    </xf>
    <xf numFmtId="164" fontId="28" fillId="0" borderId="6" xfId="0" applyFont="1" applyFill="1" applyBorder="1" applyAlignment="1" applyProtection="1">
      <alignment vertical="center" wrapText="1"/>
    </xf>
    <xf numFmtId="3" fontId="28" fillId="0" borderId="0" xfId="6" applyNumberFormat="1" applyFont="1" applyBorder="1"/>
    <xf numFmtId="164" fontId="33" fillId="0" borderId="0" xfId="0" applyFont="1" applyFill="1"/>
    <xf numFmtId="167" fontId="28" fillId="0" borderId="3" xfId="0" applyNumberFormat="1" applyFont="1" applyFill="1" applyBorder="1"/>
    <xf numFmtId="0" fontId="0" fillId="0" borderId="3" xfId="0" applyNumberFormat="1" applyFill="1" applyBorder="1"/>
    <xf numFmtId="170" fontId="0" fillId="0" borderId="3" xfId="0" applyNumberFormat="1" applyFill="1" applyBorder="1"/>
    <xf numFmtId="172" fontId="0" fillId="0" borderId="3" xfId="0" applyNumberFormat="1" applyFill="1" applyBorder="1"/>
    <xf numFmtId="0" fontId="7" fillId="0" borderId="0" xfId="3" applyFill="1"/>
    <xf numFmtId="0" fontId="34" fillId="0" borderId="3" xfId="0" applyNumberFormat="1" applyFont="1" applyFill="1" applyBorder="1"/>
    <xf numFmtId="0" fontId="35" fillId="0" borderId="0" xfId="0" applyNumberFormat="1" applyFont="1" applyFill="1" applyBorder="1" applyAlignment="1">
      <alignment horizontal="left" vertical="center"/>
    </xf>
    <xf numFmtId="43" fontId="0" fillId="0" borderId="0" xfId="1" applyFont="1" applyProtection="1"/>
    <xf numFmtId="0" fontId="12" fillId="0" borderId="0" xfId="9" applyFont="1"/>
    <xf numFmtId="0" fontId="7" fillId="0" borderId="0" xfId="9"/>
    <xf numFmtId="0" fontId="7" fillId="0" borderId="0" xfId="9" applyAlignment="1">
      <alignment horizontal="right"/>
    </xf>
    <xf numFmtId="6" fontId="7" fillId="0" borderId="0" xfId="9" applyNumberFormat="1"/>
    <xf numFmtId="0" fontId="7" fillId="0" borderId="0" xfId="9" applyFont="1"/>
    <xf numFmtId="8" fontId="7" fillId="0" borderId="0" xfId="9" applyNumberFormat="1"/>
    <xf numFmtId="0" fontId="12" fillId="0" borderId="2" xfId="9" applyFont="1" applyBorder="1"/>
    <xf numFmtId="0" fontId="7" fillId="0" borderId="2" xfId="9" applyBorder="1"/>
    <xf numFmtId="8" fontId="7" fillId="0" borderId="2" xfId="9" applyNumberFormat="1" applyBorder="1"/>
    <xf numFmtId="0" fontId="27" fillId="0" borderId="0" xfId="9" applyFont="1"/>
    <xf numFmtId="0" fontId="28" fillId="0" borderId="0" xfId="9" applyFont="1"/>
    <xf numFmtId="168" fontId="29" fillId="0" borderId="0" xfId="9" quotePrefix="1" applyNumberFormat="1" applyFont="1" applyFill="1" applyBorder="1" applyAlignment="1" applyProtection="1">
      <alignment vertical="top" wrapText="1"/>
    </xf>
    <xf numFmtId="0" fontId="7" fillId="0" borderId="2" xfId="9" applyFont="1" applyBorder="1"/>
    <xf numFmtId="8" fontId="12" fillId="0" borderId="2" xfId="9" applyNumberFormat="1" applyFont="1" applyBorder="1"/>
    <xf numFmtId="0" fontId="12" fillId="2" borderId="3" xfId="9" applyFont="1" applyFill="1" applyBorder="1" applyAlignment="1">
      <alignment vertical="center" wrapText="1"/>
    </xf>
    <xf numFmtId="0" fontId="7" fillId="0" borderId="3" xfId="9" applyBorder="1"/>
    <xf numFmtId="8" fontId="7" fillId="0" borderId="3" xfId="9" applyNumberFormat="1" applyBorder="1"/>
    <xf numFmtId="8" fontId="36" fillId="0" borderId="3" xfId="9" applyNumberFormat="1" applyFont="1" applyBorder="1"/>
    <xf numFmtId="6" fontId="0" fillId="0" borderId="0" xfId="0" applyNumberFormat="1"/>
    <xf numFmtId="0" fontId="0" fillId="0" borderId="0" xfId="0" applyNumberFormat="1" applyAlignment="1">
      <alignment vertical="top"/>
    </xf>
    <xf numFmtId="6" fontId="0" fillId="0" borderId="3" xfId="0" applyNumberFormat="1" applyBorder="1"/>
    <xf numFmtId="6" fontId="7" fillId="0" borderId="3" xfId="0" applyNumberFormat="1" applyFont="1" applyBorder="1"/>
    <xf numFmtId="0" fontId="7" fillId="0" borderId="3" xfId="0" applyNumberFormat="1" applyFont="1" applyBorder="1"/>
    <xf numFmtId="6" fontId="7" fillId="0" borderId="0" xfId="0" applyNumberFormat="1" applyFont="1" applyBorder="1"/>
    <xf numFmtId="2" fontId="0" fillId="0" borderId="0" xfId="0" applyNumberFormat="1" applyBorder="1"/>
    <xf numFmtId="0" fontId="7" fillId="0" borderId="3" xfId="0" applyNumberFormat="1" applyFont="1" applyBorder="1" applyAlignment="1">
      <alignment wrapText="1"/>
    </xf>
    <xf numFmtId="0" fontId="0" fillId="0" borderId="3" xfId="0" applyNumberFormat="1" applyBorder="1" applyAlignment="1">
      <alignment wrapText="1"/>
    </xf>
    <xf numFmtId="0" fontId="0" fillId="0" borderId="43" xfId="0" applyNumberFormat="1" applyBorder="1"/>
    <xf numFmtId="0" fontId="0" fillId="0" borderId="41" xfId="0" applyNumberFormat="1" applyBorder="1"/>
    <xf numFmtId="0" fontId="0" fillId="0" borderId="27" xfId="0" applyNumberFormat="1" applyBorder="1"/>
    <xf numFmtId="0" fontId="0" fillId="0" borderId="28" xfId="0" applyNumberFormat="1" applyBorder="1"/>
    <xf numFmtId="0" fontId="0" fillId="0" borderId="39" xfId="0" applyNumberFormat="1" applyBorder="1"/>
    <xf numFmtId="0" fontId="0" fillId="0" borderId="40" xfId="0" applyNumberFormat="1" applyBorder="1"/>
    <xf numFmtId="0" fontId="0" fillId="0" borderId="43" xfId="0" pivotButton="1" applyNumberFormat="1" applyBorder="1"/>
    <xf numFmtId="167" fontId="30" fillId="0" borderId="3" xfId="2" quotePrefix="1" applyNumberFormat="1" applyFont="1" applyFill="1" applyBorder="1" applyAlignment="1" applyProtection="1">
      <alignment vertical="top" wrapText="1"/>
    </xf>
    <xf numFmtId="164" fontId="21" fillId="0" borderId="45" xfId="0" applyFont="1" applyFill="1" applyBorder="1" applyAlignment="1" applyProtection="1">
      <alignment horizontal="center" vertical="center"/>
    </xf>
    <xf numFmtId="37" fontId="21" fillId="0" borderId="41" xfId="0" applyNumberFormat="1" applyFont="1" applyFill="1" applyBorder="1" applyAlignment="1" applyProtection="1">
      <alignment horizontal="center" vertical="center"/>
    </xf>
    <xf numFmtId="37" fontId="21" fillId="0" borderId="42" xfId="0" applyNumberFormat="1" applyFont="1" applyFill="1" applyBorder="1" applyAlignment="1" applyProtection="1">
      <alignment horizontal="center" vertical="center"/>
    </xf>
    <xf numFmtId="164" fontId="11" fillId="0" borderId="24" xfId="0" applyFont="1" applyFill="1" applyBorder="1" applyAlignment="1" applyProtection="1">
      <alignment horizontal="center"/>
    </xf>
    <xf numFmtId="164" fontId="11" fillId="0" borderId="23" xfId="0" applyFont="1" applyFill="1" applyBorder="1" applyAlignment="1" applyProtection="1">
      <alignment horizontal="center"/>
    </xf>
    <xf numFmtId="164" fontId="11" fillId="0" borderId="25" xfId="0" applyFont="1" applyFill="1" applyBorder="1" applyAlignment="1" applyProtection="1">
      <alignment horizontal="center"/>
    </xf>
    <xf numFmtId="174" fontId="33" fillId="0" borderId="0" xfId="0" applyNumberFormat="1" applyFont="1" applyFill="1" applyAlignment="1">
      <alignment horizontal="left"/>
    </xf>
    <xf numFmtId="0" fontId="6" fillId="0" borderId="0" xfId="10"/>
    <xf numFmtId="7" fontId="6" fillId="0" borderId="0" xfId="10" applyNumberFormat="1"/>
    <xf numFmtId="0" fontId="6" fillId="0" borderId="3" xfId="10" applyBorder="1" applyAlignment="1">
      <alignment horizontal="center" vertical="center"/>
    </xf>
    <xf numFmtId="0" fontId="6" fillId="0" borderId="3" xfId="10" applyBorder="1"/>
    <xf numFmtId="5" fontId="6" fillId="0" borderId="3" xfId="10" applyNumberFormat="1" applyBorder="1"/>
    <xf numFmtId="7" fontId="6" fillId="0" borderId="3" xfId="10" applyNumberFormat="1" applyBorder="1"/>
    <xf numFmtId="0" fontId="37" fillId="0" borderId="3" xfId="10" applyFont="1" applyBorder="1"/>
    <xf numFmtId="5" fontId="37" fillId="0" borderId="3" xfId="10" applyNumberFormat="1" applyFont="1" applyBorder="1"/>
    <xf numFmtId="7" fontId="37" fillId="0" borderId="3" xfId="10" applyNumberFormat="1" applyFont="1" applyBorder="1"/>
    <xf numFmtId="0" fontId="37" fillId="0" borderId="0" xfId="10" applyFont="1"/>
    <xf numFmtId="0" fontId="35" fillId="0" borderId="3" xfId="0" applyNumberFormat="1" applyFont="1" applyBorder="1" applyAlignment="1">
      <alignment horizontal="left" vertical="center"/>
    </xf>
    <xf numFmtId="173" fontId="35" fillId="0" borderId="3" xfId="1" applyNumberFormat="1" applyFont="1" applyBorder="1" applyAlignment="1">
      <alignment horizontal="left" vertical="center"/>
    </xf>
    <xf numFmtId="173" fontId="35" fillId="0" borderId="3" xfId="1" applyNumberFormat="1" applyFont="1" applyBorder="1"/>
    <xf numFmtId="0" fontId="35" fillId="0" borderId="3" xfId="0" applyNumberFormat="1" applyFont="1" applyFill="1" applyBorder="1" applyAlignment="1">
      <alignment horizontal="left" vertical="center"/>
    </xf>
    <xf numFmtId="0" fontId="38" fillId="0" borderId="0" xfId="0" applyNumberFormat="1" applyFont="1"/>
    <xf numFmtId="0" fontId="39" fillId="0" borderId="0" xfId="0" applyNumberFormat="1" applyFont="1"/>
    <xf numFmtId="0" fontId="40" fillId="0" borderId="0" xfId="0" applyNumberFormat="1" applyFont="1"/>
    <xf numFmtId="0" fontId="40" fillId="0" borderId="0" xfId="9" applyFont="1"/>
    <xf numFmtId="164" fontId="38" fillId="0" borderId="0" xfId="0" applyFont="1"/>
    <xf numFmtId="0" fontId="40" fillId="0" borderId="0" xfId="4" applyFont="1" applyBorder="1"/>
    <xf numFmtId="0" fontId="41" fillId="6" borderId="3" xfId="0" quotePrefix="1" applyNumberFormat="1" applyFont="1" applyFill="1" applyBorder="1" applyAlignment="1">
      <alignment horizontal="center" vertical="center" wrapText="1"/>
    </xf>
    <xf numFmtId="0" fontId="41" fillId="6" borderId="3" xfId="0" applyNumberFormat="1" applyFont="1" applyFill="1" applyBorder="1" applyAlignment="1">
      <alignment horizontal="center" vertical="center" wrapText="1"/>
    </xf>
    <xf numFmtId="43" fontId="41" fillId="6" borderId="3" xfId="1" applyFont="1" applyFill="1" applyBorder="1" applyAlignment="1">
      <alignment horizontal="center" vertical="center" wrapText="1"/>
    </xf>
    <xf numFmtId="5" fontId="6" fillId="0" borderId="0" xfId="10" applyNumberFormat="1"/>
    <xf numFmtId="0" fontId="5" fillId="0" borderId="0" xfId="10" applyFont="1"/>
    <xf numFmtId="43" fontId="6" fillId="0" borderId="0" xfId="1" applyFont="1"/>
    <xf numFmtId="43" fontId="0" fillId="0" borderId="0" xfId="1" applyFont="1"/>
    <xf numFmtId="0" fontId="4" fillId="0" borderId="0" xfId="10" applyFont="1"/>
    <xf numFmtId="0" fontId="5" fillId="0" borderId="3" xfId="10" applyFont="1" applyBorder="1"/>
    <xf numFmtId="0" fontId="6" fillId="0" borderId="0" xfId="10" applyAlignment="1">
      <alignment horizontal="right"/>
    </xf>
    <xf numFmtId="14" fontId="33" fillId="0" borderId="0" xfId="0" applyNumberFormat="1" applyFont="1" applyFill="1" applyAlignment="1">
      <alignment horizontal="left"/>
    </xf>
    <xf numFmtId="0" fontId="12" fillId="0" borderId="3" xfId="0" applyNumberFormat="1" applyFont="1" applyBorder="1"/>
    <xf numFmtId="0" fontId="0" fillId="0" borderId="3" xfId="0" applyNumberFormat="1" applyBorder="1" applyAlignment="1">
      <alignment vertical="top"/>
    </xf>
    <xf numFmtId="0" fontId="4" fillId="0" borderId="3" xfId="10" applyFont="1" applyBorder="1"/>
    <xf numFmtId="7" fontId="4" fillId="0" borderId="3" xfId="10" applyNumberFormat="1" applyFont="1" applyBorder="1"/>
    <xf numFmtId="46" fontId="43" fillId="0" borderId="0" xfId="0" quotePrefix="1" applyNumberFormat="1" applyFont="1"/>
    <xf numFmtId="0" fontId="43" fillId="0" borderId="0" xfId="0" applyNumberFormat="1" applyFont="1"/>
    <xf numFmtId="0" fontId="43" fillId="0" borderId="0" xfId="11" applyFont="1"/>
    <xf numFmtId="0" fontId="44" fillId="0" borderId="0" xfId="11" applyFont="1" applyBorder="1" applyAlignment="1">
      <alignment vertical="top"/>
    </xf>
    <xf numFmtId="164" fontId="11" fillId="0" borderId="26" xfId="0" applyFont="1" applyFill="1" applyBorder="1" applyAlignment="1" applyProtection="1">
      <alignment horizontal="center"/>
    </xf>
    <xf numFmtId="164" fontId="21" fillId="0" borderId="30" xfId="0" applyFont="1" applyFill="1" applyBorder="1" applyAlignment="1" applyProtection="1">
      <alignment horizontal="center"/>
    </xf>
    <xf numFmtId="164" fontId="21" fillId="0" borderId="30" xfId="0" applyFont="1" applyFill="1" applyBorder="1" applyAlignment="1">
      <alignment horizontal="center"/>
    </xf>
    <xf numFmtId="164" fontId="21" fillId="0" borderId="34" xfId="0" applyFont="1" applyFill="1" applyBorder="1" applyAlignment="1">
      <alignment horizontal="center"/>
    </xf>
    <xf numFmtId="164" fontId="46" fillId="0" borderId="3" xfId="0" applyFont="1" applyFill="1" applyBorder="1" applyAlignment="1" applyProtection="1">
      <alignment horizontal="center" vertical="center"/>
    </xf>
    <xf numFmtId="164" fontId="46" fillId="0" borderId="0" xfId="0" applyFont="1" applyFill="1" applyBorder="1"/>
    <xf numFmtId="164" fontId="46" fillId="0" borderId="0" xfId="0" applyFont="1" applyFill="1"/>
    <xf numFmtId="164" fontId="46" fillId="0" borderId="43" xfId="0" applyFont="1" applyFill="1" applyBorder="1" applyAlignment="1">
      <alignment horizontal="center"/>
    </xf>
    <xf numFmtId="164" fontId="19" fillId="0" borderId="62" xfId="0" applyFont="1" applyFill="1" applyBorder="1" applyAlignment="1">
      <alignment horizontal="center" vertical="center"/>
    </xf>
    <xf numFmtId="164" fontId="19" fillId="0" borderId="6" xfId="0" applyFont="1" applyFill="1" applyBorder="1" applyAlignment="1">
      <alignment horizontal="center" vertical="center"/>
    </xf>
    <xf numFmtId="164" fontId="19" fillId="0" borderId="6" xfId="0" applyFont="1" applyFill="1" applyBorder="1" applyAlignment="1">
      <alignment horizontal="left" vertical="center"/>
    </xf>
    <xf numFmtId="164" fontId="19" fillId="0" borderId="64" xfId="0" applyFont="1" applyFill="1" applyBorder="1" applyAlignment="1">
      <alignment horizontal="center" vertical="center"/>
    </xf>
    <xf numFmtId="164" fontId="19" fillId="0" borderId="64" xfId="0" applyFont="1" applyFill="1" applyBorder="1" applyAlignment="1">
      <alignment horizontal="left" vertical="center"/>
    </xf>
    <xf numFmtId="3" fontId="19" fillId="0" borderId="64" xfId="0" applyNumberFormat="1" applyFont="1" applyFill="1" applyBorder="1" applyAlignment="1">
      <alignment horizontal="center" vertical="center"/>
    </xf>
    <xf numFmtId="164" fontId="28" fillId="0" borderId="58" xfId="0" applyFont="1" applyFill="1" applyBorder="1" applyAlignment="1">
      <alignment horizontal="center"/>
    </xf>
    <xf numFmtId="164" fontId="28" fillId="0" borderId="14" xfId="0" applyFont="1" applyFill="1" applyBorder="1" applyAlignment="1">
      <alignment horizontal="center"/>
    </xf>
    <xf numFmtId="0" fontId="49" fillId="0" borderId="10" xfId="0" applyNumberFormat="1" applyFont="1" applyFill="1" applyBorder="1" applyAlignment="1">
      <alignment horizontal="center" wrapText="1"/>
    </xf>
    <xf numFmtId="164" fontId="27" fillId="0" borderId="15" xfId="0" applyFont="1" applyFill="1" applyBorder="1" applyAlignment="1">
      <alignment horizontal="center"/>
    </xf>
    <xf numFmtId="0" fontId="49" fillId="0" borderId="3" xfId="0" applyNumberFormat="1" applyFont="1" applyFill="1" applyBorder="1" applyAlignment="1">
      <alignment horizontal="center" wrapText="1"/>
    </xf>
    <xf numFmtId="164" fontId="27" fillId="0" borderId="16" xfId="0" applyFont="1" applyFill="1" applyBorder="1" applyAlignment="1">
      <alignment horizontal="center" wrapText="1"/>
    </xf>
    <xf numFmtId="164" fontId="28" fillId="0" borderId="22" xfId="0" applyFont="1" applyBorder="1" applyAlignment="1">
      <alignment vertical="center"/>
    </xf>
    <xf numFmtId="164" fontId="28" fillId="0" borderId="6" xfId="0" applyFont="1" applyBorder="1" applyAlignment="1">
      <alignment vertical="center"/>
    </xf>
    <xf numFmtId="164" fontId="28" fillId="0" borderId="48" xfId="0" applyFont="1" applyBorder="1" applyAlignment="1">
      <alignment vertical="center"/>
    </xf>
    <xf numFmtId="0" fontId="28" fillId="0" borderId="22" xfId="0" applyNumberFormat="1" applyFont="1" applyFill="1" applyBorder="1" applyAlignment="1" applyProtection="1">
      <alignment vertical="center"/>
      <protection locked="0"/>
    </xf>
    <xf numFmtId="0" fontId="28" fillId="0" borderId="6" xfId="0" applyNumberFormat="1" applyFont="1" applyFill="1" applyBorder="1" applyAlignment="1" applyProtection="1">
      <alignment vertical="center"/>
      <protection locked="0"/>
    </xf>
    <xf numFmtId="0" fontId="28" fillId="0" borderId="6" xfId="0" applyNumberFormat="1" applyFont="1" applyBorder="1" applyAlignment="1">
      <alignment vertical="center"/>
    </xf>
    <xf numFmtId="0" fontId="28" fillId="0" borderId="3" xfId="0" applyNumberFormat="1" applyFont="1" applyBorder="1" applyAlignment="1" applyProtection="1">
      <alignment horizontal="center" vertical="center"/>
    </xf>
    <xf numFmtId="0" fontId="28" fillId="0" borderId="3" xfId="0" applyNumberFormat="1" applyFont="1" applyFill="1" applyBorder="1" applyAlignment="1" applyProtection="1">
      <alignment horizontal="center" vertical="center"/>
    </xf>
    <xf numFmtId="0" fontId="28" fillId="0" borderId="3" xfId="0" applyNumberFormat="1" applyFont="1" applyFill="1" applyBorder="1" applyAlignment="1">
      <alignment horizontal="center" vertical="center"/>
    </xf>
    <xf numFmtId="164" fontId="28" fillId="0" borderId="3" xfId="0" applyFont="1" applyFill="1" applyBorder="1" applyAlignment="1">
      <alignment horizontal="center" vertical="center"/>
    </xf>
    <xf numFmtId="1" fontId="28" fillId="0" borderId="65" xfId="0" applyNumberFormat="1" applyFont="1" applyFill="1" applyBorder="1" applyAlignment="1" applyProtection="1">
      <alignment horizontal="center" vertical="center"/>
    </xf>
    <xf numFmtId="1" fontId="28" fillId="0" borderId="3" xfId="0" applyNumberFormat="1" applyFont="1" applyBorder="1" applyAlignment="1" applyProtection="1">
      <alignment horizontal="center" vertical="center"/>
    </xf>
    <xf numFmtId="1" fontId="28" fillId="0" borderId="3" xfId="0" applyNumberFormat="1" applyFont="1" applyFill="1" applyBorder="1" applyAlignment="1" applyProtection="1">
      <alignment horizontal="center" vertical="center"/>
    </xf>
    <xf numFmtId="164" fontId="28" fillId="0" borderId="3" xfId="0" applyFont="1" applyFill="1" applyBorder="1" applyAlignment="1">
      <alignment horizontal="center" vertical="center"/>
    </xf>
    <xf numFmtId="164" fontId="7" fillId="0" borderId="3" xfId="0" applyFont="1" applyFill="1" applyBorder="1" applyAlignment="1">
      <alignment horizontal="center" vertical="center"/>
    </xf>
    <xf numFmtId="166" fontId="7" fillId="0" borderId="3" xfId="0" applyNumberFormat="1" applyFont="1" applyFill="1" applyBorder="1" applyAlignment="1" applyProtection="1">
      <alignment horizontal="center" vertical="center"/>
      <protection locked="0"/>
    </xf>
    <xf numFmtId="164" fontId="24" fillId="0" borderId="0" xfId="0" applyFont="1" applyFill="1" applyAlignment="1" applyProtection="1"/>
    <xf numFmtId="164" fontId="24" fillId="0" borderId="0" xfId="0" applyFont="1" applyBorder="1" applyAlignment="1" applyProtection="1"/>
    <xf numFmtId="3" fontId="11" fillId="0" borderId="0" xfId="0" applyNumberFormat="1" applyFont="1" applyFill="1" applyBorder="1" applyAlignment="1">
      <alignment horizontal="center" vertical="center"/>
    </xf>
    <xf numFmtId="0" fontId="21" fillId="0" borderId="3" xfId="0" applyNumberFormat="1" applyFont="1" applyFill="1" applyBorder="1" applyAlignment="1" applyProtection="1">
      <alignment horizontal="center" vertical="center"/>
    </xf>
    <xf numFmtId="39" fontId="21" fillId="0" borderId="3" xfId="0" applyNumberFormat="1" applyFont="1" applyFill="1" applyBorder="1" applyAlignment="1" applyProtection="1">
      <alignment horizontal="center" vertical="center"/>
    </xf>
    <xf numFmtId="164" fontId="11" fillId="0" borderId="0" xfId="0" applyFont="1" applyFill="1" applyAlignment="1">
      <alignment vertical="center" wrapText="1"/>
    </xf>
    <xf numFmtId="164" fontId="54" fillId="0" borderId="68" xfId="0" applyFont="1" applyBorder="1" applyAlignment="1">
      <alignment vertical="top" wrapText="1"/>
    </xf>
    <xf numFmtId="164" fontId="54" fillId="0" borderId="69" xfId="0" applyFont="1" applyBorder="1" applyAlignment="1">
      <alignment horizontal="center" vertical="top" wrapText="1"/>
    </xf>
    <xf numFmtId="164" fontId="54" fillId="0" borderId="70" xfId="0" applyFont="1" applyBorder="1" applyAlignment="1">
      <alignment vertical="top" wrapText="1"/>
    </xf>
    <xf numFmtId="164" fontId="0" fillId="0" borderId="70" xfId="0" applyBorder="1" applyAlignment="1">
      <alignment vertical="top" wrapText="1"/>
    </xf>
    <xf numFmtId="164" fontId="54" fillId="0" borderId="3" xfId="0" applyFont="1" applyBorder="1" applyAlignment="1">
      <alignment vertical="top" wrapText="1"/>
    </xf>
    <xf numFmtId="164" fontId="53" fillId="0" borderId="76" xfId="0" applyFont="1" applyBorder="1" applyAlignment="1">
      <alignment vertical="top" wrapText="1"/>
    </xf>
    <xf numFmtId="164" fontId="54" fillId="0" borderId="77" xfId="0" applyFont="1" applyBorder="1" applyAlignment="1">
      <alignment vertical="top" wrapText="1"/>
    </xf>
    <xf numFmtId="164" fontId="54" fillId="0" borderId="74" xfId="0" applyFont="1" applyBorder="1" applyAlignment="1">
      <alignment vertical="top" wrapText="1"/>
    </xf>
    <xf numFmtId="164" fontId="54" fillId="0" borderId="78" xfId="0" applyFont="1" applyBorder="1" applyAlignment="1">
      <alignment vertical="top" wrapText="1"/>
    </xf>
    <xf numFmtId="164" fontId="54" fillId="0" borderId="79" xfId="0" applyFont="1" applyBorder="1" applyAlignment="1">
      <alignment vertical="top" wrapText="1"/>
    </xf>
    <xf numFmtId="167" fontId="54" fillId="0" borderId="3" xfId="0" applyNumberFormat="1" applyFont="1" applyBorder="1" applyAlignment="1">
      <alignment vertical="top" wrapText="1"/>
    </xf>
    <xf numFmtId="164" fontId="60" fillId="0" borderId="0" xfId="0" applyFont="1"/>
    <xf numFmtId="164" fontId="52" fillId="0" borderId="0" xfId="0" applyFont="1"/>
    <xf numFmtId="164" fontId="61" fillId="0" borderId="0" xfId="0" applyFont="1"/>
    <xf numFmtId="167" fontId="54" fillId="0" borderId="80" xfId="0" applyNumberFormat="1" applyFont="1" applyBorder="1" applyAlignment="1">
      <alignment vertical="top" wrapText="1"/>
    </xf>
    <xf numFmtId="167" fontId="54" fillId="0" borderId="75" xfId="0" applyNumberFormat="1" applyFont="1" applyBorder="1" applyAlignment="1">
      <alignment wrapText="1"/>
    </xf>
    <xf numFmtId="167" fontId="57" fillId="0" borderId="75" xfId="0" applyNumberFormat="1" applyFont="1" applyBorder="1" applyAlignment="1">
      <alignment wrapText="1"/>
    </xf>
    <xf numFmtId="167" fontId="54" fillId="0" borderId="75" xfId="0" applyNumberFormat="1" applyFont="1" applyBorder="1" applyAlignment="1">
      <alignment vertical="top" wrapText="1"/>
    </xf>
    <xf numFmtId="167" fontId="54" fillId="0" borderId="79" xfId="0" applyNumberFormat="1" applyFont="1" applyBorder="1" applyAlignment="1">
      <alignment vertical="top" wrapText="1"/>
    </xf>
    <xf numFmtId="164" fontId="61" fillId="0" borderId="0" xfId="0" applyFont="1" applyFill="1"/>
    <xf numFmtId="164" fontId="54" fillId="0" borderId="3" xfId="0" applyFont="1" applyFill="1" applyBorder="1" applyAlignment="1">
      <alignment vertical="top" wrapText="1"/>
    </xf>
    <xf numFmtId="3" fontId="19" fillId="0" borderId="6" xfId="0" applyNumberFormat="1" applyFont="1" applyFill="1" applyBorder="1" applyAlignment="1">
      <alignment horizontal="center" vertical="center"/>
    </xf>
    <xf numFmtId="3" fontId="19" fillId="0" borderId="52" xfId="0" applyNumberFormat="1" applyFont="1" applyFill="1" applyBorder="1" applyAlignment="1">
      <alignment horizontal="right" vertical="center"/>
    </xf>
    <xf numFmtId="37" fontId="21" fillId="0" borderId="4" xfId="0" applyNumberFormat="1" applyFont="1" applyFill="1" applyBorder="1" applyAlignment="1" applyProtection="1">
      <alignment horizontal="center" vertical="center"/>
    </xf>
    <xf numFmtId="0" fontId="21" fillId="0" borderId="4" xfId="0" applyNumberFormat="1" applyFont="1" applyFill="1" applyBorder="1" applyAlignment="1" applyProtection="1">
      <alignment horizontal="center" vertical="center"/>
    </xf>
    <xf numFmtId="3" fontId="21" fillId="0" borderId="4" xfId="0" applyNumberFormat="1" applyFont="1" applyFill="1" applyBorder="1" applyAlignment="1" applyProtection="1">
      <alignment horizontal="center" vertical="center"/>
    </xf>
    <xf numFmtId="165" fontId="21" fillId="0" borderId="4" xfId="0" applyNumberFormat="1" applyFont="1" applyFill="1" applyBorder="1" applyAlignment="1" applyProtection="1">
      <alignment horizontal="center" vertical="center"/>
    </xf>
    <xf numFmtId="164" fontId="46" fillId="0" borderId="65" xfId="0" applyFont="1" applyFill="1" applyBorder="1" applyAlignment="1" applyProtection="1">
      <alignment horizontal="center" vertical="center"/>
    </xf>
    <xf numFmtId="164" fontId="65" fillId="0" borderId="0" xfId="0" applyFont="1" applyFill="1"/>
    <xf numFmtId="164" fontId="11" fillId="0" borderId="27" xfId="0" applyFont="1" applyFill="1" applyBorder="1" applyAlignment="1" applyProtection="1">
      <alignment horizontal="center"/>
    </xf>
    <xf numFmtId="164" fontId="11" fillId="0" borderId="30" xfId="0" applyFont="1" applyFill="1" applyBorder="1" applyAlignment="1" applyProtection="1">
      <alignment horizontal="center"/>
    </xf>
    <xf numFmtId="3" fontId="19" fillId="0" borderId="63" xfId="0" applyNumberFormat="1" applyFont="1" applyFill="1" applyBorder="1" applyAlignment="1" applyProtection="1">
      <alignment horizontal="right" vertical="center"/>
    </xf>
    <xf numFmtId="165" fontId="21" fillId="0" borderId="38" xfId="0" applyNumberFormat="1" applyFont="1" applyFill="1" applyBorder="1" applyAlignment="1" applyProtection="1">
      <alignment horizontal="right" vertical="center"/>
    </xf>
    <xf numFmtId="165" fontId="21" fillId="0" borderId="44" xfId="0" applyNumberFormat="1" applyFont="1" applyFill="1" applyBorder="1" applyAlignment="1" applyProtection="1">
      <alignment horizontal="right" vertical="center"/>
    </xf>
    <xf numFmtId="165" fontId="21" fillId="0" borderId="5" xfId="0" applyNumberFormat="1" applyFont="1" applyFill="1" applyBorder="1" applyAlignment="1" applyProtection="1">
      <alignment horizontal="right" vertical="center"/>
    </xf>
    <xf numFmtId="5" fontId="21" fillId="0" borderId="5" xfId="0" applyNumberFormat="1" applyFont="1" applyFill="1" applyBorder="1" applyAlignment="1" applyProtection="1">
      <alignment horizontal="right" vertical="center"/>
    </xf>
    <xf numFmtId="7" fontId="21" fillId="0" borderId="5" xfId="0" applyNumberFormat="1" applyFont="1" applyFill="1" applyBorder="1" applyAlignment="1" applyProtection="1">
      <alignment horizontal="right" vertical="center"/>
    </xf>
    <xf numFmtId="167" fontId="46" fillId="0" borderId="5" xfId="0" applyNumberFormat="1" applyFont="1" applyFill="1" applyBorder="1" applyAlignment="1" applyProtection="1">
      <alignment horizontal="right" vertical="center"/>
    </xf>
    <xf numFmtId="5" fontId="21" fillId="0" borderId="59" xfId="0" applyNumberFormat="1" applyFont="1" applyFill="1" applyBorder="1" applyAlignment="1" applyProtection="1">
      <alignment horizontal="right" vertical="center"/>
    </xf>
    <xf numFmtId="5" fontId="21" fillId="0" borderId="30" xfId="0" applyNumberFormat="1" applyFont="1" applyFill="1" applyBorder="1" applyAlignment="1" applyProtection="1">
      <alignment horizontal="right" vertical="center"/>
    </xf>
    <xf numFmtId="3" fontId="46" fillId="0" borderId="60" xfId="0" applyNumberFormat="1" applyFont="1" applyFill="1" applyBorder="1" applyAlignment="1" applyProtection="1">
      <alignment horizontal="right" vertical="center"/>
    </xf>
    <xf numFmtId="164" fontId="11" fillId="0" borderId="29" xfId="0" applyFont="1" applyFill="1" applyBorder="1" applyAlignment="1" applyProtection="1">
      <alignment horizontal="center"/>
    </xf>
    <xf numFmtId="5" fontId="28" fillId="0" borderId="5" xfId="0" applyNumberFormat="1" applyFont="1" applyBorder="1" applyAlignment="1">
      <alignment horizontal="right" vertical="center"/>
    </xf>
    <xf numFmtId="5" fontId="28" fillId="0" borderId="5" xfId="0" applyNumberFormat="1" applyFont="1" applyFill="1" applyBorder="1" applyAlignment="1">
      <alignment horizontal="right" vertical="center"/>
    </xf>
    <xf numFmtId="7" fontId="28" fillId="0" borderId="5" xfId="0" applyNumberFormat="1" applyFont="1" applyBorder="1" applyAlignment="1">
      <alignment horizontal="right" vertical="center"/>
    </xf>
    <xf numFmtId="0" fontId="28" fillId="0" borderId="48" xfId="0" applyNumberFormat="1" applyFont="1" applyFill="1" applyBorder="1" applyAlignment="1" applyProtection="1">
      <alignment horizontal="right" vertical="center"/>
      <protection locked="0"/>
    </xf>
    <xf numFmtId="5" fontId="28" fillId="0" borderId="16" xfId="0" applyNumberFormat="1" applyFont="1" applyFill="1" applyBorder="1" applyAlignment="1">
      <alignment horizontal="right" vertical="center"/>
    </xf>
    <xf numFmtId="5" fontId="28" fillId="0" borderId="11" xfId="0" applyNumberFormat="1" applyFont="1" applyFill="1" applyBorder="1" applyAlignment="1">
      <alignment horizontal="right" vertical="center"/>
    </xf>
    <xf numFmtId="164" fontId="67" fillId="0" borderId="0" xfId="0" applyFont="1"/>
    <xf numFmtId="164" fontId="54" fillId="0" borderId="74" xfId="0" applyFont="1" applyBorder="1" applyAlignment="1">
      <alignment vertical="top" wrapText="1"/>
    </xf>
    <xf numFmtId="167" fontId="54" fillId="0" borderId="3" xfId="0" applyNumberFormat="1" applyFont="1" applyBorder="1" applyAlignment="1">
      <alignment vertical="top" wrapText="1"/>
    </xf>
    <xf numFmtId="164" fontId="54" fillId="0" borderId="3" xfId="0" applyFont="1" applyBorder="1" applyAlignment="1">
      <alignment vertical="top" wrapText="1"/>
    </xf>
    <xf numFmtId="167" fontId="54" fillId="0" borderId="75" xfId="0" applyNumberFormat="1" applyFont="1" applyBorder="1" applyAlignment="1">
      <alignment wrapText="1"/>
    </xf>
    <xf numFmtId="167" fontId="57" fillId="0" borderId="75" xfId="0" applyNumberFormat="1" applyFont="1" applyBorder="1" applyAlignment="1">
      <alignment wrapText="1"/>
    </xf>
    <xf numFmtId="167" fontId="54" fillId="0" borderId="3" xfId="0" applyNumberFormat="1" applyFont="1" applyFill="1" applyBorder="1" applyAlignment="1">
      <alignment vertical="top" wrapText="1"/>
    </xf>
    <xf numFmtId="164" fontId="28" fillId="0" borderId="0" xfId="6" applyNumberFormat="1" applyFont="1"/>
    <xf numFmtId="1" fontId="28" fillId="0" borderId="81" xfId="0" applyNumberFormat="1" applyFont="1" applyFill="1" applyBorder="1" applyAlignment="1" applyProtection="1">
      <alignment horizontal="center" vertical="center"/>
    </xf>
    <xf numFmtId="164" fontId="21" fillId="0" borderId="86" xfId="0" applyFont="1" applyFill="1" applyBorder="1" applyAlignment="1">
      <alignment vertical="center"/>
    </xf>
    <xf numFmtId="164" fontId="21" fillId="0" borderId="86" xfId="0" applyFont="1" applyFill="1" applyBorder="1" applyAlignment="1" applyProtection="1">
      <alignment horizontal="center" vertical="center"/>
    </xf>
    <xf numFmtId="164" fontId="21" fillId="0" borderId="86" xfId="0" applyFont="1" applyFill="1" applyBorder="1" applyAlignment="1">
      <alignment horizontal="center" vertical="center"/>
    </xf>
    <xf numFmtId="165" fontId="21" fillId="0" borderId="86" xfId="0" applyNumberFormat="1" applyFont="1" applyFill="1" applyBorder="1" applyAlignment="1" applyProtection="1">
      <alignment horizontal="center" vertical="center"/>
    </xf>
    <xf numFmtId="0" fontId="25" fillId="0" borderId="86" xfId="0" applyNumberFormat="1" applyFont="1" applyFill="1" applyBorder="1" applyAlignment="1" applyProtection="1">
      <alignment horizontal="center" vertical="center"/>
      <protection locked="0"/>
    </xf>
    <xf numFmtId="165" fontId="21" fillId="0" borderId="87" xfId="0" applyNumberFormat="1" applyFont="1" applyFill="1" applyBorder="1" applyAlignment="1" applyProtection="1">
      <alignment horizontal="right" vertical="center"/>
    </xf>
    <xf numFmtId="164" fontId="11" fillId="0" borderId="32" xfId="0" applyFont="1" applyFill="1" applyBorder="1" applyAlignment="1" applyProtection="1">
      <alignment horizontal="center"/>
    </xf>
    <xf numFmtId="164" fontId="11" fillId="0" borderId="31" xfId="0" applyFont="1" applyFill="1" applyBorder="1" applyAlignment="1" applyProtection="1">
      <alignment horizontal="center"/>
    </xf>
    <xf numFmtId="164" fontId="11" fillId="0" borderId="33" xfId="0" applyFont="1" applyFill="1" applyBorder="1" applyAlignment="1" applyProtection="1">
      <alignment horizontal="center"/>
    </xf>
    <xf numFmtId="164" fontId="64" fillId="0" borderId="3" xfId="0" applyFont="1" applyFill="1" applyBorder="1" applyAlignment="1">
      <alignment horizontal="center" vertical="center"/>
    </xf>
    <xf numFmtId="164" fontId="21" fillId="0" borderId="40" xfId="0" applyFont="1" applyFill="1" applyBorder="1" applyAlignment="1" applyProtection="1">
      <alignment horizontal="center" vertical="center"/>
    </xf>
    <xf numFmtId="164" fontId="21" fillId="0" borderId="41" xfId="0" applyFont="1" applyFill="1" applyBorder="1" applyAlignment="1" applyProtection="1">
      <alignment horizontal="center" vertical="center"/>
    </xf>
    <xf numFmtId="1" fontId="7" fillId="0" borderId="65" xfId="0" applyNumberFormat="1" applyFont="1" applyFill="1" applyBorder="1" applyAlignment="1" applyProtection="1">
      <alignment horizontal="center" vertical="center"/>
    </xf>
    <xf numFmtId="0" fontId="28" fillId="0" borderId="86" xfId="0" applyNumberFormat="1" applyFont="1" applyFill="1" applyBorder="1" applyAlignment="1" applyProtection="1">
      <alignment horizontal="center" vertical="center"/>
    </xf>
    <xf numFmtId="164" fontId="28" fillId="0" borderId="86" xfId="0" applyFont="1" applyBorder="1" applyAlignment="1" applyProtection="1">
      <alignment horizontal="left" vertical="center"/>
    </xf>
    <xf numFmtId="164" fontId="0" fillId="0" borderId="0" xfId="0" applyFill="1"/>
    <xf numFmtId="164" fontId="21" fillId="0" borderId="0" xfId="0" applyFont="1" applyFill="1" applyAlignment="1">
      <alignment horizontal="left"/>
    </xf>
    <xf numFmtId="164" fontId="21" fillId="4" borderId="35" xfId="0" applyFont="1" applyFill="1" applyBorder="1" applyAlignment="1">
      <alignment horizontal="center"/>
    </xf>
    <xf numFmtId="164" fontId="21" fillId="4" borderId="18" xfId="0" applyFont="1" applyFill="1" applyBorder="1" applyAlignment="1">
      <alignment horizontal="center"/>
    </xf>
    <xf numFmtId="164" fontId="21" fillId="0" borderId="85" xfId="0" applyFont="1" applyFill="1" applyBorder="1" applyAlignment="1" applyProtection="1">
      <alignment horizontal="center" vertical="center"/>
      <protection locked="0"/>
    </xf>
    <xf numFmtId="1" fontId="21" fillId="0" borderId="85" xfId="1" applyNumberFormat="1" applyFont="1" applyFill="1" applyBorder="1" applyAlignment="1" applyProtection="1">
      <alignment horizontal="center" vertical="center"/>
      <protection locked="0"/>
    </xf>
    <xf numFmtId="164" fontId="46" fillId="0" borderId="85" xfId="0" applyFont="1" applyFill="1" applyBorder="1" applyAlignment="1" applyProtection="1">
      <alignment horizontal="center" vertical="center"/>
      <protection locked="0"/>
    </xf>
    <xf numFmtId="164" fontId="21" fillId="0" borderId="88" xfId="0" applyFont="1" applyFill="1" applyBorder="1" applyAlignment="1" applyProtection="1">
      <alignment horizontal="center" vertical="center"/>
      <protection locked="0"/>
    </xf>
    <xf numFmtId="164" fontId="21" fillId="0" borderId="89" xfId="0" applyFont="1" applyFill="1" applyBorder="1" applyAlignment="1">
      <alignment horizontal="center"/>
    </xf>
    <xf numFmtId="164" fontId="21" fillId="0" borderId="90" xfId="0" applyFont="1" applyFill="1" applyBorder="1" applyAlignment="1" applyProtection="1">
      <alignment horizontal="center" vertical="center"/>
      <protection locked="0"/>
    </xf>
    <xf numFmtId="164" fontId="21" fillId="0" borderId="91" xfId="0" applyFont="1" applyFill="1" applyBorder="1" applyAlignment="1" applyProtection="1">
      <alignment horizontal="center" vertical="center"/>
      <protection locked="0"/>
    </xf>
    <xf numFmtId="164" fontId="46" fillId="0" borderId="92" xfId="0" applyFont="1" applyFill="1" applyBorder="1" applyAlignment="1">
      <alignment horizontal="center"/>
    </xf>
    <xf numFmtId="164" fontId="19" fillId="0" borderId="84" xfId="0" applyFont="1" applyFill="1" applyBorder="1" applyAlignment="1">
      <alignment horizontal="center" vertical="center"/>
    </xf>
    <xf numFmtId="164" fontId="19" fillId="0" borderId="93" xfId="0" applyFont="1" applyFill="1" applyBorder="1" applyAlignment="1">
      <alignment horizontal="center" vertical="center"/>
    </xf>
    <xf numFmtId="164" fontId="11" fillId="0" borderId="86" xfId="0" applyFont="1" applyFill="1" applyBorder="1" applyAlignment="1" applyProtection="1">
      <alignment horizontal="left" vertical="center"/>
    </xf>
    <xf numFmtId="164" fontId="11" fillId="0" borderId="86" xfId="0" applyFont="1" applyFill="1" applyBorder="1"/>
    <xf numFmtId="164" fontId="11" fillId="0" borderId="86" xfId="0" applyFont="1" applyFill="1" applyBorder="1" applyAlignment="1">
      <alignment vertical="center"/>
    </xf>
    <xf numFmtId="164" fontId="11" fillId="0" borderId="86" xfId="0" applyFont="1" applyFill="1" applyBorder="1" applyAlignment="1" applyProtection="1">
      <alignment vertical="center" wrapText="1"/>
    </xf>
    <xf numFmtId="164" fontId="46" fillId="0" borderId="86" xfId="0" applyFont="1" applyFill="1" applyBorder="1" applyAlignment="1">
      <alignment vertical="center"/>
    </xf>
    <xf numFmtId="9" fontId="11" fillId="0" borderId="86" xfId="0" applyNumberFormat="1" applyFont="1" applyFill="1" applyBorder="1" applyAlignment="1" applyProtection="1">
      <alignment vertical="center"/>
    </xf>
    <xf numFmtId="9" fontId="11" fillId="0" borderId="86" xfId="0" applyNumberFormat="1" applyFont="1" applyFill="1" applyBorder="1" applyAlignment="1" applyProtection="1">
      <alignment horizontal="left" vertical="center"/>
    </xf>
    <xf numFmtId="164" fontId="46" fillId="0" borderId="94" xfId="0" applyFont="1" applyFill="1" applyBorder="1" applyAlignment="1">
      <alignment vertical="center"/>
    </xf>
    <xf numFmtId="164" fontId="11" fillId="0" borderId="0" xfId="0" applyFont="1" applyFill="1" applyAlignment="1">
      <alignment vertical="top"/>
    </xf>
    <xf numFmtId="37" fontId="21" fillId="0" borderId="86" xfId="0" applyNumberFormat="1" applyFont="1" applyFill="1" applyBorder="1" applyAlignment="1" applyProtection="1">
      <alignment horizontal="center" vertical="center"/>
      <protection locked="0"/>
    </xf>
    <xf numFmtId="0" fontId="21" fillId="0" borderId="85" xfId="1" applyNumberFormat="1" applyFont="1" applyFill="1" applyBorder="1" applyAlignment="1" applyProtection="1">
      <alignment horizontal="center" vertical="center"/>
      <protection locked="0"/>
    </xf>
    <xf numFmtId="1" fontId="21" fillId="0" borderId="85" xfId="0" applyNumberFormat="1" applyFont="1" applyFill="1" applyBorder="1" applyAlignment="1" applyProtection="1">
      <alignment horizontal="center" vertical="center"/>
      <protection locked="0"/>
    </xf>
    <xf numFmtId="164" fontId="21" fillId="0" borderId="19" xfId="0" applyFont="1" applyFill="1" applyBorder="1" applyAlignment="1">
      <alignment horizontal="center"/>
    </xf>
    <xf numFmtId="164" fontId="48" fillId="0" borderId="95" xfId="0" applyFont="1" applyFill="1" applyBorder="1"/>
    <xf numFmtId="164" fontId="48" fillId="0" borderId="96" xfId="0" applyFont="1" applyFill="1" applyBorder="1"/>
    <xf numFmtId="3" fontId="19" fillId="0" borderId="53" xfId="0" applyNumberFormat="1" applyFont="1" applyFill="1" applyBorder="1" applyAlignment="1">
      <alignment horizontal="right" vertical="center"/>
    </xf>
    <xf numFmtId="164" fontId="48" fillId="0" borderId="97" xfId="0" applyFont="1" applyFill="1" applyBorder="1"/>
    <xf numFmtId="164" fontId="21" fillId="0" borderId="12" xfId="0" applyFont="1" applyFill="1" applyBorder="1" applyAlignment="1" applyProtection="1">
      <alignment horizontal="center" vertical="center"/>
    </xf>
    <xf numFmtId="164" fontId="21" fillId="0" borderId="21" xfId="0" applyFont="1" applyFill="1" applyBorder="1" applyAlignment="1" applyProtection="1">
      <alignment horizontal="center" vertical="center"/>
    </xf>
    <xf numFmtId="164" fontId="21" fillId="0" borderId="0" xfId="0" applyFont="1" applyFill="1" applyBorder="1" applyAlignment="1">
      <alignment horizontal="left" vertical="center"/>
    </xf>
    <xf numFmtId="37" fontId="46" fillId="0" borderId="22" xfId="0" applyNumberFormat="1" applyFont="1" applyFill="1" applyBorder="1" applyAlignment="1" applyProtection="1">
      <alignment horizontal="center" vertical="center"/>
    </xf>
    <xf numFmtId="37" fontId="46" fillId="0" borderId="6" xfId="0" applyNumberFormat="1" applyFont="1" applyFill="1" applyBorder="1" applyAlignment="1" applyProtection="1">
      <alignment horizontal="center" vertical="center"/>
    </xf>
    <xf numFmtId="37" fontId="46" fillId="0" borderId="4" xfId="0" applyNumberFormat="1" applyFont="1" applyFill="1" applyBorder="1" applyAlignment="1" applyProtection="1">
      <alignment horizontal="center" vertical="center"/>
    </xf>
    <xf numFmtId="3" fontId="46" fillId="0" borderId="43" xfId="0" applyNumberFormat="1" applyFont="1" applyFill="1" applyBorder="1" applyAlignment="1">
      <alignment horizontal="center"/>
    </xf>
    <xf numFmtId="3" fontId="46" fillId="0" borderId="18" xfId="0" applyNumberFormat="1" applyFont="1" applyFill="1" applyBorder="1" applyAlignment="1">
      <alignment horizontal="center"/>
    </xf>
    <xf numFmtId="3" fontId="46" fillId="0" borderId="61" xfId="0" applyNumberFormat="1" applyFont="1" applyFill="1" applyBorder="1" applyAlignment="1">
      <alignment horizontal="center"/>
    </xf>
    <xf numFmtId="3" fontId="19" fillId="0" borderId="62" xfId="0" applyNumberFormat="1" applyFont="1" applyFill="1" applyBorder="1" applyAlignment="1">
      <alignment horizontal="center" vertical="center"/>
    </xf>
    <xf numFmtId="164" fontId="11" fillId="0" borderId="0" xfId="0" applyFont="1" applyFill="1" applyAlignment="1">
      <alignment horizontal="left" vertical="top" wrapText="1"/>
    </xf>
    <xf numFmtId="164" fontId="11" fillId="0" borderId="0" xfId="0" applyFont="1" applyFill="1" applyBorder="1" applyAlignment="1">
      <alignment horizontal="left" vertical="top" wrapText="1"/>
    </xf>
    <xf numFmtId="0" fontId="6" fillId="0" borderId="3" xfId="10" applyBorder="1" applyAlignment="1">
      <alignment horizontal="center"/>
    </xf>
    <xf numFmtId="0" fontId="6" fillId="0" borderId="3" xfId="10" applyBorder="1" applyAlignment="1">
      <alignment horizontal="center" vertical="center" wrapText="1"/>
    </xf>
    <xf numFmtId="0" fontId="6" fillId="0" borderId="3" xfId="10" applyBorder="1" applyAlignment="1">
      <alignment horizontal="center" vertical="center"/>
    </xf>
    <xf numFmtId="0" fontId="11" fillId="0" borderId="0" xfId="0" applyNumberFormat="1" applyFont="1" applyAlignment="1">
      <alignment horizontal="left" wrapText="1"/>
    </xf>
    <xf numFmtId="0" fontId="31" fillId="0" borderId="0" xfId="0" applyNumberFormat="1" applyFont="1" applyAlignment="1">
      <alignment horizontal="left" wrapText="1"/>
    </xf>
    <xf numFmtId="0" fontId="7" fillId="0" borderId="0" xfId="9" applyAlignment="1">
      <alignment horizontal="left" vertical="top" wrapText="1"/>
    </xf>
    <xf numFmtId="0" fontId="12" fillId="0" borderId="3" xfId="0" applyNumberFormat="1" applyFont="1" applyBorder="1" applyAlignment="1">
      <alignment horizontal="center" vertical="center"/>
    </xf>
    <xf numFmtId="164" fontId="13" fillId="0" borderId="2" xfId="8" applyFont="1" applyFill="1" applyBorder="1" applyAlignment="1">
      <alignment horizontal="left" wrapText="1"/>
    </xf>
    <xf numFmtId="164" fontId="11" fillId="0" borderId="0" xfId="0" applyFont="1" applyBorder="1" applyAlignment="1">
      <alignment horizontal="left"/>
    </xf>
    <xf numFmtId="9" fontId="28" fillId="0" borderId="19" xfId="0" applyNumberFormat="1" applyFont="1" applyBorder="1" applyAlignment="1" applyProtection="1">
      <alignment horizontal="left" vertical="center"/>
    </xf>
    <xf numFmtId="9" fontId="28" fillId="0" borderId="83" xfId="0" applyNumberFormat="1" applyFont="1" applyBorder="1" applyAlignment="1" applyProtection="1">
      <alignment horizontal="left" vertical="center"/>
    </xf>
    <xf numFmtId="9" fontId="27" fillId="0" borderId="67" xfId="0" applyNumberFormat="1" applyFont="1" applyBorder="1" applyAlignment="1" applyProtection="1">
      <alignment horizontal="left" vertical="center"/>
    </xf>
    <xf numFmtId="9" fontId="27" fillId="0" borderId="17" xfId="0" applyNumberFormat="1" applyFont="1" applyBorder="1" applyAlignment="1" applyProtection="1">
      <alignment horizontal="left" vertical="center"/>
    </xf>
    <xf numFmtId="1" fontId="28" fillId="0" borderId="66" xfId="0" applyNumberFormat="1" applyFont="1" applyFill="1" applyBorder="1" applyAlignment="1" applyProtection="1">
      <alignment horizontal="center" vertical="center"/>
    </xf>
    <xf numFmtId="1" fontId="28" fillId="0" borderId="20" xfId="0" applyNumberFormat="1" applyFont="1" applyFill="1" applyBorder="1" applyAlignment="1" applyProtection="1">
      <alignment horizontal="center" vertical="center"/>
    </xf>
    <xf numFmtId="1" fontId="28" fillId="0" borderId="82" xfId="0" applyNumberFormat="1" applyFont="1" applyFill="1" applyBorder="1" applyAlignment="1" applyProtection="1">
      <alignment horizontal="center" vertical="center"/>
    </xf>
    <xf numFmtId="0" fontId="49" fillId="0" borderId="10" xfId="0" applyNumberFormat="1" applyFont="1" applyFill="1" applyBorder="1" applyAlignment="1">
      <alignment horizontal="center" wrapText="1"/>
    </xf>
    <xf numFmtId="0" fontId="49" fillId="0" borderId="3" xfId="0" applyNumberFormat="1" applyFont="1" applyFill="1" applyBorder="1" applyAlignment="1">
      <alignment horizontal="center" wrapText="1"/>
    </xf>
    <xf numFmtId="164" fontId="27" fillId="0" borderId="13" xfId="0" applyFont="1" applyFill="1" applyBorder="1" applyAlignment="1" applyProtection="1">
      <alignment horizontal="center" vertical="center"/>
    </xf>
    <xf numFmtId="164" fontId="27" fillId="0" borderId="2" xfId="0" applyFont="1" applyFill="1" applyBorder="1" applyAlignment="1" applyProtection="1">
      <alignment horizontal="center" vertical="center"/>
    </xf>
    <xf numFmtId="164" fontId="11" fillId="0" borderId="0" xfId="0" applyFont="1" applyAlignment="1">
      <alignment horizontal="left"/>
    </xf>
    <xf numFmtId="164" fontId="11" fillId="0" borderId="0" xfId="0" applyFont="1" applyBorder="1" applyAlignment="1">
      <alignment horizontal="left" wrapText="1"/>
    </xf>
    <xf numFmtId="164" fontId="52" fillId="0" borderId="71" xfId="0" applyFont="1" applyBorder="1" applyAlignment="1">
      <alignment vertical="top" wrapText="1"/>
    </xf>
    <xf numFmtId="164" fontId="52" fillId="0" borderId="72" xfId="0" applyFont="1" applyBorder="1" applyAlignment="1">
      <alignment vertical="top" wrapText="1"/>
    </xf>
    <xf numFmtId="164" fontId="52" fillId="0" borderId="73" xfId="0" applyFont="1" applyBorder="1" applyAlignment="1">
      <alignment vertical="top" wrapText="1"/>
    </xf>
    <xf numFmtId="164" fontId="53" fillId="0" borderId="74" xfId="0" applyFont="1" applyBorder="1" applyAlignment="1">
      <alignment horizontal="center" vertical="top" wrapText="1"/>
    </xf>
    <xf numFmtId="164" fontId="53" fillId="0" borderId="3" xfId="0" applyFont="1" applyBorder="1" applyAlignment="1">
      <alignment horizontal="center" vertical="top" wrapText="1"/>
    </xf>
    <xf numFmtId="164" fontId="53" fillId="0" borderId="75" xfId="0" applyFont="1" applyBorder="1" applyAlignment="1">
      <alignment horizontal="center" vertical="top" wrapText="1"/>
    </xf>
    <xf numFmtId="164" fontId="55" fillId="0" borderId="74" xfId="0" applyFont="1" applyBorder="1" applyAlignment="1">
      <alignment horizontal="center" vertical="top" wrapText="1"/>
    </xf>
    <xf numFmtId="164" fontId="55" fillId="0" borderId="3" xfId="0" applyFont="1" applyBorder="1" applyAlignment="1">
      <alignment horizontal="center" vertical="top" wrapText="1"/>
    </xf>
    <xf numFmtId="164" fontId="55" fillId="0" borderId="75" xfId="0" applyFont="1" applyBorder="1" applyAlignment="1">
      <alignment horizontal="center" vertical="top" wrapText="1"/>
    </xf>
    <xf numFmtId="164" fontId="61" fillId="0" borderId="0" xfId="0" applyFont="1" applyFill="1" applyAlignment="1">
      <alignment horizontal="left"/>
    </xf>
    <xf numFmtId="164" fontId="61" fillId="0" borderId="0" xfId="0" applyFont="1" applyFill="1" applyAlignment="1">
      <alignment horizontal="left" wrapText="1"/>
    </xf>
    <xf numFmtId="164" fontId="58" fillId="0" borderId="72" xfId="0" applyFont="1" applyFill="1" applyBorder="1" applyAlignment="1">
      <alignment horizontal="left" wrapText="1"/>
    </xf>
    <xf numFmtId="164" fontId="58" fillId="0" borderId="0" xfId="0" applyFont="1" applyFill="1" applyAlignment="1">
      <alignment horizontal="left"/>
    </xf>
    <xf numFmtId="164" fontId="62" fillId="0" borderId="0" xfId="0" applyFont="1" applyFill="1" applyAlignment="1">
      <alignment horizontal="left"/>
    </xf>
  </cellXfs>
  <cellStyles count="14">
    <cellStyle name="Comma" xfId="1" builtinId="3"/>
    <cellStyle name="Currency" xfId="2" builtinId="4"/>
    <cellStyle name="Normal" xfId="0" builtinId="0"/>
    <cellStyle name="Normal 2" xfId="9" xr:uid="{00000000-0005-0000-0000-000003000000}"/>
    <cellStyle name="Normal 3" xfId="10" xr:uid="{00000000-0005-0000-0000-000004000000}"/>
    <cellStyle name="Normal 3 2" xfId="12" xr:uid="{00000000-0005-0000-0000-000005000000}"/>
    <cellStyle name="Normal 4" xfId="11" xr:uid="{00000000-0005-0000-0000-000006000000}"/>
    <cellStyle name="Normal 5" xfId="13" xr:uid="{00000000-0005-0000-0000-000007000000}"/>
    <cellStyle name="Normal_Cost Analysis - Testing and Monitoring - 20101104 (QA 20101110)" xfId="3" xr:uid="{00000000-0005-0000-0000-000008000000}"/>
    <cellStyle name="Normal_HMIWI EG SS" xfId="4" xr:uid="{00000000-0005-0000-0000-000009000000}"/>
    <cellStyle name="Normal_ICR Cost Inputs" xfId="5" xr:uid="{00000000-0005-0000-0000-00000A000000}"/>
    <cellStyle name="Normal_Sheet1" xfId="6" xr:uid="{00000000-0005-0000-0000-00000B000000}"/>
    <cellStyle name="Normal_Sheet2" xfId="7" xr:uid="{00000000-0005-0000-0000-00000C000000}"/>
    <cellStyle name="Normal_SSI Burden Estimate BML 060710" xfId="8"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Z96"/>
  <sheetViews>
    <sheetView showGridLines="0" tabSelected="1" zoomScaleNormal="100" zoomScaleSheetLayoutView="85" workbookViewId="0">
      <selection activeCell="A86" sqref="A86:I86"/>
    </sheetView>
  </sheetViews>
  <sheetFormatPr defaultColWidth="9.77734375" defaultRowHeight="10" x14ac:dyDescent="0.2"/>
  <cols>
    <col min="1" max="1" width="46.109375" style="27" customWidth="1"/>
    <col min="2" max="2" width="12.33203125" style="60" customWidth="1"/>
    <col min="3" max="3" width="12.44140625" style="60" bestFit="1" customWidth="1"/>
    <col min="4" max="4" width="11.77734375" style="60" bestFit="1" customWidth="1"/>
    <col min="5" max="5" width="12.109375" style="60" customWidth="1"/>
    <col min="6" max="6" width="11.77734375" style="60" bestFit="1" customWidth="1"/>
    <col min="7" max="7" width="8.77734375" style="60" bestFit="1" customWidth="1"/>
    <col min="8" max="8" width="11.33203125" style="60" bestFit="1" customWidth="1"/>
    <col min="9" max="9" width="16.44140625" style="60" customWidth="1"/>
    <col min="10" max="10" width="14.109375" style="60" bestFit="1" customWidth="1"/>
    <col min="11" max="11" width="10.33203125" style="60" bestFit="1" customWidth="1"/>
    <col min="12" max="12" width="5.109375" style="60" bestFit="1" customWidth="1"/>
    <col min="13" max="13" width="10.6640625" style="60" customWidth="1"/>
    <col min="14" max="16384" width="9.77734375" style="27"/>
  </cols>
  <sheetData>
    <row r="1" spans="1:26" ht="14.5" customHeight="1" x14ac:dyDescent="0.35">
      <c r="F1" s="233">
        <v>122.2</v>
      </c>
      <c r="G1" s="233">
        <v>153.55000000000001</v>
      </c>
      <c r="H1" s="233">
        <v>61.51</v>
      </c>
      <c r="I1" s="234" t="s">
        <v>270</v>
      </c>
    </row>
    <row r="2" spans="1:26" ht="10" customHeight="1" x14ac:dyDescent="0.2"/>
    <row r="3" spans="1:26" ht="11.5" customHeight="1" x14ac:dyDescent="0.2"/>
    <row r="4" spans="1:26" ht="9.65" customHeight="1" x14ac:dyDescent="0.2"/>
    <row r="5" spans="1:26" ht="14.5" customHeight="1" thickBot="1" x14ac:dyDescent="0.4">
      <c r="A5" s="271" t="s">
        <v>308</v>
      </c>
      <c r="B5" s="271"/>
      <c r="C5" s="271"/>
      <c r="D5" s="271"/>
      <c r="E5" s="271"/>
      <c r="F5" s="271"/>
      <c r="G5" s="271"/>
      <c r="H5" s="271"/>
      <c r="I5" s="271"/>
      <c r="J5" s="271"/>
      <c r="K5" s="271"/>
      <c r="L5" s="271"/>
      <c r="M5" s="271"/>
      <c r="N5" s="29"/>
      <c r="O5" s="29"/>
      <c r="P5" s="29"/>
      <c r="Q5" s="29"/>
      <c r="R5" s="29"/>
      <c r="S5" s="29"/>
      <c r="T5" s="29"/>
      <c r="U5" s="29"/>
      <c r="V5" s="29"/>
      <c r="W5" s="29"/>
      <c r="X5" s="29"/>
      <c r="Y5" s="29"/>
      <c r="Z5" s="29"/>
    </row>
    <row r="6" spans="1:26" ht="10.9" customHeight="1" x14ac:dyDescent="0.2">
      <c r="A6" s="380" t="s">
        <v>13</v>
      </c>
      <c r="B6" s="30" t="s">
        <v>19</v>
      </c>
      <c r="C6" s="192" t="s">
        <v>0</v>
      </c>
      <c r="D6" s="192" t="s">
        <v>1</v>
      </c>
      <c r="E6" s="193" t="s">
        <v>2</v>
      </c>
      <c r="F6" s="193" t="s">
        <v>3</v>
      </c>
      <c r="G6" s="193" t="s">
        <v>4</v>
      </c>
      <c r="H6" s="194" t="s">
        <v>20</v>
      </c>
      <c r="I6" s="235" t="s">
        <v>175</v>
      </c>
      <c r="J6" s="27"/>
      <c r="K6" s="27"/>
      <c r="L6" s="27"/>
      <c r="M6" s="27"/>
    </row>
    <row r="7" spans="1:26" ht="10.9" customHeight="1" x14ac:dyDescent="0.2">
      <c r="A7" s="381"/>
      <c r="B7" s="31" t="s">
        <v>27</v>
      </c>
      <c r="C7" s="32" t="s">
        <v>21</v>
      </c>
      <c r="D7" s="32" t="s">
        <v>9</v>
      </c>
      <c r="E7" s="31" t="s">
        <v>21</v>
      </c>
      <c r="F7" s="31" t="s">
        <v>22</v>
      </c>
      <c r="G7" s="31" t="s">
        <v>6</v>
      </c>
      <c r="H7" s="33" t="s">
        <v>7</v>
      </c>
      <c r="I7" s="236" t="s">
        <v>23</v>
      </c>
      <c r="J7" s="27"/>
      <c r="K7" s="27"/>
      <c r="L7" s="27"/>
      <c r="M7" s="27"/>
    </row>
    <row r="8" spans="1:26" ht="10.9" customHeight="1" x14ac:dyDescent="0.2">
      <c r="A8" s="381"/>
      <c r="B8" s="31" t="s">
        <v>33</v>
      </c>
      <c r="C8" s="32" t="s">
        <v>8</v>
      </c>
      <c r="D8" s="32" t="s">
        <v>10</v>
      </c>
      <c r="E8" s="31" t="s">
        <v>24</v>
      </c>
      <c r="F8" s="31" t="s">
        <v>9</v>
      </c>
      <c r="G8" s="31" t="s">
        <v>9</v>
      </c>
      <c r="H8" s="33" t="s">
        <v>9</v>
      </c>
      <c r="I8" s="236" t="s">
        <v>25</v>
      </c>
      <c r="J8" s="27"/>
      <c r="K8" s="27"/>
      <c r="L8" s="27"/>
      <c r="M8" s="27"/>
    </row>
    <row r="9" spans="1:26" ht="10.9" customHeight="1" x14ac:dyDescent="0.2">
      <c r="A9" s="381"/>
      <c r="B9" s="31" t="s">
        <v>12</v>
      </c>
      <c r="C9" s="32" t="s">
        <v>10</v>
      </c>
      <c r="D9" s="32" t="s">
        <v>27</v>
      </c>
      <c r="E9" s="306" t="s">
        <v>268</v>
      </c>
      <c r="F9" s="306" t="s">
        <v>11</v>
      </c>
      <c r="G9" s="306" t="s">
        <v>11</v>
      </c>
      <c r="H9" s="318" t="s">
        <v>11</v>
      </c>
      <c r="I9" s="307" t="s">
        <v>269</v>
      </c>
      <c r="J9" s="27"/>
      <c r="K9" s="27"/>
      <c r="L9" s="27"/>
      <c r="M9" s="27"/>
    </row>
    <row r="10" spans="1:26" ht="10.9" customHeight="1" x14ac:dyDescent="0.2">
      <c r="A10" s="381"/>
      <c r="B10" s="31" t="s">
        <v>26</v>
      </c>
      <c r="C10" s="32" t="s">
        <v>27</v>
      </c>
      <c r="D10" s="32" t="s">
        <v>11</v>
      </c>
      <c r="E10" s="88"/>
      <c r="F10" s="34"/>
      <c r="G10" s="34"/>
      <c r="H10" s="35"/>
      <c r="I10" s="237"/>
      <c r="J10" s="27"/>
      <c r="K10" s="27"/>
      <c r="L10" s="27"/>
      <c r="M10" s="27"/>
    </row>
    <row r="11" spans="1:26" ht="10.9" customHeight="1" thickBot="1" x14ac:dyDescent="0.25">
      <c r="A11" s="381"/>
      <c r="B11" s="36" t="s">
        <v>28</v>
      </c>
      <c r="C11" s="37" t="s">
        <v>11</v>
      </c>
      <c r="D11" s="340" t="s">
        <v>302</v>
      </c>
      <c r="E11" s="36"/>
      <c r="F11" s="341" t="s">
        <v>303</v>
      </c>
      <c r="G11" s="341" t="s">
        <v>304</v>
      </c>
      <c r="H11" s="342" t="s">
        <v>305</v>
      </c>
      <c r="I11" s="238"/>
      <c r="J11" s="27"/>
      <c r="K11" s="27"/>
      <c r="L11" s="27"/>
      <c r="M11" s="27"/>
    </row>
    <row r="12" spans="1:26" ht="15" customHeight="1" x14ac:dyDescent="0.2">
      <c r="A12" s="363" t="s">
        <v>280</v>
      </c>
      <c r="B12" s="351" t="s">
        <v>69</v>
      </c>
      <c r="C12" s="38"/>
      <c r="D12" s="39">
        <f>B12*$C12</f>
        <v>0</v>
      </c>
      <c r="E12" s="40">
        <v>55</v>
      </c>
      <c r="F12" s="41"/>
      <c r="G12" s="41"/>
      <c r="H12" s="42"/>
      <c r="I12" s="309">
        <f>F12*33+G12*49+H12*15</f>
        <v>0</v>
      </c>
      <c r="J12" s="27"/>
      <c r="K12" s="27"/>
      <c r="L12" s="27"/>
      <c r="M12" s="27"/>
    </row>
    <row r="13" spans="1:26" ht="15" customHeight="1" x14ac:dyDescent="0.2">
      <c r="A13" s="363" t="s">
        <v>310</v>
      </c>
      <c r="B13" s="352" t="s">
        <v>69</v>
      </c>
      <c r="C13" s="44"/>
      <c r="D13" s="45">
        <f>B13*$C13</f>
        <v>0</v>
      </c>
      <c r="E13" s="63"/>
      <c r="F13" s="64"/>
      <c r="G13" s="64"/>
      <c r="H13" s="65">
        <f t="shared" ref="H13:H19" si="0">F13*0.1</f>
        <v>0</v>
      </c>
      <c r="I13" s="310">
        <f>F13*33+G13*49+H13*15</f>
        <v>0</v>
      </c>
      <c r="J13" s="27"/>
      <c r="K13" s="27"/>
      <c r="L13" s="27"/>
      <c r="M13" s="27"/>
    </row>
    <row r="14" spans="1:26" ht="15" customHeight="1" x14ac:dyDescent="0.2">
      <c r="A14" s="363" t="s">
        <v>311</v>
      </c>
      <c r="B14" s="353"/>
      <c r="C14" s="61"/>
      <c r="D14" s="67">
        <f>B14*$C14</f>
        <v>0</v>
      </c>
      <c r="E14" s="68"/>
      <c r="F14" s="67">
        <f t="shared" ref="F14:F19" si="1">D14*E14</f>
        <v>0</v>
      </c>
      <c r="G14" s="67">
        <f t="shared" ref="G14:G19" si="2">F14*0.05</f>
        <v>0</v>
      </c>
      <c r="H14" s="67">
        <f t="shared" si="0"/>
        <v>0</v>
      </c>
      <c r="I14" s="311">
        <f>F14*33+G14*49+H14*15</f>
        <v>0</v>
      </c>
      <c r="J14" s="27"/>
      <c r="K14" s="27"/>
      <c r="L14" s="27"/>
      <c r="M14" s="27"/>
    </row>
    <row r="15" spans="1:26" ht="15" customHeight="1" x14ac:dyDescent="0.2">
      <c r="A15" s="363" t="s">
        <v>312</v>
      </c>
      <c r="B15" s="353"/>
      <c r="C15" s="336"/>
      <c r="D15" s="337"/>
      <c r="E15" s="338"/>
      <c r="F15" s="337"/>
      <c r="G15" s="337"/>
      <c r="H15" s="337"/>
      <c r="I15" s="339"/>
      <c r="J15" s="27"/>
      <c r="K15" s="27"/>
      <c r="L15" s="27"/>
      <c r="M15" s="27"/>
    </row>
    <row r="16" spans="1:26" ht="15" customHeight="1" x14ac:dyDescent="0.2">
      <c r="A16" s="364" t="s">
        <v>313</v>
      </c>
      <c r="B16" s="353">
        <v>8</v>
      </c>
      <c r="C16" s="66">
        <v>1</v>
      </c>
      <c r="D16" s="66">
        <f>B16*$C16</f>
        <v>8</v>
      </c>
      <c r="E16" s="69">
        <v>13</v>
      </c>
      <c r="F16" s="70">
        <f t="shared" si="1"/>
        <v>104</v>
      </c>
      <c r="G16" s="70">
        <f t="shared" si="2"/>
        <v>5.2</v>
      </c>
      <c r="H16" s="70">
        <f t="shared" si="0"/>
        <v>10.4</v>
      </c>
      <c r="I16" s="312">
        <f>F16*F$1+G16*G$1+H16*H$1</f>
        <v>14146.964000000002</v>
      </c>
      <c r="J16" s="27"/>
      <c r="K16" s="27"/>
      <c r="L16" s="27"/>
      <c r="M16" s="27"/>
    </row>
    <row r="17" spans="1:13" ht="15" customHeight="1" x14ac:dyDescent="0.2">
      <c r="A17" s="363" t="s">
        <v>314</v>
      </c>
      <c r="B17" s="353">
        <v>320</v>
      </c>
      <c r="C17" s="335">
        <v>1</v>
      </c>
      <c r="D17" s="66">
        <f>B17*$C17</f>
        <v>320</v>
      </c>
      <c r="E17" s="372">
        <v>0</v>
      </c>
      <c r="F17" s="70">
        <f t="shared" ref="F17" si="3">D17*E17</f>
        <v>0</v>
      </c>
      <c r="G17" s="70">
        <f t="shared" ref="G17" si="4">F17*0.05</f>
        <v>0</v>
      </c>
      <c r="H17" s="70">
        <f t="shared" ref="H17" si="5">F17*0.1</f>
        <v>0</v>
      </c>
      <c r="I17" s="312">
        <f>F17*F$1+G17*G$1+H17*H$1</f>
        <v>0</v>
      </c>
      <c r="J17" s="27"/>
      <c r="K17" s="27"/>
      <c r="L17" s="27"/>
      <c r="M17" s="27"/>
    </row>
    <row r="18" spans="1:13" ht="15" customHeight="1" x14ac:dyDescent="0.2">
      <c r="A18" s="363" t="s">
        <v>315</v>
      </c>
      <c r="B18" s="353"/>
      <c r="C18" s="61"/>
      <c r="D18" s="61"/>
      <c r="E18" s="69"/>
      <c r="F18" s="67">
        <f t="shared" si="1"/>
        <v>0</v>
      </c>
      <c r="G18" s="67">
        <f t="shared" si="2"/>
        <v>0</v>
      </c>
      <c r="H18" s="67">
        <f t="shared" si="0"/>
        <v>0</v>
      </c>
      <c r="I18" s="312"/>
      <c r="J18" s="27"/>
      <c r="K18" s="27"/>
      <c r="L18" s="27"/>
      <c r="M18" s="46"/>
    </row>
    <row r="19" spans="1:13" ht="15" customHeight="1" x14ac:dyDescent="0.2">
      <c r="A19" s="363" t="s">
        <v>316</v>
      </c>
      <c r="B19" s="353"/>
      <c r="C19" s="61"/>
      <c r="D19" s="61"/>
      <c r="E19" s="69"/>
      <c r="F19" s="67">
        <f t="shared" si="1"/>
        <v>0</v>
      </c>
      <c r="G19" s="67">
        <f t="shared" si="2"/>
        <v>0</v>
      </c>
      <c r="H19" s="67">
        <f t="shared" si="0"/>
        <v>0</v>
      </c>
      <c r="I19" s="312"/>
      <c r="J19" s="27"/>
      <c r="K19" s="27"/>
      <c r="L19" s="27"/>
      <c r="M19" s="47"/>
    </row>
    <row r="20" spans="1:13" ht="15" customHeight="1" x14ac:dyDescent="0.2">
      <c r="A20" s="365" t="s">
        <v>317</v>
      </c>
      <c r="B20" s="353">
        <v>120</v>
      </c>
      <c r="C20" s="66">
        <v>1</v>
      </c>
      <c r="D20" s="66">
        <f t="shared" ref="D20:D25" si="6">B20*$C20</f>
        <v>120</v>
      </c>
      <c r="E20" s="71">
        <v>0</v>
      </c>
      <c r="F20" s="70">
        <f>D20*E20</f>
        <v>0</v>
      </c>
      <c r="G20" s="70">
        <f>F20*0.05</f>
        <v>0</v>
      </c>
      <c r="H20" s="70">
        <f>F20*0.1</f>
        <v>0</v>
      </c>
      <c r="I20" s="312">
        <f t="shared" ref="I20:I25" si="7">F20*F$1+G20*G$1+H20*H$1</f>
        <v>0</v>
      </c>
      <c r="J20" s="27"/>
      <c r="K20" s="27"/>
      <c r="L20" s="27"/>
      <c r="M20" s="47"/>
    </row>
    <row r="21" spans="1:13" ht="15" customHeight="1" x14ac:dyDescent="0.2">
      <c r="A21" s="366" t="s">
        <v>318</v>
      </c>
      <c r="B21" s="353">
        <f>9*4</f>
        <v>36</v>
      </c>
      <c r="C21" s="66">
        <v>1</v>
      </c>
      <c r="D21" s="66">
        <f t="shared" si="6"/>
        <v>36</v>
      </c>
      <c r="E21" s="69">
        <v>0</v>
      </c>
      <c r="F21" s="70">
        <f t="shared" ref="F21:F32" si="8">D21*E21</f>
        <v>0</v>
      </c>
      <c r="G21" s="70">
        <f t="shared" ref="G21:G32" si="9">F21*0.05</f>
        <v>0</v>
      </c>
      <c r="H21" s="70">
        <f t="shared" ref="H21:H25" si="10">F21*0.1</f>
        <v>0</v>
      </c>
      <c r="I21" s="312">
        <f t="shared" si="7"/>
        <v>0</v>
      </c>
      <c r="J21" s="27"/>
      <c r="K21" s="27"/>
      <c r="L21" s="27"/>
      <c r="M21" s="47"/>
    </row>
    <row r="22" spans="1:13" ht="15" customHeight="1" x14ac:dyDescent="0.2">
      <c r="A22" s="366" t="s">
        <v>319</v>
      </c>
      <c r="B22" s="353">
        <f>4*2</f>
        <v>8</v>
      </c>
      <c r="C22" s="66">
        <v>1</v>
      </c>
      <c r="D22" s="66">
        <f t="shared" si="6"/>
        <v>8</v>
      </c>
      <c r="E22" s="69">
        <v>0</v>
      </c>
      <c r="F22" s="70">
        <f t="shared" si="8"/>
        <v>0</v>
      </c>
      <c r="G22" s="70">
        <f t="shared" si="9"/>
        <v>0</v>
      </c>
      <c r="H22" s="70">
        <f t="shared" si="10"/>
        <v>0</v>
      </c>
      <c r="I22" s="312">
        <f t="shared" si="7"/>
        <v>0</v>
      </c>
      <c r="J22" s="27"/>
      <c r="K22" s="27"/>
      <c r="L22" s="27"/>
      <c r="M22" s="47"/>
    </row>
    <row r="23" spans="1:13" ht="15" customHeight="1" x14ac:dyDescent="0.2">
      <c r="A23" s="366" t="s">
        <v>320</v>
      </c>
      <c r="B23" s="353">
        <f>5*2*4</f>
        <v>40</v>
      </c>
      <c r="C23" s="66">
        <v>1</v>
      </c>
      <c r="D23" s="66">
        <f t="shared" si="6"/>
        <v>40</v>
      </c>
      <c r="E23" s="69">
        <v>0</v>
      </c>
      <c r="F23" s="70">
        <f t="shared" ref="F23" si="11">D23*E23</f>
        <v>0</v>
      </c>
      <c r="G23" s="70">
        <f t="shared" ref="G23" si="12">F23*0.05</f>
        <v>0</v>
      </c>
      <c r="H23" s="70">
        <f t="shared" ref="H23" si="13">F23*0.1</f>
        <v>0</v>
      </c>
      <c r="I23" s="312">
        <f t="shared" si="7"/>
        <v>0</v>
      </c>
      <c r="J23" s="27"/>
      <c r="K23" s="27"/>
      <c r="L23" s="27"/>
      <c r="M23" s="47"/>
    </row>
    <row r="24" spans="1:13" ht="15" customHeight="1" x14ac:dyDescent="0.2">
      <c r="A24" s="366" t="s">
        <v>321</v>
      </c>
      <c r="B24" s="373">
        <f>4*1*2</f>
        <v>8</v>
      </c>
      <c r="C24" s="66">
        <v>1</v>
      </c>
      <c r="D24" s="66">
        <f t="shared" si="6"/>
        <v>8</v>
      </c>
      <c r="E24" s="69">
        <v>0</v>
      </c>
      <c r="F24" s="70">
        <f t="shared" si="8"/>
        <v>0</v>
      </c>
      <c r="G24" s="70">
        <f t="shared" si="9"/>
        <v>0</v>
      </c>
      <c r="H24" s="70">
        <f t="shared" si="10"/>
        <v>0</v>
      </c>
      <c r="I24" s="312">
        <f t="shared" si="7"/>
        <v>0</v>
      </c>
      <c r="J24" s="27"/>
      <c r="K24" s="27"/>
      <c r="L24" s="27"/>
      <c r="M24" s="47"/>
    </row>
    <row r="25" spans="1:13" ht="15" customHeight="1" x14ac:dyDescent="0.2">
      <c r="A25" s="366" t="s">
        <v>322</v>
      </c>
      <c r="B25" s="374">
        <v>850</v>
      </c>
      <c r="C25" s="66">
        <v>1</v>
      </c>
      <c r="D25" s="66">
        <f t="shared" si="6"/>
        <v>850</v>
      </c>
      <c r="E25" s="69">
        <v>0</v>
      </c>
      <c r="F25" s="70">
        <f t="shared" si="8"/>
        <v>0</v>
      </c>
      <c r="G25" s="70">
        <f t="shared" si="9"/>
        <v>0</v>
      </c>
      <c r="H25" s="70">
        <f t="shared" si="10"/>
        <v>0</v>
      </c>
      <c r="I25" s="312">
        <f t="shared" si="7"/>
        <v>0</v>
      </c>
      <c r="J25" s="27"/>
      <c r="K25" s="27"/>
      <c r="L25" s="27"/>
      <c r="M25" s="47"/>
    </row>
    <row r="26" spans="1:13" ht="15" customHeight="1" x14ac:dyDescent="0.2">
      <c r="A26" s="363" t="s">
        <v>323</v>
      </c>
      <c r="B26" s="353"/>
      <c r="C26" s="66"/>
      <c r="D26" s="66"/>
      <c r="E26" s="71"/>
      <c r="F26" s="70"/>
      <c r="G26" s="70"/>
      <c r="H26" s="70"/>
      <c r="I26" s="312"/>
      <c r="J26" s="27"/>
      <c r="K26" s="27"/>
      <c r="L26" s="27"/>
      <c r="M26" s="47"/>
    </row>
    <row r="27" spans="1:13" ht="15" customHeight="1" x14ac:dyDescent="0.2">
      <c r="A27" s="365" t="s">
        <v>327</v>
      </c>
      <c r="B27" s="353">
        <v>17.100000000000001</v>
      </c>
      <c r="C27" s="66">
        <v>350</v>
      </c>
      <c r="D27" s="66">
        <f>B27*$C27</f>
        <v>5985.0000000000009</v>
      </c>
      <c r="E27" s="343">
        <v>13</v>
      </c>
      <c r="F27" s="300">
        <f>D27*E27</f>
        <v>77805.000000000015</v>
      </c>
      <c r="G27" s="70">
        <f t="shared" si="9"/>
        <v>3890.2500000000009</v>
      </c>
      <c r="H27" s="70">
        <f t="shared" ref="H27:H32" si="14">F27*0.1</f>
        <v>7780.5000000000018</v>
      </c>
      <c r="I27" s="313">
        <f t="shared" ref="I27:I32" si="15">F27*F$1+G27*G$1+H27*H$1</f>
        <v>10583697.442500003</v>
      </c>
      <c r="J27" s="27"/>
      <c r="K27" s="27"/>
      <c r="L27" s="27"/>
      <c r="M27" s="47"/>
    </row>
    <row r="28" spans="1:13" ht="15" customHeight="1" x14ac:dyDescent="0.2">
      <c r="A28" s="366" t="s">
        <v>328</v>
      </c>
      <c r="B28" s="353">
        <f>9*4</f>
        <v>36</v>
      </c>
      <c r="C28" s="66">
        <v>362</v>
      </c>
      <c r="D28" s="66">
        <f t="shared" ref="D28:D31" si="16">B28*$C28</f>
        <v>13032</v>
      </c>
      <c r="E28" s="343">
        <v>13</v>
      </c>
      <c r="F28" s="300">
        <f t="shared" si="8"/>
        <v>169416</v>
      </c>
      <c r="G28" s="70">
        <f t="shared" si="9"/>
        <v>8470.8000000000011</v>
      </c>
      <c r="H28" s="70">
        <f t="shared" si="14"/>
        <v>16941.600000000002</v>
      </c>
      <c r="I28" s="312">
        <f t="shared" si="15"/>
        <v>23045404.355999999</v>
      </c>
      <c r="J28" s="305"/>
      <c r="K28" s="27"/>
      <c r="L28" s="27"/>
      <c r="M28" s="47"/>
    </row>
    <row r="29" spans="1:13" ht="15" customHeight="1" x14ac:dyDescent="0.2">
      <c r="A29" s="366" t="s">
        <v>329</v>
      </c>
      <c r="B29" s="353">
        <f>4*2</f>
        <v>8</v>
      </c>
      <c r="C29" s="66">
        <v>12</v>
      </c>
      <c r="D29" s="66">
        <f t="shared" si="16"/>
        <v>96</v>
      </c>
      <c r="E29" s="343">
        <v>13</v>
      </c>
      <c r="F29" s="300">
        <f>D29*E29</f>
        <v>1248</v>
      </c>
      <c r="G29" s="70">
        <f t="shared" si="9"/>
        <v>62.400000000000006</v>
      </c>
      <c r="H29" s="70">
        <f t="shared" si="14"/>
        <v>124.80000000000001</v>
      </c>
      <c r="I29" s="313">
        <f t="shared" si="15"/>
        <v>169763.568</v>
      </c>
      <c r="J29" s="27"/>
      <c r="K29" s="27"/>
      <c r="L29" s="27"/>
      <c r="M29" s="47"/>
    </row>
    <row r="30" spans="1:13" ht="15" customHeight="1" x14ac:dyDescent="0.2">
      <c r="A30" s="366" t="s">
        <v>378</v>
      </c>
      <c r="B30" s="353">
        <f>5*2*4</f>
        <v>40</v>
      </c>
      <c r="C30" s="66">
        <v>1</v>
      </c>
      <c r="D30" s="66">
        <f t="shared" si="16"/>
        <v>40</v>
      </c>
      <c r="E30" s="343">
        <v>13</v>
      </c>
      <c r="F30" s="300">
        <f t="shared" si="8"/>
        <v>520</v>
      </c>
      <c r="G30" s="70">
        <f t="shared" si="9"/>
        <v>26</v>
      </c>
      <c r="H30" s="70">
        <f t="shared" si="14"/>
        <v>52</v>
      </c>
      <c r="I30" s="313">
        <f t="shared" si="15"/>
        <v>70734.820000000007</v>
      </c>
      <c r="J30" s="305"/>
      <c r="K30" s="27"/>
      <c r="L30" s="27"/>
      <c r="M30" s="47"/>
    </row>
    <row r="31" spans="1:13" ht="15" customHeight="1" x14ac:dyDescent="0.2">
      <c r="A31" s="366" t="s">
        <v>330</v>
      </c>
      <c r="B31" s="373">
        <f>4*1*2</f>
        <v>8</v>
      </c>
      <c r="C31" s="66">
        <v>12</v>
      </c>
      <c r="D31" s="66">
        <f t="shared" si="16"/>
        <v>96</v>
      </c>
      <c r="E31" s="343">
        <v>13</v>
      </c>
      <c r="F31" s="300">
        <f t="shared" si="8"/>
        <v>1248</v>
      </c>
      <c r="G31" s="70">
        <f t="shared" si="9"/>
        <v>62.400000000000006</v>
      </c>
      <c r="H31" s="70">
        <f t="shared" si="14"/>
        <v>124.80000000000001</v>
      </c>
      <c r="I31" s="313">
        <f t="shared" si="15"/>
        <v>169763.568</v>
      </c>
      <c r="J31" s="27"/>
      <c r="K31" s="27"/>
      <c r="L31" s="27"/>
      <c r="M31" s="47"/>
    </row>
    <row r="32" spans="1:13" ht="15" customHeight="1" x14ac:dyDescent="0.2">
      <c r="A32" s="366" t="s">
        <v>331</v>
      </c>
      <c r="B32" s="354">
        <v>43</v>
      </c>
      <c r="C32" s="66">
        <v>12</v>
      </c>
      <c r="D32" s="66">
        <f>B32*$C32</f>
        <v>516</v>
      </c>
      <c r="E32" s="343">
        <v>13</v>
      </c>
      <c r="F32" s="300">
        <f t="shared" si="8"/>
        <v>6708</v>
      </c>
      <c r="G32" s="70">
        <f t="shared" si="9"/>
        <v>335.40000000000003</v>
      </c>
      <c r="H32" s="70">
        <f t="shared" si="14"/>
        <v>670.80000000000007</v>
      </c>
      <c r="I32" s="313">
        <f t="shared" si="15"/>
        <v>912479.17800000007</v>
      </c>
      <c r="J32" s="305"/>
      <c r="K32" s="27"/>
      <c r="L32" s="27"/>
      <c r="M32" s="47"/>
    </row>
    <row r="33" spans="1:13" ht="15" customHeight="1" x14ac:dyDescent="0.2">
      <c r="A33" s="363" t="s">
        <v>324</v>
      </c>
      <c r="B33" s="353"/>
      <c r="C33" s="61"/>
      <c r="D33" s="61"/>
      <c r="E33" s="343"/>
      <c r="F33" s="300"/>
      <c r="G33" s="70"/>
      <c r="H33" s="70"/>
      <c r="I33" s="312"/>
      <c r="J33" s="27"/>
      <c r="K33" s="27"/>
      <c r="L33" s="27"/>
      <c r="M33" s="27"/>
    </row>
    <row r="34" spans="1:13" ht="15" customHeight="1" x14ac:dyDescent="0.2">
      <c r="A34" s="365" t="s">
        <v>332</v>
      </c>
      <c r="B34" s="353">
        <v>8</v>
      </c>
      <c r="C34" s="61">
        <v>1</v>
      </c>
      <c r="D34" s="61">
        <f>B34*$C34</f>
        <v>8</v>
      </c>
      <c r="E34" s="343">
        <v>0</v>
      </c>
      <c r="F34" s="300">
        <f t="shared" ref="F34" si="17">D34*E34</f>
        <v>0</v>
      </c>
      <c r="G34" s="70">
        <f t="shared" ref="G34" si="18">F34*0.05</f>
        <v>0</v>
      </c>
      <c r="H34" s="70">
        <f t="shared" ref="H34" si="19">F34*0.1</f>
        <v>0</v>
      </c>
      <c r="I34" s="312">
        <f>F34*F$1+G34*G$1+H34*H$1</f>
        <v>0</v>
      </c>
      <c r="J34" s="27"/>
      <c r="K34" s="27"/>
      <c r="L34" s="27"/>
      <c r="M34" s="27"/>
    </row>
    <row r="35" spans="1:13" ht="15" customHeight="1" x14ac:dyDescent="0.2">
      <c r="A35" s="363" t="s">
        <v>325</v>
      </c>
      <c r="B35" s="353"/>
      <c r="C35" s="61"/>
      <c r="D35" s="61"/>
      <c r="E35" s="343"/>
      <c r="F35" s="300"/>
      <c r="G35" s="70"/>
      <c r="H35" s="70"/>
      <c r="I35" s="312"/>
      <c r="J35" s="27"/>
      <c r="K35" s="27"/>
      <c r="L35" s="27"/>
      <c r="M35" s="27"/>
    </row>
    <row r="36" spans="1:13" ht="15" customHeight="1" x14ac:dyDescent="0.2">
      <c r="A36" s="365" t="s">
        <v>333</v>
      </c>
      <c r="B36" s="353">
        <f>500+24</f>
        <v>524</v>
      </c>
      <c r="C36" s="61">
        <v>1</v>
      </c>
      <c r="D36" s="61">
        <f>B36*$C36</f>
        <v>524</v>
      </c>
      <c r="E36" s="343">
        <v>0</v>
      </c>
      <c r="F36" s="300">
        <f t="shared" ref="F36:F37" si="20">D36*E36</f>
        <v>0</v>
      </c>
      <c r="G36" s="70">
        <f t="shared" ref="G36:G37" si="21">F36*0.05</f>
        <v>0</v>
      </c>
      <c r="H36" s="70">
        <f t="shared" ref="H36:H37" si="22">F36*0.1</f>
        <v>0</v>
      </c>
      <c r="I36" s="312">
        <f>F36*F$1+G36*G$1+H36*H$1</f>
        <v>0</v>
      </c>
      <c r="J36" s="27"/>
      <c r="K36" s="27"/>
      <c r="L36" s="27"/>
      <c r="M36" s="27"/>
    </row>
    <row r="37" spans="1:13" ht="15" customHeight="1" x14ac:dyDescent="0.2">
      <c r="A37" s="365" t="s">
        <v>334</v>
      </c>
      <c r="B37" s="353">
        <f>ROUND(24/13,0)+24/3</f>
        <v>10</v>
      </c>
      <c r="C37" s="61">
        <v>1</v>
      </c>
      <c r="D37" s="61">
        <f>B37*$C37</f>
        <v>10</v>
      </c>
      <c r="E37" s="343">
        <v>13</v>
      </c>
      <c r="F37" s="301">
        <f t="shared" si="20"/>
        <v>130</v>
      </c>
      <c r="G37" s="275">
        <f t="shared" si="21"/>
        <v>6.5</v>
      </c>
      <c r="H37" s="275">
        <f t="shared" si="22"/>
        <v>13</v>
      </c>
      <c r="I37" s="313">
        <f>F37*F$1+G37*G$1+H37*H$1</f>
        <v>17683.705000000002</v>
      </c>
      <c r="J37" s="27"/>
      <c r="K37" s="27"/>
      <c r="L37" s="27"/>
      <c r="M37" s="27"/>
    </row>
    <row r="38" spans="1:13" ht="15" customHeight="1" x14ac:dyDescent="0.2">
      <c r="A38" s="363" t="s">
        <v>326</v>
      </c>
      <c r="B38" s="353"/>
      <c r="C38" s="61"/>
      <c r="D38" s="61"/>
      <c r="E38" s="343"/>
      <c r="F38" s="301"/>
      <c r="G38" s="275"/>
      <c r="H38" s="275"/>
      <c r="I38" s="313"/>
      <c r="J38" s="27"/>
      <c r="K38" s="27"/>
      <c r="L38" s="27"/>
      <c r="M38" s="27"/>
    </row>
    <row r="39" spans="1:13" ht="15" customHeight="1" x14ac:dyDescent="0.2">
      <c r="A39" s="366" t="s">
        <v>335</v>
      </c>
      <c r="B39" s="353">
        <v>1.5</v>
      </c>
      <c r="C39" s="61">
        <v>1</v>
      </c>
      <c r="D39" s="61">
        <f t="shared" ref="D39:D43" si="23">B39*$C39</f>
        <v>1.5</v>
      </c>
      <c r="E39" s="343">
        <v>0</v>
      </c>
      <c r="F39" s="301">
        <f t="shared" ref="F39:F44" si="24">D39*E39</f>
        <v>0</v>
      </c>
      <c r="G39" s="274">
        <f t="shared" ref="G39:G44" si="25">F39*0.05</f>
        <v>0</v>
      </c>
      <c r="H39" s="274">
        <f t="shared" ref="H39:H44" si="26">F39*0.1</f>
        <v>0</v>
      </c>
      <c r="I39" s="312">
        <f t="shared" ref="I39:I44" si="27">F39*F$1+G39*G$1+H39*H$1</f>
        <v>0</v>
      </c>
      <c r="J39" s="27"/>
      <c r="K39" s="27"/>
      <c r="L39" s="27"/>
      <c r="M39" s="27"/>
    </row>
    <row r="40" spans="1:13" ht="15" customHeight="1" x14ac:dyDescent="0.2">
      <c r="A40" s="366" t="s">
        <v>336</v>
      </c>
      <c r="B40" s="353">
        <v>1.5</v>
      </c>
      <c r="C40" s="61">
        <v>350</v>
      </c>
      <c r="D40" s="61">
        <f t="shared" si="23"/>
        <v>525</v>
      </c>
      <c r="E40" s="343">
        <v>13</v>
      </c>
      <c r="F40" s="302">
        <f t="shared" si="24"/>
        <v>6825</v>
      </c>
      <c r="G40" s="274">
        <f t="shared" si="25"/>
        <v>341.25</v>
      </c>
      <c r="H40" s="274">
        <f t="shared" si="26"/>
        <v>682.5</v>
      </c>
      <c r="I40" s="312">
        <f t="shared" si="27"/>
        <v>928394.51249999995</v>
      </c>
      <c r="J40" s="27"/>
      <c r="K40" s="27"/>
      <c r="L40" s="27"/>
      <c r="M40" s="27"/>
    </row>
    <row r="41" spans="1:13" ht="15" customHeight="1" x14ac:dyDescent="0.2">
      <c r="A41" s="366" t="s">
        <v>337</v>
      </c>
      <c r="B41" s="353">
        <f>ROUND(24*0.05,0)</f>
        <v>1</v>
      </c>
      <c r="C41" s="61">
        <v>1</v>
      </c>
      <c r="D41" s="61">
        <f t="shared" si="23"/>
        <v>1</v>
      </c>
      <c r="E41" s="343">
        <v>12</v>
      </c>
      <c r="F41" s="301">
        <f t="shared" si="24"/>
        <v>12</v>
      </c>
      <c r="G41" s="274">
        <f t="shared" si="25"/>
        <v>0.60000000000000009</v>
      </c>
      <c r="H41" s="274">
        <f t="shared" si="26"/>
        <v>1.2000000000000002</v>
      </c>
      <c r="I41" s="312">
        <f t="shared" si="27"/>
        <v>1632.3420000000001</v>
      </c>
      <c r="J41" s="27"/>
      <c r="K41" s="27"/>
      <c r="L41" s="27"/>
      <c r="M41" s="27"/>
    </row>
    <row r="42" spans="1:13" ht="15" customHeight="1" x14ac:dyDescent="0.2">
      <c r="A42" s="366" t="s">
        <v>338</v>
      </c>
      <c r="B42" s="353">
        <f>ROUND(40*0.05,0)</f>
        <v>2</v>
      </c>
      <c r="C42" s="61">
        <v>1</v>
      </c>
      <c r="D42" s="61">
        <f t="shared" si="23"/>
        <v>2</v>
      </c>
      <c r="E42" s="343">
        <v>13</v>
      </c>
      <c r="F42" s="301">
        <f t="shared" si="24"/>
        <v>26</v>
      </c>
      <c r="G42" s="274">
        <f t="shared" si="25"/>
        <v>1.3</v>
      </c>
      <c r="H42" s="274">
        <f t="shared" si="26"/>
        <v>2.6</v>
      </c>
      <c r="I42" s="312">
        <f t="shared" si="27"/>
        <v>3536.7410000000004</v>
      </c>
      <c r="J42" s="27"/>
      <c r="K42" s="27"/>
      <c r="L42" s="27"/>
      <c r="M42" s="27"/>
    </row>
    <row r="43" spans="1:13" ht="15" customHeight="1" x14ac:dyDescent="0.2">
      <c r="A43" s="366" t="s">
        <v>339</v>
      </c>
      <c r="B43" s="353">
        <v>40</v>
      </c>
      <c r="C43" s="61">
        <v>1</v>
      </c>
      <c r="D43" s="61">
        <f t="shared" si="23"/>
        <v>40</v>
      </c>
      <c r="E43" s="343">
        <v>0</v>
      </c>
      <c r="F43" s="301">
        <f t="shared" si="24"/>
        <v>0</v>
      </c>
      <c r="G43" s="274">
        <f t="shared" si="25"/>
        <v>0</v>
      </c>
      <c r="H43" s="274">
        <f t="shared" si="26"/>
        <v>0</v>
      </c>
      <c r="I43" s="312">
        <f t="shared" si="27"/>
        <v>0</v>
      </c>
      <c r="J43" s="27"/>
      <c r="K43" s="27"/>
      <c r="L43" s="27"/>
      <c r="M43" s="27"/>
    </row>
    <row r="44" spans="1:13" ht="15" customHeight="1" x14ac:dyDescent="0.2">
      <c r="A44" s="366" t="s">
        <v>340</v>
      </c>
      <c r="B44" s="353">
        <v>2</v>
      </c>
      <c r="C44" s="61">
        <v>12</v>
      </c>
      <c r="D44" s="61">
        <f>B44*$C44</f>
        <v>24</v>
      </c>
      <c r="E44" s="343">
        <v>13</v>
      </c>
      <c r="F44" s="301">
        <f t="shared" si="24"/>
        <v>312</v>
      </c>
      <c r="G44" s="274">
        <f t="shared" si="25"/>
        <v>15.600000000000001</v>
      </c>
      <c r="H44" s="274">
        <f t="shared" si="26"/>
        <v>31.200000000000003</v>
      </c>
      <c r="I44" s="313">
        <f t="shared" si="27"/>
        <v>42440.892</v>
      </c>
      <c r="J44" s="27"/>
      <c r="K44" s="27"/>
      <c r="L44" s="27"/>
      <c r="M44" s="27"/>
    </row>
    <row r="45" spans="1:13" ht="15" customHeight="1" x14ac:dyDescent="0.2">
      <c r="A45" s="363" t="s">
        <v>294</v>
      </c>
      <c r="B45" s="353" t="s">
        <v>70</v>
      </c>
      <c r="C45" s="61"/>
      <c r="D45" s="61"/>
      <c r="E45" s="343"/>
      <c r="F45" s="300"/>
      <c r="G45" s="70"/>
      <c r="H45" s="70"/>
      <c r="I45" s="312"/>
      <c r="J45" s="27"/>
      <c r="K45" s="27"/>
      <c r="L45" s="27"/>
      <c r="M45" s="27"/>
    </row>
    <row r="46" spans="1:13" ht="15" customHeight="1" x14ac:dyDescent="0.2">
      <c r="A46" s="363" t="s">
        <v>293</v>
      </c>
      <c r="B46" s="353" t="s">
        <v>71</v>
      </c>
      <c r="C46" s="66"/>
      <c r="D46" s="66"/>
      <c r="E46" s="343"/>
      <c r="F46" s="300"/>
      <c r="G46" s="70"/>
      <c r="H46" s="70"/>
      <c r="I46" s="312"/>
      <c r="J46" s="27"/>
      <c r="K46" s="27"/>
      <c r="L46" s="27"/>
      <c r="M46" s="27"/>
    </row>
    <row r="47" spans="1:13" ht="15" customHeight="1" x14ac:dyDescent="0.2">
      <c r="A47" s="363" t="s">
        <v>341</v>
      </c>
      <c r="B47" s="353"/>
      <c r="C47" s="61"/>
      <c r="D47" s="67"/>
      <c r="E47" s="343"/>
      <c r="F47" s="303">
        <f t="shared" ref="F47:F53" si="28">D47*E47</f>
        <v>0</v>
      </c>
      <c r="G47" s="67">
        <f t="shared" ref="G47:G53" si="29">F47*0.05</f>
        <v>0</v>
      </c>
      <c r="H47" s="67">
        <f t="shared" ref="H47:H53" si="30">F47*0.1</f>
        <v>0</v>
      </c>
      <c r="I47" s="312"/>
      <c r="J47" s="27"/>
      <c r="K47" s="27"/>
      <c r="L47" s="27"/>
      <c r="M47" s="27"/>
    </row>
    <row r="48" spans="1:13" ht="15" customHeight="1" x14ac:dyDescent="0.2">
      <c r="A48" s="365" t="s">
        <v>348</v>
      </c>
      <c r="B48" s="353">
        <v>5</v>
      </c>
      <c r="C48" s="61">
        <v>1</v>
      </c>
      <c r="D48" s="61">
        <f t="shared" ref="D48:D53" si="31">B48*$C48</f>
        <v>5</v>
      </c>
      <c r="E48" s="343">
        <v>0</v>
      </c>
      <c r="F48" s="300">
        <f t="shared" si="28"/>
        <v>0</v>
      </c>
      <c r="G48" s="70">
        <f t="shared" si="29"/>
        <v>0</v>
      </c>
      <c r="H48" s="70">
        <f t="shared" si="30"/>
        <v>0</v>
      </c>
      <c r="I48" s="312">
        <f t="shared" ref="I48:I53" si="32">F48*F$1+G48*G$1+H48*H$1</f>
        <v>0</v>
      </c>
      <c r="J48" s="27"/>
      <c r="K48" s="27"/>
      <c r="L48" s="27"/>
      <c r="M48" s="27"/>
    </row>
    <row r="49" spans="1:13" ht="15" customHeight="1" x14ac:dyDescent="0.2">
      <c r="A49" s="365" t="s">
        <v>349</v>
      </c>
      <c r="B49" s="353">
        <v>5</v>
      </c>
      <c r="C49" s="61">
        <v>1</v>
      </c>
      <c r="D49" s="61">
        <f t="shared" si="31"/>
        <v>5</v>
      </c>
      <c r="E49" s="343">
        <v>0</v>
      </c>
      <c r="F49" s="300">
        <f t="shared" si="28"/>
        <v>0</v>
      </c>
      <c r="G49" s="70">
        <f t="shared" si="29"/>
        <v>0</v>
      </c>
      <c r="H49" s="70">
        <f t="shared" si="30"/>
        <v>0</v>
      </c>
      <c r="I49" s="312">
        <f t="shared" si="32"/>
        <v>0</v>
      </c>
      <c r="J49" s="27"/>
      <c r="K49" s="27"/>
      <c r="L49" s="27"/>
      <c r="M49" s="27"/>
    </row>
    <row r="50" spans="1:13" ht="15" customHeight="1" x14ac:dyDescent="0.2">
      <c r="A50" s="365" t="s">
        <v>350</v>
      </c>
      <c r="B50" s="353">
        <v>10</v>
      </c>
      <c r="C50" s="61">
        <v>1</v>
      </c>
      <c r="D50" s="61">
        <f t="shared" si="31"/>
        <v>10</v>
      </c>
      <c r="E50" s="343">
        <v>0</v>
      </c>
      <c r="F50" s="300">
        <f t="shared" si="28"/>
        <v>0</v>
      </c>
      <c r="G50" s="70">
        <f t="shared" si="29"/>
        <v>0</v>
      </c>
      <c r="H50" s="70">
        <f t="shared" si="30"/>
        <v>0</v>
      </c>
      <c r="I50" s="312">
        <f t="shared" si="32"/>
        <v>0</v>
      </c>
      <c r="J50" s="27"/>
      <c r="K50" s="27"/>
      <c r="L50" s="27"/>
      <c r="M50" s="27"/>
    </row>
    <row r="51" spans="1:13" ht="15" customHeight="1" x14ac:dyDescent="0.2">
      <c r="A51" s="365" t="s">
        <v>351</v>
      </c>
      <c r="B51" s="353">
        <v>20</v>
      </c>
      <c r="C51" s="61">
        <v>1</v>
      </c>
      <c r="D51" s="61">
        <f t="shared" si="31"/>
        <v>20</v>
      </c>
      <c r="E51" s="343">
        <v>0</v>
      </c>
      <c r="F51" s="300">
        <f t="shared" si="28"/>
        <v>0</v>
      </c>
      <c r="G51" s="70">
        <f t="shared" si="29"/>
        <v>0</v>
      </c>
      <c r="H51" s="70">
        <f t="shared" si="30"/>
        <v>0</v>
      </c>
      <c r="I51" s="312">
        <f t="shared" si="32"/>
        <v>0</v>
      </c>
      <c r="J51" s="27"/>
      <c r="K51" s="27"/>
      <c r="L51" s="27"/>
      <c r="M51" s="27"/>
    </row>
    <row r="52" spans="1:13" ht="15" customHeight="1" x14ac:dyDescent="0.2">
      <c r="A52" s="365" t="s">
        <v>352</v>
      </c>
      <c r="B52" s="353">
        <v>40</v>
      </c>
      <c r="C52" s="61">
        <v>2</v>
      </c>
      <c r="D52" s="61">
        <f t="shared" si="31"/>
        <v>80</v>
      </c>
      <c r="E52" s="343">
        <v>13</v>
      </c>
      <c r="F52" s="300">
        <f t="shared" si="28"/>
        <v>1040</v>
      </c>
      <c r="G52" s="70">
        <f t="shared" si="29"/>
        <v>52</v>
      </c>
      <c r="H52" s="70">
        <f t="shared" si="30"/>
        <v>104</v>
      </c>
      <c r="I52" s="313">
        <f t="shared" si="32"/>
        <v>141469.64000000001</v>
      </c>
      <c r="J52" s="27"/>
      <c r="K52" s="27"/>
      <c r="L52" s="27"/>
      <c r="M52" s="27"/>
    </row>
    <row r="53" spans="1:13" ht="15" customHeight="1" x14ac:dyDescent="0.2">
      <c r="A53" s="365" t="s">
        <v>353</v>
      </c>
      <c r="B53" s="353">
        <v>5</v>
      </c>
      <c r="C53" s="61">
        <v>1</v>
      </c>
      <c r="D53" s="61">
        <f t="shared" si="31"/>
        <v>5</v>
      </c>
      <c r="E53" s="343">
        <v>13</v>
      </c>
      <c r="F53" s="300">
        <f t="shared" si="28"/>
        <v>65</v>
      </c>
      <c r="G53" s="70">
        <f t="shared" si="29"/>
        <v>3.25</v>
      </c>
      <c r="H53" s="70">
        <f t="shared" si="30"/>
        <v>6.5</v>
      </c>
      <c r="I53" s="313">
        <f t="shared" si="32"/>
        <v>8841.8525000000009</v>
      </c>
      <c r="J53" s="27"/>
      <c r="K53" s="27"/>
      <c r="L53" s="27"/>
      <c r="M53" s="27"/>
    </row>
    <row r="54" spans="1:13" s="240" customFormat="1" ht="15" customHeight="1" x14ac:dyDescent="0.2">
      <c r="A54" s="367" t="s">
        <v>261</v>
      </c>
      <c r="B54" s="355"/>
      <c r="C54" s="239"/>
      <c r="D54" s="239"/>
      <c r="E54" s="304"/>
      <c r="F54" s="383">
        <f>SUM(F12:H53)</f>
        <v>305277.84999999998</v>
      </c>
      <c r="G54" s="384"/>
      <c r="H54" s="385"/>
      <c r="I54" s="314">
        <f>SUM(I12:I53)</f>
        <v>36109989.581500009</v>
      </c>
    </row>
    <row r="55" spans="1:13" ht="15" customHeight="1" x14ac:dyDescent="0.2">
      <c r="A55" s="334" t="s">
        <v>34</v>
      </c>
      <c r="B55" s="356" t="s">
        <v>16</v>
      </c>
      <c r="C55" s="48" t="s">
        <v>16</v>
      </c>
      <c r="D55" s="48" t="s">
        <v>16</v>
      </c>
      <c r="E55" s="49" t="s">
        <v>16</v>
      </c>
      <c r="F55" s="50" t="s">
        <v>16</v>
      </c>
      <c r="G55" s="50" t="s">
        <v>16</v>
      </c>
      <c r="H55" s="51" t="s">
        <v>16</v>
      </c>
      <c r="I55" s="315"/>
      <c r="J55" s="27"/>
      <c r="K55" s="27"/>
      <c r="L55" s="27"/>
      <c r="M55" s="27"/>
    </row>
    <row r="56" spans="1:13" ht="15" customHeight="1" x14ac:dyDescent="0.2">
      <c r="A56" s="368" t="s">
        <v>342</v>
      </c>
      <c r="B56" s="356" t="s">
        <v>72</v>
      </c>
      <c r="C56" s="48" t="s">
        <v>16</v>
      </c>
      <c r="D56" s="48" t="s">
        <v>16</v>
      </c>
      <c r="E56" s="49" t="s">
        <v>16</v>
      </c>
      <c r="F56" s="50" t="s">
        <v>16</v>
      </c>
      <c r="G56" s="50" t="s">
        <v>16</v>
      </c>
      <c r="H56" s="51" t="s">
        <v>16</v>
      </c>
      <c r="I56" s="312"/>
      <c r="J56" s="27"/>
      <c r="K56" s="27"/>
      <c r="L56" s="27"/>
      <c r="M56" s="27"/>
    </row>
    <row r="57" spans="1:13" ht="15" customHeight="1" x14ac:dyDescent="0.2">
      <c r="A57" s="369" t="s">
        <v>343</v>
      </c>
      <c r="B57" s="357" t="s">
        <v>69</v>
      </c>
      <c r="C57" s="43"/>
      <c r="D57" s="43"/>
      <c r="E57" s="52"/>
      <c r="F57" s="53"/>
      <c r="G57" s="53"/>
      <c r="H57" s="54"/>
      <c r="I57" s="312"/>
      <c r="J57" s="27"/>
      <c r="K57" s="27"/>
      <c r="L57" s="27"/>
      <c r="M57" s="27"/>
    </row>
    <row r="58" spans="1:13" ht="15" customHeight="1" x14ac:dyDescent="0.2">
      <c r="A58" s="369" t="s">
        <v>344</v>
      </c>
      <c r="B58" s="357" t="s">
        <v>69</v>
      </c>
      <c r="C58" s="43"/>
      <c r="D58" s="43"/>
      <c r="E58" s="52"/>
      <c r="F58" s="53"/>
      <c r="G58" s="53"/>
      <c r="H58" s="54"/>
      <c r="I58" s="312"/>
      <c r="J58" s="27"/>
      <c r="K58" s="27"/>
      <c r="L58" s="27"/>
      <c r="M58" s="27"/>
    </row>
    <row r="59" spans="1:13" ht="15" customHeight="1" x14ac:dyDescent="0.2">
      <c r="A59" s="369" t="s">
        <v>345</v>
      </c>
      <c r="B59" s="358"/>
      <c r="C59" s="43"/>
      <c r="D59" s="43"/>
      <c r="E59" s="52"/>
      <c r="F59" s="53"/>
      <c r="G59" s="53"/>
      <c r="H59" s="54"/>
      <c r="I59" s="312"/>
      <c r="J59" s="27"/>
      <c r="K59" s="27"/>
      <c r="L59" s="27"/>
      <c r="M59" s="27"/>
    </row>
    <row r="60" spans="1:13" ht="15" customHeight="1" x14ac:dyDescent="0.2">
      <c r="A60" s="363" t="s">
        <v>354</v>
      </c>
      <c r="B60" s="358">
        <v>10</v>
      </c>
      <c r="C60" s="344">
        <v>12</v>
      </c>
      <c r="D60" s="55">
        <f t="shared" ref="D60:D66" si="33">B60*$C60</f>
        <v>120</v>
      </c>
      <c r="E60" s="71">
        <v>13</v>
      </c>
      <c r="F60" s="53">
        <f t="shared" ref="F60:F66" si="34">D60*E60</f>
        <v>1560</v>
      </c>
      <c r="G60" s="53">
        <f t="shared" ref="G60:G66" si="35">F60*0.05</f>
        <v>78</v>
      </c>
      <c r="H60" s="54">
        <f t="shared" ref="H60:H66" si="36">F60*0.1</f>
        <v>156</v>
      </c>
      <c r="I60" s="313">
        <f t="shared" ref="I60:I66" si="37">F60*F$1+G60*G$1+H60*H$1</f>
        <v>212204.46</v>
      </c>
      <c r="J60" s="305"/>
      <c r="K60" s="27"/>
      <c r="L60" s="27"/>
      <c r="M60" s="27"/>
    </row>
    <row r="61" spans="1:13" ht="15" customHeight="1" x14ac:dyDescent="0.2">
      <c r="A61" s="363" t="s">
        <v>355</v>
      </c>
      <c r="B61" s="358">
        <v>10</v>
      </c>
      <c r="C61" s="344">
        <v>12</v>
      </c>
      <c r="D61" s="55">
        <f t="shared" si="33"/>
        <v>120</v>
      </c>
      <c r="E61" s="71">
        <v>13</v>
      </c>
      <c r="F61" s="53">
        <f>D61*E61</f>
        <v>1560</v>
      </c>
      <c r="G61" s="53">
        <f t="shared" si="35"/>
        <v>78</v>
      </c>
      <c r="H61" s="54">
        <f t="shared" si="36"/>
        <v>156</v>
      </c>
      <c r="I61" s="313">
        <f>F61*F$1+G61*G$1+H61*H$1</f>
        <v>212204.46</v>
      </c>
      <c r="J61" s="305"/>
      <c r="K61" s="27"/>
      <c r="L61" s="27"/>
      <c r="M61" s="27"/>
    </row>
    <row r="62" spans="1:13" ht="15" customHeight="1" x14ac:dyDescent="0.2">
      <c r="A62" s="363" t="s">
        <v>356</v>
      </c>
      <c r="B62" s="358">
        <v>10</v>
      </c>
      <c r="C62" s="344">
        <v>12</v>
      </c>
      <c r="D62" s="55">
        <f t="shared" si="33"/>
        <v>120</v>
      </c>
      <c r="E62" s="71">
        <v>13</v>
      </c>
      <c r="F62" s="53">
        <f t="shared" si="34"/>
        <v>1560</v>
      </c>
      <c r="G62" s="53">
        <f t="shared" si="35"/>
        <v>78</v>
      </c>
      <c r="H62" s="54">
        <f t="shared" si="36"/>
        <v>156</v>
      </c>
      <c r="I62" s="313">
        <f t="shared" si="37"/>
        <v>212204.46</v>
      </c>
      <c r="J62" s="305"/>
      <c r="K62" s="27"/>
      <c r="L62" s="27"/>
      <c r="M62" s="27"/>
    </row>
    <row r="63" spans="1:13" ht="15" customHeight="1" x14ac:dyDescent="0.2">
      <c r="A63" s="363" t="s">
        <v>357</v>
      </c>
      <c r="B63" s="358">
        <v>10</v>
      </c>
      <c r="C63" s="344">
        <v>12</v>
      </c>
      <c r="D63" s="55">
        <f t="shared" si="33"/>
        <v>120</v>
      </c>
      <c r="E63" s="71">
        <v>13</v>
      </c>
      <c r="F63" s="53">
        <f t="shared" si="34"/>
        <v>1560</v>
      </c>
      <c r="G63" s="53">
        <f t="shared" si="35"/>
        <v>78</v>
      </c>
      <c r="H63" s="54">
        <f t="shared" si="36"/>
        <v>156</v>
      </c>
      <c r="I63" s="313">
        <f t="shared" si="37"/>
        <v>212204.46</v>
      </c>
      <c r="J63" s="305"/>
      <c r="K63" s="27"/>
      <c r="L63" s="27"/>
      <c r="M63" s="27"/>
    </row>
    <row r="64" spans="1:13" ht="15" customHeight="1" x14ac:dyDescent="0.2">
      <c r="A64" s="365" t="s">
        <v>358</v>
      </c>
      <c r="B64" s="358">
        <v>10</v>
      </c>
      <c r="C64" s="344">
        <v>12</v>
      </c>
      <c r="D64" s="55">
        <f t="shared" si="33"/>
        <v>120</v>
      </c>
      <c r="E64" s="71">
        <v>13</v>
      </c>
      <c r="F64" s="53">
        <f t="shared" si="34"/>
        <v>1560</v>
      </c>
      <c r="G64" s="53">
        <f t="shared" si="35"/>
        <v>78</v>
      </c>
      <c r="H64" s="54">
        <f t="shared" si="36"/>
        <v>156</v>
      </c>
      <c r="I64" s="313">
        <f t="shared" si="37"/>
        <v>212204.46</v>
      </c>
      <c r="J64" s="305"/>
      <c r="K64" s="27"/>
      <c r="L64" s="27"/>
      <c r="M64" s="27"/>
    </row>
    <row r="65" spans="1:13" ht="15" customHeight="1" x14ac:dyDescent="0.2">
      <c r="A65" s="365" t="s">
        <v>359</v>
      </c>
      <c r="B65" s="359">
        <v>10</v>
      </c>
      <c r="C65" s="345">
        <v>12</v>
      </c>
      <c r="D65" s="189">
        <f t="shared" si="33"/>
        <v>120</v>
      </c>
      <c r="E65" s="71">
        <v>13</v>
      </c>
      <c r="F65" s="190">
        <f t="shared" si="34"/>
        <v>1560</v>
      </c>
      <c r="G65" s="190">
        <f t="shared" si="35"/>
        <v>78</v>
      </c>
      <c r="H65" s="191">
        <f t="shared" si="36"/>
        <v>156</v>
      </c>
      <c r="I65" s="313">
        <f t="shared" si="37"/>
        <v>212204.46</v>
      </c>
      <c r="J65" s="305"/>
      <c r="K65" s="27"/>
      <c r="L65" s="27"/>
      <c r="M65" s="27"/>
    </row>
    <row r="66" spans="1:13" ht="15" customHeight="1" x14ac:dyDescent="0.2">
      <c r="A66" s="365" t="s">
        <v>360</v>
      </c>
      <c r="B66" s="353">
        <v>10</v>
      </c>
      <c r="C66" s="345">
        <v>12</v>
      </c>
      <c r="D66" s="189">
        <f t="shared" si="33"/>
        <v>120</v>
      </c>
      <c r="E66" s="71">
        <v>13</v>
      </c>
      <c r="F66" s="190">
        <f t="shared" si="34"/>
        <v>1560</v>
      </c>
      <c r="G66" s="190">
        <f t="shared" si="35"/>
        <v>78</v>
      </c>
      <c r="H66" s="191">
        <f t="shared" si="36"/>
        <v>156</v>
      </c>
      <c r="I66" s="313">
        <f t="shared" si="37"/>
        <v>212204.46</v>
      </c>
      <c r="J66" s="305"/>
      <c r="K66" s="27"/>
      <c r="L66" s="27"/>
      <c r="M66" s="27"/>
    </row>
    <row r="67" spans="1:13" ht="15" customHeight="1" x14ac:dyDescent="0.2">
      <c r="A67" s="369" t="s">
        <v>346</v>
      </c>
      <c r="B67" s="353" t="s">
        <v>70</v>
      </c>
      <c r="C67" s="66"/>
      <c r="D67" s="66"/>
      <c r="E67" s="66"/>
      <c r="F67" s="70"/>
      <c r="G67" s="70"/>
      <c r="H67" s="70" t="s">
        <v>16</v>
      </c>
      <c r="I67" s="312"/>
      <c r="J67" s="27"/>
      <c r="K67" s="27"/>
      <c r="L67" s="27"/>
      <c r="M67" s="27"/>
    </row>
    <row r="68" spans="1:13" ht="15" customHeight="1" x14ac:dyDescent="0.2">
      <c r="A68" s="365" t="s">
        <v>347</v>
      </c>
      <c r="B68" s="375" t="s">
        <v>69</v>
      </c>
      <c r="C68" s="120"/>
      <c r="D68" s="120"/>
      <c r="E68" s="120"/>
      <c r="F68" s="120"/>
      <c r="G68" s="120"/>
      <c r="H68" s="120"/>
      <c r="I68" s="316"/>
      <c r="J68" s="27"/>
      <c r="K68" s="27"/>
      <c r="L68" s="27"/>
      <c r="M68" s="27"/>
    </row>
    <row r="69" spans="1:13" s="241" customFormat="1" ht="15" customHeight="1" thickBot="1" x14ac:dyDescent="0.25">
      <c r="A69" s="370" t="s">
        <v>259</v>
      </c>
      <c r="B69" s="360"/>
      <c r="C69" s="242"/>
      <c r="D69" s="242"/>
      <c r="E69" s="242"/>
      <c r="F69" s="386">
        <f>SUM(F55:H68)</f>
        <v>12558</v>
      </c>
      <c r="G69" s="387"/>
      <c r="H69" s="388"/>
      <c r="I69" s="317">
        <f>ROUND(SUM(I55:I68),-3)</f>
        <v>1485000</v>
      </c>
      <c r="K69" s="241">
        <f>(13*2)+13</f>
        <v>39</v>
      </c>
    </row>
    <row r="70" spans="1:13" s="28" customFormat="1" ht="15" customHeight="1" x14ac:dyDescent="0.25">
      <c r="A70" s="376" t="s">
        <v>262</v>
      </c>
      <c r="B70" s="243"/>
      <c r="C70" s="243"/>
      <c r="D70" s="243"/>
      <c r="E70" s="243"/>
      <c r="F70" s="389">
        <f>ROUND(F69+F54,-3)</f>
        <v>318000</v>
      </c>
      <c r="G70" s="389"/>
      <c r="H70" s="389"/>
      <c r="I70" s="308">
        <f>ROUND(I69+I54,-5)</f>
        <v>37600000</v>
      </c>
      <c r="K70" s="273">
        <f>F70/K69</f>
        <v>8153.8461538461543</v>
      </c>
      <c r="L70" s="273" t="s">
        <v>237</v>
      </c>
    </row>
    <row r="71" spans="1:13" s="28" customFormat="1" ht="15" customHeight="1" x14ac:dyDescent="0.25">
      <c r="A71" s="377" t="s">
        <v>267</v>
      </c>
      <c r="B71" s="361"/>
      <c r="C71" s="244"/>
      <c r="D71" s="245"/>
      <c r="E71" s="244"/>
      <c r="F71" s="298"/>
      <c r="G71" s="298"/>
      <c r="H71" s="298"/>
      <c r="I71" s="378">
        <f>ROUND('CAP&amp;O&amp;M'!H24,-4)</f>
        <v>7140000</v>
      </c>
      <c r="J71" s="57"/>
    </row>
    <row r="72" spans="1:13" s="28" customFormat="1" ht="15" customHeight="1" thickBot="1" x14ac:dyDescent="0.3">
      <c r="A72" s="379" t="s">
        <v>263</v>
      </c>
      <c r="B72" s="362"/>
      <c r="C72" s="246"/>
      <c r="D72" s="247"/>
      <c r="E72" s="246"/>
      <c r="F72" s="248"/>
      <c r="G72" s="248"/>
      <c r="H72" s="248"/>
      <c r="I72" s="299">
        <f>ROUND(I70+I71,-5)</f>
        <v>44700000</v>
      </c>
      <c r="J72" s="57"/>
    </row>
    <row r="73" spans="1:13" s="28" customFormat="1" ht="15" customHeight="1" x14ac:dyDescent="0.2">
      <c r="A73" s="26"/>
      <c r="B73" s="56"/>
      <c r="C73" s="56"/>
      <c r="D73" s="382"/>
      <c r="E73" s="382"/>
      <c r="F73" s="382"/>
      <c r="G73" s="382"/>
      <c r="H73" s="58"/>
      <c r="I73" s="58"/>
      <c r="J73" s="57"/>
    </row>
    <row r="74" spans="1:13" ht="15" customHeight="1" x14ac:dyDescent="0.2">
      <c r="A74" s="27" t="s">
        <v>35</v>
      </c>
      <c r="B74" s="59"/>
      <c r="C74" s="59"/>
      <c r="D74" s="28"/>
      <c r="E74" s="28"/>
    </row>
    <row r="75" spans="1:13" ht="11.5" customHeight="1" x14ac:dyDescent="0.2">
      <c r="A75" s="390" t="s">
        <v>284</v>
      </c>
      <c r="B75" s="390"/>
      <c r="C75" s="390"/>
      <c r="D75" s="390"/>
      <c r="E75" s="390"/>
      <c r="F75" s="390"/>
      <c r="G75" s="390"/>
      <c r="H75" s="390"/>
      <c r="I75" s="390"/>
      <c r="J75" s="350"/>
    </row>
    <row r="76" spans="1:13" ht="36.75" customHeight="1" x14ac:dyDescent="0.2">
      <c r="A76" s="390" t="s">
        <v>361</v>
      </c>
      <c r="B76" s="390"/>
      <c r="C76" s="390"/>
      <c r="D76" s="390"/>
      <c r="E76" s="390"/>
      <c r="F76" s="390"/>
      <c r="G76" s="390"/>
      <c r="H76" s="390"/>
      <c r="I76" s="390"/>
      <c r="J76" s="350"/>
    </row>
    <row r="77" spans="1:13" ht="15" customHeight="1" x14ac:dyDescent="0.2">
      <c r="A77" s="390" t="s">
        <v>362</v>
      </c>
      <c r="B77" s="390"/>
      <c r="C77" s="390"/>
      <c r="D77" s="390"/>
      <c r="E77" s="390"/>
      <c r="F77" s="390"/>
      <c r="G77" s="390"/>
      <c r="H77" s="390"/>
      <c r="I77" s="390"/>
      <c r="J77" s="350"/>
    </row>
    <row r="78" spans="1:13" ht="24.75" customHeight="1" x14ac:dyDescent="0.2">
      <c r="A78" s="390" t="s">
        <v>363</v>
      </c>
      <c r="B78" s="390"/>
      <c r="C78" s="390"/>
      <c r="D78" s="390"/>
      <c r="E78" s="390"/>
      <c r="F78" s="390"/>
      <c r="G78" s="390"/>
      <c r="H78" s="390"/>
      <c r="I78" s="390"/>
      <c r="J78" s="350"/>
    </row>
    <row r="79" spans="1:13" ht="33.75" customHeight="1" x14ac:dyDescent="0.2">
      <c r="A79" s="390" t="s">
        <v>364</v>
      </c>
      <c r="B79" s="390"/>
      <c r="C79" s="390"/>
      <c r="D79" s="390"/>
      <c r="E79" s="390"/>
      <c r="F79" s="390"/>
      <c r="G79" s="390"/>
      <c r="H79" s="390"/>
      <c r="I79" s="390"/>
      <c r="J79" s="350"/>
    </row>
    <row r="80" spans="1:13" ht="55.5" customHeight="1" x14ac:dyDescent="0.2">
      <c r="A80" s="390" t="s">
        <v>365</v>
      </c>
      <c r="B80" s="390"/>
      <c r="C80" s="390"/>
      <c r="D80" s="390"/>
      <c r="E80" s="390"/>
      <c r="F80" s="390"/>
      <c r="G80" s="390"/>
      <c r="H80" s="390"/>
      <c r="I80" s="390"/>
      <c r="J80" s="350"/>
      <c r="K80" s="27"/>
      <c r="L80" s="27"/>
      <c r="M80" s="27"/>
    </row>
    <row r="81" spans="1:13" ht="24.75" customHeight="1" x14ac:dyDescent="0.2">
      <c r="A81" s="390" t="s">
        <v>366</v>
      </c>
      <c r="B81" s="390"/>
      <c r="C81" s="390"/>
      <c r="D81" s="390"/>
      <c r="E81" s="390"/>
      <c r="F81" s="390"/>
      <c r="G81" s="390"/>
      <c r="H81" s="390"/>
      <c r="I81" s="390"/>
      <c r="J81" s="350"/>
    </row>
    <row r="82" spans="1:13" ht="36" customHeight="1" x14ac:dyDescent="0.2">
      <c r="A82" s="390" t="s">
        <v>367</v>
      </c>
      <c r="B82" s="390"/>
      <c r="C82" s="390"/>
      <c r="D82" s="390"/>
      <c r="E82" s="390"/>
      <c r="F82" s="390"/>
      <c r="G82" s="390"/>
      <c r="H82" s="390"/>
      <c r="I82" s="390"/>
      <c r="J82" s="350"/>
    </row>
    <row r="83" spans="1:13" ht="24.75" customHeight="1" x14ac:dyDescent="0.2">
      <c r="A83" s="390" t="s">
        <v>368</v>
      </c>
      <c r="B83" s="390"/>
      <c r="C83" s="390"/>
      <c r="D83" s="390"/>
      <c r="E83" s="390"/>
      <c r="F83" s="390"/>
      <c r="G83" s="390"/>
      <c r="H83" s="390"/>
      <c r="I83" s="390"/>
      <c r="J83" s="350"/>
    </row>
    <row r="84" spans="1:13" ht="34.5" customHeight="1" x14ac:dyDescent="0.2">
      <c r="A84" s="390" t="s">
        <v>369</v>
      </c>
      <c r="B84" s="390"/>
      <c r="C84" s="390"/>
      <c r="D84" s="390"/>
      <c r="E84" s="390"/>
      <c r="F84" s="390"/>
      <c r="G84" s="390"/>
      <c r="H84" s="390"/>
      <c r="I84" s="390"/>
      <c r="J84" s="350"/>
      <c r="K84" s="276"/>
      <c r="L84" s="276"/>
      <c r="M84" s="276"/>
    </row>
    <row r="85" spans="1:13" ht="58.5" customHeight="1" x14ac:dyDescent="0.2">
      <c r="A85" s="390" t="s">
        <v>370</v>
      </c>
      <c r="B85" s="390"/>
      <c r="C85" s="390"/>
      <c r="D85" s="390"/>
      <c r="E85" s="390"/>
      <c r="F85" s="390"/>
      <c r="G85" s="390"/>
      <c r="H85" s="390"/>
      <c r="I85" s="390"/>
      <c r="J85" s="350"/>
      <c r="K85" s="27"/>
      <c r="L85" s="27"/>
      <c r="M85" s="27"/>
    </row>
    <row r="86" spans="1:13" ht="15" customHeight="1" x14ac:dyDescent="0.2">
      <c r="A86" s="390" t="s">
        <v>379</v>
      </c>
      <c r="B86" s="390"/>
      <c r="C86" s="390"/>
      <c r="D86" s="390"/>
      <c r="E86" s="390"/>
      <c r="F86" s="390"/>
      <c r="G86" s="390"/>
      <c r="H86" s="390"/>
      <c r="I86" s="390"/>
      <c r="J86" s="350"/>
    </row>
    <row r="87" spans="1:13" ht="12" x14ac:dyDescent="0.2">
      <c r="A87" s="371" t="s">
        <v>371</v>
      </c>
      <c r="B87" s="371"/>
      <c r="C87" s="371"/>
      <c r="D87" s="371"/>
      <c r="E87" s="371"/>
      <c r="F87" s="371"/>
      <c r="G87" s="371"/>
      <c r="H87" s="371"/>
      <c r="I87" s="371"/>
      <c r="J87" s="350"/>
    </row>
    <row r="88" spans="1:13" ht="39.75" customHeight="1" x14ac:dyDescent="0.2">
      <c r="A88" s="391" t="s">
        <v>372</v>
      </c>
      <c r="B88" s="391"/>
      <c r="C88" s="391"/>
      <c r="D88" s="391"/>
      <c r="E88" s="391"/>
      <c r="F88" s="391"/>
      <c r="G88" s="391"/>
      <c r="H88" s="391"/>
      <c r="I88" s="391"/>
      <c r="J88" s="350"/>
      <c r="K88" s="27"/>
      <c r="L88" s="27"/>
      <c r="M88" s="27"/>
    </row>
    <row r="89" spans="1:13" x14ac:dyDescent="0.2">
      <c r="A89" s="390" t="s">
        <v>373</v>
      </c>
      <c r="B89" s="390"/>
      <c r="C89" s="390"/>
      <c r="D89" s="390"/>
      <c r="E89" s="390"/>
      <c r="F89" s="390"/>
      <c r="G89" s="390"/>
      <c r="H89" s="390"/>
      <c r="I89" s="390"/>
      <c r="J89" s="350"/>
    </row>
    <row r="90" spans="1:13" ht="45.75" customHeight="1" x14ac:dyDescent="0.2">
      <c r="A90" s="390" t="s">
        <v>374</v>
      </c>
      <c r="B90" s="390"/>
      <c r="C90" s="390"/>
      <c r="D90" s="390"/>
      <c r="E90" s="390"/>
      <c r="F90" s="390"/>
      <c r="G90" s="390"/>
      <c r="H90" s="390"/>
      <c r="I90" s="390"/>
      <c r="J90" s="350"/>
      <c r="L90" s="27"/>
      <c r="M90" s="27"/>
    </row>
    <row r="91" spans="1:13" ht="24.75" customHeight="1" x14ac:dyDescent="0.2">
      <c r="A91" s="390" t="s">
        <v>375</v>
      </c>
      <c r="B91" s="390"/>
      <c r="C91" s="390"/>
      <c r="D91" s="390"/>
      <c r="E91" s="390"/>
      <c r="F91" s="390"/>
      <c r="G91" s="390"/>
      <c r="H91" s="390"/>
      <c r="I91" s="390"/>
      <c r="J91" s="350"/>
      <c r="L91" s="27"/>
      <c r="M91" s="27"/>
    </row>
    <row r="92" spans="1:13" x14ac:dyDescent="0.2">
      <c r="A92" s="390" t="s">
        <v>376</v>
      </c>
      <c r="B92" s="390"/>
      <c r="C92" s="390"/>
      <c r="D92" s="390"/>
      <c r="E92" s="390"/>
      <c r="F92" s="390"/>
      <c r="G92" s="390"/>
      <c r="H92" s="390"/>
      <c r="I92" s="390"/>
      <c r="J92" s="350"/>
    </row>
    <row r="93" spans="1:13" x14ac:dyDescent="0.2">
      <c r="A93" s="390" t="s">
        <v>377</v>
      </c>
      <c r="B93" s="390"/>
      <c r="C93" s="390"/>
      <c r="D93" s="390"/>
      <c r="E93" s="390"/>
      <c r="F93" s="390"/>
      <c r="G93" s="390"/>
      <c r="H93" s="390"/>
      <c r="I93" s="390"/>
      <c r="J93" s="350"/>
    </row>
    <row r="94" spans="1:13" x14ac:dyDescent="0.2">
      <c r="C94" s="57"/>
      <c r="D94" s="57"/>
    </row>
    <row r="95" spans="1:13" ht="10.15" customHeight="1" x14ac:dyDescent="0.2">
      <c r="C95" s="57"/>
      <c r="D95" s="57"/>
    </row>
    <row r="96" spans="1:13" x14ac:dyDescent="0.2">
      <c r="C96" s="57"/>
      <c r="D96" s="57"/>
    </row>
  </sheetData>
  <mergeCells count="23">
    <mergeCell ref="A80:I80"/>
    <mergeCell ref="A81:I81"/>
    <mergeCell ref="A93:I93"/>
    <mergeCell ref="A88:I88"/>
    <mergeCell ref="A89:I89"/>
    <mergeCell ref="A90:I90"/>
    <mergeCell ref="A91:I91"/>
    <mergeCell ref="A92:I92"/>
    <mergeCell ref="A82:I82"/>
    <mergeCell ref="A83:I83"/>
    <mergeCell ref="A84:I84"/>
    <mergeCell ref="A85:I85"/>
    <mergeCell ref="A86:I86"/>
    <mergeCell ref="A75:I75"/>
    <mergeCell ref="A76:I76"/>
    <mergeCell ref="A77:I77"/>
    <mergeCell ref="A78:I78"/>
    <mergeCell ref="A79:I79"/>
    <mergeCell ref="A6:A11"/>
    <mergeCell ref="D73:G73"/>
    <mergeCell ref="F54:H54"/>
    <mergeCell ref="F69:H69"/>
    <mergeCell ref="F70:H70"/>
  </mergeCells>
  <printOptions horizontalCentered="1" gridLinesSet="0"/>
  <pageMargins left="0.5" right="0.5" top="0.5" bottom="0.5" header="0.5" footer="0.19"/>
  <pageSetup scale="4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Q43"/>
  <sheetViews>
    <sheetView view="pageBreakPreview" zoomScaleNormal="100" zoomScaleSheetLayoutView="100" workbookViewId="0">
      <selection activeCell="J29" sqref="J29"/>
    </sheetView>
  </sheetViews>
  <sheetFormatPr defaultColWidth="9.33203125" defaultRowHeight="14.5" x14ac:dyDescent="0.35"/>
  <cols>
    <col min="1" max="1" width="9.33203125" style="196"/>
    <col min="2" max="2" width="25.77734375" style="196" bestFit="1" customWidth="1"/>
    <col min="3" max="3" width="16.33203125" style="196" bestFit="1" customWidth="1"/>
    <col min="4" max="4" width="29.77734375" style="196" customWidth="1"/>
    <col min="5" max="5" width="18.6640625" style="196" bestFit="1" customWidth="1"/>
    <col min="6" max="7" width="19.77734375" style="196" bestFit="1" customWidth="1"/>
    <col min="8" max="8" width="19.109375" style="196" customWidth="1"/>
    <col min="9" max="9" width="9.6640625" style="196" bestFit="1" customWidth="1"/>
    <col min="10" max="11" width="11.44140625" style="196" bestFit="1" customWidth="1"/>
    <col min="12" max="16384" width="9.33203125" style="196"/>
  </cols>
  <sheetData>
    <row r="1" spans="1:17" x14ac:dyDescent="0.35">
      <c r="B1" s="145" t="s">
        <v>225</v>
      </c>
    </row>
    <row r="2" spans="1:17" x14ac:dyDescent="0.35">
      <c r="B2" s="195">
        <v>40948</v>
      </c>
    </row>
    <row r="3" spans="1:17" x14ac:dyDescent="0.35">
      <c r="B3" s="226"/>
    </row>
    <row r="5" spans="1:17" x14ac:dyDescent="0.35">
      <c r="A5" s="205" t="s">
        <v>205</v>
      </c>
    </row>
    <row r="7" spans="1:17" x14ac:dyDescent="0.35">
      <c r="B7" s="196" t="s">
        <v>206</v>
      </c>
    </row>
    <row r="8" spans="1:17" x14ac:dyDescent="0.35">
      <c r="B8" s="196" t="s">
        <v>207</v>
      </c>
    </row>
    <row r="9" spans="1:17" x14ac:dyDescent="0.35">
      <c r="B9" s="196" t="s">
        <v>208</v>
      </c>
    </row>
    <row r="10" spans="1:17" x14ac:dyDescent="0.35">
      <c r="B10" s="196" t="s">
        <v>209</v>
      </c>
    </row>
    <row r="13" spans="1:17" x14ac:dyDescent="0.35">
      <c r="B13" s="392" t="s">
        <v>187</v>
      </c>
      <c r="C13" s="392"/>
      <c r="D13" s="392"/>
      <c r="E13" s="392"/>
      <c r="F13" s="392"/>
      <c r="G13" s="392"/>
      <c r="H13" s="392"/>
    </row>
    <row r="14" spans="1:17" x14ac:dyDescent="0.35">
      <c r="B14" s="393" t="s">
        <v>204</v>
      </c>
      <c r="C14" s="393" t="s">
        <v>188</v>
      </c>
      <c r="D14" s="393" t="s">
        <v>190</v>
      </c>
      <c r="E14" s="394" t="s">
        <v>189</v>
      </c>
      <c r="F14" s="394"/>
      <c r="G14" s="394"/>
      <c r="H14" s="393" t="s">
        <v>197</v>
      </c>
      <c r="K14"/>
      <c r="L14"/>
      <c r="M14"/>
      <c r="N14"/>
      <c r="O14"/>
      <c r="P14"/>
      <c r="Q14"/>
    </row>
    <row r="15" spans="1:17" x14ac:dyDescent="0.35">
      <c r="B15" s="393"/>
      <c r="C15" s="393"/>
      <c r="D15" s="393"/>
      <c r="E15" s="198" t="s">
        <v>186</v>
      </c>
      <c r="F15" s="198" t="s">
        <v>185</v>
      </c>
      <c r="G15" s="198" t="s">
        <v>184</v>
      </c>
      <c r="H15" s="393"/>
      <c r="J15" s="219"/>
      <c r="K15"/>
      <c r="L15"/>
      <c r="M15"/>
      <c r="N15"/>
      <c r="O15"/>
      <c r="P15"/>
      <c r="Q15"/>
    </row>
    <row r="16" spans="1:17" x14ac:dyDescent="0.35">
      <c r="B16" s="199" t="s">
        <v>183</v>
      </c>
      <c r="C16" s="200" t="e">
        <f>SUM(#REF!)/7+#REF!+SUM(#REF!)/7</f>
        <v>#REF!</v>
      </c>
      <c r="D16" s="229" t="s">
        <v>196</v>
      </c>
      <c r="E16" s="200" t="e">
        <f>#REF!+#REF!</f>
        <v>#REF!</v>
      </c>
      <c r="F16" s="201" t="e">
        <f>#REF!+SUM(#REF!)/7+#REF!</f>
        <v>#REF!</v>
      </c>
      <c r="G16" s="201">
        <f>Industry!$I$28+SUM(Industry!$I$52:$I$53)/7+Industry!$I$61</f>
        <v>23279081.886357144</v>
      </c>
      <c r="H16" s="199" t="s">
        <v>201</v>
      </c>
      <c r="J16" s="197"/>
      <c r="K16"/>
      <c r="L16"/>
      <c r="M16"/>
      <c r="N16"/>
      <c r="O16"/>
      <c r="P16"/>
      <c r="Q16"/>
    </row>
    <row r="17" spans="2:17" x14ac:dyDescent="0.35">
      <c r="B17" s="199" t="s">
        <v>182</v>
      </c>
      <c r="C17" s="200" t="e">
        <f>SUM(#REF!)/7+#REF!+#REF!+SUM(#REF!)/7</f>
        <v>#REF!</v>
      </c>
      <c r="D17" s="201" t="s">
        <v>195</v>
      </c>
      <c r="E17" s="200" t="e">
        <f>#REF!+#REF!</f>
        <v>#REF!</v>
      </c>
      <c r="F17" s="201" t="e">
        <f>#REF!+SUM(#REF!)/7+#REF!</f>
        <v>#REF!</v>
      </c>
      <c r="G17" s="201">
        <f>Industry!$I$27+SUM(Industry!$I$52:$I$53)/7+Industry!$I$60</f>
        <v>10817374.972857146</v>
      </c>
      <c r="H17" s="199" t="s">
        <v>201</v>
      </c>
      <c r="J17" s="219"/>
      <c r="K17"/>
      <c r="L17"/>
      <c r="M17"/>
      <c r="N17"/>
      <c r="O17"/>
      <c r="P17"/>
      <c r="Q17"/>
    </row>
    <row r="18" spans="2:17" x14ac:dyDescent="0.35">
      <c r="B18" s="199" t="s">
        <v>181</v>
      </c>
      <c r="C18" s="200" t="e">
        <f>SUM(#REF!)/7+#REF!+SUM(#REF!)/7</f>
        <v>#REF!</v>
      </c>
      <c r="D18" s="230" t="s">
        <v>196</v>
      </c>
      <c r="E18" s="200" t="e">
        <f>#REF!+#REF!+#REF!</f>
        <v>#REF!</v>
      </c>
      <c r="F18" s="201" t="e">
        <f>#REF!+#REF!+SUM(#REF!)/7+#REF!</f>
        <v>#REF!</v>
      </c>
      <c r="G18" s="201">
        <f>Industry!$I$29+Industry!$I$30+SUM(Industry!$I$52:$I$53)/7+Industry!$I$62</f>
        <v>474175.91835714283</v>
      </c>
      <c r="H18" s="199" t="s">
        <v>201</v>
      </c>
      <c r="K18"/>
      <c r="L18"/>
      <c r="M18"/>
      <c r="N18"/>
      <c r="O18"/>
      <c r="P18"/>
      <c r="Q18"/>
    </row>
    <row r="19" spans="2:17" x14ac:dyDescent="0.35">
      <c r="B19" s="199" t="s">
        <v>180</v>
      </c>
      <c r="C19" s="200" t="e">
        <f>SUM(#REF!)/7+#REF!+SUM(#REF!)/7</f>
        <v>#REF!</v>
      </c>
      <c r="D19" s="201" t="s">
        <v>196</v>
      </c>
      <c r="E19" s="200" t="e">
        <f>#REF!+#REF!+#REF!</f>
        <v>#REF!</v>
      </c>
      <c r="F19" s="201" t="e">
        <f>#REF!+#REF!+SUM(#REF!)/7+#REF!</f>
        <v>#REF!</v>
      </c>
      <c r="G19" s="201">
        <f>Industry!$I$32+Industry!$I$37+SUM(Industry!$I$52:$I$53)/7+Industry!$I$64</f>
        <v>1163840.4133571428</v>
      </c>
      <c r="H19" s="199" t="s">
        <v>202</v>
      </c>
      <c r="K19"/>
      <c r="L19"/>
      <c r="M19"/>
      <c r="N19"/>
      <c r="O19"/>
      <c r="P19"/>
      <c r="Q19"/>
    </row>
    <row r="20" spans="2:17" x14ac:dyDescent="0.35">
      <c r="B20" s="199" t="s">
        <v>179</v>
      </c>
      <c r="C20" s="200" t="e">
        <f>SUM(#REF!)/7+SUM(#REF!)/7</f>
        <v>#REF!</v>
      </c>
      <c r="D20" s="201" t="s">
        <v>55</v>
      </c>
      <c r="E20" s="200" t="e">
        <f>#REF!</f>
        <v>#REF!</v>
      </c>
      <c r="F20" s="201" t="e">
        <f>SUM(#REF!)/7+#REF!</f>
        <v>#REF!</v>
      </c>
      <c r="G20" s="201">
        <f>SUM(Industry!$I$52:$I$53)/7+Industry!$I$63</f>
        <v>233677.53035714285</v>
      </c>
      <c r="H20" s="199" t="s">
        <v>201</v>
      </c>
      <c r="K20"/>
      <c r="L20"/>
      <c r="M20"/>
      <c r="N20"/>
      <c r="O20"/>
      <c r="P20"/>
      <c r="Q20"/>
    </row>
    <row r="21" spans="2:17" x14ac:dyDescent="0.35">
      <c r="B21" s="199" t="s">
        <v>178</v>
      </c>
      <c r="C21" s="200" t="e">
        <f>SUM(#REF!)/7+#REF!+SUM(#REF!)/7</f>
        <v>#REF!</v>
      </c>
      <c r="D21" s="201" t="s">
        <v>196</v>
      </c>
      <c r="E21" s="200" t="e">
        <f>#REF!+#REF!</f>
        <v>#REF!</v>
      </c>
      <c r="F21" s="201" t="e">
        <f>#REF!+SUM(#REF!)/7+#REF!</f>
        <v>#REF!</v>
      </c>
      <c r="G21" s="201">
        <f>Industry!$I$31+SUM(Industry!$I$52:$I$53)/7+Industry!$I$65</f>
        <v>403441.09835714288</v>
      </c>
      <c r="H21" s="199" t="s">
        <v>201</v>
      </c>
      <c r="I21" s="219"/>
      <c r="J21" s="221"/>
      <c r="K21" s="222"/>
      <c r="L21"/>
      <c r="M21"/>
      <c r="N21"/>
      <c r="O21"/>
      <c r="P21"/>
      <c r="Q21"/>
    </row>
    <row r="22" spans="2:17" x14ac:dyDescent="0.35">
      <c r="B22" s="199" t="s">
        <v>177</v>
      </c>
      <c r="C22" s="200" t="e">
        <f>SUM(#REF!)/7+SUM(#REF!)/7</f>
        <v>#REF!</v>
      </c>
      <c r="D22" s="201" t="s">
        <v>55</v>
      </c>
      <c r="E22" s="200" t="e">
        <f>#REF!</f>
        <v>#REF!</v>
      </c>
      <c r="F22" s="201" t="e">
        <f>SUM(#REF!)/7+#REF!</f>
        <v>#REF!</v>
      </c>
      <c r="G22" s="201">
        <f>SUM(Industry!$I$52:$I$53)/7+Industry!$I$66</f>
        <v>233677.53035714285</v>
      </c>
      <c r="H22" s="199" t="s">
        <v>201</v>
      </c>
      <c r="K22"/>
      <c r="L22"/>
      <c r="M22"/>
      <c r="N22"/>
      <c r="O22"/>
      <c r="P22"/>
      <c r="Q22"/>
    </row>
    <row r="23" spans="2:17" x14ac:dyDescent="0.35">
      <c r="B23" s="202" t="s">
        <v>23</v>
      </c>
      <c r="C23" s="203" t="e">
        <f>SUM(C16:C22)</f>
        <v>#REF!</v>
      </c>
      <c r="D23" s="204"/>
      <c r="E23" s="204" t="e">
        <f>SUM(E16:E22)</f>
        <v>#REF!</v>
      </c>
      <c r="F23" s="204" t="e">
        <f>SUM(F16:F22)</f>
        <v>#REF!</v>
      </c>
      <c r="G23" s="204">
        <f>SUM(G16:G22)</f>
        <v>36605269.350000009</v>
      </c>
      <c r="H23" s="199"/>
      <c r="K23"/>
      <c r="L23"/>
      <c r="M23"/>
      <c r="N23"/>
      <c r="O23"/>
      <c r="P23"/>
      <c r="Q23"/>
    </row>
    <row r="24" spans="2:17" x14ac:dyDescent="0.35">
      <c r="B24" s="225" t="s">
        <v>31</v>
      </c>
      <c r="C24" s="197" t="s">
        <v>191</v>
      </c>
      <c r="K24"/>
      <c r="L24"/>
      <c r="M24"/>
      <c r="N24"/>
      <c r="O24"/>
      <c r="P24"/>
      <c r="Q24"/>
    </row>
    <row r="25" spans="2:17" x14ac:dyDescent="0.35">
      <c r="B25" s="225" t="s">
        <v>32</v>
      </c>
      <c r="C25" s="196" t="s">
        <v>192</v>
      </c>
      <c r="K25"/>
      <c r="L25"/>
      <c r="M25"/>
      <c r="N25"/>
      <c r="O25"/>
      <c r="P25"/>
      <c r="Q25"/>
    </row>
    <row r="26" spans="2:17" x14ac:dyDescent="0.35">
      <c r="B26" s="225" t="s">
        <v>15</v>
      </c>
      <c r="C26" s="196" t="s">
        <v>193</v>
      </c>
      <c r="K26"/>
      <c r="L26"/>
      <c r="M26"/>
      <c r="N26"/>
      <c r="O26"/>
      <c r="P26"/>
      <c r="Q26"/>
    </row>
    <row r="27" spans="2:17" x14ac:dyDescent="0.35">
      <c r="B27" s="225" t="s">
        <v>30</v>
      </c>
      <c r="C27" s="196" t="s">
        <v>194</v>
      </c>
      <c r="K27"/>
      <c r="L27"/>
      <c r="M27"/>
      <c r="N27"/>
      <c r="O27"/>
      <c r="P27"/>
      <c r="Q27"/>
    </row>
    <row r="28" spans="2:17" x14ac:dyDescent="0.35">
      <c r="B28" s="225" t="s">
        <v>29</v>
      </c>
      <c r="C28" s="196" t="s">
        <v>198</v>
      </c>
      <c r="K28"/>
      <c r="L28"/>
      <c r="M28"/>
      <c r="N28"/>
      <c r="O28"/>
      <c r="P28"/>
      <c r="Q28"/>
    </row>
    <row r="29" spans="2:17" x14ac:dyDescent="0.35">
      <c r="B29" s="225" t="s">
        <v>17</v>
      </c>
      <c r="C29" s="196" t="s">
        <v>203</v>
      </c>
      <c r="K29"/>
      <c r="L29"/>
      <c r="M29"/>
      <c r="N29"/>
      <c r="O29"/>
      <c r="P29"/>
      <c r="Q29"/>
    </row>
    <row r="30" spans="2:17" x14ac:dyDescent="0.35">
      <c r="B30" s="225" t="s">
        <v>119</v>
      </c>
      <c r="C30" s="196" t="s">
        <v>199</v>
      </c>
      <c r="K30"/>
      <c r="L30"/>
      <c r="M30"/>
      <c r="N30"/>
      <c r="O30"/>
      <c r="P30"/>
      <c r="Q30"/>
    </row>
    <row r="31" spans="2:17" x14ac:dyDescent="0.35">
      <c r="B31" s="225" t="s">
        <v>174</v>
      </c>
      <c r="C31" s="196" t="s">
        <v>200</v>
      </c>
      <c r="M31"/>
      <c r="N31"/>
      <c r="O31"/>
      <c r="P31"/>
      <c r="Q31"/>
    </row>
    <row r="34" spans="1:8" x14ac:dyDescent="0.35">
      <c r="B34" s="205" t="s">
        <v>223</v>
      </c>
      <c r="C34" s="219"/>
      <c r="D34" s="197"/>
    </row>
    <row r="35" spans="1:8" x14ac:dyDescent="0.35">
      <c r="A35" s="220"/>
      <c r="B35" s="199" t="s">
        <v>180</v>
      </c>
      <c r="C35" s="200" t="e">
        <f>(SUM(#REF!)/7)/15+#REF!/13+(SUM(#REF!)/7)/15</f>
        <v>#REF!</v>
      </c>
      <c r="D35" s="200" t="e">
        <f>#REF!/13+#REF!/15+#REF!/15</f>
        <v>#REF!</v>
      </c>
      <c r="E35" s="201" t="e">
        <f>#REF!/13+#REF!/15+(SUM(#REF!)/7)/15+#REF!/15</f>
        <v>#REF!</v>
      </c>
      <c r="F35" s="201">
        <f>Industry!$I$32/13+Industry!$I$37/15+(SUM(Industry!$I$52:$I$53)/7)/15+Industry!$I$64/15</f>
        <v>86948.121690476197</v>
      </c>
      <c r="G35" s="220" t="s">
        <v>221</v>
      </c>
      <c r="H35"/>
    </row>
    <row r="36" spans="1:8" x14ac:dyDescent="0.35">
      <c r="A36" s="220"/>
      <c r="B36" s="199" t="s">
        <v>180</v>
      </c>
      <c r="C36" s="200" t="e">
        <f>(SUM(#REF!)/7)/15+(SUM(#REF!)/7)/15</f>
        <v>#REF!</v>
      </c>
      <c r="D36" s="200" t="e">
        <f>#REF!/15+#REF!/15</f>
        <v>#REF!</v>
      </c>
      <c r="E36" s="201" t="e">
        <f>#REF!/15+(SUM(#REF!)/7)/15+#REF!/15</f>
        <v>#REF!</v>
      </c>
      <c r="F36" s="201">
        <f>Industry!$I$37/15+(SUM(Industry!$I$52:$I$53)/7)/15+Industry!$I$64/15</f>
        <v>16757.415690476191</v>
      </c>
      <c r="G36" s="223" t="s">
        <v>224</v>
      </c>
      <c r="H36"/>
    </row>
    <row r="37" spans="1:8" x14ac:dyDescent="0.35">
      <c r="A37" s="220"/>
      <c r="B37" s="224" t="s">
        <v>180</v>
      </c>
      <c r="C37" s="200" t="e">
        <f>C35-C36</f>
        <v>#REF!</v>
      </c>
      <c r="D37" s="200" t="e">
        <f>D35-D36</f>
        <v>#REF!</v>
      </c>
      <c r="E37" s="200" t="e">
        <f>E35-E36</f>
        <v>#REF!</v>
      </c>
      <c r="F37" s="200">
        <f>F35-F36</f>
        <v>70190.706000000006</v>
      </c>
      <c r="G37" s="223" t="s">
        <v>222</v>
      </c>
      <c r="H37"/>
    </row>
    <row r="38" spans="1:8" x14ac:dyDescent="0.35">
      <c r="C38"/>
      <c r="D38"/>
      <c r="E38"/>
      <c r="F38"/>
      <c r="G38"/>
    </row>
    <row r="39" spans="1:8" x14ac:dyDescent="0.35">
      <c r="C39"/>
      <c r="D39"/>
      <c r="E39"/>
      <c r="F39"/>
      <c r="G39"/>
    </row>
    <row r="40" spans="1:8" x14ac:dyDescent="0.35">
      <c r="C40"/>
      <c r="D40"/>
      <c r="E40"/>
      <c r="F40"/>
      <c r="G40"/>
    </row>
    <row r="41" spans="1:8" x14ac:dyDescent="0.35">
      <c r="C41"/>
      <c r="D41"/>
      <c r="E41"/>
      <c r="F41"/>
      <c r="G41"/>
    </row>
    <row r="42" spans="1:8" x14ac:dyDescent="0.35">
      <c r="C42"/>
      <c r="D42"/>
      <c r="E42"/>
      <c r="F42"/>
      <c r="G42"/>
    </row>
    <row r="43" spans="1:8" x14ac:dyDescent="0.35">
      <c r="C43"/>
      <c r="D43"/>
      <c r="E43"/>
      <c r="F43"/>
      <c r="G43"/>
    </row>
  </sheetData>
  <mergeCells count="6">
    <mergeCell ref="B13:H13"/>
    <mergeCell ref="C14:C15"/>
    <mergeCell ref="E14:G14"/>
    <mergeCell ref="D14:D15"/>
    <mergeCell ref="H14:H15"/>
    <mergeCell ref="B14:B15"/>
  </mergeCells>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H61"/>
  <sheetViews>
    <sheetView topLeftCell="A16" zoomScaleNormal="100" workbookViewId="0">
      <selection activeCell="J29" sqref="J29"/>
    </sheetView>
  </sheetViews>
  <sheetFormatPr defaultColWidth="10.6640625" defaultRowHeight="12.5" x14ac:dyDescent="0.25"/>
  <cols>
    <col min="1" max="1" width="3.109375" style="90" customWidth="1"/>
    <col min="2" max="2" width="60.109375" style="90" bestFit="1" customWidth="1"/>
    <col min="3" max="3" width="39.77734375" style="90" customWidth="1"/>
    <col min="4" max="4" width="14.109375" style="90" customWidth="1"/>
    <col min="5" max="5" width="15.6640625" style="90" customWidth="1"/>
    <col min="6" max="6" width="26.44140625" style="90" customWidth="1"/>
    <col min="7" max="7" width="39.44140625" style="90" bestFit="1" customWidth="1"/>
    <col min="8" max="8" width="16.77734375" style="90" bestFit="1" customWidth="1"/>
    <col min="9" max="9" width="13" style="62" bestFit="1" customWidth="1"/>
    <col min="10" max="10" width="11.77734375" style="62" bestFit="1" customWidth="1"/>
    <col min="11" max="16384" width="10.6640625" style="62"/>
  </cols>
  <sheetData>
    <row r="1" spans="1:8" ht="20.5" x14ac:dyDescent="0.45">
      <c r="A1" s="212" t="s">
        <v>106</v>
      </c>
      <c r="B1" s="211"/>
    </row>
    <row r="2" spans="1:8" ht="13" x14ac:dyDescent="0.3">
      <c r="A2" s="92" t="s">
        <v>36</v>
      </c>
      <c r="B2" s="92"/>
      <c r="C2" s="93" t="s">
        <v>37</v>
      </c>
      <c r="D2" s="93" t="s">
        <v>41</v>
      </c>
      <c r="E2" s="93" t="s">
        <v>107</v>
      </c>
      <c r="F2" s="93" t="s">
        <v>108</v>
      </c>
      <c r="G2" s="93" t="s">
        <v>109</v>
      </c>
      <c r="H2" s="93" t="s">
        <v>110</v>
      </c>
    </row>
    <row r="3" spans="1:8" x14ac:dyDescent="0.25">
      <c r="A3" s="94"/>
      <c r="B3" s="94"/>
      <c r="C3" s="94"/>
      <c r="D3" s="95"/>
      <c r="E3" s="96"/>
      <c r="F3" s="96"/>
      <c r="G3" s="96"/>
      <c r="H3" s="96"/>
    </row>
    <row r="4" spans="1:8" x14ac:dyDescent="0.25">
      <c r="A4" s="97" t="s">
        <v>38</v>
      </c>
      <c r="B4" s="94"/>
      <c r="C4" s="94"/>
      <c r="D4" s="95"/>
      <c r="E4" s="96"/>
      <c r="F4" s="96"/>
      <c r="G4" s="96"/>
      <c r="H4" s="96"/>
    </row>
    <row r="5" spans="1:8" x14ac:dyDescent="0.25">
      <c r="A5" s="98"/>
      <c r="B5" s="98" t="s">
        <v>74</v>
      </c>
      <c r="C5" s="94"/>
      <c r="D5" s="95"/>
      <c r="E5" s="96"/>
      <c r="F5" s="96"/>
      <c r="G5" s="96"/>
      <c r="H5" s="96"/>
    </row>
    <row r="6" spans="1:8" x14ac:dyDescent="0.25">
      <c r="A6" s="98"/>
      <c r="B6" s="99" t="s">
        <v>75</v>
      </c>
      <c r="C6" s="99"/>
      <c r="D6" s="99">
        <v>539.1</v>
      </c>
      <c r="E6" s="96"/>
      <c r="F6" s="96"/>
      <c r="G6" s="96"/>
      <c r="H6" s="96"/>
    </row>
    <row r="7" spans="1:8" x14ac:dyDescent="0.25">
      <c r="A7" s="98"/>
      <c r="B7" s="100" t="s">
        <v>76</v>
      </c>
      <c r="C7" s="99"/>
      <c r="D7" s="99">
        <v>521.9</v>
      </c>
      <c r="E7" s="96"/>
      <c r="F7" s="96"/>
      <c r="G7" s="96"/>
      <c r="H7" s="96"/>
    </row>
    <row r="8" spans="1:8" x14ac:dyDescent="0.25">
      <c r="A8" s="94"/>
      <c r="B8" s="99" t="s">
        <v>77</v>
      </c>
      <c r="C8" s="99"/>
      <c r="D8" s="99">
        <v>358.2</v>
      </c>
      <c r="E8" s="96"/>
      <c r="F8" s="96"/>
      <c r="G8" s="96"/>
      <c r="H8" s="96"/>
    </row>
    <row r="9" spans="1:8" x14ac:dyDescent="0.25">
      <c r="A9" s="94"/>
      <c r="B9" s="94"/>
      <c r="C9" s="94"/>
      <c r="D9" s="95"/>
      <c r="E9" s="96"/>
      <c r="F9" s="96"/>
      <c r="G9" s="96"/>
      <c r="H9" s="96"/>
    </row>
    <row r="10" spans="1:8" x14ac:dyDescent="0.25">
      <c r="A10" s="98" t="s">
        <v>42</v>
      </c>
      <c r="B10" s="98"/>
      <c r="C10" s="98"/>
      <c r="D10" s="98"/>
      <c r="E10" s="96"/>
      <c r="F10" s="96"/>
      <c r="G10" s="96"/>
      <c r="H10" s="96"/>
    </row>
    <row r="11" spans="1:8" x14ac:dyDescent="0.25">
      <c r="A11" s="98"/>
      <c r="B11" s="98" t="s">
        <v>78</v>
      </c>
      <c r="C11" s="98" t="s">
        <v>79</v>
      </c>
      <c r="D11" s="101">
        <v>0</v>
      </c>
      <c r="E11" s="96">
        <v>1</v>
      </c>
      <c r="F11" s="102">
        <f>D11/E11</f>
        <v>0</v>
      </c>
      <c r="G11" s="103">
        <f>D11*$D$18</f>
        <v>0</v>
      </c>
      <c r="H11" s="103">
        <f>F11+G11</f>
        <v>0</v>
      </c>
    </row>
    <row r="12" spans="1:8" x14ac:dyDescent="0.25">
      <c r="A12" s="98"/>
      <c r="B12" s="98" t="s">
        <v>80</v>
      </c>
      <c r="C12" s="104" t="s">
        <v>81</v>
      </c>
      <c r="D12" s="105">
        <f>ROUND(5000*D6/D8,-3)</f>
        <v>8000</v>
      </c>
      <c r="E12" s="96">
        <v>1</v>
      </c>
      <c r="F12" s="106"/>
      <c r="G12" s="107">
        <f>D12*$D$18</f>
        <v>755.14340594604562</v>
      </c>
      <c r="H12" s="107">
        <f>F12+G12</f>
        <v>755.14340594604562</v>
      </c>
    </row>
    <row r="13" spans="1:8" x14ac:dyDescent="0.25">
      <c r="A13" s="98"/>
      <c r="B13" s="98" t="s">
        <v>82</v>
      </c>
      <c r="C13" s="104" t="s">
        <v>83</v>
      </c>
      <c r="D13" s="105">
        <f>ROUND(21000*D6/D8,-3)-5000</f>
        <v>27000</v>
      </c>
      <c r="E13" s="96">
        <v>1</v>
      </c>
      <c r="F13" s="106">
        <f>D13/E13</f>
        <v>27000</v>
      </c>
      <c r="G13" s="107">
        <f>D13*$D$18</f>
        <v>2548.6089950679038</v>
      </c>
      <c r="H13" s="107">
        <f>F13+G13</f>
        <v>29548.608995067905</v>
      </c>
    </row>
    <row r="14" spans="1:8" x14ac:dyDescent="0.25">
      <c r="A14" s="98"/>
      <c r="B14" s="98" t="s">
        <v>111</v>
      </c>
      <c r="C14" s="108" t="s">
        <v>112</v>
      </c>
      <c r="D14" s="105">
        <f>6000*D6/D7</f>
        <v>6197.7390304656064</v>
      </c>
      <c r="E14" s="96">
        <v>1</v>
      </c>
      <c r="F14" s="106">
        <f>D14/E14</f>
        <v>6197.7390304656064</v>
      </c>
      <c r="G14" s="107">
        <f>D14*$D$18</f>
        <v>585.02272007881754</v>
      </c>
      <c r="H14" s="107">
        <f>F14+G14</f>
        <v>6782.7617505444241</v>
      </c>
    </row>
    <row r="15" spans="1:8" x14ac:dyDescent="0.25">
      <c r="A15" s="98"/>
      <c r="B15" s="97" t="s">
        <v>137</v>
      </c>
      <c r="C15" s="104"/>
      <c r="D15" s="105">
        <v>10000</v>
      </c>
      <c r="E15" s="96">
        <v>1</v>
      </c>
      <c r="F15" s="106">
        <f>D15/E15</f>
        <v>10000</v>
      </c>
      <c r="G15" s="107">
        <f>D15*$D$18</f>
        <v>943.92925743255694</v>
      </c>
      <c r="H15" s="107">
        <f>F15+G15</f>
        <v>10943.929257432557</v>
      </c>
    </row>
    <row r="16" spans="1:8" s="150" customFormat="1" x14ac:dyDescent="0.25">
      <c r="A16" s="97"/>
      <c r="B16" s="151"/>
      <c r="C16" s="146"/>
      <c r="D16" s="146"/>
      <c r="E16" s="147"/>
      <c r="F16" s="148"/>
      <c r="G16" s="149"/>
      <c r="H16" s="149"/>
    </row>
    <row r="17" spans="1:8" x14ac:dyDescent="0.25">
      <c r="A17" s="96"/>
      <c r="B17" s="98"/>
      <c r="C17" s="98"/>
      <c r="D17" s="98"/>
      <c r="E17" s="96"/>
      <c r="F17" s="96"/>
      <c r="G17" s="96"/>
      <c r="H17" s="96"/>
    </row>
    <row r="18" spans="1:8" x14ac:dyDescent="0.25">
      <c r="A18" s="98" t="s">
        <v>113</v>
      </c>
      <c r="B18" s="98" t="s">
        <v>84</v>
      </c>
      <c r="C18" s="98" t="s">
        <v>85</v>
      </c>
      <c r="D18" s="109">
        <f>(0.07*(1+0.07)^20)/((1+0.07)^20-1)</f>
        <v>9.4392925743255696E-2</v>
      </c>
      <c r="E18" s="96"/>
      <c r="F18" s="96"/>
      <c r="G18" s="96"/>
      <c r="H18" s="96"/>
    </row>
    <row r="19" spans="1:8" x14ac:dyDescent="0.25">
      <c r="A19" s="98"/>
      <c r="B19" s="94"/>
      <c r="C19" s="98"/>
      <c r="D19" s="110"/>
      <c r="E19" s="96"/>
      <c r="F19" s="96"/>
      <c r="G19" s="96"/>
      <c r="H19" s="96"/>
    </row>
    <row r="20" spans="1:8" x14ac:dyDescent="0.25">
      <c r="A20" s="98" t="s">
        <v>114</v>
      </c>
      <c r="B20" s="94"/>
      <c r="C20" s="98"/>
      <c r="D20" s="110"/>
      <c r="E20" s="96"/>
      <c r="F20" s="96"/>
      <c r="G20" s="96"/>
      <c r="H20" s="96"/>
    </row>
    <row r="21" spans="1:8" ht="13" x14ac:dyDescent="0.3">
      <c r="A21" s="98"/>
      <c r="B21" s="98" t="s">
        <v>115</v>
      </c>
      <c r="C21" s="98"/>
      <c r="D21" s="110"/>
      <c r="E21" s="96"/>
      <c r="F21" s="96"/>
      <c r="G21" s="96"/>
      <c r="H21" s="111">
        <f>SUM(H11:H12,H14:H16)</f>
        <v>18481.834413923025</v>
      </c>
    </row>
    <row r="22" spans="1:8" ht="13" x14ac:dyDescent="0.3">
      <c r="A22" s="98"/>
      <c r="B22" s="98" t="s">
        <v>116</v>
      </c>
      <c r="C22" s="98"/>
      <c r="D22" s="110"/>
      <c r="E22" s="96"/>
      <c r="F22" s="96"/>
      <c r="G22" s="96"/>
      <c r="H22" s="111">
        <f>H13</f>
        <v>29548.608995067905</v>
      </c>
    </row>
    <row r="23" spans="1:8" ht="13" x14ac:dyDescent="0.3">
      <c r="A23" s="98"/>
      <c r="B23" s="94" t="s">
        <v>117</v>
      </c>
      <c r="C23" s="98"/>
      <c r="D23" s="188">
        <f>SUM(D12:D15)</f>
        <v>51197.739030465607</v>
      </c>
      <c r="E23" s="96"/>
      <c r="F23" s="96"/>
      <c r="G23" s="96"/>
      <c r="H23" s="119">
        <f>ROUND(SUM(H21:H22),0)</f>
        <v>48030</v>
      </c>
    </row>
    <row r="24" spans="1:8" x14ac:dyDescent="0.25">
      <c r="A24" s="112" t="s">
        <v>118</v>
      </c>
      <c r="B24" s="112"/>
      <c r="C24" s="112"/>
      <c r="D24" s="112"/>
      <c r="F24" s="113"/>
    </row>
    <row r="25" spans="1:8" x14ac:dyDescent="0.25">
      <c r="A25" s="112"/>
      <c r="B25" s="112"/>
      <c r="C25" s="112"/>
      <c r="D25" s="112"/>
      <c r="F25" s="113"/>
    </row>
    <row r="26" spans="1:8" x14ac:dyDescent="0.25">
      <c r="A26" s="112"/>
      <c r="B26" s="112"/>
      <c r="C26" s="112"/>
      <c r="D26" s="112"/>
      <c r="F26" s="113"/>
    </row>
    <row r="27" spans="1:8" x14ac:dyDescent="0.25">
      <c r="A27" s="114" t="s">
        <v>43</v>
      </c>
      <c r="B27" s="115"/>
      <c r="C27" s="115"/>
    </row>
    <row r="28" spans="1:8" x14ac:dyDescent="0.25">
      <c r="A28" s="395" t="s">
        <v>86</v>
      </c>
      <c r="B28" s="395"/>
      <c r="C28" s="395"/>
      <c r="D28" s="395"/>
    </row>
    <row r="29" spans="1:8" x14ac:dyDescent="0.25">
      <c r="A29" s="395" t="s">
        <v>87</v>
      </c>
      <c r="B29" s="395"/>
      <c r="C29" s="395"/>
      <c r="D29" s="395"/>
    </row>
    <row r="30" spans="1:8" s="90" customFormat="1" x14ac:dyDescent="0.25">
      <c r="A30" s="396" t="s">
        <v>40</v>
      </c>
      <c r="B30" s="396"/>
      <c r="C30" s="396"/>
      <c r="D30" s="396"/>
      <c r="E30" s="116"/>
      <c r="F30" s="116"/>
      <c r="G30" s="116"/>
      <c r="H30" s="116"/>
    </row>
    <row r="31" spans="1:8" s="90" customFormat="1" ht="10.5" x14ac:dyDescent="0.25">
      <c r="A31" s="395" t="s">
        <v>88</v>
      </c>
      <c r="B31" s="395"/>
      <c r="C31" s="395"/>
      <c r="D31" s="395"/>
      <c r="E31" s="117"/>
    </row>
    <row r="32" spans="1:8" s="90" customFormat="1" ht="10.5" x14ac:dyDescent="0.25">
      <c r="A32" s="395" t="s">
        <v>89</v>
      </c>
      <c r="B32" s="395"/>
      <c r="C32" s="395"/>
      <c r="D32" s="395"/>
    </row>
    <row r="33" spans="1:4" s="90" customFormat="1" ht="10.5" x14ac:dyDescent="0.25">
      <c r="A33" s="395" t="s">
        <v>90</v>
      </c>
      <c r="B33" s="395"/>
      <c r="C33" s="395"/>
      <c r="D33" s="395"/>
    </row>
    <row r="34" spans="1:4" s="90" customFormat="1" ht="10.5" x14ac:dyDescent="0.25">
      <c r="A34" s="395" t="s">
        <v>91</v>
      </c>
      <c r="B34" s="395"/>
      <c r="C34" s="395"/>
      <c r="D34" s="395"/>
    </row>
    <row r="35" spans="1:4" s="90" customFormat="1" ht="10.5" x14ac:dyDescent="0.25">
      <c r="A35" s="395"/>
      <c r="B35" s="395"/>
      <c r="C35" s="395"/>
      <c r="D35" s="395"/>
    </row>
    <row r="36" spans="1:4" s="90" customFormat="1" ht="10.5" x14ac:dyDescent="0.25">
      <c r="A36" s="118"/>
      <c r="D36" s="117"/>
    </row>
    <row r="37" spans="1:4" s="90" customFormat="1" ht="10.5" x14ac:dyDescent="0.25">
      <c r="A37" s="118"/>
      <c r="D37" s="117"/>
    </row>
    <row r="38" spans="1:4" s="90" customFormat="1" ht="10.5" x14ac:dyDescent="0.25">
      <c r="A38" s="118"/>
      <c r="D38" s="117"/>
    </row>
    <row r="39" spans="1:4" s="90" customFormat="1" ht="10.5" x14ac:dyDescent="0.25">
      <c r="A39" s="118"/>
      <c r="D39" s="117"/>
    </row>
    <row r="40" spans="1:4" s="90" customFormat="1" ht="10.5" x14ac:dyDescent="0.25">
      <c r="A40" s="118"/>
      <c r="D40" s="117"/>
    </row>
    <row r="41" spans="1:4" s="90" customFormat="1" ht="10.5" x14ac:dyDescent="0.25">
      <c r="A41" s="118"/>
      <c r="D41" s="117"/>
    </row>
    <row r="42" spans="1:4" s="90" customFormat="1" ht="10.5" x14ac:dyDescent="0.25">
      <c r="A42" s="118"/>
      <c r="D42" s="117"/>
    </row>
    <row r="43" spans="1:4" s="90" customFormat="1" ht="10.5" x14ac:dyDescent="0.25">
      <c r="A43" s="118"/>
      <c r="D43" s="117"/>
    </row>
    <row r="44" spans="1:4" s="90" customFormat="1" ht="10.5" x14ac:dyDescent="0.25">
      <c r="A44" s="118"/>
      <c r="D44" s="117"/>
    </row>
    <row r="45" spans="1:4" s="90" customFormat="1" ht="10.5" x14ac:dyDescent="0.25">
      <c r="A45" s="118"/>
      <c r="D45" s="117"/>
    </row>
    <row r="46" spans="1:4" s="90" customFormat="1" ht="10.5" x14ac:dyDescent="0.25">
      <c r="A46" s="118"/>
      <c r="D46" s="117"/>
    </row>
    <row r="47" spans="1:4" s="90" customFormat="1" ht="10.5" x14ac:dyDescent="0.25">
      <c r="A47" s="118"/>
      <c r="D47" s="117"/>
    </row>
    <row r="48" spans="1:4" s="90" customFormat="1" ht="10.5" x14ac:dyDescent="0.25">
      <c r="A48" s="118"/>
      <c r="D48" s="117"/>
    </row>
    <row r="49" spans="1:8" s="90" customFormat="1" ht="10.5" x14ac:dyDescent="0.25">
      <c r="A49" s="118"/>
      <c r="D49" s="117"/>
    </row>
    <row r="50" spans="1:8" s="90" customFormat="1" ht="10.5" x14ac:dyDescent="0.25">
      <c r="A50" s="118"/>
      <c r="D50" s="117"/>
    </row>
    <row r="51" spans="1:8" s="90" customFormat="1" ht="10.5" x14ac:dyDescent="0.25">
      <c r="A51" s="118"/>
      <c r="D51" s="117"/>
    </row>
    <row r="52" spans="1:8" s="90" customFormat="1" ht="10.5" x14ac:dyDescent="0.25">
      <c r="A52" s="118"/>
      <c r="D52" s="117"/>
    </row>
    <row r="53" spans="1:8" s="90" customFormat="1" ht="10.5" x14ac:dyDescent="0.25">
      <c r="A53" s="118"/>
      <c r="D53" s="117"/>
    </row>
    <row r="54" spans="1:8" s="90" customFormat="1" ht="10.5" x14ac:dyDescent="0.25">
      <c r="A54" s="118"/>
      <c r="D54" s="117"/>
    </row>
    <row r="55" spans="1:8" s="90" customFormat="1" ht="11.25" customHeight="1" x14ac:dyDescent="0.25">
      <c r="A55" s="118"/>
      <c r="D55" s="117"/>
    </row>
    <row r="56" spans="1:8" s="90" customFormat="1" ht="22.5" customHeight="1" x14ac:dyDescent="0.25">
      <c r="A56" s="118"/>
      <c r="D56" s="117"/>
    </row>
    <row r="57" spans="1:8" s="116" customFormat="1" ht="12.75" customHeight="1" x14ac:dyDescent="0.25">
      <c r="A57" s="118"/>
      <c r="B57" s="90"/>
      <c r="C57" s="90"/>
      <c r="D57" s="117"/>
      <c r="E57" s="90"/>
      <c r="F57" s="90"/>
      <c r="G57" s="90"/>
      <c r="H57" s="90"/>
    </row>
    <row r="58" spans="1:8" s="90" customFormat="1" ht="22.5" customHeight="1" x14ac:dyDescent="0.25">
      <c r="A58" s="118"/>
      <c r="D58" s="117"/>
    </row>
    <row r="59" spans="1:8" s="90" customFormat="1" ht="22.5" customHeight="1" x14ac:dyDescent="0.25">
      <c r="A59" s="118"/>
      <c r="D59" s="117"/>
    </row>
    <row r="60" spans="1:8" s="90" customFormat="1" ht="22.5" customHeight="1" x14ac:dyDescent="0.25">
      <c r="A60" s="118"/>
      <c r="D60" s="117"/>
    </row>
    <row r="61" spans="1:8" s="90" customFormat="1" ht="11.25" customHeight="1" x14ac:dyDescent="0.25">
      <c r="A61" s="118"/>
      <c r="D61" s="117"/>
    </row>
  </sheetData>
  <mergeCells count="8">
    <mergeCell ref="A33:D33"/>
    <mergeCell ref="A34:D34"/>
    <mergeCell ref="A35:D35"/>
    <mergeCell ref="A28:D28"/>
    <mergeCell ref="A29:D29"/>
    <mergeCell ref="A30:D30"/>
    <mergeCell ref="A31:D31"/>
    <mergeCell ref="A32:D32"/>
  </mergeCells>
  <phoneticPr fontId="11"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F50"/>
  <sheetViews>
    <sheetView topLeftCell="A4" workbookViewId="0">
      <selection activeCell="J29" sqref="J29"/>
    </sheetView>
  </sheetViews>
  <sheetFormatPr defaultColWidth="10.6640625" defaultRowHeight="12.5" x14ac:dyDescent="0.25"/>
  <cols>
    <col min="1" max="1" width="39" style="62" customWidth="1"/>
    <col min="2" max="2" width="10.6640625" style="62" customWidth="1"/>
    <col min="3" max="3" width="33.109375" style="62" customWidth="1"/>
    <col min="4" max="4" width="36.77734375" style="62" bestFit="1" customWidth="1"/>
    <col min="5" max="5" width="12.77734375" style="62" bestFit="1" customWidth="1"/>
    <col min="6" max="6" width="14" style="62" customWidth="1"/>
    <col min="7" max="16384" width="10.6640625" style="62"/>
  </cols>
  <sheetData>
    <row r="1" spans="1:6" ht="20" x14ac:dyDescent="0.4">
      <c r="A1" s="213" t="s">
        <v>92</v>
      </c>
      <c r="B1" s="155"/>
      <c r="C1" s="155"/>
      <c r="D1" s="155"/>
      <c r="E1" s="155"/>
      <c r="F1" s="155"/>
    </row>
    <row r="2" spans="1:6" ht="13" x14ac:dyDescent="0.3">
      <c r="A2" s="155"/>
      <c r="B2" s="155"/>
      <c r="C2" s="155"/>
      <c r="D2" s="155"/>
      <c r="E2" s="154"/>
      <c r="F2" s="155"/>
    </row>
    <row r="3" spans="1:6" ht="13" x14ac:dyDescent="0.3">
      <c r="A3" s="154"/>
      <c r="B3" s="156" t="s">
        <v>139</v>
      </c>
      <c r="C3" s="156" t="s">
        <v>140</v>
      </c>
      <c r="D3" s="156" t="s">
        <v>51</v>
      </c>
      <c r="E3" s="155"/>
      <c r="F3" s="155"/>
    </row>
    <row r="4" spans="1:6" ht="13" x14ac:dyDescent="0.3">
      <c r="A4" s="154" t="s">
        <v>141</v>
      </c>
      <c r="B4" s="157">
        <v>201</v>
      </c>
      <c r="C4" s="157">
        <v>400</v>
      </c>
      <c r="D4" s="157">
        <f>AVERAGE(B4:C4)</f>
        <v>300.5</v>
      </c>
      <c r="E4" s="155"/>
      <c r="F4" s="155"/>
    </row>
    <row r="5" spans="1:6" x14ac:dyDescent="0.25">
      <c r="A5" s="155"/>
      <c r="B5" s="155"/>
      <c r="C5" s="155"/>
      <c r="D5" s="155"/>
      <c r="E5" s="155"/>
      <c r="F5" s="155"/>
    </row>
    <row r="6" spans="1:6" ht="13" x14ac:dyDescent="0.3">
      <c r="A6" s="154" t="s">
        <v>93</v>
      </c>
      <c r="B6" s="155"/>
      <c r="C6" s="155"/>
      <c r="D6" s="155"/>
      <c r="E6" s="155"/>
      <c r="F6" s="155"/>
    </row>
    <row r="7" spans="1:6" x14ac:dyDescent="0.25">
      <c r="A7" s="155"/>
      <c r="B7" s="155"/>
      <c r="C7" s="155"/>
      <c r="D7" s="155"/>
      <c r="E7" s="155"/>
      <c r="F7" s="155"/>
    </row>
    <row r="8" spans="1:6" ht="14.5" x14ac:dyDescent="0.25">
      <c r="A8" s="155">
        <v>3</v>
      </c>
      <c r="B8" s="158" t="s">
        <v>105</v>
      </c>
      <c r="C8" s="155"/>
      <c r="D8" s="155"/>
      <c r="E8" s="159">
        <f>A8*D4*2</f>
        <v>1803</v>
      </c>
      <c r="F8" s="155"/>
    </row>
    <row r="9" spans="1:6" x14ac:dyDescent="0.25">
      <c r="A9" s="155"/>
      <c r="B9" s="155"/>
      <c r="C9" s="155"/>
      <c r="D9" s="155"/>
      <c r="E9" s="155"/>
      <c r="F9" s="155"/>
    </row>
    <row r="10" spans="1:6" ht="13" x14ac:dyDescent="0.3">
      <c r="A10" s="160" t="s">
        <v>94</v>
      </c>
      <c r="B10" s="161"/>
      <c r="C10" s="161"/>
      <c r="D10" s="161"/>
      <c r="E10" s="162">
        <f>SUM(E8:E8)</f>
        <v>1803</v>
      </c>
      <c r="F10" s="155"/>
    </row>
    <row r="11" spans="1:6" x14ac:dyDescent="0.25">
      <c r="A11" s="155"/>
      <c r="B11" s="155"/>
      <c r="C11" s="155"/>
      <c r="D11" s="155"/>
      <c r="E11" s="155"/>
      <c r="F11" s="155"/>
    </row>
    <row r="12" spans="1:6" x14ac:dyDescent="0.25">
      <c r="A12" s="163" t="s">
        <v>84</v>
      </c>
      <c r="B12" s="164" t="s">
        <v>85</v>
      </c>
      <c r="C12" s="155"/>
      <c r="D12" s="155"/>
      <c r="E12" s="165">
        <f>(0.07*(1+0.07)^20)/((1+0.07)^20-1)</f>
        <v>9.4392925743255696E-2</v>
      </c>
      <c r="F12" s="155"/>
    </row>
    <row r="13" spans="1:6" x14ac:dyDescent="0.25">
      <c r="A13" s="155"/>
      <c r="B13" s="155"/>
      <c r="C13" s="155"/>
      <c r="D13" s="155"/>
      <c r="E13" s="155"/>
      <c r="F13" s="155"/>
    </row>
    <row r="14" spans="1:6" ht="13" x14ac:dyDescent="0.3">
      <c r="A14" s="161" t="s">
        <v>95</v>
      </c>
      <c r="B14" s="166" t="s">
        <v>142</v>
      </c>
      <c r="C14" s="161"/>
      <c r="D14" s="161"/>
      <c r="E14" s="167">
        <f>E10*E12</f>
        <v>170.19044511509003</v>
      </c>
      <c r="F14" s="155"/>
    </row>
    <row r="15" spans="1:6" x14ac:dyDescent="0.25">
      <c r="A15" s="155"/>
      <c r="B15" s="155"/>
      <c r="C15" s="155"/>
      <c r="D15" s="155"/>
      <c r="E15" s="155"/>
      <c r="F15" s="155"/>
    </row>
    <row r="16" spans="1:6" x14ac:dyDescent="0.25">
      <c r="A16" s="155"/>
      <c r="B16" s="155"/>
      <c r="C16" s="155"/>
      <c r="D16" s="155"/>
      <c r="E16" s="155"/>
      <c r="F16" s="155"/>
    </row>
    <row r="17" spans="1:6" ht="13" x14ac:dyDescent="0.3">
      <c r="A17" s="154" t="s">
        <v>96</v>
      </c>
      <c r="B17" s="155"/>
      <c r="C17" s="155"/>
      <c r="D17" s="155"/>
      <c r="E17" s="155"/>
      <c r="F17" s="155"/>
    </row>
    <row r="18" spans="1:6" x14ac:dyDescent="0.25">
      <c r="A18" s="155"/>
      <c r="B18" s="155"/>
      <c r="C18" s="155"/>
      <c r="D18" s="155"/>
      <c r="E18" s="155"/>
      <c r="F18" s="155"/>
    </row>
    <row r="19" spans="1:6" ht="14.5" x14ac:dyDescent="0.25">
      <c r="A19" s="155">
        <v>1</v>
      </c>
      <c r="B19" s="158" t="s">
        <v>103</v>
      </c>
      <c r="C19" s="155"/>
      <c r="D19" s="155"/>
      <c r="E19" s="159">
        <f>A19*D4*2</f>
        <v>601</v>
      </c>
      <c r="F19" s="155"/>
    </row>
    <row r="20" spans="1:6" x14ac:dyDescent="0.25">
      <c r="A20" s="155"/>
      <c r="B20" s="155"/>
      <c r="C20" s="155"/>
      <c r="D20" s="155"/>
      <c r="E20" s="155"/>
      <c r="F20" s="155"/>
    </row>
    <row r="21" spans="1:6" x14ac:dyDescent="0.25">
      <c r="A21" s="155"/>
      <c r="B21" s="155"/>
      <c r="C21" s="155"/>
      <c r="D21" s="155"/>
      <c r="E21" s="155"/>
      <c r="F21" s="155"/>
    </row>
    <row r="22" spans="1:6" x14ac:dyDescent="0.25">
      <c r="A22" s="155"/>
      <c r="B22" s="155"/>
      <c r="C22" s="155"/>
      <c r="D22" s="155"/>
      <c r="E22" s="155"/>
      <c r="F22" s="155"/>
    </row>
    <row r="23" spans="1:6" x14ac:dyDescent="0.25">
      <c r="A23" s="155"/>
      <c r="B23" s="155"/>
      <c r="C23" s="155"/>
      <c r="D23" s="155"/>
      <c r="E23" s="155"/>
      <c r="F23" s="155"/>
    </row>
    <row r="24" spans="1:6" ht="39" x14ac:dyDescent="0.25">
      <c r="A24" s="168" t="s">
        <v>97</v>
      </c>
      <c r="B24" s="168" t="s">
        <v>98</v>
      </c>
      <c r="C24" s="168" t="s">
        <v>143</v>
      </c>
      <c r="D24" s="168" t="s">
        <v>144</v>
      </c>
      <c r="E24" s="168" t="s">
        <v>99</v>
      </c>
      <c r="F24" s="168" t="s">
        <v>99</v>
      </c>
    </row>
    <row r="25" spans="1:6" x14ac:dyDescent="0.25">
      <c r="A25" s="96" t="s">
        <v>138</v>
      </c>
      <c r="B25" s="169" t="s">
        <v>145</v>
      </c>
      <c r="C25" s="170">
        <f>E$10</f>
        <v>1803</v>
      </c>
      <c r="D25" s="170">
        <v>0</v>
      </c>
      <c r="E25" s="170">
        <f t="shared" ref="E25:E42" si="0">E$19*12</f>
        <v>7212</v>
      </c>
      <c r="F25" s="171">
        <f t="shared" ref="F25:F42" si="1">SUM(D25:E25)</f>
        <v>7212</v>
      </c>
    </row>
    <row r="26" spans="1:6" x14ac:dyDescent="0.25">
      <c r="A26" s="96" t="s">
        <v>127</v>
      </c>
      <c r="B26" s="169" t="s">
        <v>145</v>
      </c>
      <c r="C26" s="170">
        <f>E$10</f>
        <v>1803</v>
      </c>
      <c r="D26" s="170">
        <v>0</v>
      </c>
      <c r="E26" s="170">
        <f t="shared" si="0"/>
        <v>7212</v>
      </c>
      <c r="F26" s="171">
        <f t="shared" si="1"/>
        <v>7212</v>
      </c>
    </row>
    <row r="27" spans="1:6" x14ac:dyDescent="0.25">
      <c r="A27" s="96" t="s">
        <v>121</v>
      </c>
      <c r="B27" s="169" t="s">
        <v>145</v>
      </c>
      <c r="C27" s="170">
        <f>E$10</f>
        <v>1803</v>
      </c>
      <c r="D27" s="170">
        <v>0</v>
      </c>
      <c r="E27" s="170">
        <f t="shared" si="0"/>
        <v>7212</v>
      </c>
      <c r="F27" s="171">
        <f t="shared" si="1"/>
        <v>7212</v>
      </c>
    </row>
    <row r="28" spans="1:6" x14ac:dyDescent="0.25">
      <c r="A28" s="96" t="s">
        <v>120</v>
      </c>
      <c r="B28" s="169" t="s">
        <v>146</v>
      </c>
      <c r="C28" s="170">
        <f t="shared" ref="C28:C42" si="2">E$10</f>
        <v>1803</v>
      </c>
      <c r="D28" s="170">
        <v>0</v>
      </c>
      <c r="E28" s="170">
        <f t="shared" si="0"/>
        <v>7212</v>
      </c>
      <c r="F28" s="171">
        <f t="shared" si="1"/>
        <v>7212</v>
      </c>
    </row>
    <row r="29" spans="1:6" x14ac:dyDescent="0.25">
      <c r="A29" s="96" t="s">
        <v>127</v>
      </c>
      <c r="B29" s="169" t="s">
        <v>146</v>
      </c>
      <c r="C29" s="170">
        <f t="shared" si="2"/>
        <v>1803</v>
      </c>
      <c r="D29" s="170">
        <v>0</v>
      </c>
      <c r="E29" s="170">
        <f t="shared" si="0"/>
        <v>7212</v>
      </c>
      <c r="F29" s="171">
        <f t="shared" si="1"/>
        <v>7212</v>
      </c>
    </row>
    <row r="30" spans="1:6" x14ac:dyDescent="0.25">
      <c r="A30" s="96" t="s">
        <v>122</v>
      </c>
      <c r="B30" s="169" t="s">
        <v>146</v>
      </c>
      <c r="C30" s="170">
        <f t="shared" si="2"/>
        <v>1803</v>
      </c>
      <c r="D30" s="170">
        <v>0</v>
      </c>
      <c r="E30" s="170">
        <f t="shared" si="0"/>
        <v>7212</v>
      </c>
      <c r="F30" s="171">
        <f t="shared" si="1"/>
        <v>7212</v>
      </c>
    </row>
    <row r="31" spans="1:6" x14ac:dyDescent="0.25">
      <c r="A31" s="96" t="s">
        <v>130</v>
      </c>
      <c r="B31" s="169" t="s">
        <v>146</v>
      </c>
      <c r="C31" s="170">
        <f t="shared" si="2"/>
        <v>1803</v>
      </c>
      <c r="D31" s="170">
        <v>0</v>
      </c>
      <c r="E31" s="170">
        <f t="shared" si="0"/>
        <v>7212</v>
      </c>
      <c r="F31" s="171">
        <f t="shared" si="1"/>
        <v>7212</v>
      </c>
    </row>
    <row r="32" spans="1:6" x14ac:dyDescent="0.25">
      <c r="A32" s="96" t="s">
        <v>129</v>
      </c>
      <c r="B32" s="169" t="s">
        <v>146</v>
      </c>
      <c r="C32" s="170">
        <f t="shared" si="2"/>
        <v>1803</v>
      </c>
      <c r="D32" s="170">
        <v>0</v>
      </c>
      <c r="E32" s="170">
        <f t="shared" si="0"/>
        <v>7212</v>
      </c>
      <c r="F32" s="171">
        <f t="shared" si="1"/>
        <v>7212</v>
      </c>
    </row>
    <row r="33" spans="1:6" x14ac:dyDescent="0.25">
      <c r="A33" s="169" t="s">
        <v>124</v>
      </c>
      <c r="B33" s="169" t="s">
        <v>146</v>
      </c>
      <c r="C33" s="170">
        <f t="shared" si="2"/>
        <v>1803</v>
      </c>
      <c r="D33" s="170">
        <v>0</v>
      </c>
      <c r="E33" s="170">
        <f t="shared" si="0"/>
        <v>7212</v>
      </c>
      <c r="F33" s="171">
        <f t="shared" si="1"/>
        <v>7212</v>
      </c>
    </row>
    <row r="34" spans="1:6" x14ac:dyDescent="0.25">
      <c r="A34" s="169" t="s">
        <v>125</v>
      </c>
      <c r="B34" s="169" t="s">
        <v>146</v>
      </c>
      <c r="C34" s="170">
        <f t="shared" si="2"/>
        <v>1803</v>
      </c>
      <c r="D34" s="170">
        <v>0</v>
      </c>
      <c r="E34" s="170">
        <f t="shared" si="0"/>
        <v>7212</v>
      </c>
      <c r="F34" s="171">
        <f t="shared" si="1"/>
        <v>7212</v>
      </c>
    </row>
    <row r="35" spans="1:6" x14ac:dyDescent="0.25">
      <c r="A35" s="169" t="s">
        <v>128</v>
      </c>
      <c r="B35" s="169" t="s">
        <v>146</v>
      </c>
      <c r="C35" s="170">
        <f t="shared" si="2"/>
        <v>1803</v>
      </c>
      <c r="D35" s="170">
        <v>0</v>
      </c>
      <c r="E35" s="170">
        <f t="shared" si="0"/>
        <v>7212</v>
      </c>
      <c r="F35" s="171">
        <f t="shared" si="1"/>
        <v>7212</v>
      </c>
    </row>
    <row r="36" spans="1:6" x14ac:dyDescent="0.25">
      <c r="A36" s="169" t="s">
        <v>126</v>
      </c>
      <c r="B36" s="169" t="s">
        <v>146</v>
      </c>
      <c r="C36" s="170">
        <f t="shared" si="2"/>
        <v>1803</v>
      </c>
      <c r="D36" s="170">
        <v>0</v>
      </c>
      <c r="E36" s="170">
        <f t="shared" si="0"/>
        <v>7212</v>
      </c>
      <c r="F36" s="171">
        <f t="shared" si="1"/>
        <v>7212</v>
      </c>
    </row>
    <row r="37" spans="1:6" x14ac:dyDescent="0.25">
      <c r="A37" s="169" t="s">
        <v>132</v>
      </c>
      <c r="B37" s="169" t="s">
        <v>146</v>
      </c>
      <c r="C37" s="170">
        <f t="shared" si="2"/>
        <v>1803</v>
      </c>
      <c r="D37" s="170">
        <v>0</v>
      </c>
      <c r="E37" s="170">
        <f t="shared" si="0"/>
        <v>7212</v>
      </c>
      <c r="F37" s="171">
        <f t="shared" si="1"/>
        <v>7212</v>
      </c>
    </row>
    <row r="38" spans="1:6" x14ac:dyDescent="0.25">
      <c r="A38" s="169" t="s">
        <v>123</v>
      </c>
      <c r="B38" s="169" t="s">
        <v>146</v>
      </c>
      <c r="C38" s="170">
        <f t="shared" si="2"/>
        <v>1803</v>
      </c>
      <c r="D38" s="170">
        <v>0</v>
      </c>
      <c r="E38" s="170">
        <f t="shared" si="0"/>
        <v>7212</v>
      </c>
      <c r="F38" s="171">
        <f t="shared" si="1"/>
        <v>7212</v>
      </c>
    </row>
    <row r="39" spans="1:6" x14ac:dyDescent="0.25">
      <c r="A39" s="169" t="s">
        <v>133</v>
      </c>
      <c r="B39" s="169" t="s">
        <v>146</v>
      </c>
      <c r="C39" s="170">
        <f t="shared" si="2"/>
        <v>1803</v>
      </c>
      <c r="D39" s="170">
        <v>0</v>
      </c>
      <c r="E39" s="170">
        <f t="shared" si="0"/>
        <v>7212</v>
      </c>
      <c r="F39" s="171">
        <f t="shared" si="1"/>
        <v>7212</v>
      </c>
    </row>
    <row r="40" spans="1:6" x14ac:dyDescent="0.25">
      <c r="A40" s="169" t="s">
        <v>131</v>
      </c>
      <c r="B40" s="169" t="s">
        <v>147</v>
      </c>
      <c r="C40" s="170">
        <f t="shared" si="2"/>
        <v>1803</v>
      </c>
      <c r="D40" s="170">
        <v>0</v>
      </c>
      <c r="E40" s="170">
        <f t="shared" si="0"/>
        <v>7212</v>
      </c>
      <c r="F40" s="171">
        <f t="shared" si="1"/>
        <v>7212</v>
      </c>
    </row>
    <row r="41" spans="1:6" x14ac:dyDescent="0.25">
      <c r="A41" s="169" t="s">
        <v>121</v>
      </c>
      <c r="B41" s="169" t="s">
        <v>148</v>
      </c>
      <c r="C41" s="170">
        <f t="shared" si="2"/>
        <v>1803</v>
      </c>
      <c r="D41" s="170">
        <v>0</v>
      </c>
      <c r="E41" s="170">
        <f t="shared" si="0"/>
        <v>7212</v>
      </c>
      <c r="F41" s="171">
        <f t="shared" si="1"/>
        <v>7212</v>
      </c>
    </row>
    <row r="42" spans="1:6" x14ac:dyDescent="0.25">
      <c r="A42" s="169" t="s">
        <v>127</v>
      </c>
      <c r="B42" s="169" t="s">
        <v>149</v>
      </c>
      <c r="C42" s="170">
        <f t="shared" si="2"/>
        <v>1803</v>
      </c>
      <c r="D42" s="170">
        <v>0</v>
      </c>
      <c r="E42" s="170">
        <f t="shared" si="0"/>
        <v>7212</v>
      </c>
      <c r="F42" s="171">
        <f t="shared" si="1"/>
        <v>7212</v>
      </c>
    </row>
    <row r="43" spans="1:6" x14ac:dyDescent="0.25">
      <c r="A43" s="397" t="s">
        <v>150</v>
      </c>
      <c r="B43" s="397"/>
      <c r="C43" s="397"/>
      <c r="D43" s="397"/>
      <c r="E43" s="397"/>
      <c r="F43" s="155"/>
    </row>
    <row r="44" spans="1:6" x14ac:dyDescent="0.25">
      <c r="A44" s="155" t="s">
        <v>104</v>
      </c>
      <c r="B44" s="155"/>
      <c r="C44" s="155"/>
      <c r="D44" s="155"/>
      <c r="E44" s="155"/>
      <c r="F44" s="155"/>
    </row>
    <row r="45" spans="1:6" x14ac:dyDescent="0.25">
      <c r="A45" s="155"/>
      <c r="B45" s="155"/>
      <c r="C45" s="155"/>
      <c r="D45" s="155"/>
      <c r="E45" s="155"/>
      <c r="F45" s="155"/>
    </row>
    <row r="46" spans="1:6" x14ac:dyDescent="0.25">
      <c r="A46" s="155"/>
      <c r="B46" s="155"/>
      <c r="C46" s="155"/>
      <c r="D46" s="155"/>
      <c r="E46" s="155"/>
      <c r="F46" s="155"/>
    </row>
    <row r="47" spans="1:6" x14ac:dyDescent="0.25">
      <c r="A47" s="155"/>
      <c r="B47" s="155"/>
      <c r="C47" s="155"/>
      <c r="D47" s="155"/>
      <c r="E47" s="155"/>
      <c r="F47" s="155"/>
    </row>
    <row r="48" spans="1:6" x14ac:dyDescent="0.25">
      <c r="A48" s="155"/>
      <c r="B48" s="155"/>
      <c r="C48" s="155"/>
      <c r="D48" s="155"/>
      <c r="E48" s="155"/>
      <c r="F48" s="155"/>
    </row>
    <row r="49" spans="1:6" x14ac:dyDescent="0.25">
      <c r="A49" s="155"/>
      <c r="B49" s="155"/>
      <c r="C49" s="155"/>
      <c r="D49" s="155"/>
      <c r="E49" s="155"/>
      <c r="F49" s="155"/>
    </row>
    <row r="50" spans="1:6" x14ac:dyDescent="0.25">
      <c r="A50" s="155"/>
      <c r="B50" s="155"/>
      <c r="C50" s="155"/>
      <c r="D50" s="155"/>
      <c r="E50" s="155"/>
      <c r="F50" s="155"/>
    </row>
  </sheetData>
  <mergeCells count="1">
    <mergeCell ref="A43:E43"/>
  </mergeCells>
  <phoneticPr fontId="11"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N45"/>
  <sheetViews>
    <sheetView workbookViewId="0">
      <selection activeCell="J29" sqref="J29"/>
    </sheetView>
  </sheetViews>
  <sheetFormatPr defaultColWidth="10.6640625" defaultRowHeight="12.5" x14ac:dyDescent="0.25"/>
  <cols>
    <col min="1" max="1" width="33" style="62" customWidth="1"/>
    <col min="2" max="2" width="43.109375" style="62" customWidth="1"/>
    <col min="3" max="3" width="35.44140625" style="62" customWidth="1"/>
    <col min="4" max="4" width="51.77734375" style="62" customWidth="1"/>
    <col min="5" max="5" width="11.33203125" style="62" bestFit="1" customWidth="1"/>
    <col min="6" max="6" width="15" style="62" customWidth="1"/>
    <col min="7" max="7" width="10.6640625" style="62" customWidth="1"/>
    <col min="8" max="8" width="11.33203125" style="62" bestFit="1" customWidth="1"/>
    <col min="9" max="12" width="10.6640625" style="62"/>
    <col min="13" max="13" width="15.33203125" style="62" customWidth="1"/>
    <col min="14" max="14" width="13.44140625" style="62" customWidth="1"/>
    <col min="15" max="16384" width="10.6640625" style="62"/>
  </cols>
  <sheetData>
    <row r="1" spans="1:14" ht="20.5" x14ac:dyDescent="0.45">
      <c r="A1" s="210" t="s">
        <v>210</v>
      </c>
      <c r="B1" s="90"/>
      <c r="C1" s="90"/>
      <c r="D1" s="90"/>
      <c r="E1" s="90"/>
      <c r="F1" s="90"/>
      <c r="G1" s="90"/>
      <c r="H1" s="90"/>
      <c r="I1" s="90"/>
      <c r="J1" s="90"/>
      <c r="K1" s="90"/>
      <c r="L1" s="90"/>
      <c r="M1" s="90"/>
      <c r="N1" s="90"/>
    </row>
    <row r="2" spans="1:14" x14ac:dyDescent="0.25">
      <c r="A2" s="90"/>
      <c r="B2" s="90"/>
      <c r="C2" s="90"/>
      <c r="D2" s="90"/>
      <c r="E2" s="90"/>
      <c r="F2" s="90"/>
      <c r="G2" s="90"/>
      <c r="H2" s="90"/>
      <c r="I2" s="90"/>
      <c r="J2" s="90"/>
      <c r="K2" s="90"/>
      <c r="L2" s="90"/>
      <c r="M2" s="90"/>
      <c r="N2" s="90"/>
    </row>
    <row r="3" spans="1:14" ht="13" x14ac:dyDescent="0.3">
      <c r="A3" s="227" t="s">
        <v>101</v>
      </c>
      <c r="B3" s="96" t="s">
        <v>139</v>
      </c>
      <c r="C3" s="96" t="s">
        <v>140</v>
      </c>
      <c r="D3" s="96" t="s">
        <v>51</v>
      </c>
      <c r="E3" s="90"/>
      <c r="F3" s="90"/>
      <c r="G3" s="90"/>
      <c r="H3" s="90"/>
      <c r="I3" s="90"/>
      <c r="J3" s="90"/>
      <c r="K3" s="90"/>
      <c r="L3" s="90"/>
      <c r="M3" s="90"/>
      <c r="N3" s="90"/>
    </row>
    <row r="4" spans="1:14" ht="13" x14ac:dyDescent="0.3">
      <c r="A4" s="227" t="s">
        <v>151</v>
      </c>
      <c r="B4" s="174">
        <v>201</v>
      </c>
      <c r="C4" s="174">
        <v>400</v>
      </c>
      <c r="D4" s="174">
        <f>AVERAGE(B4:C4)</f>
        <v>300.5</v>
      </c>
      <c r="E4" s="228" t="s">
        <v>100</v>
      </c>
      <c r="F4" s="173"/>
      <c r="G4" s="173"/>
      <c r="H4" s="90"/>
      <c r="I4" s="90"/>
      <c r="J4" s="90"/>
      <c r="K4" s="90"/>
      <c r="L4" s="90"/>
      <c r="M4" s="90"/>
      <c r="N4" s="90"/>
    </row>
    <row r="5" spans="1:14" ht="13" x14ac:dyDescent="0.3">
      <c r="A5" s="227" t="s">
        <v>152</v>
      </c>
      <c r="B5" s="174"/>
      <c r="C5" s="174"/>
      <c r="D5" s="174">
        <v>190</v>
      </c>
      <c r="E5" s="96" t="s">
        <v>153</v>
      </c>
      <c r="F5" s="173"/>
      <c r="G5" s="173"/>
      <c r="H5" s="90"/>
      <c r="I5" s="90"/>
      <c r="J5" s="90"/>
      <c r="K5" s="90"/>
      <c r="L5" s="90"/>
      <c r="M5" s="90"/>
      <c r="N5" s="90"/>
    </row>
    <row r="6" spans="1:14" ht="13" x14ac:dyDescent="0.3">
      <c r="A6" s="227" t="s">
        <v>154</v>
      </c>
      <c r="B6" s="175"/>
      <c r="C6" s="175"/>
      <c r="D6" s="175">
        <v>0</v>
      </c>
      <c r="E6" s="176" t="s">
        <v>155</v>
      </c>
      <c r="F6" s="89"/>
      <c r="G6" s="89"/>
      <c r="H6" s="89"/>
      <c r="I6" s="89"/>
      <c r="J6" s="89"/>
      <c r="K6" s="89"/>
      <c r="L6" s="89"/>
      <c r="M6" s="89"/>
      <c r="N6" s="89"/>
    </row>
    <row r="7" spans="1:14" ht="13" x14ac:dyDescent="0.3">
      <c r="A7" s="91"/>
      <c r="B7" s="172"/>
      <c r="C7" s="172"/>
      <c r="D7" s="172"/>
      <c r="E7" s="90"/>
      <c r="F7" s="90"/>
      <c r="G7" s="90"/>
      <c r="H7" s="90"/>
      <c r="I7" s="90"/>
      <c r="J7" s="90"/>
      <c r="K7" s="90"/>
      <c r="L7" s="90"/>
      <c r="M7" s="90"/>
      <c r="N7" s="90"/>
    </row>
    <row r="8" spans="1:14" ht="13" x14ac:dyDescent="0.3">
      <c r="A8" s="91"/>
      <c r="B8" s="177"/>
      <c r="C8" s="178"/>
      <c r="D8" s="172"/>
      <c r="E8" s="90"/>
      <c r="F8" s="90"/>
      <c r="G8" s="90"/>
      <c r="H8" s="90"/>
      <c r="I8" s="90"/>
      <c r="J8" s="90"/>
      <c r="K8" s="90"/>
      <c r="L8" s="90"/>
      <c r="M8" s="90"/>
      <c r="N8" s="90"/>
    </row>
    <row r="9" spans="1:14" ht="12.75" customHeight="1" x14ac:dyDescent="0.25">
      <c r="A9" s="90"/>
      <c r="B9" s="398" t="s">
        <v>156</v>
      </c>
      <c r="C9" s="398"/>
      <c r="D9"/>
      <c r="E9"/>
      <c r="F9"/>
      <c r="G9"/>
      <c r="H9"/>
      <c r="I9"/>
      <c r="J9"/>
      <c r="K9"/>
      <c r="L9"/>
      <c r="M9"/>
      <c r="N9"/>
    </row>
    <row r="10" spans="1:14" x14ac:dyDescent="0.25">
      <c r="A10" s="90"/>
      <c r="B10" s="398"/>
      <c r="C10" s="398"/>
      <c r="D10"/>
      <c r="E10"/>
      <c r="F10"/>
      <c r="G10"/>
      <c r="H10"/>
      <c r="I10"/>
      <c r="J10"/>
      <c r="K10"/>
      <c r="L10"/>
      <c r="M10"/>
      <c r="N10"/>
    </row>
    <row r="11" spans="1:14" ht="25" x14ac:dyDescent="0.25">
      <c r="A11" s="96"/>
      <c r="B11" s="179" t="s">
        <v>157</v>
      </c>
      <c r="C11" s="180" t="s">
        <v>158</v>
      </c>
      <c r="D11"/>
      <c r="E11"/>
      <c r="F11"/>
      <c r="G11"/>
      <c r="H11"/>
      <c r="I11"/>
      <c r="J11"/>
      <c r="K11"/>
      <c r="L11"/>
      <c r="M11"/>
      <c r="N11"/>
    </row>
    <row r="12" spans="1:14" x14ac:dyDescent="0.25">
      <c r="A12" s="96" t="s">
        <v>127</v>
      </c>
      <c r="B12" s="96">
        <f>B38</f>
        <v>6</v>
      </c>
      <c r="C12" s="96">
        <f t="shared" ref="C12:C26" si="0">IF(B12="",B$27,B12)</f>
        <v>6</v>
      </c>
      <c r="D12"/>
      <c r="E12"/>
      <c r="F12"/>
      <c r="G12"/>
      <c r="H12"/>
      <c r="I12"/>
      <c r="J12"/>
      <c r="K12"/>
      <c r="L12"/>
      <c r="M12"/>
      <c r="N12"/>
    </row>
    <row r="13" spans="1:14" x14ac:dyDescent="0.25">
      <c r="A13" s="96" t="s">
        <v>138</v>
      </c>
      <c r="B13" s="96"/>
      <c r="C13" s="96">
        <f t="shared" si="0"/>
        <v>3</v>
      </c>
      <c r="D13"/>
      <c r="E13"/>
      <c r="F13"/>
      <c r="G13"/>
      <c r="H13"/>
      <c r="I13"/>
      <c r="J13"/>
      <c r="K13"/>
      <c r="L13"/>
      <c r="M13"/>
      <c r="N13"/>
    </row>
    <row r="14" spans="1:14" x14ac:dyDescent="0.25">
      <c r="A14" s="96" t="s">
        <v>121</v>
      </c>
      <c r="B14" s="96"/>
      <c r="C14" s="96">
        <f t="shared" si="0"/>
        <v>3</v>
      </c>
      <c r="D14"/>
      <c r="E14"/>
      <c r="F14"/>
      <c r="G14"/>
      <c r="H14"/>
      <c r="I14"/>
      <c r="J14"/>
      <c r="K14"/>
      <c r="L14"/>
      <c r="M14"/>
      <c r="N14"/>
    </row>
    <row r="15" spans="1:14" x14ac:dyDescent="0.25">
      <c r="A15" s="96" t="s">
        <v>131</v>
      </c>
      <c r="B15" s="96"/>
      <c r="C15" s="96">
        <f t="shared" si="0"/>
        <v>3</v>
      </c>
      <c r="D15"/>
      <c r="E15"/>
      <c r="F15"/>
      <c r="G15"/>
      <c r="H15"/>
      <c r="I15"/>
      <c r="J15"/>
      <c r="K15"/>
      <c r="L15"/>
      <c r="M15"/>
      <c r="N15"/>
    </row>
    <row r="16" spans="1:14" x14ac:dyDescent="0.25">
      <c r="A16" s="96" t="s">
        <v>120</v>
      </c>
      <c r="B16" s="96">
        <f>B33</f>
        <v>1</v>
      </c>
      <c r="C16" s="96">
        <f t="shared" si="0"/>
        <v>1</v>
      </c>
      <c r="D16"/>
      <c r="E16"/>
      <c r="F16"/>
      <c r="G16"/>
      <c r="H16"/>
      <c r="I16"/>
      <c r="J16"/>
      <c r="K16"/>
      <c r="L16"/>
      <c r="M16"/>
      <c r="N16"/>
    </row>
    <row r="17" spans="1:14" x14ac:dyDescent="0.25">
      <c r="A17" s="96" t="s">
        <v>122</v>
      </c>
      <c r="B17" s="96"/>
      <c r="C17" s="96">
        <f t="shared" si="0"/>
        <v>3</v>
      </c>
      <c r="D17"/>
      <c r="E17"/>
      <c r="F17"/>
      <c r="G17"/>
      <c r="H17"/>
      <c r="I17"/>
      <c r="J17"/>
      <c r="K17"/>
      <c r="L17"/>
      <c r="M17"/>
      <c r="N17"/>
    </row>
    <row r="18" spans="1:14" x14ac:dyDescent="0.25">
      <c r="A18" s="96" t="s">
        <v>123</v>
      </c>
      <c r="B18" s="96">
        <f>B34</f>
        <v>1</v>
      </c>
      <c r="C18" s="96">
        <f t="shared" si="0"/>
        <v>1</v>
      </c>
      <c r="D18"/>
      <c r="E18"/>
      <c r="F18"/>
      <c r="G18"/>
      <c r="H18"/>
      <c r="I18"/>
      <c r="J18"/>
      <c r="K18"/>
      <c r="L18"/>
      <c r="M18"/>
      <c r="N18"/>
    </row>
    <row r="19" spans="1:14" x14ac:dyDescent="0.25">
      <c r="A19" s="96" t="s">
        <v>124</v>
      </c>
      <c r="B19" s="96"/>
      <c r="C19" s="96">
        <f t="shared" si="0"/>
        <v>3</v>
      </c>
      <c r="D19"/>
      <c r="E19"/>
      <c r="F19"/>
      <c r="G19"/>
      <c r="H19"/>
      <c r="I19"/>
      <c r="J19"/>
      <c r="K19"/>
      <c r="L19"/>
      <c r="M19"/>
      <c r="N19"/>
    </row>
    <row r="20" spans="1:14" x14ac:dyDescent="0.25">
      <c r="A20" s="96" t="s">
        <v>125</v>
      </c>
      <c r="B20" s="96">
        <f>B37</f>
        <v>7</v>
      </c>
      <c r="C20" s="96">
        <f t="shared" si="0"/>
        <v>7</v>
      </c>
      <c r="D20"/>
      <c r="E20"/>
      <c r="F20"/>
      <c r="G20"/>
      <c r="H20"/>
      <c r="I20"/>
      <c r="J20"/>
      <c r="K20"/>
      <c r="L20"/>
      <c r="M20"/>
      <c r="N20"/>
    </row>
    <row r="21" spans="1:14" x14ac:dyDescent="0.25">
      <c r="A21" s="96" t="s">
        <v>126</v>
      </c>
      <c r="B21" s="96"/>
      <c r="C21" s="96">
        <f t="shared" si="0"/>
        <v>3</v>
      </c>
      <c r="D21"/>
      <c r="E21"/>
      <c r="F21"/>
      <c r="G21"/>
      <c r="H21"/>
      <c r="I21"/>
      <c r="J21"/>
      <c r="K21"/>
      <c r="L21"/>
      <c r="M21"/>
      <c r="N21"/>
    </row>
    <row r="22" spans="1:14" x14ac:dyDescent="0.25">
      <c r="A22" s="96" t="s">
        <v>128</v>
      </c>
      <c r="B22" s="96">
        <f>B39</f>
        <v>3</v>
      </c>
      <c r="C22" s="96">
        <f t="shared" si="0"/>
        <v>3</v>
      </c>
      <c r="D22"/>
      <c r="E22"/>
      <c r="F22"/>
      <c r="G22"/>
      <c r="H22"/>
      <c r="I22"/>
      <c r="J22"/>
      <c r="K22"/>
      <c r="L22"/>
      <c r="M22"/>
      <c r="N22"/>
    </row>
    <row r="23" spans="1:14" x14ac:dyDescent="0.25">
      <c r="A23" s="96" t="s">
        <v>129</v>
      </c>
      <c r="B23" s="96">
        <f>B40</f>
        <v>1</v>
      </c>
      <c r="C23" s="96">
        <f t="shared" si="0"/>
        <v>1</v>
      </c>
      <c r="D23"/>
      <c r="E23"/>
      <c r="F23"/>
      <c r="G23"/>
      <c r="H23"/>
      <c r="I23"/>
      <c r="J23"/>
      <c r="K23"/>
      <c r="L23"/>
      <c r="M23"/>
      <c r="N23"/>
    </row>
    <row r="24" spans="1:14" x14ac:dyDescent="0.25">
      <c r="A24" s="96" t="s">
        <v>130</v>
      </c>
      <c r="B24" s="96">
        <f>B41</f>
        <v>2</v>
      </c>
      <c r="C24" s="96">
        <f t="shared" si="0"/>
        <v>2</v>
      </c>
      <c r="D24"/>
      <c r="E24"/>
      <c r="F24"/>
      <c r="G24"/>
      <c r="H24"/>
      <c r="I24"/>
      <c r="J24"/>
      <c r="K24"/>
      <c r="L24"/>
      <c r="M24"/>
      <c r="N24"/>
    </row>
    <row r="25" spans="1:14" x14ac:dyDescent="0.25">
      <c r="A25" s="96" t="s">
        <v>132</v>
      </c>
      <c r="B25" s="96">
        <f>B43</f>
        <v>1</v>
      </c>
      <c r="C25" s="96">
        <f t="shared" si="0"/>
        <v>1</v>
      </c>
      <c r="D25"/>
      <c r="E25"/>
      <c r="F25"/>
      <c r="G25"/>
      <c r="H25"/>
      <c r="I25"/>
      <c r="J25"/>
      <c r="K25"/>
      <c r="L25"/>
      <c r="M25"/>
      <c r="N25"/>
    </row>
    <row r="26" spans="1:14" x14ac:dyDescent="0.25">
      <c r="A26" s="96" t="s">
        <v>133</v>
      </c>
      <c r="B26" s="96">
        <f>B44</f>
        <v>2</v>
      </c>
      <c r="C26" s="96">
        <f t="shared" si="0"/>
        <v>2</v>
      </c>
      <c r="D26"/>
      <c r="E26"/>
      <c r="F26"/>
      <c r="G26"/>
      <c r="H26"/>
      <c r="I26"/>
      <c r="J26"/>
      <c r="K26"/>
      <c r="L26"/>
      <c r="M26"/>
      <c r="N26"/>
    </row>
    <row r="27" spans="1:14" x14ac:dyDescent="0.25">
      <c r="A27" s="147" t="s">
        <v>51</v>
      </c>
      <c r="B27" s="96">
        <f>ROUNDUP(AVERAGE(B22:B26,B20:B20,B18,B16,B12:B12),0)</f>
        <v>3</v>
      </c>
      <c r="C27"/>
      <c r="D27"/>
      <c r="E27"/>
      <c r="F27"/>
      <c r="G27"/>
      <c r="H27"/>
      <c r="I27"/>
      <c r="J27"/>
      <c r="K27"/>
      <c r="L27"/>
      <c r="M27"/>
      <c r="N27"/>
    </row>
    <row r="28" spans="1:14" x14ac:dyDescent="0.25">
      <c r="A28" s="90"/>
      <c r="B28" s="90"/>
      <c r="C28" s="90"/>
      <c r="D28" s="90"/>
      <c r="E28" s="90"/>
      <c r="F28" s="90"/>
      <c r="G28" s="90"/>
      <c r="H28" s="90"/>
      <c r="I28" s="90"/>
      <c r="J28" s="90"/>
      <c r="K28" s="90"/>
      <c r="L28"/>
      <c r="M28"/>
      <c r="N28"/>
    </row>
    <row r="29" spans="1:14" x14ac:dyDescent="0.25">
      <c r="A29" s="90"/>
      <c r="B29" s="90" t="s">
        <v>226</v>
      </c>
      <c r="C29" s="90">
        <f>42+15</f>
        <v>57</v>
      </c>
      <c r="D29" s="90"/>
      <c r="E29" s="90"/>
      <c r="F29" s="90"/>
      <c r="G29" s="90"/>
      <c r="H29" s="90"/>
      <c r="I29" s="90"/>
      <c r="J29" s="90"/>
      <c r="K29" s="90"/>
      <c r="L29"/>
      <c r="M29"/>
      <c r="N29"/>
    </row>
    <row r="30" spans="1:14" x14ac:dyDescent="0.25">
      <c r="A30" s="90"/>
      <c r="B30" s="90"/>
      <c r="C30" s="90"/>
      <c r="D30"/>
      <c r="E30" s="90"/>
      <c r="F30" s="90"/>
      <c r="G30" s="90"/>
      <c r="H30" s="90"/>
      <c r="I30" s="90"/>
      <c r="J30" s="90"/>
      <c r="K30" s="90"/>
      <c r="L30"/>
      <c r="M30"/>
      <c r="N30"/>
    </row>
    <row r="31" spans="1:14" x14ac:dyDescent="0.25">
      <c r="A31" s="187" t="s">
        <v>159</v>
      </c>
      <c r="B31" s="182"/>
      <c r="C31" s="90"/>
      <c r="D31"/>
      <c r="E31" s="90"/>
      <c r="F31" s="90"/>
      <c r="G31" s="90"/>
      <c r="H31" s="90"/>
      <c r="I31" s="90"/>
      <c r="J31" s="90"/>
      <c r="K31" s="90"/>
      <c r="L31"/>
      <c r="M31"/>
      <c r="N31"/>
    </row>
    <row r="32" spans="1:14" x14ac:dyDescent="0.25">
      <c r="A32" s="187" t="s">
        <v>160</v>
      </c>
      <c r="B32" s="182" t="s">
        <v>23</v>
      </c>
      <c r="C32" s="90"/>
      <c r="D32" s="90"/>
      <c r="E32" s="90"/>
      <c r="F32" s="90"/>
      <c r="G32" s="90"/>
      <c r="H32" s="90"/>
      <c r="I32" s="90"/>
      <c r="J32" s="90"/>
      <c r="K32" s="90"/>
      <c r="L32"/>
      <c r="M32"/>
      <c r="N32"/>
    </row>
    <row r="33" spans="1:14" x14ac:dyDescent="0.25">
      <c r="A33" s="181" t="s">
        <v>161</v>
      </c>
      <c r="B33" s="182">
        <v>1</v>
      </c>
      <c r="C33" s="90"/>
      <c r="D33" s="90"/>
      <c r="E33" s="90"/>
      <c r="F33" s="90"/>
      <c r="G33" s="90"/>
      <c r="H33" s="90"/>
      <c r="I33" s="90"/>
      <c r="J33" s="90"/>
      <c r="K33" s="90"/>
      <c r="L33"/>
      <c r="M33"/>
      <c r="N33"/>
    </row>
    <row r="34" spans="1:14" x14ac:dyDescent="0.25">
      <c r="A34" s="183" t="s">
        <v>162</v>
      </c>
      <c r="B34" s="184">
        <v>1</v>
      </c>
      <c r="C34" s="90"/>
      <c r="D34" s="90"/>
      <c r="E34" s="90"/>
      <c r="F34" s="90"/>
      <c r="G34" s="90"/>
      <c r="H34" s="90"/>
      <c r="I34" s="90"/>
      <c r="J34" s="90"/>
      <c r="K34" s="90"/>
      <c r="L34" s="90"/>
      <c r="M34" s="90"/>
      <c r="N34" s="90"/>
    </row>
    <row r="35" spans="1:14" x14ac:dyDescent="0.25">
      <c r="A35" s="183" t="s">
        <v>163</v>
      </c>
      <c r="B35" s="184">
        <v>1</v>
      </c>
      <c r="C35" s="90"/>
      <c r="D35" s="90"/>
      <c r="E35" s="90"/>
      <c r="F35" s="90"/>
      <c r="G35" s="90"/>
      <c r="H35" s="90"/>
      <c r="I35" s="90"/>
      <c r="J35" s="90"/>
      <c r="K35" s="90"/>
      <c r="L35" s="90"/>
      <c r="M35" s="90"/>
      <c r="N35" s="90"/>
    </row>
    <row r="36" spans="1:14" x14ac:dyDescent="0.25">
      <c r="A36" s="183" t="s">
        <v>164</v>
      </c>
      <c r="B36" s="184">
        <v>1</v>
      </c>
      <c r="C36" s="90"/>
      <c r="D36" s="90"/>
      <c r="E36" s="90"/>
      <c r="F36" s="90"/>
      <c r="G36" s="90"/>
      <c r="H36" s="90"/>
      <c r="I36" s="90"/>
      <c r="J36" s="90"/>
      <c r="K36" s="90"/>
      <c r="L36" s="90"/>
      <c r="M36" s="90"/>
      <c r="N36" s="90"/>
    </row>
    <row r="37" spans="1:14" x14ac:dyDescent="0.25">
      <c r="A37" s="183" t="s">
        <v>165</v>
      </c>
      <c r="B37" s="184">
        <v>7</v>
      </c>
      <c r="C37" s="90"/>
      <c r="D37" s="90"/>
      <c r="E37" s="90"/>
      <c r="F37" s="90"/>
      <c r="G37" s="90"/>
      <c r="H37" s="90"/>
      <c r="I37" s="90"/>
      <c r="J37" s="90"/>
      <c r="K37" s="90"/>
      <c r="L37" s="90"/>
      <c r="M37" s="90"/>
      <c r="N37" s="90"/>
    </row>
    <row r="38" spans="1:14" x14ac:dyDescent="0.25">
      <c r="A38" s="183" t="s">
        <v>166</v>
      </c>
      <c r="B38" s="184">
        <v>6</v>
      </c>
      <c r="C38" s="90"/>
      <c r="D38" s="90"/>
      <c r="E38" s="90"/>
      <c r="F38" s="90"/>
      <c r="G38" s="90"/>
      <c r="H38" s="90"/>
      <c r="I38" s="90"/>
      <c r="J38" s="90"/>
      <c r="K38" s="90"/>
      <c r="L38" s="90"/>
      <c r="M38" s="90"/>
      <c r="N38" s="90"/>
    </row>
    <row r="39" spans="1:14" x14ac:dyDescent="0.25">
      <c r="A39" s="183" t="s">
        <v>167</v>
      </c>
      <c r="B39" s="184">
        <v>3</v>
      </c>
      <c r="C39" s="90"/>
      <c r="D39" s="90"/>
      <c r="E39" s="90"/>
      <c r="F39" s="90"/>
      <c r="G39" s="90"/>
      <c r="H39" s="90"/>
      <c r="I39" s="90"/>
      <c r="J39" s="90"/>
      <c r="K39" s="90"/>
      <c r="L39" s="90"/>
      <c r="M39" s="90"/>
      <c r="N39" s="90"/>
    </row>
    <row r="40" spans="1:14" x14ac:dyDescent="0.25">
      <c r="A40" s="183" t="s">
        <v>168</v>
      </c>
      <c r="B40" s="184">
        <v>1</v>
      </c>
      <c r="C40" s="90"/>
      <c r="D40" s="90"/>
      <c r="E40" s="90"/>
      <c r="F40" s="90"/>
      <c r="G40" s="90"/>
      <c r="H40" s="90"/>
      <c r="I40" s="90"/>
      <c r="J40" s="90"/>
      <c r="K40" s="90"/>
      <c r="L40" s="90"/>
      <c r="M40" s="90"/>
      <c r="N40" s="90"/>
    </row>
    <row r="41" spans="1:14" x14ac:dyDescent="0.25">
      <c r="A41" s="183" t="s">
        <v>169</v>
      </c>
      <c r="B41" s="184">
        <v>2</v>
      </c>
      <c r="C41" s="90"/>
      <c r="D41" s="90"/>
      <c r="E41" s="90"/>
      <c r="F41" s="90"/>
      <c r="G41" s="90"/>
      <c r="H41" s="90"/>
      <c r="I41" s="90"/>
      <c r="J41" s="90"/>
      <c r="K41" s="90"/>
      <c r="L41" s="90"/>
      <c r="M41" s="90"/>
      <c r="N41" s="90"/>
    </row>
    <row r="42" spans="1:14" x14ac:dyDescent="0.25">
      <c r="A42" s="183" t="s">
        <v>170</v>
      </c>
      <c r="B42" s="184">
        <v>6</v>
      </c>
      <c r="C42" s="90"/>
      <c r="D42" s="90"/>
      <c r="E42" s="90"/>
      <c r="F42" s="90"/>
      <c r="G42" s="90"/>
      <c r="H42" s="90"/>
      <c r="I42" s="90"/>
      <c r="J42" s="90"/>
      <c r="K42" s="90"/>
      <c r="L42" s="90"/>
      <c r="M42" s="90"/>
      <c r="N42" s="90"/>
    </row>
    <row r="43" spans="1:14" x14ac:dyDescent="0.25">
      <c r="A43" s="183" t="s">
        <v>171</v>
      </c>
      <c r="B43" s="184">
        <v>1</v>
      </c>
      <c r="C43" s="90"/>
      <c r="D43" s="90"/>
      <c r="E43" s="90"/>
      <c r="F43" s="90"/>
      <c r="G43" s="90"/>
      <c r="H43" s="90"/>
      <c r="I43" s="90"/>
      <c r="J43" s="90"/>
      <c r="K43" s="90"/>
      <c r="L43" s="90"/>
      <c r="M43" s="90"/>
      <c r="N43" s="90"/>
    </row>
    <row r="44" spans="1:14" x14ac:dyDescent="0.25">
      <c r="A44" s="183" t="s">
        <v>172</v>
      </c>
      <c r="B44" s="184">
        <v>2</v>
      </c>
      <c r="C44" s="90"/>
      <c r="D44" s="90"/>
      <c r="E44" s="90"/>
      <c r="F44" s="90"/>
      <c r="G44" s="90"/>
      <c r="H44" s="90"/>
      <c r="I44" s="90"/>
      <c r="J44" s="90"/>
      <c r="K44" s="90"/>
      <c r="L44" s="90"/>
      <c r="M44" s="90"/>
      <c r="N44" s="90"/>
    </row>
    <row r="45" spans="1:14" x14ac:dyDescent="0.25">
      <c r="A45" s="185" t="s">
        <v>173</v>
      </c>
      <c r="B45" s="186">
        <v>32</v>
      </c>
      <c r="C45" s="90"/>
      <c r="D45" s="90"/>
      <c r="E45" s="90"/>
      <c r="F45" s="90"/>
      <c r="G45" s="90"/>
      <c r="H45" s="90"/>
      <c r="I45" s="90"/>
      <c r="J45" s="90"/>
      <c r="K45" s="90"/>
      <c r="L45" s="90"/>
      <c r="M45" s="90"/>
      <c r="N45" s="90"/>
    </row>
  </sheetData>
  <mergeCells count="1">
    <mergeCell ref="B9:C10"/>
  </mergeCells>
  <phoneticPr fontId="11"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0000"/>
  </sheetPr>
  <dimension ref="A1:J19"/>
  <sheetViews>
    <sheetView workbookViewId="0">
      <selection activeCell="J29" sqref="J29"/>
    </sheetView>
  </sheetViews>
  <sheetFormatPr defaultRowHeight="10.5" x14ac:dyDescent="0.25"/>
  <cols>
    <col min="1" max="1" width="25" customWidth="1"/>
    <col min="2" max="10" width="16.77734375" customWidth="1"/>
    <col min="11" max="11" width="10.44140625" bestFit="1" customWidth="1"/>
    <col min="12" max="13" width="9.44140625" bestFit="1" customWidth="1"/>
  </cols>
  <sheetData>
    <row r="1" spans="1:10" ht="20.5" x14ac:dyDescent="0.45">
      <c r="A1" s="214" t="s">
        <v>136</v>
      </c>
    </row>
    <row r="2" spans="1:10" ht="65" x14ac:dyDescent="0.25">
      <c r="A2" s="216" t="s">
        <v>97</v>
      </c>
      <c r="B2" s="217" t="s">
        <v>212</v>
      </c>
      <c r="C2" s="218" t="s">
        <v>213</v>
      </c>
      <c r="D2" s="217" t="s">
        <v>214</v>
      </c>
      <c r="E2" s="218" t="s">
        <v>215</v>
      </c>
      <c r="F2" s="218" t="s">
        <v>216</v>
      </c>
      <c r="G2" s="218" t="s">
        <v>217</v>
      </c>
      <c r="H2" s="218" t="s">
        <v>218</v>
      </c>
      <c r="I2" s="218" t="s">
        <v>219</v>
      </c>
      <c r="J2" s="218" t="s">
        <v>220</v>
      </c>
    </row>
    <row r="3" spans="1:10" x14ac:dyDescent="0.25">
      <c r="A3" s="96" t="s">
        <v>120</v>
      </c>
      <c r="B3" s="206" t="s">
        <v>134</v>
      </c>
      <c r="C3" s="207">
        <v>188913</v>
      </c>
      <c r="D3" s="207">
        <v>77797.502752356988</v>
      </c>
      <c r="E3" s="208">
        <v>266710.50275235699</v>
      </c>
      <c r="F3" s="207">
        <v>11174.863541469867</v>
      </c>
      <c r="G3" s="207">
        <v>7030.1908296908168</v>
      </c>
      <c r="H3" s="208">
        <v>18205.054371160684</v>
      </c>
      <c r="I3" s="208">
        <v>26897</v>
      </c>
      <c r="J3" s="208">
        <v>45102.054371160681</v>
      </c>
    </row>
    <row r="4" spans="1:10" x14ac:dyDescent="0.25">
      <c r="A4" s="96" t="s">
        <v>121</v>
      </c>
      <c r="B4" s="209" t="s">
        <v>135</v>
      </c>
      <c r="C4" s="207">
        <v>188913</v>
      </c>
      <c r="D4" s="207"/>
      <c r="E4" s="208">
        <v>188913</v>
      </c>
      <c r="F4" s="207"/>
      <c r="G4" s="207"/>
      <c r="H4" s="208">
        <v>0</v>
      </c>
      <c r="I4" s="208">
        <v>26897</v>
      </c>
      <c r="J4" s="208">
        <v>26897</v>
      </c>
    </row>
    <row r="5" spans="1:10" x14ac:dyDescent="0.25">
      <c r="A5" s="96" t="s">
        <v>122</v>
      </c>
      <c r="B5" s="206" t="s">
        <v>134</v>
      </c>
      <c r="C5" s="207">
        <v>188913</v>
      </c>
      <c r="D5" s="207">
        <v>77797.502752356988</v>
      </c>
      <c r="E5" s="208">
        <v>266710.50275235699</v>
      </c>
      <c r="F5" s="207">
        <v>11174.863541469867</v>
      </c>
      <c r="G5" s="207">
        <v>7030.1908296908168</v>
      </c>
      <c r="H5" s="208">
        <v>18205.054371160684</v>
      </c>
      <c r="I5" s="208">
        <v>26897</v>
      </c>
      <c r="J5" s="208">
        <v>45102.054371160681</v>
      </c>
    </row>
    <row r="6" spans="1:10" x14ac:dyDescent="0.25">
      <c r="A6" s="96" t="s">
        <v>123</v>
      </c>
      <c r="B6" s="206" t="s">
        <v>134</v>
      </c>
      <c r="C6" s="207">
        <v>188913</v>
      </c>
      <c r="D6" s="207">
        <v>77797.502752356988</v>
      </c>
      <c r="E6" s="208">
        <v>266710.50275235699</v>
      </c>
      <c r="F6" s="207">
        <v>11174.863541469867</v>
      </c>
      <c r="G6" s="207">
        <v>7030.1908296908168</v>
      </c>
      <c r="H6" s="208">
        <v>18205.054371160684</v>
      </c>
      <c r="I6" s="208">
        <v>26897</v>
      </c>
      <c r="J6" s="208">
        <v>45102.054371160681</v>
      </c>
    </row>
    <row r="7" spans="1:10" x14ac:dyDescent="0.25">
      <c r="A7" s="96" t="s">
        <v>124</v>
      </c>
      <c r="B7" s="209" t="s">
        <v>135</v>
      </c>
      <c r="C7" s="207">
        <v>188913</v>
      </c>
      <c r="D7" s="207"/>
      <c r="E7" s="208">
        <v>188913</v>
      </c>
      <c r="F7" s="207"/>
      <c r="G7" s="207"/>
      <c r="H7" s="208">
        <v>0</v>
      </c>
      <c r="I7" s="208">
        <v>26897</v>
      </c>
      <c r="J7" s="208">
        <v>26897</v>
      </c>
    </row>
    <row r="8" spans="1:10" x14ac:dyDescent="0.25">
      <c r="A8" s="96" t="s">
        <v>125</v>
      </c>
      <c r="B8" s="206" t="s">
        <v>134</v>
      </c>
      <c r="C8" s="207">
        <v>188913</v>
      </c>
      <c r="D8" s="207">
        <v>77797.502752356988</v>
      </c>
      <c r="E8" s="208">
        <v>266710.50275235699</v>
      </c>
      <c r="F8" s="207">
        <v>11174.863541469867</v>
      </c>
      <c r="G8" s="207">
        <v>7030.1908296908168</v>
      </c>
      <c r="H8" s="208">
        <v>18205.054371160684</v>
      </c>
      <c r="I8" s="208">
        <v>26897</v>
      </c>
      <c r="J8" s="208">
        <v>45102.054371160681</v>
      </c>
    </row>
    <row r="9" spans="1:10" x14ac:dyDescent="0.25">
      <c r="A9" s="96" t="s">
        <v>126</v>
      </c>
      <c r="B9" s="206" t="s">
        <v>134</v>
      </c>
      <c r="C9" s="207">
        <v>188913</v>
      </c>
      <c r="D9" s="207">
        <v>77797.502752356988</v>
      </c>
      <c r="E9" s="208">
        <v>266710.50275235699</v>
      </c>
      <c r="F9" s="207">
        <v>11174.863541469867</v>
      </c>
      <c r="G9" s="207">
        <v>7030.1908296908168</v>
      </c>
      <c r="H9" s="208">
        <v>18205.054371160684</v>
      </c>
      <c r="I9" s="208">
        <v>26897</v>
      </c>
      <c r="J9" s="208">
        <v>45102.054371160681</v>
      </c>
    </row>
    <row r="10" spans="1:10" x14ac:dyDescent="0.25">
      <c r="A10" s="96" t="s">
        <v>127</v>
      </c>
      <c r="B10" s="209" t="s">
        <v>134</v>
      </c>
      <c r="C10" s="207">
        <v>188913</v>
      </c>
      <c r="D10" s="207">
        <v>77797.502752356988</v>
      </c>
      <c r="E10" s="208">
        <v>266710.50275235699</v>
      </c>
      <c r="F10" s="207">
        <v>11174.863541469867</v>
      </c>
      <c r="G10" s="207">
        <v>7030.1908296908168</v>
      </c>
      <c r="H10" s="208">
        <v>18205.054371160684</v>
      </c>
      <c r="I10" s="208">
        <v>26897</v>
      </c>
      <c r="J10" s="208">
        <v>45102.054371160681</v>
      </c>
    </row>
    <row r="11" spans="1:10" x14ac:dyDescent="0.25">
      <c r="A11" s="96" t="s">
        <v>138</v>
      </c>
      <c r="B11" s="209" t="s">
        <v>134</v>
      </c>
      <c r="C11" s="207">
        <v>188913</v>
      </c>
      <c r="D11" s="207">
        <v>77797.502752356988</v>
      </c>
      <c r="E11" s="208">
        <v>266710.50275235699</v>
      </c>
      <c r="F11" s="207">
        <v>11174.863541469867</v>
      </c>
      <c r="G11" s="207">
        <v>7030.1908296908168</v>
      </c>
      <c r="H11" s="208">
        <v>18205.054371160684</v>
      </c>
      <c r="I11" s="208">
        <v>26897</v>
      </c>
      <c r="J11" s="208">
        <v>45102.054371160681</v>
      </c>
    </row>
    <row r="12" spans="1:10" x14ac:dyDescent="0.25">
      <c r="A12" s="96" t="s">
        <v>128</v>
      </c>
      <c r="B12" s="206" t="s">
        <v>134</v>
      </c>
      <c r="C12" s="207">
        <v>188913</v>
      </c>
      <c r="D12" s="207">
        <v>77797.502752356988</v>
      </c>
      <c r="E12" s="208">
        <v>266710.50275235699</v>
      </c>
      <c r="F12" s="207">
        <v>11174.863541469867</v>
      </c>
      <c r="G12" s="207">
        <v>7030.1908296908168</v>
      </c>
      <c r="H12" s="208">
        <v>18205.054371160684</v>
      </c>
      <c r="I12" s="208">
        <v>26897</v>
      </c>
      <c r="J12" s="208">
        <v>45102.054371160681</v>
      </c>
    </row>
    <row r="13" spans="1:10" x14ac:dyDescent="0.25">
      <c r="A13" s="96" t="s">
        <v>129</v>
      </c>
      <c r="B13" s="209" t="s">
        <v>134</v>
      </c>
      <c r="C13" s="207">
        <v>188913</v>
      </c>
      <c r="D13" s="207">
        <v>77797.502752356988</v>
      </c>
      <c r="E13" s="208">
        <v>266710.50275235699</v>
      </c>
      <c r="F13" s="207">
        <v>11174.863541469867</v>
      </c>
      <c r="G13" s="207">
        <v>7030.1908296908168</v>
      </c>
      <c r="H13" s="208">
        <v>18205.054371160684</v>
      </c>
      <c r="I13" s="208">
        <v>26897</v>
      </c>
      <c r="J13" s="208">
        <v>26897</v>
      </c>
    </row>
    <row r="14" spans="1:10" x14ac:dyDescent="0.25">
      <c r="A14" s="96" t="s">
        <v>130</v>
      </c>
      <c r="B14" s="206" t="s">
        <v>134</v>
      </c>
      <c r="C14" s="207">
        <v>188913</v>
      </c>
      <c r="D14" s="207">
        <v>77797.502752356988</v>
      </c>
      <c r="E14" s="208">
        <v>266710.50275235699</v>
      </c>
      <c r="F14" s="207">
        <v>11174.863541469867</v>
      </c>
      <c r="G14" s="207">
        <v>7030.1908296908168</v>
      </c>
      <c r="H14" s="208">
        <v>18205.054371160684</v>
      </c>
      <c r="I14" s="208">
        <v>26897</v>
      </c>
      <c r="J14" s="208">
        <v>45102.054371160681</v>
      </c>
    </row>
    <row r="15" spans="1:10" x14ac:dyDescent="0.25">
      <c r="A15" s="96" t="s">
        <v>131</v>
      </c>
      <c r="B15" s="206" t="s">
        <v>134</v>
      </c>
      <c r="C15" s="207">
        <v>188913</v>
      </c>
      <c r="D15" s="207">
        <v>77797.502752356988</v>
      </c>
      <c r="E15" s="208">
        <v>266710.50275235699</v>
      </c>
      <c r="F15" s="207">
        <v>11174.863541469867</v>
      </c>
      <c r="G15" s="207">
        <v>7030.1908296908168</v>
      </c>
      <c r="H15" s="208">
        <v>18205.054371160684</v>
      </c>
      <c r="I15" s="208">
        <v>26897</v>
      </c>
      <c r="J15" s="208">
        <v>45102.054371160681</v>
      </c>
    </row>
    <row r="16" spans="1:10" x14ac:dyDescent="0.25">
      <c r="A16" s="96" t="s">
        <v>132</v>
      </c>
      <c r="B16" s="206" t="s">
        <v>134</v>
      </c>
      <c r="C16" s="207">
        <v>188913</v>
      </c>
      <c r="D16" s="207">
        <v>77797.502752356988</v>
      </c>
      <c r="E16" s="208">
        <v>266710.50275235699</v>
      </c>
      <c r="F16" s="207">
        <v>11174.863541469867</v>
      </c>
      <c r="G16" s="207">
        <v>7030.1908296908168</v>
      </c>
      <c r="H16" s="208">
        <v>18205.054371160684</v>
      </c>
      <c r="I16" s="208">
        <v>26897</v>
      </c>
      <c r="J16" s="208">
        <v>45102.054371160681</v>
      </c>
    </row>
    <row r="17" spans="1:10" x14ac:dyDescent="0.25">
      <c r="A17" s="96" t="s">
        <v>133</v>
      </c>
      <c r="B17" s="206" t="s">
        <v>134</v>
      </c>
      <c r="C17" s="207">
        <v>188913</v>
      </c>
      <c r="D17" s="207">
        <v>77797.502752356988</v>
      </c>
      <c r="E17" s="208">
        <v>266710.50275235699</v>
      </c>
      <c r="F17" s="207">
        <v>11174.863541469867</v>
      </c>
      <c r="G17" s="207">
        <v>7030.1908296908168</v>
      </c>
      <c r="H17" s="208">
        <v>18205.054371160684</v>
      </c>
      <c r="I17" s="208">
        <v>26897</v>
      </c>
      <c r="J17" s="208">
        <v>45102.054371160681</v>
      </c>
    </row>
    <row r="19" spans="1:10" x14ac:dyDescent="0.25">
      <c r="B19" s="152"/>
      <c r="G19" s="1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2" tint="-0.499984740745262"/>
    <pageSetUpPr fitToPage="1"/>
  </sheetPr>
  <dimension ref="A1:K41"/>
  <sheetViews>
    <sheetView zoomScale="85" workbookViewId="0">
      <selection activeCell="J29" sqref="J29"/>
    </sheetView>
  </sheetViews>
  <sheetFormatPr defaultColWidth="12" defaultRowHeight="12.5" x14ac:dyDescent="0.25"/>
  <cols>
    <col min="1" max="1" width="3.109375" style="1" customWidth="1"/>
    <col min="2" max="2" width="65.33203125" style="1" customWidth="1"/>
    <col min="3" max="3" width="13.6640625" style="1" customWidth="1"/>
    <col min="4" max="4" width="17" style="1" customWidth="1"/>
    <col min="5" max="5" width="26" style="1" customWidth="1"/>
    <col min="6" max="6" width="15.77734375" style="1" customWidth="1"/>
    <col min="7" max="7" width="15" style="1" customWidth="1"/>
    <col min="8" max="8" width="14.6640625" style="1" customWidth="1"/>
    <col min="9" max="9" width="11.6640625" style="1" customWidth="1"/>
    <col min="10" max="10" width="12" style="1" customWidth="1"/>
    <col min="11" max="11" width="10.6640625" style="1" customWidth="1"/>
    <col min="12" max="12" width="20" style="1" customWidth="1"/>
    <col min="13" max="13" width="40.6640625" style="1" customWidth="1"/>
    <col min="14" max="14" width="13.109375" style="1" customWidth="1"/>
    <col min="15" max="15" width="12" style="1" customWidth="1"/>
    <col min="16" max="16" width="15.109375" style="1" customWidth="1"/>
    <col min="17" max="17" width="13.33203125" style="1" customWidth="1"/>
    <col min="18" max="16384" width="12" style="1"/>
  </cols>
  <sheetData>
    <row r="1" spans="1:11" ht="20" x14ac:dyDescent="0.4">
      <c r="A1" s="215" t="s">
        <v>211</v>
      </c>
    </row>
    <row r="7" spans="1:11" x14ac:dyDescent="0.25">
      <c r="A7" s="4"/>
      <c r="B7" s="2" t="s">
        <v>44</v>
      </c>
      <c r="C7" s="3"/>
      <c r="D7" s="3"/>
      <c r="E7" s="3"/>
      <c r="F7"/>
      <c r="G7"/>
      <c r="H7"/>
      <c r="I7"/>
      <c r="K7" s="11"/>
    </row>
    <row r="8" spans="1:11" x14ac:dyDescent="0.25">
      <c r="A8" s="4"/>
      <c r="B8" s="2" t="s">
        <v>45</v>
      </c>
      <c r="C8" s="3">
        <v>11</v>
      </c>
      <c r="D8" s="3">
        <v>1</v>
      </c>
      <c r="E8" s="3">
        <f>C8*D8</f>
        <v>11</v>
      </c>
      <c r="F8"/>
      <c r="G8"/>
      <c r="H8"/>
      <c r="I8"/>
      <c r="K8" s="11"/>
    </row>
    <row r="9" spans="1:11" x14ac:dyDescent="0.25">
      <c r="B9" s="12"/>
    </row>
    <row r="10" spans="1:11" x14ac:dyDescent="0.25">
      <c r="A10" s="22" t="s">
        <v>39</v>
      </c>
    </row>
    <row r="11" spans="1:11" x14ac:dyDescent="0.25">
      <c r="A11" s="5" t="s">
        <v>46</v>
      </c>
      <c r="B11" s="6"/>
    </row>
    <row r="12" spans="1:11" x14ac:dyDescent="0.25">
      <c r="A12" s="5" t="s">
        <v>56</v>
      </c>
    </row>
    <row r="13" spans="1:11" x14ac:dyDescent="0.25">
      <c r="A13" s="5"/>
    </row>
    <row r="14" spans="1:11" x14ac:dyDescent="0.25">
      <c r="A14" s="7" t="s">
        <v>40</v>
      </c>
    </row>
    <row r="15" spans="1:11" x14ac:dyDescent="0.25">
      <c r="A15" s="8" t="s">
        <v>47</v>
      </c>
    </row>
    <row r="16" spans="1:11" x14ac:dyDescent="0.25">
      <c r="A16" s="9" t="s">
        <v>48</v>
      </c>
    </row>
    <row r="17" spans="1:10" x14ac:dyDescent="0.25">
      <c r="B17" s="9"/>
      <c r="C17" s="9"/>
      <c r="D17" s="9"/>
      <c r="E17" s="9"/>
      <c r="F17" s="9"/>
      <c r="G17" s="9"/>
    </row>
    <row r="18" spans="1:10" x14ac:dyDescent="0.25">
      <c r="G18" s="9"/>
    </row>
    <row r="19" spans="1:10" x14ac:dyDescent="0.25">
      <c r="G19" s="9"/>
    </row>
    <row r="21" spans="1:10" ht="48" customHeight="1" x14ac:dyDescent="0.25">
      <c r="B21" s="399" t="s">
        <v>102</v>
      </c>
      <c r="C21" s="399"/>
      <c r="D21" s="399"/>
      <c r="E21" s="399"/>
      <c r="F21" s="14"/>
      <c r="G21" s="14"/>
      <c r="H21" s="14"/>
      <c r="I21" s="14"/>
    </row>
    <row r="22" spans="1:10" ht="31" x14ac:dyDescent="0.25">
      <c r="B22" s="72" t="s">
        <v>60</v>
      </c>
      <c r="C22" s="73" t="s">
        <v>54</v>
      </c>
      <c r="D22" s="73" t="s">
        <v>61</v>
      </c>
      <c r="E22" s="73" t="s">
        <v>62</v>
      </c>
      <c r="F22" s="15"/>
      <c r="G22" s="14"/>
      <c r="H22" s="14"/>
      <c r="I22" s="14"/>
    </row>
    <row r="23" spans="1:10" ht="17.25" customHeight="1" x14ac:dyDescent="0.25">
      <c r="B23" s="74" t="s">
        <v>73</v>
      </c>
      <c r="C23" s="75" t="s">
        <v>63</v>
      </c>
      <c r="D23" s="76">
        <v>54.52</v>
      </c>
      <c r="E23" s="23">
        <f>D23+1.1*D23</f>
        <v>114.49200000000002</v>
      </c>
      <c r="F23" s="15"/>
      <c r="G23" s="14"/>
      <c r="H23" s="14"/>
      <c r="I23" s="14"/>
    </row>
    <row r="24" spans="1:10" ht="19.5" customHeight="1" x14ac:dyDescent="0.25">
      <c r="B24" s="74" t="s">
        <v>22</v>
      </c>
      <c r="C24" s="75" t="s">
        <v>64</v>
      </c>
      <c r="D24" s="76">
        <v>46.76</v>
      </c>
      <c r="E24" s="23">
        <f>D24+1.1*D24</f>
        <v>98.195999999999998</v>
      </c>
      <c r="F24" s="15"/>
      <c r="G24" s="14"/>
      <c r="H24" s="14"/>
      <c r="I24" s="14"/>
    </row>
    <row r="25" spans="1:10" ht="15.75" customHeight="1" x14ac:dyDescent="0.25">
      <c r="B25" s="74" t="s">
        <v>7</v>
      </c>
      <c r="C25" s="75" t="s">
        <v>65</v>
      </c>
      <c r="D25" s="76">
        <v>23.11</v>
      </c>
      <c r="E25" s="23">
        <f>D25+1.1*D25</f>
        <v>48.531000000000006</v>
      </c>
      <c r="F25" s="15"/>
      <c r="G25" s="14"/>
      <c r="H25" s="14"/>
      <c r="I25" s="14"/>
    </row>
    <row r="26" spans="1:10" x14ac:dyDescent="0.25">
      <c r="B26" s="77" t="s">
        <v>66</v>
      </c>
      <c r="C26" s="78"/>
      <c r="D26" s="79"/>
      <c r="E26" s="23">
        <f>E24+0.1*E25+0.05*E23</f>
        <v>108.77369999999999</v>
      </c>
      <c r="F26" s="15"/>
      <c r="G26" s="14"/>
      <c r="H26" s="14"/>
      <c r="I26" s="14"/>
    </row>
    <row r="27" spans="1:10" x14ac:dyDescent="0.25">
      <c r="B27" s="77" t="s">
        <v>67</v>
      </c>
      <c r="C27" s="78"/>
      <c r="D27" s="79"/>
      <c r="E27" s="23">
        <v>80</v>
      </c>
      <c r="F27" s="15"/>
      <c r="G27" s="14"/>
      <c r="H27" s="14"/>
      <c r="I27" s="14"/>
    </row>
    <row r="28" spans="1:10" x14ac:dyDescent="0.25">
      <c r="B28" s="16"/>
      <c r="C28" s="17"/>
      <c r="D28" s="18"/>
      <c r="E28" s="19"/>
      <c r="F28" s="20"/>
      <c r="G28" s="15"/>
      <c r="H28" s="14"/>
      <c r="I28" s="14"/>
      <c r="J28" s="14"/>
    </row>
    <row r="29" spans="1:10" x14ac:dyDescent="0.25">
      <c r="B29" s="21" t="s">
        <v>68</v>
      </c>
      <c r="C29" s="17"/>
      <c r="D29" s="18"/>
      <c r="E29" s="19"/>
      <c r="F29" s="20"/>
      <c r="G29" s="15"/>
      <c r="H29" s="14"/>
      <c r="I29" s="14"/>
      <c r="J29" s="14"/>
    </row>
    <row r="30" spans="1:10" x14ac:dyDescent="0.25">
      <c r="B30" s="16"/>
      <c r="C30" s="17"/>
      <c r="D30" s="18"/>
      <c r="E30" s="19"/>
      <c r="F30" s="20"/>
      <c r="G30" s="15"/>
      <c r="H30" s="14"/>
      <c r="I30" s="14"/>
      <c r="J30" s="14"/>
    </row>
    <row r="31" spans="1:10" x14ac:dyDescent="0.25">
      <c r="B31" s="12"/>
      <c r="C31" s="12"/>
      <c r="D31" s="12"/>
      <c r="E31" s="12"/>
      <c r="F31" s="12"/>
      <c r="G31" s="12"/>
    </row>
    <row r="32" spans="1:10" x14ac:dyDescent="0.25">
      <c r="A32" s="10"/>
      <c r="B32" s="12"/>
      <c r="C32" s="12"/>
      <c r="D32" s="12"/>
      <c r="E32" s="12"/>
      <c r="F32" s="12"/>
      <c r="G32" s="12"/>
    </row>
    <row r="33" spans="2:7" ht="13.5" thickBot="1" x14ac:dyDescent="0.35">
      <c r="B33" s="80" t="s">
        <v>5</v>
      </c>
      <c r="C33" s="12"/>
      <c r="D33" s="12"/>
      <c r="E33" s="12"/>
      <c r="F33" s="12"/>
      <c r="G33" s="12"/>
    </row>
    <row r="34" spans="2:7" ht="26.5" thickBot="1" x14ac:dyDescent="0.35">
      <c r="B34" s="81"/>
      <c r="C34" s="82" t="s">
        <v>49</v>
      </c>
      <c r="D34" s="83" t="s">
        <v>50</v>
      </c>
      <c r="E34" s="13"/>
      <c r="F34" s="12"/>
      <c r="G34" s="12"/>
    </row>
    <row r="35" spans="2:7" x14ac:dyDescent="0.25">
      <c r="B35" s="84" t="s">
        <v>58</v>
      </c>
      <c r="C35" s="84">
        <v>28.88</v>
      </c>
      <c r="D35" s="24">
        <f>C35*1.6</f>
        <v>46.207999999999998</v>
      </c>
      <c r="E35" s="12"/>
      <c r="F35" s="12"/>
      <c r="G35" s="12"/>
    </row>
    <row r="36" spans="2:7" x14ac:dyDescent="0.25">
      <c r="B36" s="85" t="s">
        <v>57</v>
      </c>
      <c r="C36" s="85">
        <v>38.92</v>
      </c>
      <c r="D36" s="25">
        <f>C36*1.6</f>
        <v>62.272000000000006</v>
      </c>
      <c r="E36" s="12"/>
      <c r="F36" s="12"/>
      <c r="G36" s="12"/>
    </row>
    <row r="37" spans="2:7" x14ac:dyDescent="0.25">
      <c r="B37" s="86" t="s">
        <v>59</v>
      </c>
      <c r="C37" s="86">
        <v>15.63</v>
      </c>
      <c r="D37" s="25">
        <f>C37*1.6</f>
        <v>25.008000000000003</v>
      </c>
      <c r="E37" s="12"/>
      <c r="F37" s="9"/>
      <c r="G37" s="9"/>
    </row>
    <row r="38" spans="2:7" x14ac:dyDescent="0.25">
      <c r="C38" s="9"/>
      <c r="D38" s="9"/>
      <c r="E38" s="9"/>
      <c r="F38" s="9"/>
      <c r="G38" s="9"/>
    </row>
    <row r="40" spans="2:7" x14ac:dyDescent="0.25">
      <c r="B40" s="1" t="s">
        <v>53</v>
      </c>
    </row>
    <row r="41" spans="2:7" x14ac:dyDescent="0.25">
      <c r="B41" s="1" t="s">
        <v>52</v>
      </c>
    </row>
  </sheetData>
  <mergeCells count="1">
    <mergeCell ref="B21:E21"/>
  </mergeCells>
  <phoneticPr fontId="9" type="noConversion"/>
  <pageMargins left="0.25" right="0.25" top="0.25" bottom="0.25" header="0.5" footer="0.5"/>
  <pageSetup scale="8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6"/>
  <sheetViews>
    <sheetView showGridLines="0" topLeftCell="A19" zoomScaleNormal="100" zoomScaleSheetLayoutView="100" workbookViewId="0"/>
  </sheetViews>
  <sheetFormatPr defaultColWidth="9.109375" defaultRowHeight="12.5" x14ac:dyDescent="0.25"/>
  <cols>
    <col min="1" max="1" width="49.109375" style="122" customWidth="1"/>
    <col min="2" max="2" width="12.77734375" style="122" customWidth="1"/>
    <col min="3" max="3" width="13.33203125" style="122" customWidth="1"/>
    <col min="4" max="4" width="13.6640625" style="122" customWidth="1"/>
    <col min="5" max="5" width="17.44140625" style="122" customWidth="1"/>
    <col min="6" max="6" width="17.109375" style="122" customWidth="1"/>
    <col min="7" max="7" width="14.109375" style="122" customWidth="1"/>
    <col min="8" max="8" width="15.6640625" style="122" customWidth="1"/>
    <col min="9" max="9" width="12.77734375" style="122" customWidth="1"/>
    <col min="10" max="16384" width="9.109375" style="122"/>
  </cols>
  <sheetData>
    <row r="1" spans="1:14" ht="15.5" x14ac:dyDescent="0.35">
      <c r="A1" s="272" t="s">
        <v>309</v>
      </c>
      <c r="B1" s="272"/>
      <c r="C1" s="272"/>
      <c r="D1" s="272"/>
      <c r="E1" s="272"/>
      <c r="F1" s="272"/>
      <c r="G1" s="272"/>
      <c r="H1" s="272"/>
      <c r="I1" s="121"/>
      <c r="J1" s="121"/>
    </row>
    <row r="2" spans="1:14" ht="15" thickBot="1" x14ac:dyDescent="0.4">
      <c r="E2" s="231" t="s">
        <v>279</v>
      </c>
      <c r="F2" s="232">
        <v>51.23</v>
      </c>
      <c r="G2" s="232">
        <v>69.040000000000006</v>
      </c>
      <c r="H2" s="232">
        <v>27.73</v>
      </c>
      <c r="I2" s="232"/>
      <c r="J2" s="232" t="s">
        <v>227</v>
      </c>
    </row>
    <row r="3" spans="1:14" x14ac:dyDescent="0.25">
      <c r="A3" s="410"/>
      <c r="B3" s="249" t="s">
        <v>19</v>
      </c>
      <c r="C3" s="250" t="s">
        <v>0</v>
      </c>
      <c r="D3" s="251" t="s">
        <v>228</v>
      </c>
      <c r="E3" s="251" t="s">
        <v>229</v>
      </c>
      <c r="F3" s="408" t="s">
        <v>230</v>
      </c>
      <c r="G3" s="408" t="s">
        <v>231</v>
      </c>
      <c r="H3" s="408" t="s">
        <v>232</v>
      </c>
      <c r="I3" s="252" t="s">
        <v>233</v>
      </c>
    </row>
    <row r="4" spans="1:14" ht="57.5" x14ac:dyDescent="0.25">
      <c r="A4" s="411"/>
      <c r="B4" s="253" t="s">
        <v>234</v>
      </c>
      <c r="C4" s="253" t="s">
        <v>235</v>
      </c>
      <c r="D4" s="253" t="s">
        <v>236</v>
      </c>
      <c r="E4" s="253" t="s">
        <v>264</v>
      </c>
      <c r="F4" s="409"/>
      <c r="G4" s="409"/>
      <c r="H4" s="409"/>
      <c r="I4" s="254" t="s">
        <v>265</v>
      </c>
    </row>
    <row r="5" spans="1:14" s="130" customFormat="1" ht="15.75" customHeight="1" x14ac:dyDescent="0.25">
      <c r="A5" s="131" t="s">
        <v>280</v>
      </c>
      <c r="B5" s="255" t="s">
        <v>14</v>
      </c>
      <c r="C5" s="260"/>
      <c r="D5" s="256"/>
      <c r="E5" s="256"/>
      <c r="F5" s="256"/>
      <c r="G5" s="256"/>
      <c r="H5" s="256"/>
      <c r="I5" s="257"/>
    </row>
    <row r="6" spans="1:14" s="133" customFormat="1" ht="15.75" customHeight="1" x14ac:dyDescent="0.25">
      <c r="A6" s="131" t="s">
        <v>281</v>
      </c>
      <c r="B6" s="266">
        <v>15</v>
      </c>
      <c r="C6" s="261">
        <v>1</v>
      </c>
      <c r="D6" s="132">
        <f>B6*C6</f>
        <v>15</v>
      </c>
      <c r="E6" s="132">
        <v>0</v>
      </c>
      <c r="F6" s="138">
        <f>(E6*D6)</f>
        <v>0</v>
      </c>
      <c r="G6" s="132">
        <f>F6*0.05</f>
        <v>0</v>
      </c>
      <c r="H6" s="132">
        <f>F6*0.1</f>
        <v>0</v>
      </c>
      <c r="I6" s="319">
        <f>(F6*F$2+G6*G$2+H6*H$2)</f>
        <v>0</v>
      </c>
    </row>
    <row r="7" spans="1:14" s="133" customFormat="1" ht="15.75" customHeight="1" x14ac:dyDescent="0.25">
      <c r="A7" s="131" t="s">
        <v>282</v>
      </c>
      <c r="B7" s="267"/>
      <c r="C7" s="262"/>
      <c r="D7" s="134"/>
      <c r="E7" s="134"/>
      <c r="F7" s="134"/>
      <c r="G7" s="134"/>
      <c r="H7" s="134"/>
      <c r="I7" s="320"/>
    </row>
    <row r="8" spans="1:14" s="130" customFormat="1" ht="15.75" customHeight="1" x14ac:dyDescent="0.25">
      <c r="A8" s="135" t="s">
        <v>290</v>
      </c>
      <c r="B8" s="268">
        <v>48</v>
      </c>
      <c r="C8" s="262">
        <v>1</v>
      </c>
      <c r="D8" s="266">
        <f>B8*C8</f>
        <v>48</v>
      </c>
      <c r="E8" s="136">
        <v>0</v>
      </c>
      <c r="F8" s="138">
        <f>(E8*D8)</f>
        <v>0</v>
      </c>
      <c r="G8" s="134">
        <f>F8*0.05</f>
        <v>0</v>
      </c>
      <c r="H8" s="134">
        <f>F8*0.1</f>
        <v>0</v>
      </c>
      <c r="I8" s="319">
        <f>(F8*F$2+G8*G$2+H8*H$2)</f>
        <v>0</v>
      </c>
      <c r="N8" s="332"/>
    </row>
    <row r="9" spans="1:14" s="130" customFormat="1" ht="15.75" customHeight="1" x14ac:dyDescent="0.25">
      <c r="A9" s="137" t="s">
        <v>291</v>
      </c>
      <c r="B9" s="268">
        <v>24</v>
      </c>
      <c r="C9" s="263">
        <v>1</v>
      </c>
      <c r="D9" s="266">
        <f>B9*C9</f>
        <v>24</v>
      </c>
      <c r="E9" s="136">
        <f>0.1*E17</f>
        <v>1.3</v>
      </c>
      <c r="F9" s="138">
        <f>(E9*D9)</f>
        <v>31.200000000000003</v>
      </c>
      <c r="G9" s="138">
        <f>F9*0.05</f>
        <v>1.5600000000000003</v>
      </c>
      <c r="H9" s="138">
        <f>F9*0.1</f>
        <v>3.1200000000000006</v>
      </c>
      <c r="I9" s="321">
        <f>(F9*F$2+G9*G$2+H9*H$2)</f>
        <v>1792.596</v>
      </c>
      <c r="N9" s="332"/>
    </row>
    <row r="10" spans="1:14" s="130" customFormat="1" ht="15.75" customHeight="1" x14ac:dyDescent="0.25">
      <c r="A10" s="139" t="s">
        <v>294</v>
      </c>
      <c r="B10" s="258" t="s">
        <v>14</v>
      </c>
      <c r="C10" s="259"/>
      <c r="D10" s="259"/>
      <c r="E10" s="259"/>
      <c r="F10" s="259"/>
      <c r="G10" s="259"/>
      <c r="H10" s="259"/>
      <c r="I10" s="322"/>
      <c r="N10" s="332"/>
    </row>
    <row r="11" spans="1:14" s="130" customFormat="1" ht="15.75" customHeight="1" x14ac:dyDescent="0.25">
      <c r="A11" s="139" t="s">
        <v>293</v>
      </c>
      <c r="B11" s="258" t="s">
        <v>14</v>
      </c>
      <c r="C11" s="259"/>
      <c r="D11" s="259"/>
      <c r="E11" s="259"/>
      <c r="F11" s="259"/>
      <c r="G11" s="259"/>
      <c r="H11" s="259"/>
      <c r="I11" s="322"/>
      <c r="N11" s="332"/>
    </row>
    <row r="12" spans="1:14" s="130" customFormat="1" ht="15.75" customHeight="1" x14ac:dyDescent="0.25">
      <c r="A12" s="140" t="s">
        <v>292</v>
      </c>
      <c r="B12" s="141"/>
      <c r="C12" s="262"/>
      <c r="D12" s="136"/>
      <c r="E12" s="269"/>
      <c r="F12" s="138"/>
      <c r="G12" s="138"/>
      <c r="H12" s="138"/>
      <c r="I12" s="320"/>
      <c r="N12" s="332"/>
    </row>
    <row r="13" spans="1:14" s="130" customFormat="1" ht="15.75" customHeight="1" x14ac:dyDescent="0.25">
      <c r="A13" s="142" t="s">
        <v>295</v>
      </c>
      <c r="B13" s="264">
        <v>3</v>
      </c>
      <c r="C13" s="262">
        <v>1</v>
      </c>
      <c r="D13" s="266">
        <f t="shared" ref="D13:D18" si="0">B13*C13</f>
        <v>3</v>
      </c>
      <c r="E13" s="270">
        <v>0</v>
      </c>
      <c r="F13" s="138">
        <f>D13*E13</f>
        <v>0</v>
      </c>
      <c r="G13" s="138">
        <f>F13*0.05</f>
        <v>0</v>
      </c>
      <c r="H13" s="138">
        <f>F13*0.1</f>
        <v>0</v>
      </c>
      <c r="I13" s="319">
        <f t="shared" ref="I13:I19" si="1">(F13*F$2+G13*G$2+H13*H$2)</f>
        <v>0</v>
      </c>
    </row>
    <row r="14" spans="1:14" s="130" customFormat="1" ht="15.75" customHeight="1" x14ac:dyDescent="0.25">
      <c r="A14" s="142" t="s">
        <v>296</v>
      </c>
      <c r="B14" s="264">
        <v>5</v>
      </c>
      <c r="C14" s="262">
        <v>1</v>
      </c>
      <c r="D14" s="266">
        <f t="shared" si="0"/>
        <v>5</v>
      </c>
      <c r="E14" s="270">
        <v>0</v>
      </c>
      <c r="F14" s="138">
        <f t="shared" ref="F14:F17" si="2">D14*E14</f>
        <v>0</v>
      </c>
      <c r="G14" s="138">
        <f>F14*0.05</f>
        <v>0</v>
      </c>
      <c r="H14" s="138">
        <f>F14*0.1</f>
        <v>0</v>
      </c>
      <c r="I14" s="319">
        <f t="shared" si="1"/>
        <v>0</v>
      </c>
    </row>
    <row r="15" spans="1:14" s="130" customFormat="1" ht="15.75" customHeight="1" x14ac:dyDescent="0.25">
      <c r="A15" s="142" t="s">
        <v>297</v>
      </c>
      <c r="B15" s="264">
        <v>10</v>
      </c>
      <c r="C15" s="262">
        <v>1</v>
      </c>
      <c r="D15" s="266">
        <f t="shared" si="0"/>
        <v>10</v>
      </c>
      <c r="E15" s="270">
        <v>0</v>
      </c>
      <c r="F15" s="138">
        <f t="shared" si="2"/>
        <v>0</v>
      </c>
      <c r="G15" s="138">
        <f>F15*0.05</f>
        <v>0</v>
      </c>
      <c r="H15" s="138">
        <f>F15*0.1</f>
        <v>0</v>
      </c>
      <c r="I15" s="319">
        <f t="shared" si="1"/>
        <v>0</v>
      </c>
    </row>
    <row r="16" spans="1:14" s="130" customFormat="1" ht="15.75" customHeight="1" x14ac:dyDescent="0.25">
      <c r="A16" s="143" t="s">
        <v>298</v>
      </c>
      <c r="B16" s="264">
        <v>40</v>
      </c>
      <c r="C16" s="262">
        <v>1</v>
      </c>
      <c r="D16" s="266">
        <f>B16*C16</f>
        <v>40</v>
      </c>
      <c r="E16" s="270">
        <v>0</v>
      </c>
      <c r="F16" s="138">
        <f t="shared" si="2"/>
        <v>0</v>
      </c>
      <c r="G16" s="138">
        <f>F16*0.05</f>
        <v>0</v>
      </c>
      <c r="H16" s="138">
        <f>F16*0.1</f>
        <v>0</v>
      </c>
      <c r="I16" s="319">
        <f t="shared" si="1"/>
        <v>0</v>
      </c>
    </row>
    <row r="17" spans="1:10" s="130" customFormat="1" ht="15.75" customHeight="1" x14ac:dyDescent="0.25">
      <c r="A17" s="143" t="s">
        <v>299</v>
      </c>
      <c r="B17" s="264">
        <v>20</v>
      </c>
      <c r="C17" s="262">
        <v>2</v>
      </c>
      <c r="D17" s="266">
        <f t="shared" si="0"/>
        <v>40</v>
      </c>
      <c r="E17" s="270">
        <v>13</v>
      </c>
      <c r="F17" s="138">
        <f t="shared" si="2"/>
        <v>520</v>
      </c>
      <c r="G17" s="138">
        <f>F17*0.05</f>
        <v>26</v>
      </c>
      <c r="H17" s="138">
        <f>F17*0.1</f>
        <v>52</v>
      </c>
      <c r="I17" s="321">
        <f t="shared" si="1"/>
        <v>29876.6</v>
      </c>
    </row>
    <row r="18" spans="1:10" s="130" customFormat="1" ht="15.75" customHeight="1" x14ac:dyDescent="0.25">
      <c r="A18" s="142" t="s">
        <v>300</v>
      </c>
      <c r="B18" s="264">
        <v>3</v>
      </c>
      <c r="C18" s="262">
        <v>1</v>
      </c>
      <c r="D18" s="266">
        <f t="shared" si="0"/>
        <v>3</v>
      </c>
      <c r="E18" s="270">
        <v>13</v>
      </c>
      <c r="F18" s="138">
        <f>D18*E18</f>
        <v>39</v>
      </c>
      <c r="G18" s="138">
        <f t="shared" ref="G18" si="3">F18*0.05</f>
        <v>1.9500000000000002</v>
      </c>
      <c r="H18" s="138">
        <f t="shared" ref="H18" si="4">F18*0.1</f>
        <v>3.9000000000000004</v>
      </c>
      <c r="I18" s="321">
        <f t="shared" si="1"/>
        <v>2240.7449999999999</v>
      </c>
    </row>
    <row r="19" spans="1:10" s="133" customFormat="1" ht="15.75" customHeight="1" x14ac:dyDescent="0.25">
      <c r="A19" s="348" t="s">
        <v>301</v>
      </c>
      <c r="B19" s="265">
        <v>4</v>
      </c>
      <c r="C19" s="347">
        <v>1</v>
      </c>
      <c r="D19" s="266">
        <f>B19*C19</f>
        <v>4</v>
      </c>
      <c r="E19" s="346">
        <v>6</v>
      </c>
      <c r="F19" s="333">
        <f>D19*E19</f>
        <v>24</v>
      </c>
      <c r="G19" s="267">
        <f>F19*0.05</f>
        <v>1.2000000000000002</v>
      </c>
      <c r="H19" s="267">
        <f>F19*0.1</f>
        <v>2.4000000000000004</v>
      </c>
      <c r="I19" s="321">
        <f t="shared" si="1"/>
        <v>1378.9199999999998</v>
      </c>
    </row>
    <row r="20" spans="1:10" s="130" customFormat="1" ht="15.75" customHeight="1" x14ac:dyDescent="0.25">
      <c r="A20" s="401" t="s">
        <v>283</v>
      </c>
      <c r="B20" s="401"/>
      <c r="C20" s="401"/>
      <c r="D20" s="401"/>
      <c r="E20" s="401"/>
      <c r="F20" s="402"/>
      <c r="G20" s="267" t="s">
        <v>176</v>
      </c>
      <c r="H20" s="267" t="s">
        <v>18</v>
      </c>
      <c r="I20" s="323">
        <f>IF(ISTEXT(G20),0,B8*G20)</f>
        <v>0</v>
      </c>
    </row>
    <row r="21" spans="1:10" s="133" customFormat="1" ht="15.75" customHeight="1" thickBot="1" x14ac:dyDescent="0.3">
      <c r="A21" s="403" t="s">
        <v>266</v>
      </c>
      <c r="B21" s="403"/>
      <c r="C21" s="403"/>
      <c r="D21" s="403"/>
      <c r="E21" s="404"/>
      <c r="F21" s="405">
        <f>SUM(F6:H19)</f>
        <v>706.33</v>
      </c>
      <c r="G21" s="406"/>
      <c r="H21" s="407"/>
      <c r="I21" s="324">
        <f>ROUND(SUM(I6:I20),-2)</f>
        <v>35300</v>
      </c>
      <c r="J21" s="144"/>
    </row>
    <row r="22" spans="1:10" s="128" customFormat="1" ht="15.75" customHeight="1" x14ac:dyDescent="0.2">
      <c r="A22" s="123"/>
      <c r="B22" s="124"/>
      <c r="C22" s="125"/>
      <c r="D22" s="125"/>
      <c r="E22" s="126"/>
      <c r="F22" s="126"/>
      <c r="G22" s="126"/>
      <c r="H22" s="126"/>
      <c r="I22" s="127"/>
      <c r="J22" s="125"/>
    </row>
    <row r="23" spans="1:10" s="128" customFormat="1" ht="15.75" customHeight="1" x14ac:dyDescent="0.2">
      <c r="A23" s="123" t="s">
        <v>35</v>
      </c>
      <c r="B23" s="124"/>
      <c r="C23" s="125"/>
      <c r="D23" s="125"/>
      <c r="E23" s="126"/>
      <c r="F23" s="126"/>
      <c r="G23" s="126"/>
      <c r="H23" s="126"/>
      <c r="I23" s="127"/>
      <c r="J23" s="125"/>
    </row>
    <row r="24" spans="1:10" s="128" customFormat="1" ht="12" x14ac:dyDescent="0.2">
      <c r="A24" s="400" t="s">
        <v>284</v>
      </c>
      <c r="B24" s="400"/>
      <c r="C24" s="400"/>
      <c r="D24" s="400"/>
      <c r="E24" s="400"/>
      <c r="F24" s="400"/>
      <c r="G24" s="400"/>
      <c r="H24" s="400"/>
      <c r="I24" s="400"/>
      <c r="J24" s="125"/>
    </row>
    <row r="25" spans="1:10" s="128" customFormat="1" ht="32.5" customHeight="1" x14ac:dyDescent="0.2">
      <c r="A25" s="413" t="s">
        <v>285</v>
      </c>
      <c r="B25" s="413"/>
      <c r="C25" s="413"/>
      <c r="D25" s="413"/>
      <c r="E25" s="413"/>
      <c r="F25" s="413"/>
      <c r="G25" s="413"/>
      <c r="H25" s="413"/>
      <c r="I25" s="413"/>
      <c r="J25" s="125"/>
    </row>
    <row r="26" spans="1:10" s="128" customFormat="1" ht="15.75" customHeight="1" x14ac:dyDescent="0.2">
      <c r="A26" s="400" t="s">
        <v>286</v>
      </c>
      <c r="B26" s="400"/>
      <c r="C26" s="400"/>
      <c r="D26" s="400"/>
      <c r="E26" s="400"/>
      <c r="F26" s="400"/>
      <c r="G26" s="400"/>
      <c r="H26" s="400"/>
      <c r="I26" s="400"/>
      <c r="J26" s="125"/>
    </row>
    <row r="27" spans="1:10" s="128" customFormat="1" ht="15.75" customHeight="1" x14ac:dyDescent="0.2">
      <c r="A27" s="400" t="s">
        <v>287</v>
      </c>
      <c r="B27" s="400"/>
      <c r="C27" s="400"/>
      <c r="D27" s="400"/>
      <c r="E27" s="400"/>
      <c r="F27" s="400"/>
      <c r="G27" s="400"/>
      <c r="H27" s="400"/>
      <c r="I27" s="400"/>
      <c r="J27" s="125"/>
    </row>
    <row r="28" spans="1:10" s="128" customFormat="1" ht="15.75" customHeight="1" x14ac:dyDescent="0.2">
      <c r="A28" s="412" t="s">
        <v>288</v>
      </c>
      <c r="B28" s="412"/>
      <c r="C28" s="412"/>
      <c r="D28" s="412"/>
      <c r="E28" s="412"/>
      <c r="F28" s="412"/>
      <c r="G28" s="412"/>
      <c r="H28" s="412"/>
      <c r="I28" s="412"/>
      <c r="J28" s="125"/>
    </row>
    <row r="29" spans="1:10" ht="15.75" customHeight="1" x14ac:dyDescent="0.25">
      <c r="A29" s="412" t="s">
        <v>289</v>
      </c>
      <c r="B29" s="412"/>
      <c r="C29" s="412"/>
      <c r="D29" s="412"/>
      <c r="E29" s="412"/>
      <c r="F29" s="412"/>
      <c r="G29" s="412"/>
      <c r="H29" s="412"/>
      <c r="I29" s="412"/>
    </row>
    <row r="32" spans="1:10" x14ac:dyDescent="0.25">
      <c r="A32"/>
      <c r="B32"/>
    </row>
    <row r="33" spans="1:7" ht="13" x14ac:dyDescent="0.3">
      <c r="A33"/>
      <c r="B33"/>
      <c r="C33" s="128"/>
      <c r="D33" s="128"/>
      <c r="F33" s="87"/>
      <c r="G33" s="123"/>
    </row>
    <row r="34" spans="1:7" x14ac:dyDescent="0.25">
      <c r="A34"/>
      <c r="B34"/>
      <c r="C34" s="128"/>
      <c r="D34" s="128"/>
      <c r="F34" s="123"/>
      <c r="G34" s="123"/>
    </row>
    <row r="35" spans="1:7" x14ac:dyDescent="0.25">
      <c r="A35"/>
      <c r="B35"/>
      <c r="F35" s="123"/>
      <c r="G35" s="129"/>
    </row>
    <row r="36" spans="1:7" x14ac:dyDescent="0.25">
      <c r="A36"/>
      <c r="B36"/>
      <c r="F36" s="123"/>
      <c r="G36" s="129"/>
    </row>
    <row r="37" spans="1:7" x14ac:dyDescent="0.25">
      <c r="A37"/>
      <c r="B37"/>
      <c r="F37" s="123"/>
      <c r="G37" s="129"/>
    </row>
    <row r="38" spans="1:7" x14ac:dyDescent="0.25">
      <c r="A38"/>
      <c r="B38"/>
      <c r="F38" s="123"/>
      <c r="G38" s="123"/>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x14ac:dyDescent="0.25">
      <c r="A44"/>
      <c r="B44"/>
    </row>
    <row r="45" spans="1:7" x14ac:dyDescent="0.25">
      <c r="A45"/>
      <c r="B45"/>
    </row>
    <row r="46" spans="1:7" x14ac:dyDescent="0.25">
      <c r="A46"/>
      <c r="B46"/>
    </row>
  </sheetData>
  <mergeCells count="13">
    <mergeCell ref="A26:I26"/>
    <mergeCell ref="A27:I27"/>
    <mergeCell ref="A28:I28"/>
    <mergeCell ref="A29:I29"/>
    <mergeCell ref="A25:I25"/>
    <mergeCell ref="A24:I24"/>
    <mergeCell ref="A20:F20"/>
    <mergeCell ref="A21:E21"/>
    <mergeCell ref="F21:H21"/>
    <mergeCell ref="F3:F4"/>
    <mergeCell ref="G3:G4"/>
    <mergeCell ref="H3:H4"/>
    <mergeCell ref="A3:A4"/>
  </mergeCells>
  <printOptions horizontalCentered="1"/>
  <pageMargins left="0.75" right="0.75" top="1" bottom="1" header="0.25" footer="0.25"/>
  <pageSetup scale="8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P41"/>
  <sheetViews>
    <sheetView topLeftCell="A13" zoomScaleNormal="100" workbookViewId="0">
      <selection activeCell="B2" sqref="B2"/>
    </sheetView>
  </sheetViews>
  <sheetFormatPr defaultRowHeight="10.5" x14ac:dyDescent="0.25"/>
  <cols>
    <col min="2" max="8" width="33.109375" customWidth="1"/>
  </cols>
  <sheetData>
    <row r="4" spans="2:9" ht="15.5" x14ac:dyDescent="0.25">
      <c r="B4" s="414"/>
      <c r="C4" s="415"/>
      <c r="D4" s="415"/>
      <c r="E4" s="415"/>
      <c r="F4" s="415"/>
      <c r="G4" s="415"/>
      <c r="H4" s="416"/>
    </row>
    <row r="5" spans="2:9" ht="31.5" customHeight="1" x14ac:dyDescent="0.25">
      <c r="B5" s="417" t="s">
        <v>238</v>
      </c>
      <c r="C5" s="418"/>
      <c r="D5" s="418"/>
      <c r="E5" s="418"/>
      <c r="F5" s="418"/>
      <c r="G5" s="418"/>
      <c r="H5" s="419"/>
    </row>
    <row r="6" spans="2:9" ht="15" x14ac:dyDescent="0.25">
      <c r="B6" s="282"/>
      <c r="C6" s="277"/>
      <c r="D6" s="277"/>
      <c r="E6" s="277"/>
      <c r="F6" s="277"/>
      <c r="G6" s="277"/>
      <c r="H6" s="283"/>
    </row>
    <row r="7" spans="2:9" ht="13" x14ac:dyDescent="0.25">
      <c r="B7" s="278" t="s">
        <v>19</v>
      </c>
      <c r="C7" s="278" t="s">
        <v>0</v>
      </c>
      <c r="D7" s="278" t="s">
        <v>1</v>
      </c>
      <c r="E7" s="278" t="s">
        <v>2</v>
      </c>
      <c r="F7" s="278" t="s">
        <v>3</v>
      </c>
      <c r="G7" s="278" t="s">
        <v>4</v>
      </c>
      <c r="H7" s="278" t="s">
        <v>20</v>
      </c>
    </row>
    <row r="8" spans="2:9" ht="26" x14ac:dyDescent="0.25">
      <c r="B8" s="279" t="s">
        <v>239</v>
      </c>
      <c r="C8" s="279" t="s">
        <v>240</v>
      </c>
      <c r="D8" s="279" t="s">
        <v>241</v>
      </c>
      <c r="E8" s="279" t="s">
        <v>242</v>
      </c>
      <c r="F8" s="279" t="s">
        <v>243</v>
      </c>
      <c r="G8" s="279" t="s">
        <v>244</v>
      </c>
      <c r="H8" s="279" t="s">
        <v>245</v>
      </c>
    </row>
    <row r="9" spans="2:9" ht="13" x14ac:dyDescent="0.25">
      <c r="B9" s="280"/>
      <c r="C9" s="280"/>
      <c r="D9" s="280"/>
      <c r="E9" s="280"/>
      <c r="F9" s="280"/>
      <c r="G9" s="280"/>
      <c r="H9" s="279" t="s">
        <v>246</v>
      </c>
    </row>
    <row r="10" spans="2:9" ht="13" x14ac:dyDescent="0.25">
      <c r="B10" s="420" t="s">
        <v>247</v>
      </c>
      <c r="C10" s="421"/>
      <c r="D10" s="421"/>
      <c r="E10" s="421"/>
      <c r="F10" s="421"/>
      <c r="G10" s="421"/>
      <c r="H10" s="422"/>
    </row>
    <row r="11" spans="2:9" ht="15.5" x14ac:dyDescent="0.25">
      <c r="B11" s="284" t="s">
        <v>257</v>
      </c>
      <c r="C11" s="331">
        <f>15000*25</f>
        <v>375000</v>
      </c>
      <c r="D11" s="281">
        <v>0</v>
      </c>
      <c r="E11" s="287">
        <f>C11*D11</f>
        <v>0</v>
      </c>
      <c r="F11" s="287">
        <v>26897</v>
      </c>
      <c r="G11" s="297">
        <v>13</v>
      </c>
      <c r="H11" s="294">
        <f>F11*G11</f>
        <v>349661</v>
      </c>
    </row>
    <row r="12" spans="2:9" ht="15.5" x14ac:dyDescent="0.25">
      <c r="B12" s="297" t="s">
        <v>258</v>
      </c>
      <c r="C12" s="287"/>
      <c r="D12" s="281"/>
      <c r="E12" s="287"/>
      <c r="F12" s="331">
        <f>60/13*45000</f>
        <v>207692.30769230769</v>
      </c>
      <c r="G12" s="297">
        <v>13</v>
      </c>
      <c r="H12" s="287">
        <f>F12*G12</f>
        <v>2700000</v>
      </c>
    </row>
    <row r="13" spans="2:9" ht="13" x14ac:dyDescent="0.25">
      <c r="B13" s="297" t="s">
        <v>249</v>
      </c>
      <c r="C13" s="287">
        <v>5000</v>
      </c>
      <c r="D13" s="281">
        <v>0</v>
      </c>
      <c r="E13" s="287">
        <v>0</v>
      </c>
      <c r="F13" s="331"/>
      <c r="G13" s="297"/>
      <c r="H13" s="287"/>
    </row>
    <row r="14" spans="2:9" ht="13" x14ac:dyDescent="0.25">
      <c r="B14" s="420" t="s">
        <v>248</v>
      </c>
      <c r="C14" s="421"/>
      <c r="D14" s="421"/>
      <c r="E14" s="421"/>
      <c r="F14" s="421"/>
      <c r="G14" s="421"/>
      <c r="H14" s="422"/>
    </row>
    <row r="15" spans="2:9" ht="21" customHeight="1" x14ac:dyDescent="0.3">
      <c r="B15" s="326" t="s">
        <v>260</v>
      </c>
      <c r="C15" s="327">
        <v>51198</v>
      </c>
      <c r="D15" s="328">
        <v>0</v>
      </c>
      <c r="E15" s="327">
        <f t="shared" ref="E15:E22" si="0">C15*D15</f>
        <v>0</v>
      </c>
      <c r="F15" s="327">
        <v>99080</v>
      </c>
      <c r="G15" s="328">
        <v>32</v>
      </c>
      <c r="H15" s="329">
        <f t="shared" ref="H15:H22" si="1">F15*G15</f>
        <v>3170560</v>
      </c>
      <c r="I15" s="325"/>
    </row>
    <row r="16" spans="2:9" ht="20.25" customHeight="1" x14ac:dyDescent="0.3">
      <c r="B16" s="326" t="s">
        <v>256</v>
      </c>
      <c r="C16" s="327">
        <v>1803</v>
      </c>
      <c r="D16" s="328">
        <v>0</v>
      </c>
      <c r="E16" s="327">
        <f t="shared" si="0"/>
        <v>0</v>
      </c>
      <c r="F16" s="331">
        <f>600*12</f>
        <v>7200</v>
      </c>
      <c r="G16" s="297">
        <v>13</v>
      </c>
      <c r="H16" s="329">
        <f t="shared" si="1"/>
        <v>93600</v>
      </c>
    </row>
    <row r="17" spans="2:16" ht="28.5" x14ac:dyDescent="0.3">
      <c r="B17" s="284" t="s">
        <v>250</v>
      </c>
      <c r="C17" s="287">
        <f>3*650</f>
        <v>1950</v>
      </c>
      <c r="D17" s="281">
        <v>0</v>
      </c>
      <c r="E17" s="287">
        <f t="shared" si="0"/>
        <v>0</v>
      </c>
      <c r="F17" s="331">
        <f>650*3*12</f>
        <v>23400</v>
      </c>
      <c r="G17" s="297">
        <v>13</v>
      </c>
      <c r="H17" s="292">
        <f t="shared" si="1"/>
        <v>304200</v>
      </c>
    </row>
    <row r="18" spans="2:16" ht="15" customHeight="1" x14ac:dyDescent="0.3">
      <c r="B18" s="326" t="s">
        <v>252</v>
      </c>
      <c r="C18" s="327">
        <v>491</v>
      </c>
      <c r="D18" s="328">
        <v>0</v>
      </c>
      <c r="E18" s="327">
        <f t="shared" si="0"/>
        <v>0</v>
      </c>
      <c r="F18" s="331">
        <v>5892</v>
      </c>
      <c r="G18" s="297">
        <v>13</v>
      </c>
      <c r="H18" s="330">
        <f t="shared" si="1"/>
        <v>76596</v>
      </c>
    </row>
    <row r="19" spans="2:16" ht="28.5" x14ac:dyDescent="0.3">
      <c r="B19" s="284" t="s">
        <v>253</v>
      </c>
      <c r="C19" s="287">
        <v>650</v>
      </c>
      <c r="D19" s="281">
        <v>0</v>
      </c>
      <c r="E19" s="287">
        <f t="shared" si="0"/>
        <v>0</v>
      </c>
      <c r="F19" s="331">
        <f>650*12</f>
        <v>7800</v>
      </c>
      <c r="G19" s="297">
        <v>13</v>
      </c>
      <c r="H19" s="293">
        <f t="shared" si="1"/>
        <v>101400</v>
      </c>
    </row>
    <row r="20" spans="2:16" ht="26.25" customHeight="1" x14ac:dyDescent="0.3">
      <c r="B20" s="326" t="s">
        <v>254</v>
      </c>
      <c r="C20" s="327">
        <v>0</v>
      </c>
      <c r="D20" s="328">
        <v>0</v>
      </c>
      <c r="E20" s="327">
        <f t="shared" si="0"/>
        <v>0</v>
      </c>
      <c r="F20" s="331">
        <f>491*7</f>
        <v>3437</v>
      </c>
      <c r="G20" s="297">
        <v>13</v>
      </c>
      <c r="H20" s="329">
        <f t="shared" si="1"/>
        <v>44681</v>
      </c>
    </row>
    <row r="21" spans="2:16" ht="28.5" x14ac:dyDescent="0.3">
      <c r="B21" s="284" t="s">
        <v>255</v>
      </c>
      <c r="C21" s="287">
        <f>650*5</f>
        <v>3250</v>
      </c>
      <c r="D21" s="281">
        <v>0</v>
      </c>
      <c r="E21" s="287">
        <f t="shared" si="0"/>
        <v>0</v>
      </c>
      <c r="F21" s="331">
        <f>650*7</f>
        <v>4550</v>
      </c>
      <c r="G21" s="297">
        <v>13</v>
      </c>
      <c r="H21" s="292">
        <f t="shared" si="1"/>
        <v>59150</v>
      </c>
    </row>
    <row r="22" spans="2:16" ht="18.75" customHeight="1" x14ac:dyDescent="0.3">
      <c r="B22" s="326" t="s">
        <v>278</v>
      </c>
      <c r="C22" s="327">
        <v>77798</v>
      </c>
      <c r="D22" s="328">
        <v>0</v>
      </c>
      <c r="E22" s="327">
        <f t="shared" si="0"/>
        <v>0</v>
      </c>
      <c r="F22" s="327">
        <v>18205</v>
      </c>
      <c r="G22" s="328">
        <v>13</v>
      </c>
      <c r="H22" s="329">
        <f t="shared" si="1"/>
        <v>236665</v>
      </c>
    </row>
    <row r="23" spans="2:16" ht="13" x14ac:dyDescent="0.25">
      <c r="B23" s="420" t="s">
        <v>23</v>
      </c>
      <c r="C23" s="421"/>
      <c r="D23" s="421"/>
      <c r="E23" s="421"/>
      <c r="F23" s="421"/>
      <c r="G23" s="421"/>
      <c r="H23" s="422"/>
    </row>
    <row r="24" spans="2:16" ht="13" x14ac:dyDescent="0.25">
      <c r="B24" s="285"/>
      <c r="C24" s="286"/>
      <c r="D24" s="286"/>
      <c r="E24" s="295">
        <f>SUM(E15:E22,E11:E13)</f>
        <v>0</v>
      </c>
      <c r="F24" s="286"/>
      <c r="G24" s="286"/>
      <c r="H24" s="291">
        <f>ROUND(SUM(H15:H22,H11:H12),-4)</f>
        <v>7140000</v>
      </c>
    </row>
    <row r="25" spans="2:16" ht="22.5" customHeight="1" x14ac:dyDescent="0.25">
      <c r="B25" s="425" t="s">
        <v>275</v>
      </c>
      <c r="C25" s="425"/>
      <c r="D25" s="425"/>
      <c r="E25" s="425"/>
      <c r="F25" s="425"/>
      <c r="G25" s="425"/>
      <c r="H25" s="425"/>
    </row>
    <row r="26" spans="2:16" ht="14" x14ac:dyDescent="0.25">
      <c r="B26" s="426" t="s">
        <v>273</v>
      </c>
      <c r="C26" s="426"/>
      <c r="D26" s="426"/>
      <c r="E26" s="426"/>
      <c r="F26" s="426"/>
      <c r="G26" s="426"/>
      <c r="H26" s="426"/>
    </row>
    <row r="27" spans="2:16" ht="14" x14ac:dyDescent="0.25">
      <c r="B27" s="426" t="s">
        <v>251</v>
      </c>
      <c r="C27" s="426"/>
      <c r="D27" s="426"/>
      <c r="E27" s="426"/>
      <c r="F27" s="426"/>
      <c r="G27" s="426"/>
      <c r="H27" s="426"/>
    </row>
    <row r="28" spans="2:16" ht="14" x14ac:dyDescent="0.25">
      <c r="B28" s="426" t="s">
        <v>274</v>
      </c>
      <c r="C28" s="426"/>
      <c r="D28" s="426"/>
      <c r="E28" s="426"/>
      <c r="F28" s="426"/>
      <c r="G28" s="426"/>
      <c r="H28" s="426"/>
    </row>
    <row r="29" spans="2:16" ht="14" x14ac:dyDescent="0.25">
      <c r="B29" s="426" t="s">
        <v>276</v>
      </c>
      <c r="C29" s="426"/>
      <c r="D29" s="426"/>
      <c r="E29" s="426"/>
      <c r="F29" s="426"/>
      <c r="G29" s="426"/>
      <c r="H29" s="426"/>
    </row>
    <row r="30" spans="2:16" ht="14" x14ac:dyDescent="0.25">
      <c r="B30" s="426" t="s">
        <v>277</v>
      </c>
      <c r="C30" s="426"/>
      <c r="D30" s="426"/>
      <c r="E30" s="426"/>
      <c r="F30" s="426"/>
      <c r="G30" s="426"/>
      <c r="H30" s="426"/>
    </row>
    <row r="31" spans="2:16" ht="14" x14ac:dyDescent="0.25">
      <c r="B31" s="427" t="s">
        <v>307</v>
      </c>
      <c r="C31" s="427"/>
      <c r="D31" s="427"/>
      <c r="E31" s="427"/>
      <c r="F31" s="427"/>
      <c r="G31" s="427"/>
      <c r="H31" s="427"/>
    </row>
    <row r="32" spans="2:16" ht="11.5" x14ac:dyDescent="0.25">
      <c r="B32" s="424" t="s">
        <v>306</v>
      </c>
      <c r="C32" s="424"/>
      <c r="D32" s="424"/>
      <c r="E32" s="424"/>
      <c r="F32" s="424"/>
      <c r="G32" s="424"/>
      <c r="H32" s="424"/>
      <c r="J32" s="349"/>
      <c r="K32" s="349"/>
      <c r="L32" s="349"/>
      <c r="M32" s="349"/>
      <c r="N32" s="349"/>
      <c r="O32" s="349"/>
      <c r="P32" s="349"/>
    </row>
    <row r="33" spans="2:8" ht="14" x14ac:dyDescent="0.25">
      <c r="B33" s="423" t="s">
        <v>271</v>
      </c>
      <c r="C33" s="423"/>
      <c r="D33" s="423"/>
      <c r="E33" s="423"/>
      <c r="F33" s="423"/>
      <c r="G33" s="423"/>
      <c r="H33" s="423"/>
    </row>
    <row r="34" spans="2:8" ht="14" x14ac:dyDescent="0.25">
      <c r="B34" s="423" t="s">
        <v>272</v>
      </c>
      <c r="C34" s="423"/>
      <c r="D34" s="423"/>
      <c r="E34" s="423"/>
      <c r="F34" s="423"/>
      <c r="G34" s="423"/>
      <c r="H34" s="423"/>
    </row>
    <row r="35" spans="2:8" ht="11.5" x14ac:dyDescent="0.25">
      <c r="B35" s="296"/>
    </row>
    <row r="36" spans="2:8" ht="18.5" x14ac:dyDescent="0.35">
      <c r="B36" s="288"/>
    </row>
    <row r="37" spans="2:8" ht="15.5" x14ac:dyDescent="0.35">
      <c r="B37" s="289"/>
    </row>
    <row r="38" spans="2:8" ht="11.5" x14ac:dyDescent="0.25">
      <c r="B38" s="290"/>
    </row>
    <row r="39" spans="2:8" ht="11.5" x14ac:dyDescent="0.25">
      <c r="B39" s="290"/>
    </row>
    <row r="40" spans="2:8" ht="11.5" x14ac:dyDescent="0.25">
      <c r="B40" s="290"/>
    </row>
    <row r="41" spans="2:8" ht="11.5" x14ac:dyDescent="0.25">
      <c r="B41" s="296"/>
    </row>
  </sheetData>
  <mergeCells count="15">
    <mergeCell ref="B33:H33"/>
    <mergeCell ref="B34:H34"/>
    <mergeCell ref="B32:H32"/>
    <mergeCell ref="B25:H25"/>
    <mergeCell ref="B26:H26"/>
    <mergeCell ref="B27:H27"/>
    <mergeCell ref="B28:H28"/>
    <mergeCell ref="B29:H29"/>
    <mergeCell ref="B30:H30"/>
    <mergeCell ref="B31:H31"/>
    <mergeCell ref="B4:H4"/>
    <mergeCell ref="B5:H5"/>
    <mergeCell ref="B10:H10"/>
    <mergeCell ref="B14:H14"/>
    <mergeCell ref="B23:H23"/>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Industry</vt:lpstr>
      <vt:lpstr>Record&amp;Reporting Burden Only</vt:lpstr>
      <vt:lpstr>Process Vent - T&amp;M Costs</vt:lpstr>
      <vt:lpstr>Resin T&amp;M Costs</vt:lpstr>
      <vt:lpstr>Wastewater T&amp;M Costs</vt:lpstr>
      <vt:lpstr>EquipmentLeaks - T&amp;M Costs</vt:lpstr>
      <vt:lpstr>Hourly Rates</vt:lpstr>
      <vt:lpstr>Agency</vt:lpstr>
      <vt:lpstr>CAP&amp;O&amp;M</vt:lpstr>
      <vt:lpstr>Agency!Print_Area</vt:lpstr>
      <vt:lpstr>'Hourly Rates'!Print_Area</vt:lpstr>
      <vt:lpstr>Industry!Print_Area</vt:lpstr>
      <vt:lpstr>'Record&amp;Reporting Burden Only'!Print_Area</vt:lpstr>
      <vt:lpstr>Industry!Print_Titles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Wrigley, William</cp:lastModifiedBy>
  <cp:lastPrinted>2011-12-27T18:02:18Z</cp:lastPrinted>
  <dcterms:created xsi:type="dcterms:W3CDTF">1998-09-17T19:20:06Z</dcterms:created>
  <dcterms:modified xsi:type="dcterms:W3CDTF">2022-02-22T20:56:14Z</dcterms:modified>
</cp:coreProperties>
</file>