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8288A94E-8B99-4794-AA6A-0FEF32015AC1}" xr6:coauthVersionLast="47" xr6:coauthVersionMax="47" xr10:uidLastSave="{00000000-0000-0000-0000-000000000000}"/>
  <bookViews>
    <workbookView xWindow="-110" yWindow="-110" windowWidth="19420" windowHeight="10420" tabRatio="875" xr2:uid="{00000000-000D-0000-FFFF-FFFF00000000}"/>
  </bookViews>
  <sheets>
    <sheet name=" Table 1 Summary" sheetId="107" r:id="rId1"/>
    <sheet name="Table 2 " sheetId="104" r:id="rId2"/>
    <sheet name="Base Data" sheetId="49" r:id="rId3"/>
    <sheet name="SmlSolid" sheetId="51" r:id="rId4"/>
    <sheet name="LrgSolid" sheetId="10" r:id="rId5"/>
    <sheet name="SmlLiquid" sheetId="90" r:id="rId6"/>
    <sheet name="LrgLiquid" sheetId="95" r:id="rId7"/>
    <sheet name="Capital vs. O&amp;M" sheetId="108" r:id="rId8"/>
  </sheets>
  <externalReferences>
    <externalReference r:id="rId9"/>
  </externalReferences>
  <definedNames>
    <definedName name="cler">[1]basis!$C$26</definedName>
    <definedName name="comptime" localSheetId="1">'Table 2 '!#REF!</definedName>
    <definedName name="excd">[1]basis!$C$19</definedName>
    <definedName name="lit">[1]basis!$C$13</definedName>
    <definedName name="mang">[1]basis!$C$25</definedName>
    <definedName name="new_respondents">[1]basis!$C$17</definedName>
    <definedName name="noexcd">[1]basis!$C$20</definedName>
    <definedName name="_xlnm.Print_Area" localSheetId="6">LrgLiquid!$A$1:$O$59</definedName>
    <definedName name="_xlnm.Print_Area" localSheetId="3">SmlSolid!$A$1:$M$36</definedName>
    <definedName name="_xlnm.Print_Area" localSheetId="1">'Table 2 '!$A$1:$H$33</definedName>
    <definedName name="_xlnm.Print_Titles" localSheetId="6">LrgLiquid!$1:$3</definedName>
    <definedName name="_xlnm.Print_Titles" localSheetId="4">LrgSolid!$1:$2</definedName>
    <definedName name="_xlnm.Print_Titles" localSheetId="5">SmlLiquid!$1:$4</definedName>
    <definedName name="_xlnm.Print_Titles" localSheetId="3">SmlSolid!$1:$4</definedName>
    <definedName name="read1">#REF!</definedName>
    <definedName name="respondents" localSheetId="1">'Table 2 '!#REF!</definedName>
    <definedName name="retest" localSheetId="1">'Table 2 '!$J$13</definedName>
    <definedName name="sperfac" localSheetId="1">'Table 2 '!$J$12</definedName>
    <definedName name="ssmalf">[1]basis!$C$21</definedName>
    <definedName name="tech">[1]basis!$C$24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5" i="108" l="1"/>
  <c r="J8" i="108"/>
  <c r="K8" i="108"/>
  <c r="H45" i="10"/>
  <c r="H19" i="10"/>
  <c r="H26" i="10"/>
  <c r="P38" i="49" l="1"/>
  <c r="H37" i="10"/>
  <c r="H30" i="10"/>
  <c r="I8" i="95" l="1"/>
  <c r="V12" i="49"/>
  <c r="V11" i="49"/>
  <c r="V37" i="49" l="1"/>
  <c r="I20" i="95" s="1"/>
  <c r="I31" i="95" s="1"/>
  <c r="I15" i="95"/>
  <c r="E74" i="108" l="1"/>
  <c r="E67" i="108"/>
  <c r="E65" i="108"/>
  <c r="E63" i="108"/>
  <c r="D10" i="108" l="1"/>
  <c r="E10" i="108"/>
  <c r="D15" i="108"/>
  <c r="E15" i="108"/>
  <c r="D20" i="108"/>
  <c r="E20" i="108"/>
  <c r="D25" i="108"/>
  <c r="E25" i="108"/>
  <c r="C33" i="108"/>
  <c r="C34" i="108"/>
  <c r="C35" i="108"/>
  <c r="C36" i="108"/>
  <c r="C39" i="108"/>
  <c r="C40" i="108"/>
  <c r="C41" i="108"/>
  <c r="C42" i="108"/>
  <c r="C45" i="108"/>
  <c r="C46" i="108"/>
  <c r="C47" i="108"/>
  <c r="B50" i="108"/>
  <c r="E50" i="108" s="1"/>
  <c r="C50" i="108"/>
  <c r="B51" i="108"/>
  <c r="C51" i="108"/>
  <c r="E51" i="108"/>
  <c r="C52" i="108"/>
  <c r="E26" i="108" l="1"/>
  <c r="D26" i="108"/>
  <c r="E9" i="49"/>
  <c r="E8" i="49"/>
  <c r="E7" i="49"/>
  <c r="I17" i="95"/>
  <c r="I14" i="95"/>
  <c r="G8" i="90"/>
  <c r="D38" i="49" l="1"/>
  <c r="D39" i="49"/>
  <c r="E39" i="49" s="1"/>
  <c r="D37" i="49"/>
  <c r="N37" i="49" s="1"/>
  <c r="E12" i="49"/>
  <c r="D42" i="49" s="1"/>
  <c r="N42" i="49" s="1"/>
  <c r="E11" i="49"/>
  <c r="D41" i="49" s="1"/>
  <c r="N41" i="49" s="1"/>
  <c r="E10" i="49"/>
  <c r="D40" i="49" s="1"/>
  <c r="N40" i="49" s="1"/>
  <c r="D12" i="49"/>
  <c r="D11" i="49"/>
  <c r="D10" i="49"/>
  <c r="D9" i="49"/>
  <c r="D8" i="49"/>
  <c r="D7" i="49"/>
  <c r="W19" i="49"/>
  <c r="X19" i="49" s="1"/>
  <c r="D15" i="49" s="1"/>
  <c r="W12" i="49"/>
  <c r="X12" i="49" s="1"/>
  <c r="W11" i="49"/>
  <c r="X11" i="49" s="1"/>
  <c r="V10" i="49"/>
  <c r="W10" i="49" s="1"/>
  <c r="X10" i="49" s="1"/>
  <c r="V18" i="49"/>
  <c r="V17" i="49"/>
  <c r="W17" i="49" s="1"/>
  <c r="X17" i="49" s="1"/>
  <c r="D13" i="49" s="1"/>
  <c r="N39" i="49" l="1"/>
  <c r="F7" i="108"/>
  <c r="C8" i="108" s="1"/>
  <c r="P37" i="49"/>
  <c r="Q37" i="49" s="1"/>
  <c r="B17" i="108" s="1"/>
  <c r="F7" i="49"/>
  <c r="F17" i="108"/>
  <c r="E15" i="49"/>
  <c r="D45" i="49" s="1"/>
  <c r="N45" i="49" s="1"/>
  <c r="F22" i="108"/>
  <c r="C23" i="108" s="1"/>
  <c r="W18" i="49"/>
  <c r="X18" i="49" s="1"/>
  <c r="D14" i="49" s="1"/>
  <c r="E14" i="49" s="1"/>
  <c r="V38" i="49"/>
  <c r="H38" i="49"/>
  <c r="H16" i="10"/>
  <c r="H25" i="10"/>
  <c r="N38" i="49"/>
  <c r="M19" i="10" s="1"/>
  <c r="E13" i="49"/>
  <c r="F13" i="49" s="1"/>
  <c r="H37" i="49"/>
  <c r="F8" i="49"/>
  <c r="G8" i="49" s="1"/>
  <c r="F10" i="49"/>
  <c r="G10" i="49" s="1"/>
  <c r="F9" i="49"/>
  <c r="G9" i="49" s="1"/>
  <c r="F12" i="49"/>
  <c r="G12" i="49" s="1"/>
  <c r="F11" i="49"/>
  <c r="G11" i="49" s="1"/>
  <c r="F15" i="49" l="1"/>
  <c r="G15" i="49" s="1"/>
  <c r="H15" i="49" s="1"/>
  <c r="N15" i="49" s="1"/>
  <c r="H8" i="49"/>
  <c r="N8" i="49" s="1"/>
  <c r="I8" i="108"/>
  <c r="P59" i="10" s="1"/>
  <c r="H8" i="108"/>
  <c r="O59" i="10" s="1"/>
  <c r="F14" i="49"/>
  <c r="G14" i="49" s="1"/>
  <c r="H14" i="49" s="1"/>
  <c r="F12" i="108"/>
  <c r="H23" i="108"/>
  <c r="N33" i="90" s="1"/>
  <c r="I23" i="108"/>
  <c r="O33" i="90" s="1"/>
  <c r="B19" i="108"/>
  <c r="B18" i="108"/>
  <c r="D16" i="49"/>
  <c r="G7" i="49"/>
  <c r="C17" i="108"/>
  <c r="C18" i="108"/>
  <c r="G13" i="49"/>
  <c r="D43" i="49"/>
  <c r="D44" i="49"/>
  <c r="H10" i="49"/>
  <c r="N10" i="49" s="1"/>
  <c r="H9" i="49"/>
  <c r="N9" i="49" s="1"/>
  <c r="H12" i="49"/>
  <c r="N12" i="49" s="1"/>
  <c r="H11" i="49"/>
  <c r="E16" i="49"/>
  <c r="F16" i="49" l="1"/>
  <c r="B20" i="108"/>
  <c r="G16" i="49"/>
  <c r="H39" i="49"/>
  <c r="N43" i="49"/>
  <c r="P39" i="49" s="1"/>
  <c r="Q39" i="49" s="1"/>
  <c r="B22" i="108" s="1"/>
  <c r="H40" i="49"/>
  <c r="N44" i="49"/>
  <c r="P40" i="49" s="1"/>
  <c r="Q40" i="49" s="1"/>
  <c r="B12" i="108" s="1"/>
  <c r="C12" i="108" s="1"/>
  <c r="N11" i="49"/>
  <c r="H29" i="10" s="1"/>
  <c r="H17" i="10"/>
  <c r="M17" i="10" s="1"/>
  <c r="J8" i="49"/>
  <c r="C13" i="108"/>
  <c r="F18" i="108"/>
  <c r="H18" i="108"/>
  <c r="N33" i="51" s="1"/>
  <c r="I18" i="108"/>
  <c r="O33" i="51" s="1"/>
  <c r="H7" i="49"/>
  <c r="J7" i="49" s="1"/>
  <c r="D46" i="49"/>
  <c r="J10" i="49"/>
  <c r="N14" i="49"/>
  <c r="P10" i="49" s="1"/>
  <c r="H13" i="49"/>
  <c r="H41" i="49" l="1"/>
  <c r="H42" i="49" s="1"/>
  <c r="J18" i="108"/>
  <c r="P33" i="51" s="1"/>
  <c r="K18" i="108"/>
  <c r="Q33" i="51" s="1"/>
  <c r="C19" i="108"/>
  <c r="B13" i="108"/>
  <c r="B14" i="108"/>
  <c r="H13" i="108"/>
  <c r="R53" i="95" s="1"/>
  <c r="I13" i="108"/>
  <c r="S53" i="95" s="1"/>
  <c r="C22" i="108"/>
  <c r="B24" i="108"/>
  <c r="B23" i="108"/>
  <c r="F23" i="108" s="1"/>
  <c r="P8" i="49"/>
  <c r="N7" i="49"/>
  <c r="H16" i="49"/>
  <c r="J9" i="49"/>
  <c r="J11" i="49" s="1"/>
  <c r="N13" i="49"/>
  <c r="P7" i="49" l="1"/>
  <c r="N16" i="49"/>
  <c r="B15" i="108"/>
  <c r="F13" i="108"/>
  <c r="F19" i="108"/>
  <c r="F20" i="108" s="1"/>
  <c r="G11" i="51" s="1"/>
  <c r="C20" i="108"/>
  <c r="G9" i="51" s="1"/>
  <c r="C24" i="108"/>
  <c r="C25" i="108" s="1"/>
  <c r="K23" i="108"/>
  <c r="Q33" i="90" s="1"/>
  <c r="J23" i="108"/>
  <c r="P33" i="90" s="1"/>
  <c r="B25" i="108"/>
  <c r="P9" i="49"/>
  <c r="P11" i="49" l="1"/>
  <c r="F24" i="108"/>
  <c r="F25" i="108" s="1"/>
  <c r="G11" i="90" s="1"/>
  <c r="L11" i="51"/>
  <c r="G17" i="51"/>
  <c r="B47" i="108" s="1"/>
  <c r="E47" i="108" s="1"/>
  <c r="J13" i="108"/>
  <c r="T53" i="95" s="1"/>
  <c r="C14" i="108"/>
  <c r="K13" i="108"/>
  <c r="U53" i="95" s="1"/>
  <c r="F9" i="90"/>
  <c r="F9" i="51"/>
  <c r="H9" i="95"/>
  <c r="G9" i="10"/>
  <c r="G9" i="90" l="1"/>
  <c r="F14" i="108"/>
  <c r="F15" i="108" s="1"/>
  <c r="C15" i="108"/>
  <c r="O58" i="10"/>
  <c r="E17" i="49" l="1"/>
  <c r="N12" i="95"/>
  <c r="G8" i="10"/>
  <c r="O30" i="95" l="1"/>
  <c r="H30" i="95"/>
  <c r="J30" i="95" s="1"/>
  <c r="L30" i="95" s="1"/>
  <c r="B66" i="108"/>
  <c r="B64" i="108"/>
  <c r="B62" i="108"/>
  <c r="E68" i="108"/>
  <c r="B68" i="108"/>
  <c r="E69" i="108"/>
  <c r="B69" i="108"/>
  <c r="E70" i="108"/>
  <c r="B73" i="108"/>
  <c r="E77" i="108"/>
  <c r="B76" i="108"/>
  <c r="E76" i="108"/>
  <c r="E75" i="108"/>
  <c r="B75" i="108"/>
  <c r="E83" i="108"/>
  <c r="E80" i="108"/>
  <c r="G17" i="104"/>
  <c r="L28" i="51"/>
  <c r="M28" i="90"/>
  <c r="L28" i="90"/>
  <c r="C20" i="104"/>
  <c r="D20" i="104" s="1"/>
  <c r="H44" i="95"/>
  <c r="H43" i="95"/>
  <c r="H42" i="95"/>
  <c r="H41" i="95"/>
  <c r="H40" i="95"/>
  <c r="H39" i="95"/>
  <c r="N54" i="10"/>
  <c r="M54" i="10"/>
  <c r="G51" i="10"/>
  <c r="H23" i="95"/>
  <c r="H24" i="95"/>
  <c r="I22" i="95"/>
  <c r="I23" i="95" s="1"/>
  <c r="N23" i="95" s="1"/>
  <c r="N13" i="95"/>
  <c r="O48" i="95"/>
  <c r="N48" i="95"/>
  <c r="H32" i="95"/>
  <c r="M12" i="10"/>
  <c r="H12" i="95"/>
  <c r="J12" i="95" s="1"/>
  <c r="H13" i="95"/>
  <c r="J13" i="95" s="1"/>
  <c r="K30" i="95" l="1"/>
  <c r="M30" i="95" s="1"/>
  <c r="F76" i="108"/>
  <c r="G76" i="108" s="1"/>
  <c r="C73" i="108"/>
  <c r="F73" i="108" s="1"/>
  <c r="G73" i="108" s="1"/>
  <c r="C76" i="108"/>
  <c r="D76" i="108" s="1"/>
  <c r="K13" i="95"/>
  <c r="L13" i="95"/>
  <c r="L12" i="95"/>
  <c r="K12" i="95"/>
  <c r="J23" i="95"/>
  <c r="K23" i="95" s="1"/>
  <c r="N22" i="95"/>
  <c r="N14" i="95"/>
  <c r="M12" i="95" l="1"/>
  <c r="M13" i="95"/>
  <c r="D73" i="108"/>
  <c r="L23" i="95"/>
  <c r="M23" i="95" s="1"/>
  <c r="G50" i="10" l="1"/>
  <c r="G49" i="10"/>
  <c r="G48" i="10"/>
  <c r="G47" i="10"/>
  <c r="G46" i="10"/>
  <c r="G45" i="10"/>
  <c r="G38" i="10" l="1"/>
  <c r="G37" i="10"/>
  <c r="G36" i="10"/>
  <c r="I36" i="10" s="1"/>
  <c r="J36" i="10" s="1"/>
  <c r="G35" i="10"/>
  <c r="G34" i="10"/>
  <c r="N36" i="10"/>
  <c r="K36" i="10" l="1"/>
  <c r="L36" i="10" s="1"/>
  <c r="M20" i="10" l="1"/>
  <c r="M21" i="10"/>
  <c r="M13" i="10" l="1"/>
  <c r="G26" i="10"/>
  <c r="G25" i="10"/>
  <c r="G17" i="10"/>
  <c r="G18" i="10"/>
  <c r="G19" i="10"/>
  <c r="N15" i="95" l="1"/>
  <c r="G16" i="90"/>
  <c r="H14" i="10"/>
  <c r="H28" i="10"/>
  <c r="M28" i="10" s="1"/>
  <c r="H15" i="10"/>
  <c r="C64" i="108" s="1"/>
  <c r="G16" i="10"/>
  <c r="G14" i="10"/>
  <c r="G13" i="10"/>
  <c r="I13" i="10" s="1"/>
  <c r="K13" i="10" s="1"/>
  <c r="G12" i="10"/>
  <c r="I12" i="10" s="1"/>
  <c r="F30" i="10"/>
  <c r="Q38" i="49" l="1"/>
  <c r="B7" i="108" s="1"/>
  <c r="B41" i="108"/>
  <c r="E41" i="108" s="1"/>
  <c r="F74" i="108"/>
  <c r="G74" i="108" s="1"/>
  <c r="C62" i="108"/>
  <c r="F62" i="108" s="1"/>
  <c r="G62" i="108" s="1"/>
  <c r="G15" i="90"/>
  <c r="M15" i="10"/>
  <c r="M14" i="10"/>
  <c r="I14" i="10"/>
  <c r="J14" i="10" s="1"/>
  <c r="C69" i="108"/>
  <c r="D69" i="108" s="1"/>
  <c r="D74" i="108"/>
  <c r="F75" i="108"/>
  <c r="G75" i="108" s="1"/>
  <c r="N20" i="95"/>
  <c r="F64" i="108"/>
  <c r="G64" i="108" s="1"/>
  <c r="D64" i="108"/>
  <c r="G30" i="10"/>
  <c r="J13" i="10"/>
  <c r="L13" i="10" s="1"/>
  <c r="J12" i="10"/>
  <c r="K12" i="10"/>
  <c r="B8" i="108" l="1"/>
  <c r="C7" i="108"/>
  <c r="D62" i="108"/>
  <c r="O31" i="95"/>
  <c r="M15" i="90"/>
  <c r="L11" i="90"/>
  <c r="L18" i="90" s="1"/>
  <c r="F83" i="108"/>
  <c r="G83" i="108" s="1"/>
  <c r="G25" i="90"/>
  <c r="G24" i="90"/>
  <c r="G17" i="90"/>
  <c r="K14" i="10"/>
  <c r="L14" i="10" s="1"/>
  <c r="F63" i="108"/>
  <c r="H18" i="10"/>
  <c r="I17" i="10"/>
  <c r="L12" i="10"/>
  <c r="B9" i="108" l="1"/>
  <c r="F8" i="108"/>
  <c r="B52" i="108"/>
  <c r="E52" i="108" s="1"/>
  <c r="E53" i="108" s="1"/>
  <c r="C7" i="107" s="1"/>
  <c r="H9" i="90"/>
  <c r="I30" i="10"/>
  <c r="J30" i="10" s="1"/>
  <c r="M30" i="10"/>
  <c r="D83" i="108"/>
  <c r="D84" i="108" s="1"/>
  <c r="M17" i="90"/>
  <c r="D77" i="108"/>
  <c r="D63" i="108"/>
  <c r="G63" i="108"/>
  <c r="G84" i="108"/>
  <c r="F65" i="108"/>
  <c r="G65" i="108" s="1"/>
  <c r="M18" i="10"/>
  <c r="I18" i="10"/>
  <c r="H51" i="10"/>
  <c r="I51" i="10" s="1"/>
  <c r="F70" i="108"/>
  <c r="G70" i="108" s="1"/>
  <c r="H38" i="10"/>
  <c r="J17" i="10"/>
  <c r="K17" i="10"/>
  <c r="F69" i="108"/>
  <c r="G69" i="108" s="1"/>
  <c r="M29" i="10"/>
  <c r="B10" i="108" l="1"/>
  <c r="R59" i="10"/>
  <c r="Q59" i="10"/>
  <c r="C9" i="108"/>
  <c r="C10" i="108" s="1"/>
  <c r="B36" i="108"/>
  <c r="E36" i="108" s="1"/>
  <c r="J9" i="90"/>
  <c r="I9" i="90"/>
  <c r="B7" i="107"/>
  <c r="K30" i="10"/>
  <c r="L30" i="10" s="1"/>
  <c r="H7" i="107"/>
  <c r="L17" i="10"/>
  <c r="J51" i="10"/>
  <c r="K51" i="10"/>
  <c r="D70" i="108"/>
  <c r="D65" i="108"/>
  <c r="I38" i="10"/>
  <c r="N38" i="10"/>
  <c r="K18" i="10"/>
  <c r="J18" i="10"/>
  <c r="H9" i="10" l="1"/>
  <c r="M9" i="10" s="1"/>
  <c r="C26" i="108"/>
  <c r="B26" i="108"/>
  <c r="H8" i="10"/>
  <c r="F9" i="108"/>
  <c r="F10" i="108" s="1"/>
  <c r="F26" i="108" s="1"/>
  <c r="B35" i="108"/>
  <c r="E35" i="108" s="1"/>
  <c r="I37" i="10"/>
  <c r="N37" i="10"/>
  <c r="H49" i="10"/>
  <c r="I49" i="10" s="1"/>
  <c r="C18" i="104"/>
  <c r="D18" i="104" s="1"/>
  <c r="K9" i="90"/>
  <c r="L18" i="10"/>
  <c r="L51" i="10"/>
  <c r="K38" i="10"/>
  <c r="J38" i="10"/>
  <c r="I9" i="10" l="1"/>
  <c r="K9" i="10" s="1"/>
  <c r="M8" i="10"/>
  <c r="H34" i="10"/>
  <c r="H23" i="10"/>
  <c r="M23" i="10" s="1"/>
  <c r="I8" i="10"/>
  <c r="H35" i="10"/>
  <c r="H26" i="108"/>
  <c r="K49" i="10"/>
  <c r="J49" i="10"/>
  <c r="J37" i="10"/>
  <c r="K37" i="10"/>
  <c r="B4" i="107"/>
  <c r="L38" i="10"/>
  <c r="J9" i="10" l="1"/>
  <c r="L9" i="10" s="1"/>
  <c r="L49" i="10"/>
  <c r="K8" i="10"/>
  <c r="J8" i="10"/>
  <c r="L8" i="10" s="1"/>
  <c r="B33" i="108"/>
  <c r="E33" i="108" s="1"/>
  <c r="I34" i="10"/>
  <c r="N34" i="10"/>
  <c r="N39" i="10" s="1"/>
  <c r="N57" i="10" s="1"/>
  <c r="B34" i="108"/>
  <c r="E34" i="108" s="1"/>
  <c r="I35" i="10"/>
  <c r="N35" i="10"/>
  <c r="L37" i="10"/>
  <c r="F8" i="90"/>
  <c r="H8" i="90" s="1"/>
  <c r="H29" i="95"/>
  <c r="E37" i="108" l="1"/>
  <c r="K34" i="10"/>
  <c r="J34" i="10"/>
  <c r="L34" i="10" s="1"/>
  <c r="K35" i="10"/>
  <c r="J35" i="10"/>
  <c r="L35" i="10" s="1"/>
  <c r="J8" i="90"/>
  <c r="I8" i="90"/>
  <c r="F25" i="51"/>
  <c r="F24" i="51"/>
  <c r="F17" i="51"/>
  <c r="F16" i="51"/>
  <c r="F15" i="51"/>
  <c r="F11" i="51"/>
  <c r="F8" i="51"/>
  <c r="F80" i="108"/>
  <c r="C4" i="107" l="1"/>
  <c r="I28" i="95"/>
  <c r="B39" i="108" s="1"/>
  <c r="E39" i="108" s="1"/>
  <c r="K8" i="90"/>
  <c r="L18" i="51"/>
  <c r="L30" i="51" s="1"/>
  <c r="G24" i="51"/>
  <c r="H24" i="51" s="1"/>
  <c r="H11" i="51"/>
  <c r="G25" i="51"/>
  <c r="H25" i="51" s="1"/>
  <c r="M28" i="51"/>
  <c r="P41" i="49"/>
  <c r="N46" i="49"/>
  <c r="I19" i="95" l="1"/>
  <c r="C75" i="108" s="1"/>
  <c r="D75" i="108" s="1"/>
  <c r="D78" i="108" s="1"/>
  <c r="I29" i="95"/>
  <c r="B40" i="108" s="1"/>
  <c r="E40" i="108" s="1"/>
  <c r="N8" i="95"/>
  <c r="I24" i="51"/>
  <c r="J24" i="51"/>
  <c r="O28" i="95"/>
  <c r="J11" i="51"/>
  <c r="I11" i="51"/>
  <c r="H17" i="51"/>
  <c r="M17" i="51"/>
  <c r="O29" i="95"/>
  <c r="J29" i="95"/>
  <c r="I25" i="51"/>
  <c r="J25" i="51"/>
  <c r="G80" i="108"/>
  <c r="D80" i="108"/>
  <c r="D81" i="108" s="1"/>
  <c r="N19" i="95" l="1"/>
  <c r="H28" i="51"/>
  <c r="E6" i="107" s="1"/>
  <c r="K24" i="51"/>
  <c r="K11" i="51"/>
  <c r="K25" i="51"/>
  <c r="I17" i="51"/>
  <c r="J17" i="51"/>
  <c r="K29" i="95"/>
  <c r="L29" i="95"/>
  <c r="G81" i="108"/>
  <c r="H6" i="107" l="1"/>
  <c r="M29" i="95"/>
  <c r="K28" i="51"/>
  <c r="K17" i="51"/>
  <c r="E20" i="104"/>
  <c r="D5" i="104"/>
  <c r="E5" i="104" s="1"/>
  <c r="G15" i="10"/>
  <c r="I15" i="10" s="1"/>
  <c r="G20" i="10"/>
  <c r="I20" i="10" s="1"/>
  <c r="G21" i="10"/>
  <c r="I21" i="10" s="1"/>
  <c r="G23" i="10"/>
  <c r="I23" i="10" s="1"/>
  <c r="G28" i="10"/>
  <c r="I28" i="10" s="1"/>
  <c r="G29" i="10"/>
  <c r="I29" i="10" s="1"/>
  <c r="F11" i="90"/>
  <c r="H11" i="90" s="1"/>
  <c r="F17" i="90"/>
  <c r="H17" i="90" s="1"/>
  <c r="H8" i="95"/>
  <c r="J8" i="95" s="1"/>
  <c r="H14" i="95"/>
  <c r="J14" i="95" s="1"/>
  <c r="H28" i="95"/>
  <c r="J28" i="95" s="1"/>
  <c r="H31" i="95"/>
  <c r="J31" i="95" s="1"/>
  <c r="H15" i="95"/>
  <c r="J15" i="95" s="1"/>
  <c r="H17" i="95"/>
  <c r="J17" i="95" s="1"/>
  <c r="H22" i="95"/>
  <c r="J22" i="95" s="1"/>
  <c r="H45" i="95"/>
  <c r="H19" i="95"/>
  <c r="J19" i="95" s="1"/>
  <c r="H20" i="95"/>
  <c r="J20" i="95" s="1"/>
  <c r="F25" i="90"/>
  <c r="H25" i="90" s="1"/>
  <c r="F24" i="90"/>
  <c r="H24" i="90" s="1"/>
  <c r="M16" i="90"/>
  <c r="F15" i="90"/>
  <c r="H15" i="90" s="1"/>
  <c r="F16" i="90"/>
  <c r="H16" i="90" s="1"/>
  <c r="Q33" i="95"/>
  <c r="P33" i="95"/>
  <c r="H47" i="10" l="1"/>
  <c r="I16" i="90"/>
  <c r="J16" i="90"/>
  <c r="I11" i="90"/>
  <c r="J11" i="90"/>
  <c r="J15" i="90"/>
  <c r="I15" i="90"/>
  <c r="J25" i="90"/>
  <c r="I25" i="90"/>
  <c r="J24" i="90"/>
  <c r="I24" i="90"/>
  <c r="I17" i="90"/>
  <c r="J17" i="90"/>
  <c r="K31" i="95"/>
  <c r="L31" i="95"/>
  <c r="E46" i="49"/>
  <c r="L30" i="90"/>
  <c r="L8" i="95"/>
  <c r="K8" i="95"/>
  <c r="L19" i="95"/>
  <c r="K19" i="95"/>
  <c r="K17" i="95"/>
  <c r="L17" i="95"/>
  <c r="K28" i="95"/>
  <c r="L28" i="95"/>
  <c r="L15" i="95"/>
  <c r="K15" i="95"/>
  <c r="K14" i="95"/>
  <c r="L14" i="95"/>
  <c r="K20" i="95"/>
  <c r="L20" i="95"/>
  <c r="L22" i="95"/>
  <c r="K22" i="95"/>
  <c r="J29" i="10"/>
  <c r="K29" i="10"/>
  <c r="K28" i="10"/>
  <c r="J28" i="10"/>
  <c r="K23" i="10"/>
  <c r="J23" i="10"/>
  <c r="K20" i="10"/>
  <c r="J20" i="10"/>
  <c r="J21" i="10"/>
  <c r="K21" i="10"/>
  <c r="K15" i="10"/>
  <c r="J15" i="10"/>
  <c r="Q41" i="49"/>
  <c r="G5" i="104"/>
  <c r="F5" i="104"/>
  <c r="G20" i="104"/>
  <c r="F20" i="104"/>
  <c r="H18" i="90" l="1"/>
  <c r="H28" i="90"/>
  <c r="F68" i="108"/>
  <c r="G68" i="108" s="1"/>
  <c r="C8" i="104"/>
  <c r="C10" i="104"/>
  <c r="C12" i="104" s="1"/>
  <c r="K16" i="90"/>
  <c r="E7" i="107"/>
  <c r="M31" i="95"/>
  <c r="C66" i="108"/>
  <c r="M16" i="10"/>
  <c r="I16" i="10"/>
  <c r="M25" i="10"/>
  <c r="C68" i="108"/>
  <c r="D68" i="108" s="1"/>
  <c r="I25" i="10"/>
  <c r="H50" i="10"/>
  <c r="I50" i="10" s="1"/>
  <c r="H46" i="10"/>
  <c r="I46" i="10" s="1"/>
  <c r="I47" i="10"/>
  <c r="H48" i="10"/>
  <c r="I48" i="10" s="1"/>
  <c r="I45" i="10"/>
  <c r="M14" i="95"/>
  <c r="M20" i="95"/>
  <c r="M22" i="95"/>
  <c r="M17" i="95"/>
  <c r="E18" i="104"/>
  <c r="H5" i="104"/>
  <c r="K17" i="90"/>
  <c r="M28" i="95"/>
  <c r="M8" i="95"/>
  <c r="M19" i="95"/>
  <c r="M15" i="95"/>
  <c r="L29" i="10"/>
  <c r="L21" i="10"/>
  <c r="L28" i="10"/>
  <c r="L20" i="10"/>
  <c r="L23" i="10"/>
  <c r="L15" i="10"/>
  <c r="M18" i="90"/>
  <c r="K24" i="90"/>
  <c r="K11" i="90"/>
  <c r="K25" i="90"/>
  <c r="H20" i="104"/>
  <c r="H31" i="90" l="1"/>
  <c r="F7" i="107" s="1"/>
  <c r="B5" i="107"/>
  <c r="I9" i="95"/>
  <c r="I24" i="95" s="1"/>
  <c r="C15" i="104"/>
  <c r="D15" i="104" s="1"/>
  <c r="E15" i="104" s="1"/>
  <c r="G15" i="104" s="1"/>
  <c r="D12" i="104"/>
  <c r="E12" i="104" s="1"/>
  <c r="K28" i="90"/>
  <c r="D7" i="107"/>
  <c r="K48" i="10"/>
  <c r="J48" i="10"/>
  <c r="J50" i="10"/>
  <c r="K50" i="10"/>
  <c r="G66" i="108"/>
  <c r="D66" i="108"/>
  <c r="J45" i="10"/>
  <c r="K45" i="10"/>
  <c r="F67" i="108"/>
  <c r="G67" i="108" s="1"/>
  <c r="I19" i="10"/>
  <c r="J46" i="10"/>
  <c r="K46" i="10"/>
  <c r="D10" i="104"/>
  <c r="E10" i="104" s="1"/>
  <c r="F10" i="104" s="1"/>
  <c r="C9" i="104"/>
  <c r="D9" i="104" s="1"/>
  <c r="E9" i="104" s="1"/>
  <c r="F9" i="104" s="1"/>
  <c r="D8" i="104"/>
  <c r="E8" i="104" s="1"/>
  <c r="J16" i="10"/>
  <c r="K16" i="10"/>
  <c r="K47" i="10"/>
  <c r="J47" i="10"/>
  <c r="J25" i="10"/>
  <c r="K25" i="10"/>
  <c r="M31" i="90"/>
  <c r="G18" i="104"/>
  <c r="F18" i="104"/>
  <c r="F77" i="108" l="1"/>
  <c r="G77" i="108" s="1"/>
  <c r="G78" i="108" s="1"/>
  <c r="H5" i="107" s="1"/>
  <c r="I43" i="95"/>
  <c r="J43" i="95" s="1"/>
  <c r="I40" i="95"/>
  <c r="J40" i="95" s="1"/>
  <c r="I32" i="95"/>
  <c r="I42" i="95"/>
  <c r="J42" i="95" s="1"/>
  <c r="J24" i="95"/>
  <c r="I44" i="95"/>
  <c r="J44" i="95" s="1"/>
  <c r="I41" i="95"/>
  <c r="J41" i="95" s="1"/>
  <c r="N24" i="95"/>
  <c r="I39" i="95"/>
  <c r="I45" i="95"/>
  <c r="J45" i="95" s="1"/>
  <c r="N9" i="95"/>
  <c r="J9" i="95"/>
  <c r="H9" i="51"/>
  <c r="J9" i="51" s="1"/>
  <c r="I54" i="10"/>
  <c r="L16" i="10"/>
  <c r="G9" i="104"/>
  <c r="H9" i="104" s="1"/>
  <c r="L47" i="10"/>
  <c r="G10" i="104"/>
  <c r="H10" i="104" s="1"/>
  <c r="L50" i="10"/>
  <c r="L46" i="10"/>
  <c r="F15" i="104"/>
  <c r="H15" i="104" s="1"/>
  <c r="H21" i="104"/>
  <c r="L48" i="10"/>
  <c r="D67" i="108"/>
  <c r="D71" i="108" s="1"/>
  <c r="D85" i="108" s="1"/>
  <c r="G12" i="104"/>
  <c r="F12" i="104"/>
  <c r="L45" i="10"/>
  <c r="I26" i="10"/>
  <c r="M26" i="10"/>
  <c r="J19" i="10"/>
  <c r="K19" i="10"/>
  <c r="L25" i="10"/>
  <c r="H18" i="104"/>
  <c r="G8" i="104"/>
  <c r="F8" i="104"/>
  <c r="K15" i="90"/>
  <c r="K18" i="90" s="1"/>
  <c r="N33" i="95" l="1"/>
  <c r="N50" i="95" s="1"/>
  <c r="L41" i="95"/>
  <c r="K41" i="95"/>
  <c r="K44" i="95"/>
  <c r="L44" i="95"/>
  <c r="M44" i="95" s="1"/>
  <c r="K24" i="95"/>
  <c r="L24" i="95"/>
  <c r="L42" i="95"/>
  <c r="K42" i="95"/>
  <c r="J32" i="95"/>
  <c r="B42" i="108"/>
  <c r="E42" i="108" s="1"/>
  <c r="E43" i="108" s="1"/>
  <c r="O32" i="95"/>
  <c r="O33" i="95" s="1"/>
  <c r="O51" i="95" s="1"/>
  <c r="C19" i="104"/>
  <c r="D19" i="104" s="1"/>
  <c r="E19" i="104" s="1"/>
  <c r="L45" i="95"/>
  <c r="K45" i="95"/>
  <c r="L40" i="95"/>
  <c r="K40" i="95"/>
  <c r="J39" i="95"/>
  <c r="C11" i="104"/>
  <c r="D11" i="104" s="1"/>
  <c r="E11" i="104" s="1"/>
  <c r="L43" i="95"/>
  <c r="K43" i="95"/>
  <c r="M39" i="10"/>
  <c r="M56" i="10" s="1"/>
  <c r="I9" i="51"/>
  <c r="K9" i="51" s="1"/>
  <c r="K9" i="95"/>
  <c r="L9" i="95"/>
  <c r="G8" i="51"/>
  <c r="K31" i="90"/>
  <c r="K29" i="90"/>
  <c r="G7" i="107" s="1"/>
  <c r="I7" i="107" s="1"/>
  <c r="H8" i="104"/>
  <c r="E4" i="107"/>
  <c r="G71" i="108"/>
  <c r="L54" i="10"/>
  <c r="L19" i="10"/>
  <c r="H12" i="104"/>
  <c r="K26" i="10"/>
  <c r="J26" i="10"/>
  <c r="M45" i="95" l="1"/>
  <c r="M24" i="95"/>
  <c r="M41" i="95"/>
  <c r="M42" i="95"/>
  <c r="M9" i="95"/>
  <c r="M43" i="95"/>
  <c r="F11" i="104"/>
  <c r="G11" i="104"/>
  <c r="G19" i="104"/>
  <c r="F19" i="104"/>
  <c r="L39" i="95"/>
  <c r="K39" i="95"/>
  <c r="C5" i="107"/>
  <c r="M40" i="95"/>
  <c r="K32" i="95"/>
  <c r="L32" i="95"/>
  <c r="G85" i="108"/>
  <c r="G16" i="51"/>
  <c r="B46" i="108" s="1"/>
  <c r="E46" i="108" s="1"/>
  <c r="G15" i="51"/>
  <c r="B45" i="108" s="1"/>
  <c r="E45" i="108" s="1"/>
  <c r="H8" i="51"/>
  <c r="I39" i="10"/>
  <c r="H4" i="107"/>
  <c r="H8" i="107" s="1"/>
  <c r="L26" i="10"/>
  <c r="H19" i="104" l="1"/>
  <c r="M39" i="95"/>
  <c r="M48" i="95" s="1"/>
  <c r="E48" i="108"/>
  <c r="E54" i="108" s="1"/>
  <c r="H11" i="104"/>
  <c r="J48" i="95"/>
  <c r="E5" i="107" s="1"/>
  <c r="E8" i="107" s="1"/>
  <c r="E11" i="107" s="1"/>
  <c r="J33" i="95"/>
  <c r="D5" i="107" s="1"/>
  <c r="M32" i="95"/>
  <c r="M33" i="95" s="1"/>
  <c r="H9" i="107"/>
  <c r="H12" i="107"/>
  <c r="H11" i="107"/>
  <c r="J8" i="51"/>
  <c r="I8" i="51"/>
  <c r="C6" i="104"/>
  <c r="M15" i="51"/>
  <c r="H15" i="51"/>
  <c r="C16" i="104"/>
  <c r="D16" i="104" s="1"/>
  <c r="E16" i="104" s="1"/>
  <c r="M16" i="51"/>
  <c r="H16" i="51"/>
  <c r="L39" i="10"/>
  <c r="L57" i="10" s="1"/>
  <c r="I57" i="10"/>
  <c r="F4" i="107" s="1"/>
  <c r="B6" i="107"/>
  <c r="B8" i="107" s="1"/>
  <c r="D4" i="107"/>
  <c r="M51" i="95" l="1"/>
  <c r="E12" i="107"/>
  <c r="J51" i="95"/>
  <c r="F5" i="107" s="1"/>
  <c r="K8" i="51"/>
  <c r="M18" i="51"/>
  <c r="M31" i="51" s="1"/>
  <c r="M49" i="95"/>
  <c r="G5" i="107" s="1"/>
  <c r="I5" i="107" s="1"/>
  <c r="J15" i="51"/>
  <c r="I15" i="51"/>
  <c r="D6" i="104"/>
  <c r="E6" i="104" s="1"/>
  <c r="C14" i="104"/>
  <c r="D14" i="104" s="1"/>
  <c r="E14" i="104" s="1"/>
  <c r="J16" i="51"/>
  <c r="I16" i="51"/>
  <c r="G16" i="104"/>
  <c r="F16" i="104"/>
  <c r="L55" i="10"/>
  <c r="G4" i="107" s="1"/>
  <c r="I4" i="107" s="1"/>
  <c r="B11" i="107"/>
  <c r="B12" i="107"/>
  <c r="K15" i="51" l="1"/>
  <c r="K16" i="51"/>
  <c r="H18" i="51"/>
  <c r="H31" i="51" s="1"/>
  <c r="F6" i="107" s="1"/>
  <c r="F8" i="107" s="1"/>
  <c r="H16" i="104"/>
  <c r="G6" i="104"/>
  <c r="F6" i="104"/>
  <c r="C6" i="107"/>
  <c r="C8" i="107" s="1"/>
  <c r="G14" i="104"/>
  <c r="F14" i="104"/>
  <c r="K18" i="51" l="1"/>
  <c r="K29" i="51" s="1"/>
  <c r="G6" i="107" s="1"/>
  <c r="I6" i="107" s="1"/>
  <c r="I8" i="107" s="1"/>
  <c r="I9" i="107" s="1"/>
  <c r="K9" i="107"/>
  <c r="D6" i="107"/>
  <c r="D8" i="107" s="1"/>
  <c r="D12" i="107" s="1"/>
  <c r="E22" i="104"/>
  <c r="H14" i="104"/>
  <c r="F12" i="107"/>
  <c r="F11" i="107"/>
  <c r="H6" i="104"/>
  <c r="C11" i="107"/>
  <c r="C12" i="107"/>
  <c r="F9" i="107"/>
  <c r="K31" i="51" l="1"/>
  <c r="D11" i="107"/>
  <c r="G8" i="107"/>
  <c r="G9" i="107" s="1"/>
  <c r="H22" i="104"/>
  <c r="G12" i="107" l="1"/>
  <c r="I12" i="107" s="1"/>
  <c r="G11" i="107"/>
  <c r="I11" i="10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tc={4C9A2420-FD9F-48D6-A797-1E4F07BEE648}</author>
    <author>tc={667E191C-D0D1-489C-AE76-221CE93826EE}</author>
    <author>tc={953F744A-8021-4247-AAFF-DCFA46EE9BEF}</author>
    <author>tc={4AE56592-65A9-4A14-833A-A0DE9B52A710}</author>
    <author>tc={43EA325C-B1A3-47AB-8900-79C2719DB725}</author>
  </authors>
  <commentList>
    <comment ref="D6" authorId="0" shapeId="0" xr:uid="{4C9A2420-FD9F-48D6-A797-1E4F07BEE648}">
      <text>
        <t>[Threaded comment]
Your version of Excel allows you to read this threaded comment; however, any edits to it will get removed if the file is opened in a newer version of Excel. Learn more: https://go.microsoft.com/fwlink/?linkid=870924
Comment:
    Updated these base data to show growth or decrease
 since previous ICR.</t>
      </text>
    </comment>
    <comment ref="D7" authorId="1" shapeId="0" xr:uid="{667E191C-D0D1-489C-AE76-221CE93826EE}">
      <text>
        <t>[Threaded comment]
Your version of Excel allows you to read this threaded comment; however, any edits to it will get removed if the file is opened in a newer version of Excel. Learn more: https://go.microsoft.com/fwlink/?linkid=870924
Comment:
    Updated these base data to show growth for solid units since previous ICR.</t>
      </text>
    </comment>
    <comment ref="D13" authorId="2" shapeId="0" xr:uid="{953F744A-8021-4247-AAFF-DCFA46EE9BEF}">
      <text>
        <t>[Threaded comment]
Your version of Excel allows you to read this threaded comment; however, any edits to it will get removed if the file is opened in a newer version of Excel. Learn more: https://go.microsoft.com/fwlink/?linkid=870924
Comment:
    Updated these existing data for liquid units to show decrease in #2 fuel oil since 2013.</t>
      </text>
    </comment>
    <comment ref="C50" authorId="3" shapeId="0" xr:uid="{4AE56592-65A9-4A14-833A-A0DE9B52A710}">
      <text>
        <t>[Threaded comment]
Your version of Excel allows you to read this threaded comment; however, any edits to it will get removed if the file is opened in a newer version of Excel. Learn more: https://go.microsoft.com/fwlink/?linkid=870924
Comment:
    revised to zero</t>
      </text>
    </comment>
    <comment ref="J51" authorId="4" shapeId="0" xr:uid="{43EA325C-B1A3-47AB-8900-79C2719DB725}">
      <text>
        <t>[Threaded comment]
Your version of Excel allows you to read this threaded comment; however, any edits to it will get removed if the file is opened in a newer version of Excel. Learn more: https://go.microsoft.com/fwlink/?linkid=870924
Comment:
    revised to zero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Stephen Treimel</author>
  </authors>
  <commentList>
    <comment ref="H9" authorId="0" shapeId="0" xr:uid="{641EC7B9-3B37-48E8-8C7B-DF72B68ECB32}">
      <text>
        <r>
          <rPr>
            <b/>
            <sz val="9"/>
            <color indexed="81"/>
            <rFont val="Tahoma"/>
            <family val="2"/>
          </rPr>
          <t>Stephen Treimel:</t>
        </r>
        <r>
          <rPr>
            <sz val="9"/>
            <color indexed="81"/>
            <rFont val="Tahoma"/>
            <family val="2"/>
          </rPr>
          <t xml:space="preserve">
Three year average of existing respondents.</t>
        </r>
      </text>
    </comment>
  </commentList>
</comments>
</file>

<file path=xl/sharedStrings.xml><?xml version="1.0" encoding="utf-8"?>
<sst xmlns="http://schemas.openxmlformats.org/spreadsheetml/2006/main" count="710" uniqueCount="363">
  <si>
    <t>*All new units &gt;100 will install a CO monitor</t>
  </si>
  <si>
    <t>General Contractor</t>
  </si>
  <si>
    <t>Certfied Energy Audit Contractor</t>
  </si>
  <si>
    <t>.</t>
  </si>
  <si>
    <t>Annualized Capital/start-up O&amp;M</t>
  </si>
  <si>
    <t>Number of Responses</t>
  </si>
  <si>
    <t>*All biomass and distillate liquid units will install an opacity monitor since they are not expected to install a FF to meet PM limits.</t>
  </si>
  <si>
    <t>(A)</t>
  </si>
  <si>
    <t>(B)</t>
  </si>
  <si>
    <t>(C)</t>
  </si>
  <si>
    <t>(D)</t>
  </si>
  <si>
    <t>(E)</t>
  </si>
  <si>
    <t>Hotel</t>
  </si>
  <si>
    <t>Meals</t>
  </si>
  <si>
    <t>Airfare</t>
  </si>
  <si>
    <t>Trip Length</t>
  </si>
  <si>
    <t>Other Data</t>
  </si>
  <si>
    <t>Percent of Stack Tests Observed</t>
  </si>
  <si>
    <t>Estimated Percent Retesting</t>
  </si>
  <si>
    <t>Estimated Percent Emission Exceedences</t>
  </si>
  <si>
    <t>*All new coal and residual liquid units will have Fabric filter installed and will be assumed to use bag leak detection monitors.</t>
  </si>
  <si>
    <t>Burden Item</t>
  </si>
  <si>
    <t>1. Applications</t>
  </si>
  <si>
    <t>2. Surveys and Studies</t>
  </si>
  <si>
    <t>3. Reporting Requirements</t>
  </si>
  <si>
    <t xml:space="preserve">    B.  Required Activities</t>
  </si>
  <si>
    <t xml:space="preserve">    C.  Create Information </t>
  </si>
  <si>
    <t xml:space="preserve">    D.  Gather Information</t>
  </si>
  <si>
    <t xml:space="preserve">    E.  Report Preparation</t>
  </si>
  <si>
    <t xml:space="preserve">     B.  Implement Activities</t>
  </si>
  <si>
    <t xml:space="preserve">     D.  Record Information</t>
  </si>
  <si>
    <t xml:space="preserve">     E.  Personnel Training</t>
  </si>
  <si>
    <t xml:space="preserve">     F.  Time for Audits</t>
  </si>
  <si>
    <t>4.  Recordkeeping Requirements</t>
  </si>
  <si>
    <t>Managerial</t>
  </si>
  <si>
    <t>Technical</t>
  </si>
  <si>
    <t>Clerical</t>
  </si>
  <si>
    <t>Rate</t>
  </si>
  <si>
    <t>Category</t>
  </si>
  <si>
    <t>Fuel Category</t>
  </si>
  <si>
    <t>Size Category</t>
  </si>
  <si>
    <t>Total</t>
  </si>
  <si>
    <t>Biomass</t>
  </si>
  <si>
    <t>&lt; 10</t>
  </si>
  <si>
    <t>&gt;= 10 to 100</t>
  </si>
  <si>
    <t>&gt;100</t>
  </si>
  <si>
    <t>Coal</t>
  </si>
  <si>
    <t>Liquid</t>
  </si>
  <si>
    <t>Grand Total</t>
  </si>
  <si>
    <t>Assume units with bag leak detection will have a bag leak detection monitor</t>
  </si>
  <si>
    <t>Otherwise, all units will have an opacity monitor</t>
  </si>
  <si>
    <t>New Boiler Data</t>
  </si>
  <si>
    <t>new biomass &gt;10</t>
  </si>
  <si>
    <t>new oil &gt;10</t>
  </si>
  <si>
    <t>BLD Monitors</t>
  </si>
  <si>
    <t>Coal &gt;10</t>
  </si>
  <si>
    <t>Opacity monitors</t>
  </si>
  <si>
    <t>Affirmative Defense</t>
  </si>
  <si>
    <t xml:space="preserve">Cost in labor </t>
  </si>
  <si>
    <t>Existing Large Solid</t>
  </si>
  <si>
    <t>Existing Small Solid</t>
  </si>
  <si>
    <t>Existing Large Liquid</t>
  </si>
  <si>
    <t>Existing Small Liquid</t>
  </si>
  <si>
    <t>&lt;10</t>
  </si>
  <si>
    <t>New Small Solid</t>
  </si>
  <si>
    <t>New Large Solid</t>
  </si>
  <si>
    <t>New Small Liquid</t>
  </si>
  <si>
    <t>New Large Liquid</t>
  </si>
  <si>
    <t>No. of units claiming affirmative defense</t>
  </si>
  <si>
    <t>Hours per unit</t>
  </si>
  <si>
    <t>Boilers per Facility</t>
  </si>
  <si>
    <t>3-Yr Total</t>
  </si>
  <si>
    <t>Facilities/Yr</t>
  </si>
  <si>
    <t>Facilities 
(3-Yr Total)</t>
  </si>
  <si>
    <t>Number of Facility Represented by Model (Over 3-Yr ICR Period)</t>
  </si>
  <si>
    <t>Source 
Classification</t>
  </si>
  <si>
    <t>Grand Total*</t>
  </si>
  <si>
    <t>Sources w/ Size Category &gt;30 MMBtu/hr that will have PM costs covered by NSPS (Part 60, Subparts Db or Dc)</t>
  </si>
  <si>
    <t>Table 1A: Annual Respondent Burden and Cost – Existing and New Large Solid Fuel Boilers, NESHAP for Industrial, Commercial, and Institutional Boilers Area Sources (40 CFR Part 63, Subpart JJJJJJ) (Renewal)</t>
  </si>
  <si>
    <t>Table 2: Average Annual EPA Burden and Cost – NESHAP for Industrial, Commercial, and Institutional Boilers Area Sources (40 CFR Part 63, Subpart JJJJJJ) (Renewal)</t>
  </si>
  <si>
    <t>Table 1B: Annual Respondent Burden and Cost – Existing and New Large Liquid Fuel Boilers, NESHAP for Industrial, Commercial, and Institutional Boilers Area Sources (40 CFR Part 63, Subpart JJJJJJ) (Renewal)</t>
  </si>
  <si>
    <t>Table 1D: Annual Respondent Burden and Cost – Existing and New Small Liquid Fuel Boilers, NESHAP for Industrial, Commercial, and Institutional Boilers Area Sources (40 CFR Part 63, Subpart JJJJJJ) (Renewal)</t>
  </si>
  <si>
    <t>Table 1C: Annual Respondent Burden and Cost – Existing and New Small Solid Fuel Boilers, NESHAP for Industrial, Commercial, and Institutional Boilers Area Sources (40 CFR Part 63, Subpart JJJJJJ) (Renewal)</t>
  </si>
  <si>
    <t>Capital/Startup vs. Operation and Maintenance (O&amp;M) Costs</t>
  </si>
  <si>
    <t>Continuous Monitoring Device</t>
  </si>
  <si>
    <t>Capital/Startup Cost for One Respondent</t>
  </si>
  <si>
    <t xml:space="preserve">Number of New Respondents </t>
  </si>
  <si>
    <t>Annual O&amp;M Costs for One Respondent</t>
  </si>
  <si>
    <t>(F)</t>
  </si>
  <si>
    <t>(G)</t>
  </si>
  <si>
    <t>Number of Respondents with O&amp;M</t>
  </si>
  <si>
    <t>Total Capital/Startup Cost, (B X C)</t>
  </si>
  <si>
    <t>Large Solid Boilers</t>
  </si>
  <si>
    <t>Large Liquid Boilers</t>
  </si>
  <si>
    <t>Small Solid Boilers</t>
  </si>
  <si>
    <t>Small Liquid Boilers</t>
  </si>
  <si>
    <t>Bag Leak Detection System</t>
  </si>
  <si>
    <t>Electrostatic Precipitator System</t>
  </si>
  <si>
    <t>Biennial Tune-Up</t>
  </si>
  <si>
    <t>Initial Stack Test and Report (PM)</t>
  </si>
  <si>
    <t>Total O&amp;M,
(E X F)</t>
  </si>
  <si>
    <t>Subtotal</t>
  </si>
  <si>
    <t>Initial Stack Test and Report (Hg)</t>
  </si>
  <si>
    <t>Initial Stack Test and Report (CO)</t>
  </si>
  <si>
    <t>Respondent Labor Rates</t>
  </si>
  <si>
    <t>Agency Labor Rates &amp; Per Diem Info</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</si>
  <si>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</si>
  <si>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</si>
  <si>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</si>
  <si>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</si>
  <si>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</si>
  <si>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</si>
  <si>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Number of Respondents</t>
  </si>
  <si>
    <t>Average</t>
  </si>
  <si>
    <t>Number of Respondents (E=A+B+C-D)</t>
  </si>
  <si>
    <t>Total Annual Responses</t>
  </si>
  <si>
    <t>Information Collection Activity</t>
  </si>
  <si>
    <t xml:space="preserve">Number of Respondents  </t>
  </si>
  <si>
    <t>Number of Existing Respondents That Keep Records But Do Not Submit Reports</t>
  </si>
  <si>
    <t>Notification of Compliance Status</t>
  </si>
  <si>
    <t>Total Annual  Responses
E=(BxC)+D</t>
  </si>
  <si>
    <t>Initial Notification</t>
  </si>
  <si>
    <t>Biennial Compliance Report</t>
  </si>
  <si>
    <t>Annual Compliance Report</t>
  </si>
  <si>
    <t>A</t>
  </si>
  <si>
    <t>B</t>
  </si>
  <si>
    <t>C</t>
  </si>
  <si>
    <t>D</t>
  </si>
  <si>
    <t>E</t>
  </si>
  <si>
    <t>F</t>
  </si>
  <si>
    <t>G</t>
  </si>
  <si>
    <t>H</t>
  </si>
  <si>
    <t>Technical Person-Hours per Occurrence</t>
  </si>
  <si>
    <t>Occurrences per Year</t>
  </si>
  <si>
    <t>Technical Person-Hours per Respondent per Year (C=AxB)</t>
  </si>
  <si>
    <t>Technical Hours per Year (D=C)</t>
  </si>
  <si>
    <t>Management Hours per Year (E=Dx0.05)</t>
  </si>
  <si>
    <t>Clerical Hours per Year (F=Dx0.10)</t>
  </si>
  <si>
    <t>Certified Energy Audit Cost per Occurrence</t>
  </si>
  <si>
    <t>Total Non-Labor Annual Costs</t>
  </si>
  <si>
    <t>Total Number of Responses per Year</t>
  </si>
  <si>
    <t>Occurrences per Respondent per Year</t>
  </si>
  <si>
    <t>Tune-Up Cost per Occurrence</t>
  </si>
  <si>
    <t>Large Solid</t>
  </si>
  <si>
    <t>Large Liquid</t>
  </si>
  <si>
    <t>Small Solid</t>
  </si>
  <si>
    <t>Small Liquid</t>
  </si>
  <si>
    <t>Average No. Respondents</t>
  </si>
  <si>
    <t>Recordkeeping Burden (hrs)</t>
  </si>
  <si>
    <t>Reporting Burden (hrs)</t>
  </si>
  <si>
    <t>Total Labor Burden (hrs)</t>
  </si>
  <si>
    <t>Total Labor Cost ($)</t>
  </si>
  <si>
    <t>Total Capital and O&amp;M Cost ($)</t>
  </si>
  <si>
    <t>hrs/response</t>
  </si>
  <si>
    <t>Average No. Responses</t>
  </si>
  <si>
    <t>N/A</t>
  </si>
  <si>
    <t>See 3A</t>
  </si>
  <si>
    <t>Subtotal for Recordkeeping Requirements</t>
  </si>
  <si>
    <t>Subtotal for Reporting Requirements</t>
  </si>
  <si>
    <t>Stack Testing and Fuel Analysis Cost per Occurrence</t>
  </si>
  <si>
    <t>Other Non-Labor Costs per Occurrence</t>
  </si>
  <si>
    <t>Technical Hours per Year (E=CxD)</t>
  </si>
  <si>
    <t>Clerical Hours per Year (F=Ex0.10)</t>
  </si>
  <si>
    <t>Management Hours per Year  (G=Ex0.05)</t>
  </si>
  <si>
    <t xml:space="preserve">         1) Conduct Energy Audit</t>
  </si>
  <si>
    <t xml:space="preserve">         10) Continuous Parameter Monitoring</t>
  </si>
  <si>
    <t xml:space="preserve">              b) Opacity (All Sources with ESPs)</t>
  </si>
  <si>
    <t xml:space="preserve">              c) BLD System Operation (All Sources with Fabric Filters)</t>
  </si>
  <si>
    <t xml:space="preserve">         4) Continuous Parameter Monitoring</t>
  </si>
  <si>
    <t xml:space="preserve">                   i) Initial</t>
  </si>
  <si>
    <t xml:space="preserve">                   ii) Annual</t>
  </si>
  <si>
    <t xml:space="preserve">         5) Biennial Tune-Up</t>
  </si>
  <si>
    <t xml:space="preserve">    B.  Implement Activities</t>
  </si>
  <si>
    <t xml:space="preserve">    D.  Record Information</t>
  </si>
  <si>
    <t xml:space="preserve">    E.  Personnel Training</t>
  </si>
  <si>
    <t xml:space="preserve">    F.  Time for Audits</t>
  </si>
  <si>
    <t xml:space="preserve">         1) Initial Notification that Source is Subject</t>
  </si>
  <si>
    <t xml:space="preserve">         2) Notification of Compliance Status</t>
  </si>
  <si>
    <t xml:space="preserve">         4) Annual Compliance Report</t>
  </si>
  <si>
    <t xml:space="preserve">         5) Biennial Compliance Report</t>
  </si>
  <si>
    <t xml:space="preserve">         1)  Records of Operating Parameter Values</t>
  </si>
  <si>
    <t xml:space="preserve">         2)  Records of Deviations</t>
  </si>
  <si>
    <t xml:space="preserve">         3)  Records of Stack Tests</t>
  </si>
  <si>
    <t xml:space="preserve">         4)  Records of Monitoring Device Calibrations</t>
  </si>
  <si>
    <t xml:space="preserve">         5) Records of All Compliance Reports Submitted</t>
  </si>
  <si>
    <t xml:space="preserve">         6) Records of Monthly Fuel Use</t>
  </si>
  <si>
    <t xml:space="preserve">         7) Records of Biennial Tune-Up</t>
  </si>
  <si>
    <t xml:space="preserve">         3) Biennial Compliance Report</t>
  </si>
  <si>
    <t xml:space="preserve">           Biennial Tune-Up</t>
  </si>
  <si>
    <t xml:space="preserve">         1) Records of All Compliance Reports Submitted</t>
  </si>
  <si>
    <t xml:space="preserve">         2) Records of Biennial Tune-Up</t>
  </si>
  <si>
    <t xml:space="preserve">          1) Records of All Compliance Reports Submitted</t>
  </si>
  <si>
    <t xml:space="preserve">          2) Records of Biennial Tune-Up</t>
  </si>
  <si>
    <t>New units/yr</t>
  </si>
  <si>
    <t>Notes</t>
  </si>
  <si>
    <t>Total Costs ($)</t>
  </si>
  <si>
    <t>Table 1: Annual Respondent Burden and Cost – NESHAP for Industrial, Commercial, and Institutional Boilers Area Sources (40 CFR Part 63, Subpart JJJJJJ) (Renewal)</t>
  </si>
  <si>
    <t>Total (rounded)</t>
  </si>
  <si>
    <t xml:space="preserve">         Familiarization with Rule Requirements (existing sources)</t>
  </si>
  <si>
    <t xml:space="preserve">    A.  Familiarization with Rule Requirements</t>
  </si>
  <si>
    <t xml:space="preserve">     A.  Familiarization with Rule Requirements</t>
  </si>
  <si>
    <t>Notes (Units vs. Respondents):</t>
  </si>
  <si>
    <t>Facilities</t>
  </si>
  <si>
    <t>Adjustment since 2253.02</t>
  </si>
  <si>
    <t>Boilers</t>
  </si>
  <si>
    <t>Total Existing in Year 2022</t>
  </si>
  <si>
    <t>Projected New Sources: Growth or Decrease Per Year</t>
  </si>
  <si>
    <t>Total Existing in Year 2023</t>
  </si>
  <si>
    <t>Total Existing in Year 2024</t>
  </si>
  <si>
    <t>3-Year Average</t>
  </si>
  <si>
    <t>3-Year Average Total</t>
  </si>
  <si>
    <t>Existing Boiler Data for Years 2022, 2023, and 2024</t>
  </si>
  <si>
    <t>Calculating Decrease in Respondents and Boilers since 2253.02 (2012) for Liquid-Fired Units.</t>
  </si>
  <si>
    <t xml:space="preserve">Number of New Boilers Represented by Model </t>
  </si>
  <si>
    <t>Number of Existing Boilers Represented by Model and EIA AEO 2021 Data</t>
  </si>
  <si>
    <t>Number of Existing Facilities Represented by Model and EIA AEO 2021 Data</t>
  </si>
  <si>
    <t>March 2021 Labor Rates</t>
  </si>
  <si>
    <t>Updated Labor rates to 2021 General Schedule</t>
  </si>
  <si>
    <t>average 2021 rates, https://www.perdiem101.com/conus/2021</t>
  </si>
  <si>
    <t>average 2021 rates, https://www.perdiem101.com/conus/2022</t>
  </si>
  <si>
    <t>Assumptions</t>
  </si>
  <si>
    <r>
      <t xml:space="preserve">Respondents per Year </t>
    </r>
    <r>
      <rPr>
        <b/>
        <vertAlign val="superscript"/>
        <sz val="10"/>
        <rFont val="Times New Roman"/>
        <family val="1"/>
      </rPr>
      <t>a</t>
    </r>
  </si>
  <si>
    <r>
      <t xml:space="preserve">Total Cost per Year ($) </t>
    </r>
    <r>
      <rPr>
        <b/>
        <vertAlign val="superscript"/>
        <sz val="10"/>
        <rFont val="Times New Roman"/>
        <family val="1"/>
      </rPr>
      <t>b</t>
    </r>
  </si>
  <si>
    <r>
      <rPr>
        <vertAlign val="superscript"/>
        <sz val="10"/>
        <rFont val="Times New Roman"/>
        <family val="1"/>
      </rPr>
      <t>c</t>
    </r>
    <r>
      <rPr>
        <sz val="10"/>
        <rFont val="Times New Roman"/>
        <family val="1"/>
      </rPr>
      <t xml:space="preserve">  This burden applies to new sources only. The burden on existing sources to read and understand rule requirements and submit initial notifications was incurred during a previous ICR period.  It is assumed that existing sources will take 1 hour to refamiliarize themselves with the rule requirements each year.</t>
    </r>
  </si>
  <si>
    <r>
      <rPr>
        <vertAlign val="superscript"/>
        <sz val="10"/>
        <rFont val="Times New Roman"/>
        <family val="1"/>
      </rPr>
      <t>d</t>
    </r>
    <r>
      <rPr>
        <sz val="10"/>
        <rFont val="Times New Roman"/>
        <family val="1"/>
      </rPr>
      <t xml:space="preserve">  It is assumed that facilities must already maintain records on boiler insurance and/or maintenance scheduling; therefore, no new record system would be required.</t>
    </r>
  </si>
  <si>
    <r>
      <rPr>
        <vertAlign val="superscript"/>
        <sz val="10"/>
        <rFont val="Times New Roman"/>
        <family val="1"/>
      </rPr>
      <t>b</t>
    </r>
    <r>
      <rPr>
        <sz val="10"/>
        <rFont val="Times New Roman"/>
        <family val="1"/>
      </rPr>
      <t xml:space="preserve">  This ICR uses the following labor rates: $122.20 for technical, $153.55 for managerial, and $61.51 for clerical labor.  These rates are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t>
    </r>
  </si>
  <si>
    <r>
      <t xml:space="preserve">         3) Initial Report on Results of Energy Audit</t>
    </r>
    <r>
      <rPr>
        <vertAlign val="superscript"/>
        <sz val="10"/>
        <rFont val="Times New Roman"/>
        <family val="1"/>
      </rPr>
      <t>d</t>
    </r>
  </si>
  <si>
    <r>
      <t xml:space="preserve">         1)  Records of Operating Parameter Values </t>
    </r>
    <r>
      <rPr>
        <vertAlign val="superscript"/>
        <sz val="10"/>
        <rFont val="Times New Roman"/>
        <family val="1"/>
      </rPr>
      <t>f</t>
    </r>
  </si>
  <si>
    <r>
      <t xml:space="preserve">         2)  Records of Deviations </t>
    </r>
    <r>
      <rPr>
        <vertAlign val="superscript"/>
        <sz val="10"/>
        <rFont val="Times New Roman"/>
        <family val="1"/>
      </rPr>
      <t>f</t>
    </r>
  </si>
  <si>
    <r>
      <t xml:space="preserve">         3)  Records of Stack Tests </t>
    </r>
    <r>
      <rPr>
        <vertAlign val="superscript"/>
        <sz val="10"/>
        <rFont val="Times New Roman"/>
        <family val="1"/>
      </rPr>
      <t>f</t>
    </r>
  </si>
  <si>
    <r>
      <t xml:space="preserve">         6) Records of Monthly Fuel Use </t>
    </r>
    <r>
      <rPr>
        <vertAlign val="superscript"/>
        <sz val="10"/>
        <rFont val="Times New Roman"/>
        <family val="1"/>
      </rPr>
      <t>f</t>
    </r>
  </si>
  <si>
    <r>
      <t xml:space="preserve">    C.  Develop Record System </t>
    </r>
    <r>
      <rPr>
        <vertAlign val="superscript"/>
        <sz val="10"/>
        <rFont val="Times New Roman"/>
        <family val="1"/>
      </rPr>
      <t>m</t>
    </r>
  </si>
  <si>
    <r>
      <t xml:space="preserve">         5) Biennial Compliance Report </t>
    </r>
    <r>
      <rPr>
        <vertAlign val="superscript"/>
        <sz val="10"/>
        <rFont val="Times New Roman"/>
        <family val="1"/>
      </rPr>
      <t>l</t>
    </r>
  </si>
  <si>
    <r>
      <t xml:space="preserve">         11) Biennial Tune-Up </t>
    </r>
    <r>
      <rPr>
        <vertAlign val="superscript"/>
        <sz val="10"/>
        <rFont val="Times New Roman"/>
        <family val="1"/>
      </rPr>
      <t>l</t>
    </r>
  </si>
  <si>
    <r>
      <t xml:space="preserve">              a) Establish Site-Specific Monitoring Plan (Hg, CO, and PM) </t>
    </r>
    <r>
      <rPr>
        <vertAlign val="superscript"/>
        <sz val="10"/>
        <rFont val="Times New Roman"/>
        <family val="1"/>
      </rPr>
      <t>f, i</t>
    </r>
  </si>
  <si>
    <r>
      <t xml:space="preserve">                   i) Initial </t>
    </r>
    <r>
      <rPr>
        <vertAlign val="superscript"/>
        <sz val="10"/>
        <rFont val="Times New Roman"/>
        <family val="1"/>
      </rPr>
      <t>j</t>
    </r>
  </si>
  <si>
    <r>
      <t xml:space="preserve">                   ii) Annual </t>
    </r>
    <r>
      <rPr>
        <vertAlign val="superscript"/>
        <sz val="10"/>
        <rFont val="Times New Roman"/>
        <family val="1"/>
      </rPr>
      <t>j</t>
    </r>
  </si>
  <si>
    <r>
      <t xml:space="preserve">                   i) Initial </t>
    </r>
    <r>
      <rPr>
        <vertAlign val="superscript"/>
        <sz val="10"/>
        <rFont val="Times New Roman"/>
        <family val="1"/>
      </rPr>
      <t>k</t>
    </r>
  </si>
  <si>
    <r>
      <t xml:space="preserve">                   ii) Annual </t>
    </r>
    <r>
      <rPr>
        <vertAlign val="superscript"/>
        <sz val="10"/>
        <rFont val="Times New Roman"/>
        <family val="1"/>
      </rPr>
      <t>k</t>
    </r>
  </si>
  <si>
    <r>
      <t xml:space="preserve">         8) Initial Fuel Analysis for Hg Content </t>
    </r>
    <r>
      <rPr>
        <vertAlign val="superscript"/>
        <sz val="10"/>
        <rFont val="Times New Roman"/>
        <family val="1"/>
      </rPr>
      <t>g</t>
    </r>
  </si>
  <si>
    <r>
      <t xml:space="preserve">         9) Monthly Fuel Analysis for Hg Content </t>
    </r>
    <r>
      <rPr>
        <vertAlign val="superscript"/>
        <sz val="10"/>
        <rFont val="Times New Roman"/>
        <family val="1"/>
      </rPr>
      <t>g</t>
    </r>
  </si>
  <si>
    <r>
      <t xml:space="preserve">    A.  Read and Understand Rule Requirements (new sources) </t>
    </r>
    <r>
      <rPr>
        <vertAlign val="superscript"/>
        <sz val="10"/>
        <rFont val="Times New Roman"/>
        <family val="1"/>
      </rPr>
      <t>c</t>
    </r>
  </si>
  <si>
    <r>
      <t xml:space="preserve">              a) Industrial </t>
    </r>
    <r>
      <rPr>
        <vertAlign val="superscript"/>
        <sz val="10"/>
        <rFont val="Times New Roman"/>
        <family val="1"/>
      </rPr>
      <t>d, e</t>
    </r>
  </si>
  <si>
    <r>
      <t xml:space="preserve">              b) Commercial </t>
    </r>
    <r>
      <rPr>
        <vertAlign val="superscript"/>
        <sz val="10"/>
        <rFont val="Times New Roman"/>
        <family val="1"/>
      </rPr>
      <t>d, e</t>
    </r>
  </si>
  <si>
    <r>
      <t xml:space="preserve">         2) Initial Stack Test (Hg) </t>
    </r>
    <r>
      <rPr>
        <vertAlign val="superscript"/>
        <sz val="10"/>
        <rFont val="Times New Roman"/>
        <family val="1"/>
      </rPr>
      <t>f, g</t>
    </r>
  </si>
  <si>
    <r>
      <t xml:space="preserve">         3) Initial Stack Test (CO) </t>
    </r>
    <r>
      <rPr>
        <vertAlign val="superscript"/>
        <sz val="10"/>
        <rFont val="Times New Roman"/>
        <family val="1"/>
      </rPr>
      <t>f</t>
    </r>
  </si>
  <si>
    <r>
      <t xml:space="preserve">         4) Initial Stack Test (PM) </t>
    </r>
    <r>
      <rPr>
        <vertAlign val="superscript"/>
        <sz val="10"/>
        <rFont val="Times New Roman"/>
        <family val="1"/>
      </rPr>
      <t>f, h</t>
    </r>
  </si>
  <si>
    <r>
      <t xml:space="preserve">         5) Triennial Stack Test (Hg) </t>
    </r>
    <r>
      <rPr>
        <vertAlign val="superscript"/>
        <sz val="10"/>
        <rFont val="Times New Roman"/>
        <family val="1"/>
      </rPr>
      <t>f</t>
    </r>
  </si>
  <si>
    <r>
      <t xml:space="preserve">         6) Triennial Stack Test (CO) </t>
    </r>
    <r>
      <rPr>
        <vertAlign val="superscript"/>
        <sz val="10"/>
        <rFont val="Times New Roman"/>
        <family val="1"/>
      </rPr>
      <t>f</t>
    </r>
  </si>
  <si>
    <r>
      <t xml:space="preserve">         7) Triennial Stack Test (PM) </t>
    </r>
    <r>
      <rPr>
        <vertAlign val="superscript"/>
        <sz val="10"/>
        <rFont val="Times New Roman"/>
        <family val="1"/>
      </rPr>
      <t>f, h</t>
    </r>
  </si>
  <si>
    <r>
      <t xml:space="preserve">    C.  Develop Record System </t>
    </r>
    <r>
      <rPr>
        <vertAlign val="superscript"/>
        <sz val="10"/>
        <rFont val="Times New Roman"/>
        <family val="1"/>
      </rPr>
      <t>d</t>
    </r>
  </si>
  <si>
    <r>
      <t xml:space="preserve">     C.  Develop Record System </t>
    </r>
    <r>
      <rPr>
        <vertAlign val="superscript"/>
        <sz val="10"/>
        <rFont val="Times New Roman"/>
        <family val="1"/>
      </rPr>
      <t>d</t>
    </r>
  </si>
  <si>
    <r>
      <rPr>
        <vertAlign val="superscript"/>
        <sz val="10"/>
        <rFont val="Times New Roman"/>
        <family val="1"/>
      </rPr>
      <t>a</t>
    </r>
    <r>
      <rPr>
        <sz val="10"/>
        <rFont val="Times New Roman"/>
        <family val="1"/>
      </rPr>
      <t xml:space="preserve">  On average, over the 3-year period of this ICR, we estimate 4,260 existing large solid boilers (i.e., biomass- and coal-fired boilers &gt;10 MMBtu/hr) at 2,130 facilities will be subject to the rule. We also estimate 20 new boilers at 10 facilities per year, all of which are biomass-fired, for a total of 4,280 boilers at 2,140 facilities.</t>
    </r>
  </si>
  <si>
    <r>
      <rPr>
        <vertAlign val="superscript"/>
        <sz val="10"/>
        <rFont val="Times New Roman"/>
        <family val="1"/>
      </rPr>
      <t>e</t>
    </r>
    <r>
      <rPr>
        <sz val="10"/>
        <rFont val="Times New Roman"/>
        <family val="1"/>
      </rPr>
      <t xml:space="preserve">  Cost per occurrence for certified energy audit professionals includes a phone screening to discuss the facility prior to a visit, a 2- to 4-hour site visit, and an additional 2 to 4 hours to prepare a follow-up report on recommendations and findings.  Cost depends on whether the source is industrial or commercial.  It is assumed that 10% of sources will be industrial and 90% will be commercial.</t>
    </r>
  </si>
  <si>
    <r>
      <rPr>
        <vertAlign val="superscript"/>
        <sz val="10"/>
        <rFont val="Times New Roman"/>
        <family val="1"/>
      </rPr>
      <t>d</t>
    </r>
    <r>
      <rPr>
        <sz val="10"/>
        <rFont val="Times New Roman"/>
        <family val="1"/>
      </rPr>
      <t xml:space="preserve">  This burden applies to existing large solid fuel boilers only. All existing sources were required to complete the energy audit by the conclusion of a previous ICR period; therefore, no new or existing sources will incur this burden over the next three years.</t>
    </r>
  </si>
  <si>
    <r>
      <rPr>
        <vertAlign val="superscript"/>
        <sz val="10"/>
        <rFont val="Times New Roman"/>
        <family val="1"/>
      </rPr>
      <t>g</t>
    </r>
    <r>
      <rPr>
        <sz val="10"/>
        <rFont val="Times New Roman"/>
        <family val="1"/>
      </rPr>
      <t xml:space="preserve">  All projected large solid fuel boilers are expected to comply through stack testing instead of the fuel testing compliance option.</t>
    </r>
  </si>
  <si>
    <r>
      <rPr>
        <vertAlign val="superscript"/>
        <sz val="10"/>
        <rFont val="Times New Roman"/>
        <family val="1"/>
      </rPr>
      <t>h</t>
    </r>
    <r>
      <rPr>
        <sz val="10"/>
        <rFont val="Times New Roman"/>
        <family val="1"/>
      </rPr>
      <t xml:space="preserve">  Only boilers &lt;30 MMBtu/hr that are not subject to limits under the NSPS (40 CFR Part 60 Subparts Db, Dc) will incur additional testing, monitoring, recordkeeping and reporting costs under this rule.  It is estimated that 11 boilers (5.5 facilities, assuming 2 boilers per facility) will be subject to additional testing.</t>
    </r>
  </si>
  <si>
    <r>
      <rPr>
        <vertAlign val="superscript"/>
        <sz val="10"/>
        <rFont val="Times New Roman"/>
        <family val="1"/>
      </rPr>
      <t xml:space="preserve">i </t>
    </r>
    <r>
      <rPr>
        <sz val="10"/>
        <rFont val="Times New Roman"/>
        <family val="1"/>
      </rPr>
      <t xml:space="preserve"> Sources demonstrating compliance with any applicable emission limits through stack testing must develop a site-specific monitoring plan.  All new large solid fuel units are expected to develop this plan.</t>
    </r>
  </si>
  <si>
    <r>
      <rPr>
        <vertAlign val="superscript"/>
        <sz val="10"/>
        <rFont val="Times New Roman"/>
        <family val="1"/>
      </rPr>
      <t>j</t>
    </r>
    <r>
      <rPr>
        <sz val="10"/>
        <rFont val="Times New Roman"/>
        <family val="1"/>
      </rPr>
      <t xml:space="preserve">  All new biomass boilers &gt;10 MMBtu/hr are expected to meet PM limits with an electrostatic precipitator (ESP); therefore, those sources will install opacity monitors.</t>
    </r>
  </si>
  <si>
    <r>
      <rPr>
        <vertAlign val="superscript"/>
        <sz val="10"/>
        <rFont val="Times New Roman"/>
        <family val="1"/>
      </rPr>
      <t>k</t>
    </r>
    <r>
      <rPr>
        <sz val="10"/>
        <rFont val="Times New Roman"/>
        <family val="1"/>
      </rPr>
      <t xml:space="preserve">  All new coal boilers &gt;10 MMBtu/hr are expected to install fabric filters equipped with bag leak detection (BLD) systems instead of opacity monitors.  No new large coal boilers are projected over the three-year ICR period.</t>
    </r>
  </si>
  <si>
    <r>
      <rPr>
        <vertAlign val="superscript"/>
        <sz val="10"/>
        <rFont val="Times New Roman"/>
        <family val="1"/>
      </rPr>
      <t>m</t>
    </r>
    <r>
      <rPr>
        <sz val="10"/>
        <rFont val="Times New Roman"/>
        <family val="1"/>
      </rPr>
      <t xml:space="preserve">  It is assumed that facilities must already maintain records on boiler insurance and/or maintenance scheduling; therefore, no new record system would be required.</t>
    </r>
  </si>
  <si>
    <r>
      <rPr>
        <vertAlign val="superscript"/>
        <sz val="10"/>
        <rFont val="Times New Roman"/>
        <family val="1"/>
      </rPr>
      <t>a</t>
    </r>
    <r>
      <rPr>
        <sz val="10"/>
        <rFont val="Times New Roman"/>
        <family val="1"/>
      </rPr>
      <t xml:space="preserve">  On average, over the 3-year period of this ICR, we estimate 105,532 existing small liquid boilers (i.e., units &lt;10 MMBtu/hr) at 52,776 facilities will be subject to the rule.  We also estimate a decrease of 538 small liquid boilers per year, for a total of 104,456 boilers at 52,228 facilities.</t>
    </r>
  </si>
  <si>
    <r>
      <t xml:space="preserve">              a) Establish Site-specific monitoring plan </t>
    </r>
    <r>
      <rPr>
        <vertAlign val="superscript"/>
        <sz val="10"/>
        <rFont val="Times New Roman"/>
        <family val="1"/>
      </rPr>
      <t>g</t>
    </r>
  </si>
  <si>
    <r>
      <rPr>
        <vertAlign val="superscript"/>
        <sz val="10"/>
        <rFont val="Times New Roman"/>
        <family val="1"/>
      </rPr>
      <t>g</t>
    </r>
    <r>
      <rPr>
        <sz val="10"/>
        <rFont val="Times New Roman"/>
        <family val="1"/>
      </rPr>
      <t xml:space="preserve">  Sources demonstrating compliance with any applicable emission limits through stack testing must develop a site-specific monitoring plan.  All new large liquid fuel units are expected to develop this plan.</t>
    </r>
  </si>
  <si>
    <r>
      <rPr>
        <vertAlign val="superscript"/>
        <sz val="10"/>
        <rFont val="Times New Roman"/>
        <family val="1"/>
      </rPr>
      <t>e</t>
    </r>
    <r>
      <rPr>
        <sz val="10"/>
        <rFont val="Times New Roman"/>
        <family val="1"/>
      </rPr>
      <t xml:space="preserve">  Totals have been rounded to 3 significant figures. Figures may not add exactly due to rounding.</t>
    </r>
  </si>
  <si>
    <r>
      <t xml:space="preserve">Total Labor Burden and Costs (rounded) </t>
    </r>
    <r>
      <rPr>
        <b/>
        <vertAlign val="superscript"/>
        <sz val="10"/>
        <rFont val="Times New Roman"/>
        <family val="1"/>
      </rPr>
      <t>e</t>
    </r>
  </si>
  <si>
    <r>
      <t xml:space="preserve">Total Capital and O&amp;M Cost (rounded) </t>
    </r>
    <r>
      <rPr>
        <b/>
        <vertAlign val="superscript"/>
        <sz val="10"/>
        <rFont val="Times New Roman"/>
        <family val="1"/>
      </rPr>
      <t>e</t>
    </r>
  </si>
  <si>
    <r>
      <t xml:space="preserve">GRAND TOTAL (rounded) </t>
    </r>
    <r>
      <rPr>
        <b/>
        <vertAlign val="superscript"/>
        <sz val="10"/>
        <rFont val="Times New Roman"/>
        <family val="1"/>
      </rPr>
      <t>e</t>
    </r>
  </si>
  <si>
    <r>
      <rPr>
        <vertAlign val="superscript"/>
        <sz val="10"/>
        <rFont val="Times New Roman"/>
        <family val="1"/>
      </rPr>
      <t>n</t>
    </r>
    <r>
      <rPr>
        <sz val="10"/>
        <rFont val="Times New Roman"/>
        <family val="1"/>
      </rPr>
      <t xml:space="preserve">  Totals have been rounded to 3 significant figures. Figures may not add exactly due to rounding.</t>
    </r>
  </si>
  <si>
    <r>
      <t xml:space="preserve">         5) Records of All Compliance Reports Submitted </t>
    </r>
    <r>
      <rPr>
        <vertAlign val="superscript"/>
        <sz val="10"/>
        <rFont val="Times New Roman"/>
        <family val="1"/>
      </rPr>
      <t>f</t>
    </r>
  </si>
  <si>
    <r>
      <t xml:space="preserve">Total Labor Burden and Costs (rounded) </t>
    </r>
    <r>
      <rPr>
        <b/>
        <vertAlign val="superscript"/>
        <sz val="10"/>
        <rFont val="Times New Roman"/>
        <family val="1"/>
      </rPr>
      <t>n</t>
    </r>
  </si>
  <si>
    <r>
      <t xml:space="preserve">Total Capital and O&amp;M Cost (rounded) </t>
    </r>
    <r>
      <rPr>
        <b/>
        <vertAlign val="superscript"/>
        <sz val="10"/>
        <rFont val="Times New Roman"/>
        <family val="1"/>
      </rPr>
      <t>n</t>
    </r>
  </si>
  <si>
    <r>
      <t xml:space="preserve">GRAND TOTAL (rounded) </t>
    </r>
    <r>
      <rPr>
        <b/>
        <vertAlign val="superscript"/>
        <sz val="10"/>
        <rFont val="Times New Roman"/>
        <family val="1"/>
      </rPr>
      <t>n</t>
    </r>
  </si>
  <si>
    <r>
      <t xml:space="preserve">         4)  Records of Monitoring Device Calibrations </t>
    </r>
    <r>
      <rPr>
        <vertAlign val="superscript"/>
        <sz val="10"/>
        <rFont val="Times New Roman"/>
        <family val="1"/>
      </rPr>
      <t>f</t>
    </r>
  </si>
  <si>
    <r>
      <rPr>
        <vertAlign val="superscript"/>
        <sz val="10"/>
        <rFont val="Times New Roman"/>
        <family val="1"/>
      </rPr>
      <t>a</t>
    </r>
    <r>
      <rPr>
        <sz val="10"/>
        <rFont val="Times New Roman"/>
        <family val="1"/>
      </rPr>
      <t xml:space="preserve">  On average, over the 3-year period of this ICR, we estimate 6,167 existing large liquid boilers (i.e., units &gt;10 MMBtu/hr) at 3,084 facilities will be subject to the rule.  We also estimate a decrease of 31 large liquid boilers per year, for a total of 6,104 boilers at 3,052 facilities.</t>
    </r>
  </si>
  <si>
    <r>
      <rPr>
        <vertAlign val="superscript"/>
        <sz val="10"/>
        <rFont val="Times New Roman"/>
        <family val="1"/>
      </rPr>
      <t>a</t>
    </r>
    <r>
      <rPr>
        <sz val="10"/>
        <rFont val="Times New Roman"/>
        <family val="1"/>
      </rPr>
      <t xml:space="preserve">  On average, over the 3-year period of this ICR, we estimate 11,711 existing small solid boilers (i.e., units &lt;10 MMBtu/hr) at 5,855 facilities will be subject to the rule.  We also estimate 98 new boilers at 49 facilities per year, for a total of 11,809 boilers at 5,905 facilities.</t>
    </r>
  </si>
  <si>
    <t>Totals (rounded)</t>
  </si>
  <si>
    <r>
      <t xml:space="preserve">Grand Total (rounded) </t>
    </r>
    <r>
      <rPr>
        <b/>
        <vertAlign val="superscript"/>
        <sz val="10"/>
        <rFont val="Times New Roman"/>
        <family val="1"/>
      </rPr>
      <t>a</t>
    </r>
  </si>
  <si>
    <r>
      <rPr>
        <i/>
        <sz val="10"/>
        <rFont val="Times New Roman"/>
        <family val="1"/>
      </rPr>
      <t xml:space="preserve">Total Private Sector </t>
    </r>
    <r>
      <rPr>
        <sz val="10"/>
        <rFont val="Times New Roman"/>
        <family val="1"/>
      </rPr>
      <t>(49% of Respondents)</t>
    </r>
  </si>
  <si>
    <r>
      <rPr>
        <i/>
        <sz val="10"/>
        <rFont val="Times New Roman"/>
        <family val="1"/>
      </rPr>
      <t xml:space="preserve">Total Public Sector </t>
    </r>
    <r>
      <rPr>
        <sz val="10"/>
        <rFont val="Times New Roman"/>
        <family val="1"/>
      </rPr>
      <t>(51% of Respondents)</t>
    </r>
  </si>
  <si>
    <r>
      <t xml:space="preserve">Total Cost per Year ($) </t>
    </r>
    <r>
      <rPr>
        <b/>
        <vertAlign val="superscript"/>
        <sz val="10"/>
        <rFont val="Times New Roman"/>
        <family val="1"/>
      </rPr>
      <t>a</t>
    </r>
  </si>
  <si>
    <r>
      <t xml:space="preserve">TOTAL (rounded) </t>
    </r>
    <r>
      <rPr>
        <b/>
        <vertAlign val="superscript"/>
        <sz val="10"/>
        <rFont val="Times New Roman"/>
        <family val="1"/>
      </rPr>
      <t>k</t>
    </r>
  </si>
  <si>
    <r>
      <rPr>
        <vertAlign val="superscript"/>
        <sz val="10"/>
        <rFont val="Times New Roman"/>
        <family val="1"/>
      </rPr>
      <t>c</t>
    </r>
    <r>
      <rPr>
        <sz val="10"/>
        <rFont val="Times New Roman"/>
        <family val="1"/>
      </rPr>
      <t xml:space="preserve">  All new sources must submit initial notifications and notifications of compliance status, regardless of subcategory.</t>
    </r>
  </si>
  <si>
    <r>
      <rPr>
        <vertAlign val="superscript"/>
        <sz val="10"/>
        <rFont val="Times New Roman"/>
        <family val="1"/>
      </rPr>
      <t>d</t>
    </r>
    <r>
      <rPr>
        <sz val="10"/>
        <rFont val="Times New Roman"/>
        <family val="1"/>
      </rPr>
      <t xml:space="preserve">  It is assumed that EPA will observe 20% of  initial performance tests.</t>
    </r>
  </si>
  <si>
    <r>
      <rPr>
        <vertAlign val="superscript"/>
        <sz val="10"/>
        <rFont val="Times New Roman"/>
        <family val="1"/>
      </rPr>
      <t>e</t>
    </r>
    <r>
      <rPr>
        <sz val="10"/>
        <rFont val="Times New Roman"/>
        <family val="1"/>
      </rPr>
      <t xml:space="preserve">  It is assumed that 10% of initial performance tests will be repeated, which will be observed by EPA.</t>
    </r>
  </si>
  <si>
    <r>
      <rPr>
        <vertAlign val="superscript"/>
        <sz val="10"/>
        <rFont val="Times New Roman"/>
        <family val="1"/>
      </rPr>
      <t>f</t>
    </r>
    <r>
      <rPr>
        <sz val="10"/>
        <rFont val="Times New Roman"/>
        <family val="1"/>
      </rPr>
      <t xml:space="preserve">  The number of occurrences is based on the number of new facilities that will test and set/submit operating limits.  All new sources must submit operating limits, regardless of subcategory.</t>
    </r>
  </si>
  <si>
    <r>
      <rPr>
        <vertAlign val="superscript"/>
        <sz val="10"/>
        <rFont val="Times New Roman"/>
        <family val="1"/>
      </rPr>
      <t>g</t>
    </r>
    <r>
      <rPr>
        <sz val="10"/>
        <rFont val="Times New Roman"/>
        <family val="1"/>
      </rPr>
      <t xml:space="preserve">  The number of occurrences is based on the number of facilities maintaining records of control device parameters.</t>
    </r>
  </si>
  <si>
    <r>
      <rPr>
        <vertAlign val="superscript"/>
        <sz val="10"/>
        <rFont val="Times New Roman"/>
        <family val="1"/>
      </rPr>
      <t>h</t>
    </r>
    <r>
      <rPr>
        <sz val="10"/>
        <rFont val="Times New Roman"/>
        <family val="1"/>
      </rPr>
      <t xml:space="preserve">  It is assumed that 10% of new facilities will have exceedances, requiring EPA enforcement.</t>
    </r>
  </si>
  <si>
    <r>
      <rPr>
        <vertAlign val="superscript"/>
        <sz val="10"/>
        <rFont val="Times New Roman"/>
        <family val="1"/>
      </rPr>
      <t xml:space="preserve">i </t>
    </r>
    <r>
      <rPr>
        <sz val="10"/>
        <rFont val="Times New Roman"/>
        <family val="1"/>
      </rPr>
      <t xml:space="preserve"> All existing sources at the time of promulgation of the standard were required to complete the energy audit by the conclusion of the previous ICR period; therefore, no new or existing sources will incur this burden over the next three years.</t>
    </r>
  </si>
  <si>
    <r>
      <rPr>
        <vertAlign val="superscript"/>
        <sz val="10"/>
        <rFont val="Times New Roman"/>
        <family val="1"/>
      </rPr>
      <t>k</t>
    </r>
    <r>
      <rPr>
        <sz val="10"/>
        <rFont val="Times New Roman"/>
        <family val="1"/>
      </rPr>
      <t xml:space="preserve">  Totals have been rounded to 3 significant figures. Figures may not add exactly due to rounding.</t>
    </r>
  </si>
  <si>
    <r>
      <rPr>
        <vertAlign val="superscript"/>
        <sz val="10"/>
        <rFont val="Times New Roman"/>
        <family val="1"/>
      </rPr>
      <t>a</t>
    </r>
    <r>
      <rPr>
        <sz val="10"/>
        <rFont val="Times New Roman"/>
        <family val="1"/>
      </rPr>
      <t xml:space="preserve">  This ICR uses the following labor rates: $51.23 for technical, $69.04 for managerial, and $27.73 for clerical labor.  These rates are from the Office of Personnel Management (OPM) 2021 General Schedule, which excludes locality rates of pay.  The rates have been increased by 60 percent to account for the benefit packages available to government employees.</t>
    </r>
  </si>
  <si>
    <r>
      <rPr>
        <vertAlign val="superscript"/>
        <sz val="10"/>
        <rFont val="Times New Roman"/>
        <family val="1"/>
      </rPr>
      <t>j</t>
    </r>
    <r>
      <rPr>
        <sz val="10"/>
        <rFont val="Times New Roman"/>
        <family val="1"/>
      </rPr>
      <t xml:space="preserve">  The total cost is based on the number of performance tests observed by EPA multiplied by the cost of each trip.  Based on EPA experience with other rulemakings, each trip is estimated to be 3 days x ($220 hotel + $96 meals/incidentals) + ($600 round trip) = $1,104 per trip.</t>
    </r>
  </si>
  <si>
    <r>
      <rPr>
        <vertAlign val="superscript"/>
        <sz val="10"/>
        <rFont val="Times New Roman"/>
        <family val="1"/>
      </rPr>
      <t>b</t>
    </r>
    <r>
      <rPr>
        <sz val="10"/>
        <rFont val="Times New Roman"/>
        <family val="1"/>
      </rPr>
      <t xml:space="preserve">  No burden will be incurred over the three-year ICR period, as this was a one-time requirement during a previous ICR period.</t>
    </r>
  </si>
  <si>
    <t>63.11205: Demonstrate compliance by stack testing, fuel analysis, or stack testing and subsequent CMS</t>
  </si>
  <si>
    <t xml:space="preserve">63.11220: For boilers &gt;10 MMBtu, conduct stack tests on triennial basis. </t>
  </si>
  <si>
    <t xml:space="preserve">New = constructed after June 4, 2010. Existing = constructed on or before June 4, 2010. </t>
  </si>
  <si>
    <t xml:space="preserve">COAL: 573 existing coal boilers test for Hg and CO. No new coal boilers. New coal boilers test for Hg, CO, and PM. </t>
  </si>
  <si>
    <t>BIOMASS: 3466 existing biomass boilers using oxygen trim have no testing but must tune up biennially.</t>
  </si>
  <si>
    <r>
      <t xml:space="preserve">1. Read and Understand Rule Requirements </t>
    </r>
    <r>
      <rPr>
        <vertAlign val="superscript"/>
        <sz val="10"/>
        <rFont val="Times New Roman"/>
        <family val="1"/>
      </rPr>
      <t>b</t>
    </r>
  </si>
  <si>
    <r>
      <t xml:space="preserve">2. Enter and Update Information into Agency Recordkeeping System </t>
    </r>
    <r>
      <rPr>
        <vertAlign val="superscript"/>
        <sz val="10"/>
        <rFont val="Times New Roman"/>
        <family val="1"/>
      </rPr>
      <t>c</t>
    </r>
  </si>
  <si>
    <t>3. Required Activities</t>
  </si>
  <si>
    <r>
      <t xml:space="preserve">4. Excess Emissions Enforcement Activities and Inspections </t>
    </r>
    <r>
      <rPr>
        <vertAlign val="superscript"/>
        <sz val="10"/>
        <rFont val="Times New Roman"/>
        <family val="1"/>
      </rPr>
      <t>h</t>
    </r>
  </si>
  <si>
    <t>5. Notification Requirements</t>
  </si>
  <si>
    <t>6. Reporting Requirements</t>
  </si>
  <si>
    <r>
      <t xml:space="preserve">7. Travel Expenses for Performance Tests Observed </t>
    </r>
    <r>
      <rPr>
        <vertAlign val="superscript"/>
        <sz val="10"/>
        <rFont val="Times New Roman"/>
        <family val="1"/>
      </rPr>
      <t>j</t>
    </r>
  </si>
  <si>
    <r>
      <t xml:space="preserve">a) Observe Initial Stack/Performance Test </t>
    </r>
    <r>
      <rPr>
        <vertAlign val="superscript"/>
        <sz val="10"/>
        <rFont val="Times New Roman"/>
        <family val="1"/>
      </rPr>
      <t>d</t>
    </r>
  </si>
  <si>
    <r>
      <t xml:space="preserve">b) Observe Repeat Performance Test </t>
    </r>
    <r>
      <rPr>
        <vertAlign val="superscript"/>
        <sz val="10"/>
        <rFont val="Times New Roman"/>
        <family val="1"/>
      </rPr>
      <t>e</t>
    </r>
  </si>
  <si>
    <r>
      <t xml:space="preserve">c) Review Operating Parameters </t>
    </r>
    <r>
      <rPr>
        <vertAlign val="superscript"/>
        <sz val="10"/>
        <rFont val="Times New Roman"/>
        <family val="1"/>
      </rPr>
      <t>f</t>
    </r>
  </si>
  <si>
    <r>
      <t xml:space="preserve">d) Review Continuous Parameter Monitoring </t>
    </r>
    <r>
      <rPr>
        <vertAlign val="superscript"/>
        <sz val="10"/>
        <rFont val="Times New Roman"/>
        <family val="1"/>
      </rPr>
      <t>g</t>
    </r>
  </si>
  <si>
    <r>
      <t xml:space="preserve">c) Review Notification of Compliance Status </t>
    </r>
    <r>
      <rPr>
        <vertAlign val="superscript"/>
        <sz val="10"/>
        <rFont val="Times New Roman"/>
        <family val="1"/>
      </rPr>
      <t>c</t>
    </r>
  </si>
  <si>
    <t>a) Review Annual Compliance Report</t>
  </si>
  <si>
    <t>b) Review Biennial Compliance Report</t>
  </si>
  <si>
    <r>
      <t xml:space="preserve">c) Review Initial Report on Energy Audit Results </t>
    </r>
    <r>
      <rPr>
        <vertAlign val="superscript"/>
        <sz val="10"/>
        <rFont val="Times New Roman"/>
        <family val="1"/>
      </rPr>
      <t>i</t>
    </r>
  </si>
  <si>
    <r>
      <t xml:space="preserve">a) Review Initial Notification that Sources are Subject to the Standard </t>
    </r>
    <r>
      <rPr>
        <vertAlign val="superscript"/>
        <sz val="10"/>
        <rFont val="Times New Roman"/>
        <family val="1"/>
      </rPr>
      <t>c</t>
    </r>
  </si>
  <si>
    <r>
      <t xml:space="preserve">Triennial Stack Test and Report (Hg) </t>
    </r>
    <r>
      <rPr>
        <vertAlign val="superscript"/>
        <sz val="10"/>
        <rFont val="Times New Roman"/>
        <family val="1"/>
      </rPr>
      <t>a</t>
    </r>
  </si>
  <si>
    <r>
      <t xml:space="preserve">Triennial Stack Test and Report (CO) </t>
    </r>
    <r>
      <rPr>
        <vertAlign val="superscript"/>
        <sz val="10"/>
        <rFont val="Times New Roman"/>
        <family val="1"/>
      </rPr>
      <t>a</t>
    </r>
  </si>
  <si>
    <r>
      <t xml:space="preserve">Triennial Stack Test and Report (PM) </t>
    </r>
    <r>
      <rPr>
        <vertAlign val="superscript"/>
        <sz val="10"/>
        <rFont val="Times New Roman"/>
        <family val="1"/>
      </rPr>
      <t>a</t>
    </r>
  </si>
  <si>
    <r>
      <rPr>
        <vertAlign val="superscript"/>
        <sz val="10"/>
        <rFont val="Times New Roman"/>
        <family val="1"/>
      </rPr>
      <t>a</t>
    </r>
    <r>
      <rPr>
        <sz val="10"/>
        <rFont val="Times New Roman"/>
        <family val="1"/>
      </rPr>
      <t xml:space="preserve">  We assume that one-third of the respondents required to perform these tests will test each year during the three-year period of this ICR.</t>
    </r>
  </si>
  <si>
    <r>
      <t xml:space="preserve">Number of New Respondents </t>
    </r>
    <r>
      <rPr>
        <vertAlign val="superscript"/>
        <sz val="10"/>
        <rFont val="Times New Roman"/>
        <family val="1"/>
      </rPr>
      <t>a</t>
    </r>
  </si>
  <si>
    <r>
      <t xml:space="preserve">b) Review Notification of Initial Performance Tests and Review Test Plan </t>
    </r>
    <r>
      <rPr>
        <vertAlign val="superscript"/>
        <sz val="10"/>
        <rFont val="Times New Roman"/>
        <family val="1"/>
      </rPr>
      <t>f</t>
    </r>
  </si>
  <si>
    <t xml:space="preserve">Notes: </t>
  </si>
  <si>
    <t>Notes:</t>
  </si>
  <si>
    <t>Growth in New Large Liquid-fired Units in Period June 2010 through June 2013</t>
  </si>
  <si>
    <t>Years</t>
  </si>
  <si>
    <r>
      <t xml:space="preserve">               a) Industrial </t>
    </r>
    <r>
      <rPr>
        <vertAlign val="superscript"/>
        <sz val="10"/>
        <rFont val="Times New Roman"/>
        <family val="1"/>
      </rPr>
      <t>d</t>
    </r>
  </si>
  <si>
    <r>
      <t xml:space="preserve">               b) Commercial </t>
    </r>
    <r>
      <rPr>
        <vertAlign val="superscript"/>
        <sz val="10"/>
        <rFont val="Times New Roman"/>
        <family val="1"/>
      </rPr>
      <t>d</t>
    </r>
  </si>
  <si>
    <r>
      <rPr>
        <vertAlign val="superscript"/>
        <sz val="10"/>
        <rFont val="Times New Roman"/>
        <family val="1"/>
      </rPr>
      <t>j</t>
    </r>
    <r>
      <rPr>
        <sz val="10"/>
        <rFont val="Times New Roman"/>
        <family val="1"/>
      </rPr>
      <t xml:space="preserve">  Totals have been rounded to 3 significant figures. Figures may not add exactly due to rounding.</t>
    </r>
  </si>
  <si>
    <r>
      <t xml:space="preserve">Total Labor Burden and Costs (rounded) </t>
    </r>
    <r>
      <rPr>
        <b/>
        <vertAlign val="superscript"/>
        <sz val="10"/>
        <rFont val="Times New Roman"/>
        <family val="1"/>
      </rPr>
      <t>j</t>
    </r>
  </si>
  <si>
    <r>
      <t xml:space="preserve">Total Capital and O&amp;M Cost (rounded) </t>
    </r>
    <r>
      <rPr>
        <b/>
        <vertAlign val="superscript"/>
        <sz val="10"/>
        <rFont val="Times New Roman"/>
        <family val="1"/>
      </rPr>
      <t>j</t>
    </r>
  </si>
  <si>
    <r>
      <t xml:space="preserve">GRAND TOTAL (rounded) </t>
    </r>
    <r>
      <rPr>
        <b/>
        <vertAlign val="superscript"/>
        <sz val="10"/>
        <rFont val="Times New Roman"/>
        <family val="1"/>
      </rPr>
      <t>j</t>
    </r>
  </si>
  <si>
    <r>
      <t xml:space="preserve">    C.  Develop Record System </t>
    </r>
    <r>
      <rPr>
        <vertAlign val="superscript"/>
        <sz val="10"/>
        <rFont val="Times New Roman"/>
        <family val="1"/>
      </rPr>
      <t>i</t>
    </r>
  </si>
  <si>
    <r>
      <rPr>
        <vertAlign val="superscript"/>
        <sz val="10"/>
        <rFont val="Times New Roman"/>
        <family val="1"/>
      </rPr>
      <t>i</t>
    </r>
    <r>
      <rPr>
        <sz val="10"/>
        <rFont val="Times New Roman"/>
        <family val="1"/>
      </rPr>
      <t xml:space="preserve">  It is assumed that facilities must already maintain records on boiler insurance and/or maintenance scheduling; therefore, no new record system would be required.</t>
    </r>
  </si>
  <si>
    <r>
      <t xml:space="preserve">a  </t>
    </r>
    <r>
      <rPr>
        <sz val="10"/>
        <rFont val="Times New Roman"/>
        <family val="1"/>
      </rPr>
      <t xml:space="preserve">New respondents include sources with constructed, reconstructed and modified affected facilities. </t>
    </r>
    <r>
      <rPr>
        <vertAlign val="superscript"/>
        <sz val="10"/>
        <rFont val="Times New Roman"/>
        <family val="1"/>
      </rPr>
      <t xml:space="preserve">
b  </t>
    </r>
    <r>
      <rPr>
        <sz val="10"/>
        <rFont val="Times New Roman"/>
        <family val="1"/>
      </rPr>
      <t>Based on our research for this ICR, we determined that the number of respondents using liquid-fired boilers is decreasing at a rate of 1 percent per year during the three-year period of this ICR.</t>
    </r>
    <r>
      <rPr>
        <vertAlign val="superscript"/>
        <sz val="10"/>
        <rFont val="Times New Roman"/>
        <family val="1"/>
      </rPr>
      <t xml:space="preserve">
</t>
    </r>
  </si>
  <si>
    <t xml:space="preserve">5.5 respondents per year = 1/3 of all new biomass boilers &gt; 10 MMBtu constructed since June 2010. 3 ICR periods x 11 new biomass boilers per ICR (growth rate) / 2 boilers per respondent x 1/3 of respondents test each year. ((3 x 11) / 2 / 3 = 5.5 . Note: new boilers constructed during this ICR period do not perform repeat testing during this ICR period. </t>
  </si>
  <si>
    <t>20.2 respondents per year = 1/3 of all new biomass boilers &gt; 10 MMBtu constructed since June 2010. 3 ICR periods x 11 new biomass boilers per ICR (growth rate) + 2/3's of new biomass boilers constructed during this ICR period,  / 2 boilers per respondent x all respondents test each year. ((3 x 11) + (2/3 x 11))/2  = 20.16</t>
  </si>
  <si>
    <t>286.5 = all facilities w/ existing coal units (no new units). 573 coal boilers/2 boilers per facility = 286.5</t>
  </si>
  <si>
    <t>1.83 = 11 new biomass boilers in this ICR period / 2 boilers per respondent x 1/3 of respondents each year. 11/2/3 = 1.83</t>
  </si>
  <si>
    <t>95.5 = 573 existing large coal boilers x 1/3 test each year / 2 boilers per respondent. 573/3/2 = 95.5</t>
  </si>
  <si>
    <t>95.5 = 573 existing large coal boilers x 1/3 test each year / 2 boilers per respondent. 573/3/2 = 95.6</t>
  </si>
  <si>
    <r>
      <rPr>
        <vertAlign val="superscript"/>
        <sz val="10"/>
        <rFont val="Times New Roman"/>
        <family val="1"/>
      </rPr>
      <t>l</t>
    </r>
    <r>
      <rPr>
        <sz val="10"/>
        <rFont val="Times New Roman"/>
        <family val="1"/>
      </rPr>
      <t xml:space="preserve">  New and existing large biomass boilers are subject to biennial tune-ups. These boilers also submit a biennial compliance report.</t>
    </r>
  </si>
  <si>
    <r>
      <rPr>
        <vertAlign val="superscript"/>
        <sz val="10"/>
        <color rgb="FF000000"/>
        <rFont val="Times New Roman"/>
        <family val="1"/>
      </rPr>
      <t>a</t>
    </r>
    <r>
      <rPr>
        <sz val="10"/>
        <color rgb="FF000000"/>
        <rFont val="Times New Roman"/>
        <family val="1"/>
      </rPr>
      <t xml:space="preserve">  Totals have been rounded to 3 significant figures. Figures may not add exactly due to rounding.    </t>
    </r>
  </si>
  <si>
    <r>
      <t xml:space="preserve">Existing in 2012 </t>
    </r>
    <r>
      <rPr>
        <vertAlign val="superscript"/>
        <sz val="10"/>
        <rFont val="Arial"/>
        <family val="2"/>
      </rPr>
      <t>a</t>
    </r>
  </si>
  <si>
    <r>
      <t xml:space="preserve">Growth per year </t>
    </r>
    <r>
      <rPr>
        <vertAlign val="superscript"/>
        <sz val="10"/>
        <rFont val="Arial"/>
        <family val="2"/>
      </rPr>
      <t>a</t>
    </r>
  </si>
  <si>
    <r>
      <t xml:space="preserve">Existing in 2013 </t>
    </r>
    <r>
      <rPr>
        <vertAlign val="superscript"/>
        <sz val="10"/>
        <rFont val="Arial"/>
        <family val="2"/>
      </rPr>
      <t>b</t>
    </r>
  </si>
  <si>
    <r>
      <t xml:space="preserve">Decrease to 2022 (-33%) </t>
    </r>
    <r>
      <rPr>
        <vertAlign val="superscript"/>
        <sz val="10"/>
        <rFont val="Arial"/>
        <family val="2"/>
      </rPr>
      <t>c</t>
    </r>
  </si>
  <si>
    <r>
      <t xml:space="preserve">Growth </t>
    </r>
    <r>
      <rPr>
        <vertAlign val="superscript"/>
        <sz val="10"/>
        <rFont val="Arial"/>
        <family val="2"/>
      </rPr>
      <t>a</t>
    </r>
  </si>
  <si>
    <r>
      <rPr>
        <vertAlign val="superscript"/>
        <sz val="10"/>
        <rFont val="Arial"/>
        <family val="2"/>
      </rPr>
      <t>a</t>
    </r>
    <r>
      <rPr>
        <sz val="10"/>
        <rFont val="Arial"/>
        <family val="2"/>
      </rPr>
      <t xml:space="preserve">  The growth in number of facilites in the period June 2010 through June 2013 is used to calculate the number of new large liquid-fired boilers constructed since promulgation of the rule and thus subject to standards under this rule. Due to the decrease in fuel oil consumption indicated by the EIA data, we assume that no new oil-fired units were constructed after June 2013. </t>
    </r>
  </si>
  <si>
    <r>
      <rPr>
        <vertAlign val="superscript"/>
        <sz val="10"/>
        <rFont val="Arial"/>
        <family val="2"/>
      </rPr>
      <t>a</t>
    </r>
    <r>
      <rPr>
        <sz val="10"/>
        <rFont val="Arial"/>
        <family val="2"/>
      </rPr>
      <t xml:space="preserve">  The counts for existing facilities (respondents) and existing boilers and the values for growth per year are taken directly from the "Base Data' tab of "AreaBoiler_2253.02.xlsx". 
</t>
    </r>
    <r>
      <rPr>
        <vertAlign val="superscript"/>
        <sz val="10"/>
        <rFont val="Arial"/>
        <family val="2"/>
      </rPr>
      <t>b</t>
    </r>
    <r>
      <rPr>
        <sz val="10"/>
        <rFont val="Arial"/>
        <family val="2"/>
      </rPr>
      <t xml:space="preserve">  The values for 'Existing in 2013' are the values from 2012, incremented by 1 year's growth. 
</t>
    </r>
    <r>
      <rPr>
        <vertAlign val="superscript"/>
        <sz val="10"/>
        <rFont val="Arial"/>
        <family val="2"/>
      </rPr>
      <t>c</t>
    </r>
    <r>
      <rPr>
        <sz val="10"/>
        <rFont val="Arial"/>
        <family val="2"/>
      </rPr>
      <t xml:space="preserve">  U.S. Energy Information Administration data (AEO 2006, AEO 2021, available at https://www.eia.gov/outlooks/aeo/) indicates the consumption of distilate fuel oil in the commercial sector has decreased by 33 percent in the past 9 years and is anticipated to decrease by 1% per year for the next three years. In this ICR renewal, we assume this decrease in consumption corresponds to an equivalent decrease in the number of small and large boilers firing liquid fuels. We adjust the number of small liquid-fired and large liquid-fired boilers and respondents existing in 2013 by 33% to determine the number of small liquid-fired and large liquid-fired boilers existing in the first year of this ICR renewal (2022).  
</t>
    </r>
  </si>
  <si>
    <t>1,843 = existing large biomass boilers + 2/3's of new large biomass boilers</t>
  </si>
  <si>
    <t>2,130 = existing large coal + existing large biomass + 2/3's of new biomass</t>
  </si>
  <si>
    <r>
      <rPr>
        <vertAlign val="superscript"/>
        <sz val="10"/>
        <rFont val="Times New Roman"/>
        <family val="1"/>
      </rPr>
      <t>d</t>
    </r>
    <r>
      <rPr>
        <sz val="10"/>
        <rFont val="Times New Roman"/>
        <family val="1"/>
      </rPr>
      <t xml:space="preserve">  This burden applies to existing large liquid fuel boilers only. All existing sources were required to complete the energy audit by the conclusion of the previous ICR period; therefore, no new or existing sources will incur this burden over the next three years. Cost per occurrence for certified energy audit professionals includes a phone screening to discuss the facility prior to a visit, a 2- to 4-hour site visit, and an additional 2 to 4 hours to prepare a follow-up report on recommendations and findings.  Cost depends on whether the source is industrial or commercial.  It is assumed that 10% of sources will be industrial and 90% will be commercial.</t>
    </r>
  </si>
  <si>
    <r>
      <rPr>
        <vertAlign val="superscript"/>
        <sz val="10"/>
        <rFont val="Times New Roman"/>
        <family val="1"/>
      </rPr>
      <t>f</t>
    </r>
    <r>
      <rPr>
        <sz val="10"/>
        <rFont val="Times New Roman"/>
        <family val="1"/>
      </rPr>
      <t xml:space="preserve">  We assume one-third of respondents perform stack testing each year over the three-year period of this ICR. Liquid fuel boilers constructed since June 2010 that are &gt; 10 MMBtu and &lt;30 MMBtu/hr are not subject to PM limits under the NSPS (40 CFR Part 60 Subparts Db, Dc). These units will incur additional testing, monitoring, recordkeeping and reporting costs under this rule. The number of respondents required to perform stack testing is the number of respondents that constructed a boiler subject to the PM standard since promulgation of the rule in June 2010. EIA AEO data indicates that growth in this sector ceased in 2013 and began to decrease. This number represents the respondents constructing new boiler units in the three year period June 2010 through June 2013. We assume no new large liquid boilers have been constructed since that time.</t>
    </r>
  </si>
  <si>
    <r>
      <t xml:space="preserve">         2) Initial Stack Test and Report (PM) </t>
    </r>
    <r>
      <rPr>
        <vertAlign val="superscript"/>
        <sz val="10"/>
        <rFont val="Times New Roman"/>
        <family val="1"/>
      </rPr>
      <t>e</t>
    </r>
  </si>
  <si>
    <r>
      <t xml:space="preserve">         3) Triennial Stack Test and Report (PM) </t>
    </r>
    <r>
      <rPr>
        <vertAlign val="superscript"/>
        <sz val="10"/>
        <rFont val="Times New Roman"/>
        <family val="1"/>
      </rPr>
      <t>f</t>
    </r>
  </si>
  <si>
    <r>
      <t xml:space="preserve">                   ii) Annual </t>
    </r>
    <r>
      <rPr>
        <vertAlign val="superscript"/>
        <sz val="10"/>
        <rFont val="Times New Roman"/>
        <family val="1"/>
      </rPr>
      <t>h</t>
    </r>
  </si>
  <si>
    <r>
      <rPr>
        <vertAlign val="superscript"/>
        <sz val="10"/>
        <rFont val="Times New Roman"/>
        <family val="1"/>
      </rPr>
      <t>e</t>
    </r>
    <r>
      <rPr>
        <sz val="10"/>
        <rFont val="Times New Roman"/>
        <family val="1"/>
      </rPr>
      <t xml:space="preserve">  All new large liquid fuel boilers are expected to comply through stack testing instead of the fuel testing compliance option. Only units &lt;30 MMBtu/hr that are not subject to PM limits under the NSPS (40 CFR Part 60 Subparts Db, Dc) will incur additional testing, monitoring, recordkeeping and reporting costs under this rule. This is a conservatively high estimate for burden as we expect some of the units will comply with the PM standard by combusting ultra-low sulfur diesel (ULSD), but the number of units with ULSD is unknown.</t>
    </r>
  </si>
  <si>
    <t>27 respondents = # respondents that have constructed since June 2010 and not subject to NPSP Subpart Db or Dc (244/3=81). Assume 1/3 test each year (81/3=27).</t>
  </si>
  <si>
    <r>
      <rPr>
        <vertAlign val="superscript"/>
        <sz val="10"/>
        <rFont val="Times New Roman"/>
        <family val="1"/>
      </rPr>
      <t>h</t>
    </r>
    <r>
      <rPr>
        <sz val="10"/>
        <rFont val="Times New Roman"/>
        <family val="1"/>
      </rPr>
      <t xml:space="preserve">  The number of respondents with an annual opacity test represents the number of respondents constructed since promulgation of the rule and are not already subject to NSPS Subpart Db or Dc.. EIA AEO data indicates that growth in this sector ceased in 2013 and began to decrease. This number represents the respondents constructing new boiler units in the three year period June 2010 through June 2013. We assume no new large liquid boilers have been constructed since that time.  </t>
    </r>
  </si>
  <si>
    <t>81 respondents = # respondents that have constructed since June 2010 and not subject to NPSP Subpart Db or Dc (244/3=81).</t>
  </si>
  <si>
    <t>81 respondents are subject to emission standards and are required to submit annual compliance reports.</t>
  </si>
  <si>
    <r>
      <rPr>
        <vertAlign val="superscript"/>
        <sz val="10"/>
        <rFont val="Times New Roman"/>
        <family val="1"/>
      </rPr>
      <t>f</t>
    </r>
    <r>
      <rPr>
        <sz val="10"/>
        <rFont val="Times New Roman"/>
        <family val="1"/>
      </rPr>
      <t xml:space="preserve">  Only existing and new large coal boilers are subject to numerical mercury (Hg) and carbon monoxide (CO) limits, while new large coal and biomass boilers are subject to particulate matter (PM) limits. </t>
    </r>
    <r>
      <rPr>
        <sz val="10"/>
        <color rgb="FFFF0000"/>
        <rFont val="Times New Roman"/>
        <family val="1"/>
      </rPr>
      <t>Large biomass boilers constructed since June 2010 and not subject to NSPS limits for PM under 40 CFR Part 60 Subparts Db or Dc are subject to PM limits under this rule.</t>
    </r>
  </si>
  <si>
    <t>307 = existing and new large coal boilers + new large biomass boilers constructed since June 2010 with PM limits and not subject to NSPS limits + 2/3's of large biomass boilers projected to be constructed during this three-year ICR period with PM limits and not subject to NSPS limits. (573/2 (existing coal) + ((11/2)*3) biomass boilers constructed since June 2010 + 2/3*(11/2) (2/3's of new biomass boilers)</t>
  </si>
  <si>
    <t>Count QA: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</si>
</sst>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quot;$&quot;#,##0"/>
    <numFmt numFmtId="166" formatCode="#,##0.0"/>
    <numFmt numFmtId="167" formatCode="&quot;$&quot;#,##0.0"/>
    <numFmt numFmtId="168" formatCode="0.0"/>
  </numFmts>
  <fonts count="32" x14ac:knownFonts="1">
    <font>
      <sz val="10"/>
      <name val="Arial"/>
    </font>
    <font>
      <sz val="10"/>
      <name val="Arial"/>
      <family val="2"/>
    </font>
    <font>
      <sz val="8"/>
      <name val="Arial"/>
      <family val="2"/>
    </font>
    <font>
      <b/>
      <sz val="10"/>
      <name val="Arial"/>
      <family val="2"/>
    </font>
    <font>
      <b/>
      <u/>
      <sz val="10"/>
      <name val="Arial"/>
      <family val="2"/>
    </font>
    <font>
      <i/>
      <sz val="10"/>
      <name val="Arial"/>
      <family val="2"/>
    </font>
    <font>
      <sz val="10"/>
      <name val="Times New Roman"/>
      <family val="1"/>
    </font>
    <font>
      <sz val="10"/>
      <name val="Arial"/>
      <family val="2"/>
    </font>
    <font>
      <b/>
      <sz val="12"/>
      <name val="Times New Roman"/>
      <family val="1"/>
    </font>
    <font>
      <b/>
      <sz val="12"/>
      <color rgb="FF000000"/>
      <name val="Times New Roman"/>
      <family val="1"/>
    </font>
    <font>
      <sz val="10"/>
      <color rgb="FF000000"/>
      <name val="Times New Roman"/>
      <family val="1"/>
    </font>
    <font>
      <i/>
      <sz val="10"/>
      <name val="Times New Roman"/>
      <family val="1"/>
    </font>
    <font>
      <b/>
      <sz val="10"/>
      <name val="Times New Roman"/>
      <family val="1"/>
    </font>
    <font>
      <b/>
      <sz val="8"/>
      <name val="Times New Roman"/>
      <family val="1"/>
    </font>
    <font>
      <sz val="8"/>
      <name val="Times New Roman"/>
      <family val="1"/>
    </font>
    <font>
      <sz val="10"/>
      <color rgb="FFFF0000"/>
      <name val="Arial"/>
      <family val="2"/>
    </font>
    <font>
      <vertAlign val="superscript"/>
      <sz val="10"/>
      <color rgb="FF000000"/>
      <name val="Times New Roman"/>
      <family val="1"/>
    </font>
    <font>
      <sz val="10"/>
      <color theme="0"/>
      <name val="Arial"/>
      <family val="2"/>
    </font>
    <font>
      <b/>
      <sz val="10"/>
      <color theme="0"/>
      <name val="Times New Roman"/>
      <family val="1"/>
    </font>
    <font>
      <b/>
      <vertAlign val="superscript"/>
      <sz val="10"/>
      <name val="Times New Roman"/>
      <family val="1"/>
    </font>
    <font>
      <vertAlign val="superscript"/>
      <sz val="10"/>
      <name val="Times New Roman"/>
      <family val="1"/>
    </font>
    <font>
      <b/>
      <i/>
      <sz val="10"/>
      <name val="Times New Roman"/>
      <family val="1"/>
    </font>
    <font>
      <sz val="10"/>
      <color theme="0"/>
      <name val="Times New Roman"/>
      <family val="1"/>
    </font>
    <font>
      <sz val="10"/>
      <color rgb="FFFF0000"/>
      <name val="Times New Roman"/>
      <family val="1"/>
    </font>
    <font>
      <sz val="10"/>
      <color rgb="FFFFC000"/>
      <name val="Times New Roman"/>
      <family val="1"/>
    </font>
    <font>
      <sz val="9"/>
      <name val="Segoe UI"/>
      <family val="2"/>
    </font>
    <font>
      <sz val="9"/>
      <color indexed="81"/>
      <name val="Tahoma"/>
      <family val="2"/>
    </font>
    <font>
      <b/>
      <sz val="9"/>
      <color indexed="81"/>
      <name val="Tahoma"/>
      <family val="2"/>
    </font>
    <font>
      <sz val="10"/>
      <color rgb="FF00B050"/>
      <name val="Times New Roman"/>
      <family val="1"/>
    </font>
    <font>
      <vertAlign val="superscript"/>
      <sz val="10"/>
      <name val="Arial"/>
      <family val="2"/>
    </font>
    <font>
      <sz val="10"/>
      <color theme="0" tint="-0.14999847407452621"/>
      <name val="Arial"/>
      <family val="2"/>
    </font>
    <font>
      <sz val="10"/>
      <color theme="0" tint="-0.14999847407452621"/>
      <name val="Times New Roman"/>
      <family val="1"/>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99FF99"/>
        <bgColor indexed="64"/>
      </patternFill>
    </fill>
    <fill>
      <patternFill patternType="solid">
        <fgColor theme="8" tint="0.79998168889431442"/>
        <bgColor indexed="64"/>
      </patternFill>
    </fill>
    <fill>
      <patternFill patternType="solid">
        <fgColor theme="0" tint="-0.14999847407452621"/>
        <bgColor indexed="64"/>
      </patternFill>
    </fill>
  </fills>
  <borders count="3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426">
    <xf numFmtId="0" fontId="0" fillId="0" borderId="0" xfId="0"/>
    <xf numFmtId="0" fontId="3" fillId="2" borderId="2" xfId="0" applyFont="1" applyFill="1" applyBorder="1"/>
    <xf numFmtId="0" fontId="4" fillId="0" borderId="0" xfId="0" applyFont="1"/>
    <xf numFmtId="0" fontId="3" fillId="0" borderId="0" xfId="0" applyFont="1" applyFill="1" applyBorder="1"/>
    <xf numFmtId="0" fontId="3" fillId="0" borderId="0" xfId="0" applyFont="1"/>
    <xf numFmtId="0" fontId="3" fillId="0" borderId="0" xfId="0" applyFont="1" applyFill="1"/>
    <xf numFmtId="0" fontId="3" fillId="0" borderId="3" xfId="0" applyFont="1" applyBorder="1"/>
    <xf numFmtId="0" fontId="1" fillId="0" borderId="4" xfId="0" applyFont="1" applyBorder="1"/>
    <xf numFmtId="0" fontId="1" fillId="0" borderId="5" xfId="0" applyFont="1" applyFill="1" applyBorder="1"/>
    <xf numFmtId="0" fontId="1" fillId="0" borderId="0" xfId="0" applyFont="1"/>
    <xf numFmtId="0" fontId="1" fillId="0" borderId="2" xfId="0" applyFont="1" applyFill="1" applyBorder="1"/>
    <xf numFmtId="3" fontId="1" fillId="0" borderId="0" xfId="0" applyNumberFormat="1" applyFont="1" applyBorder="1"/>
    <xf numFmtId="0" fontId="3" fillId="2" borderId="2" xfId="0" applyFont="1" applyFill="1" applyBorder="1" applyAlignment="1">
      <alignment horizontal="center" wrapText="1"/>
    </xf>
    <xf numFmtId="0" fontId="5" fillId="3" borderId="16" xfId="0" applyFont="1" applyFill="1" applyBorder="1"/>
    <xf numFmtId="0" fontId="5" fillId="3" borderId="17" xfId="0" applyFont="1" applyFill="1" applyBorder="1"/>
    <xf numFmtId="0" fontId="5" fillId="3" borderId="18" xfId="0" applyFont="1" applyFill="1" applyBorder="1"/>
    <xf numFmtId="0" fontId="3" fillId="2" borderId="6" xfId="0" applyFont="1" applyFill="1" applyBorder="1" applyAlignment="1">
      <alignment wrapText="1"/>
    </xf>
    <xf numFmtId="0" fontId="1" fillId="0" borderId="0" xfId="0" applyFont="1" applyFill="1"/>
    <xf numFmtId="0" fontId="10" fillId="0" borderId="12" xfId="0" applyFont="1" applyBorder="1" applyAlignment="1">
      <alignment horizontal="center" vertical="top" wrapText="1"/>
    </xf>
    <xf numFmtId="0" fontId="10" fillId="0" borderId="6" xfId="0" applyFont="1" applyBorder="1" applyAlignment="1">
      <alignment vertical="top" wrapText="1"/>
    </xf>
    <xf numFmtId="0" fontId="1" fillId="0" borderId="0" xfId="0" applyFont="1" applyFill="1" applyBorder="1"/>
    <xf numFmtId="0" fontId="4" fillId="0" borderId="0" xfId="0" applyFont="1" applyBorder="1"/>
    <xf numFmtId="0" fontId="6" fillId="0" borderId="12" xfId="0" applyFont="1" applyBorder="1" applyAlignment="1">
      <alignment horizontal="center" vertical="top" wrapText="1"/>
    </xf>
    <xf numFmtId="0" fontId="6" fillId="0" borderId="6" xfId="0" applyFont="1" applyBorder="1" applyAlignment="1">
      <alignment horizontal="center" vertical="top" wrapText="1"/>
    </xf>
    <xf numFmtId="0" fontId="6" fillId="0" borderId="6" xfId="0" applyFont="1" applyBorder="1" applyAlignment="1">
      <alignment vertical="top" wrapText="1"/>
    </xf>
    <xf numFmtId="0" fontId="3" fillId="0" borderId="2" xfId="0" applyFont="1" applyBorder="1"/>
    <xf numFmtId="0" fontId="1" fillId="0" borderId="2" xfId="0" applyFont="1" applyBorder="1" applyAlignment="1">
      <alignment horizontal="center"/>
    </xf>
    <xf numFmtId="1" fontId="1" fillId="0" borderId="0" xfId="0" applyNumberFormat="1" applyFont="1"/>
    <xf numFmtId="0" fontId="1" fillId="0" borderId="2" xfId="0" applyFont="1" applyBorder="1"/>
    <xf numFmtId="3" fontId="1" fillId="0" borderId="2" xfId="0" applyNumberFormat="1" applyFont="1" applyFill="1" applyBorder="1"/>
    <xf numFmtId="0" fontId="5" fillId="0" borderId="2" xfId="0" applyFont="1" applyFill="1" applyBorder="1"/>
    <xf numFmtId="3" fontId="1" fillId="0" borderId="2" xfId="0" applyNumberFormat="1" applyFont="1" applyBorder="1"/>
    <xf numFmtId="166" fontId="1" fillId="0" borderId="2" xfId="0" applyNumberFormat="1" applyFont="1" applyBorder="1"/>
    <xf numFmtId="0" fontId="1" fillId="0" borderId="18" xfId="0" applyFont="1" applyBorder="1"/>
    <xf numFmtId="0" fontId="1" fillId="0" borderId="0" xfId="0" applyFont="1" applyBorder="1"/>
    <xf numFmtId="0" fontId="1" fillId="0" borderId="0" xfId="0" applyFont="1" applyBorder="1" applyAlignment="1">
      <alignment horizontal="right"/>
    </xf>
    <xf numFmtId="3" fontId="1" fillId="0" borderId="0" xfId="0" applyNumberFormat="1" applyFont="1" applyBorder="1" applyAlignment="1">
      <alignment horizontal="right"/>
    </xf>
    <xf numFmtId="1" fontId="1" fillId="0" borderId="0" xfId="0" applyNumberFormat="1" applyFont="1" applyBorder="1"/>
    <xf numFmtId="164" fontId="1" fillId="0" borderId="2" xfId="0" applyNumberFormat="1" applyFont="1" applyBorder="1"/>
    <xf numFmtId="0" fontId="1" fillId="0" borderId="2" xfId="0" applyFont="1" applyBorder="1" applyAlignment="1">
      <alignment vertical="center" wrapText="1"/>
    </xf>
    <xf numFmtId="164" fontId="1" fillId="0" borderId="2" xfId="0" applyNumberFormat="1" applyFont="1" applyBorder="1" applyAlignment="1">
      <alignment vertical="center"/>
    </xf>
    <xf numFmtId="9" fontId="1" fillId="0" borderId="2" xfId="0" applyNumberFormat="1" applyFont="1" applyBorder="1"/>
    <xf numFmtId="0" fontId="1" fillId="0" borderId="11" xfId="0" applyFont="1" applyBorder="1"/>
    <xf numFmtId="0" fontId="1" fillId="0" borderId="7" xfId="0" applyFont="1" applyBorder="1"/>
    <xf numFmtId="0" fontId="1" fillId="0" borderId="9" xfId="0" applyFont="1" applyBorder="1"/>
    <xf numFmtId="0" fontId="1" fillId="0" borderId="0" xfId="0" applyFont="1" applyBorder="1" applyAlignment="1">
      <alignment vertical="center" wrapText="1"/>
    </xf>
    <xf numFmtId="164" fontId="1" fillId="0" borderId="0" xfId="0" applyNumberFormat="1" applyFont="1" applyBorder="1" applyAlignment="1">
      <alignment vertical="center"/>
    </xf>
    <xf numFmtId="0" fontId="1" fillId="0" borderId="10" xfId="0" applyFont="1" applyBorder="1"/>
    <xf numFmtId="0" fontId="1" fillId="0" borderId="8" xfId="0" applyFont="1" applyBorder="1"/>
    <xf numFmtId="0" fontId="6" fillId="0" borderId="0" xfId="0" applyFont="1"/>
    <xf numFmtId="0" fontId="1" fillId="0" borderId="0" xfId="0" applyNumberFormat="1" applyFont="1"/>
    <xf numFmtId="0" fontId="6" fillId="0" borderId="0" xfId="0" applyFont="1" applyFill="1" applyBorder="1"/>
    <xf numFmtId="0" fontId="6" fillId="0" borderId="0" xfId="0" applyFont="1" applyFill="1"/>
    <xf numFmtId="0" fontId="11" fillId="0" borderId="16" xfId="0" applyFont="1" applyBorder="1"/>
    <xf numFmtId="0" fontId="6" fillId="0" borderId="17" xfId="0" applyFont="1" applyBorder="1"/>
    <xf numFmtId="0" fontId="6" fillId="0" borderId="18" xfId="0" applyFont="1" applyBorder="1"/>
    <xf numFmtId="165" fontId="6" fillId="0" borderId="0" xfId="0" applyNumberFormat="1" applyFont="1" applyBorder="1"/>
    <xf numFmtId="4" fontId="6" fillId="0" borderId="0" xfId="0" applyNumberFormat="1" applyFont="1" applyBorder="1"/>
    <xf numFmtId="0" fontId="11" fillId="0" borderId="21" xfId="0" applyFont="1" applyBorder="1" applyAlignment="1">
      <alignment horizontal="left" indent="1"/>
    </xf>
    <xf numFmtId="0" fontId="11" fillId="0" borderId="16" xfId="0" applyFont="1" applyFill="1" applyBorder="1"/>
    <xf numFmtId="0" fontId="11" fillId="0" borderId="23" xfId="0" applyFont="1" applyBorder="1" applyAlignment="1">
      <alignment horizontal="left" indent="1"/>
    </xf>
    <xf numFmtId="165" fontId="6" fillId="0" borderId="15" xfId="0" applyNumberFormat="1" applyFont="1" applyBorder="1"/>
    <xf numFmtId="4" fontId="6" fillId="0" borderId="15" xfId="0" applyNumberFormat="1" applyFont="1" applyBorder="1"/>
    <xf numFmtId="0" fontId="12" fillId="0" borderId="17" xfId="0" applyFont="1" applyBorder="1"/>
    <xf numFmtId="0" fontId="6" fillId="0" borderId="2" xfId="0" applyFont="1" applyBorder="1"/>
    <xf numFmtId="165" fontId="6" fillId="0" borderId="2" xfId="0" applyNumberFormat="1" applyFont="1" applyBorder="1"/>
    <xf numFmtId="3" fontId="6" fillId="0" borderId="2" xfId="0" applyNumberFormat="1" applyFont="1" applyBorder="1"/>
    <xf numFmtId="165" fontId="6" fillId="0" borderId="2" xfId="0" applyNumberFormat="1" applyFont="1" applyFill="1" applyBorder="1"/>
    <xf numFmtId="3" fontId="6" fillId="0" borderId="2" xfId="0" applyNumberFormat="1" applyFont="1" applyFill="1" applyBorder="1"/>
    <xf numFmtId="0" fontId="6" fillId="0" borderId="2" xfId="0" applyFont="1" applyFill="1" applyBorder="1"/>
    <xf numFmtId="167" fontId="6" fillId="0" borderId="2" xfId="0" applyNumberFormat="1" applyFont="1" applyFill="1" applyBorder="1"/>
    <xf numFmtId="164" fontId="6" fillId="0" borderId="2" xfId="0" applyNumberFormat="1" applyFont="1" applyBorder="1"/>
    <xf numFmtId="0" fontId="14" fillId="0" borderId="0" xfId="0" applyFont="1" applyFill="1"/>
    <xf numFmtId="0" fontId="14" fillId="0" borderId="0" xfId="0" applyFont="1" applyFill="1" applyAlignment="1">
      <alignment horizontal="center"/>
    </xf>
    <xf numFmtId="3" fontId="14" fillId="0" borderId="0" xfId="0" applyNumberFormat="1" applyFont="1" applyFill="1" applyAlignment="1">
      <alignment horizontal="center"/>
    </xf>
    <xf numFmtId="0" fontId="13" fillId="0" borderId="0" xfId="0" applyFont="1" applyFill="1" applyAlignment="1">
      <alignment vertical="top"/>
    </xf>
    <xf numFmtId="1" fontId="14" fillId="0" borderId="0" xfId="0" applyNumberFormat="1" applyFont="1" applyFill="1" applyAlignment="1">
      <alignment horizontal="center"/>
    </xf>
    <xf numFmtId="0" fontId="14" fillId="0" borderId="0" xfId="0" applyFont="1" applyFill="1" applyAlignment="1">
      <alignment horizontal="center" wrapText="1"/>
    </xf>
    <xf numFmtId="3" fontId="14" fillId="0" borderId="0" xfId="0" applyNumberFormat="1" applyFont="1" applyFill="1" applyAlignment="1">
      <alignment horizontal="center" wrapText="1"/>
    </xf>
    <xf numFmtId="0" fontId="12" fillId="0" borderId="2" xfId="0" applyFont="1" applyBorder="1" applyAlignment="1">
      <alignment vertical="top" wrapText="1"/>
    </xf>
    <xf numFmtId="0" fontId="6" fillId="0" borderId="2" xfId="0" applyFont="1" applyBorder="1" applyAlignment="1">
      <alignment vertical="top" wrapText="1"/>
    </xf>
    <xf numFmtId="0" fontId="6" fillId="0" borderId="2" xfId="0" applyFont="1" applyBorder="1" applyAlignment="1">
      <alignment horizontal="center" vertical="top" wrapText="1"/>
    </xf>
    <xf numFmtId="3" fontId="6" fillId="0" borderId="2" xfId="0" applyNumberFormat="1" applyFont="1" applyBorder="1" applyAlignment="1">
      <alignment horizontal="center" vertical="top" wrapText="1"/>
    </xf>
    <xf numFmtId="0" fontId="12" fillId="0" borderId="2" xfId="0" applyFont="1" applyBorder="1" applyAlignment="1">
      <alignment horizontal="center" vertical="top" wrapText="1"/>
    </xf>
    <xf numFmtId="3" fontId="12" fillId="0" borderId="2" xfId="0" applyNumberFormat="1" applyFont="1" applyBorder="1" applyAlignment="1">
      <alignment horizontal="center" vertical="top" wrapText="1"/>
    </xf>
    <xf numFmtId="0" fontId="12" fillId="0" borderId="2" xfId="0" applyFont="1" applyBorder="1" applyAlignment="1">
      <alignment horizontal="left" vertical="top" wrapText="1"/>
    </xf>
    <xf numFmtId="0" fontId="11" fillId="0" borderId="16" xfId="0" applyFont="1" applyBorder="1" applyAlignment="1">
      <alignment horizontal="left" vertical="top" wrapText="1" indent="1"/>
    </xf>
    <xf numFmtId="0" fontId="11" fillId="0" borderId="17" xfId="0" applyFont="1" applyBorder="1" applyAlignment="1">
      <alignment vertical="top" wrapText="1"/>
    </xf>
    <xf numFmtId="3" fontId="11" fillId="0" borderId="18" xfId="0" applyNumberFormat="1" applyFont="1" applyBorder="1" applyAlignment="1">
      <alignment horizontal="center" vertical="top" wrapText="1"/>
    </xf>
    <xf numFmtId="0" fontId="12" fillId="0" borderId="17" xfId="0" applyFont="1" applyBorder="1" applyAlignment="1">
      <alignment horizontal="center" vertical="top" wrapText="1"/>
    </xf>
    <xf numFmtId="3" fontId="12" fillId="0" borderId="18" xfId="0" applyNumberFormat="1" applyFont="1" applyBorder="1" applyAlignment="1">
      <alignment horizontal="center" vertical="top" wrapText="1"/>
    </xf>
    <xf numFmtId="0" fontId="15" fillId="0" borderId="0" xfId="0" applyFont="1"/>
    <xf numFmtId="3" fontId="15" fillId="0" borderId="0" xfId="0" applyNumberFormat="1" applyFont="1" applyFill="1" applyBorder="1"/>
    <xf numFmtId="3" fontId="1" fillId="0" borderId="0" xfId="0" applyNumberFormat="1" applyFont="1"/>
    <xf numFmtId="166" fontId="1" fillId="0" borderId="0" xfId="0" applyNumberFormat="1" applyFont="1"/>
    <xf numFmtId="1" fontId="15" fillId="0" borderId="0" xfId="0" applyNumberFormat="1" applyFont="1"/>
    <xf numFmtId="0" fontId="15" fillId="0" borderId="0" xfId="0" applyFont="1" applyFill="1" applyBorder="1" applyAlignment="1">
      <alignment horizontal="right"/>
    </xf>
    <xf numFmtId="9" fontId="15" fillId="0" borderId="0" xfId="5" applyFont="1" applyBorder="1" applyAlignment="1">
      <alignment horizontal="right"/>
    </xf>
    <xf numFmtId="165" fontId="12" fillId="0" borderId="0" xfId="0" applyNumberFormat="1" applyFont="1" applyFill="1" applyBorder="1"/>
    <xf numFmtId="4" fontId="12" fillId="0" borderId="0" xfId="0" applyNumberFormat="1" applyFont="1" applyFill="1" applyBorder="1"/>
    <xf numFmtId="165" fontId="12" fillId="0" borderId="0" xfId="0" applyNumberFormat="1" applyFont="1" applyBorder="1"/>
    <xf numFmtId="4" fontId="12" fillId="0" borderId="0" xfId="0" applyNumberFormat="1" applyFont="1" applyBorder="1"/>
    <xf numFmtId="165" fontId="12" fillId="0" borderId="15" xfId="0" applyNumberFormat="1" applyFont="1" applyBorder="1"/>
    <xf numFmtId="4" fontId="12" fillId="0" borderId="15" xfId="0" applyNumberFormat="1" applyFont="1" applyBorder="1"/>
    <xf numFmtId="165" fontId="6" fillId="0" borderId="0" xfId="0" applyNumberFormat="1" applyFont="1"/>
    <xf numFmtId="0" fontId="3" fillId="0" borderId="0" xfId="0" applyFont="1" applyBorder="1"/>
    <xf numFmtId="0" fontId="17" fillId="0" borderId="0" xfId="0" applyFont="1"/>
    <xf numFmtId="3" fontId="17" fillId="0" borderId="0" xfId="0" applyNumberFormat="1" applyFont="1"/>
    <xf numFmtId="1" fontId="6" fillId="0" borderId="2" xfId="0" applyNumberFormat="1" applyFont="1" applyBorder="1"/>
    <xf numFmtId="1" fontId="6" fillId="0" borderId="2" xfId="0" applyNumberFormat="1" applyFont="1" applyFill="1" applyBorder="1"/>
    <xf numFmtId="166" fontId="1" fillId="0" borderId="2" xfId="0" applyNumberFormat="1" applyFont="1" applyFill="1" applyBorder="1"/>
    <xf numFmtId="0" fontId="1" fillId="0" borderId="0" xfId="0" applyFont="1" applyAlignment="1">
      <alignment horizontal="left" vertical="center" wrapText="1"/>
    </xf>
    <xf numFmtId="0" fontId="1" fillId="0" borderId="2" xfId="0" applyFont="1" applyBorder="1" applyAlignment="1">
      <alignment horizontal="center"/>
    </xf>
    <xf numFmtId="3" fontId="1" fillId="4" borderId="2" xfId="0" applyNumberFormat="1" applyFont="1" applyFill="1" applyBorder="1"/>
    <xf numFmtId="0" fontId="1" fillId="0" borderId="0" xfId="0" applyFont="1" applyBorder="1" applyAlignment="1"/>
    <xf numFmtId="9" fontId="1" fillId="0" borderId="0" xfId="0" applyNumberFormat="1" applyFont="1" applyBorder="1"/>
    <xf numFmtId="3" fontId="1" fillId="0" borderId="2" xfId="0" applyNumberFormat="1" applyFont="1" applyFill="1" applyBorder="1" applyAlignment="1">
      <alignment horizontal="center"/>
    </xf>
    <xf numFmtId="3" fontId="1" fillId="0" borderId="2" xfId="0" applyNumberFormat="1" applyFont="1" applyBorder="1" applyAlignment="1">
      <alignment horizontal="center"/>
    </xf>
    <xf numFmtId="3" fontId="1" fillId="0" borderId="18" xfId="0" applyNumberFormat="1" applyFont="1" applyFill="1" applyBorder="1" applyAlignment="1">
      <alignment horizontal="center"/>
    </xf>
    <xf numFmtId="3" fontId="1" fillId="0" borderId="2" xfId="0" applyNumberFormat="1" applyFont="1" applyFill="1" applyBorder="1" applyAlignment="1">
      <alignment horizontal="center" vertical="center"/>
    </xf>
    <xf numFmtId="3" fontId="1" fillId="5" borderId="2" xfId="0" applyNumberFormat="1" applyFont="1" applyFill="1" applyBorder="1"/>
    <xf numFmtId="3" fontId="1" fillId="5" borderId="30" xfId="0" applyNumberFormat="1" applyFont="1" applyFill="1" applyBorder="1"/>
    <xf numFmtId="3" fontId="1" fillId="5" borderId="36" xfId="0" applyNumberFormat="1" applyFont="1" applyFill="1" applyBorder="1"/>
    <xf numFmtId="0" fontId="3" fillId="6" borderId="2"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2" xfId="0" applyFont="1" applyFill="1" applyBorder="1"/>
    <xf numFmtId="0" fontId="1" fillId="0" borderId="0" xfId="0" applyFont="1" applyAlignment="1">
      <alignment vertical="center" wrapText="1"/>
    </xf>
    <xf numFmtId="0" fontId="1" fillId="0" borderId="0" xfId="0" applyFont="1" applyBorder="1" applyAlignment="1">
      <alignment horizontal="center"/>
    </xf>
    <xf numFmtId="0" fontId="5" fillId="0" borderId="19" xfId="0" applyFont="1" applyFill="1" applyBorder="1" applyAlignment="1">
      <alignment wrapText="1"/>
    </xf>
    <xf numFmtId="0" fontId="5" fillId="0" borderId="20" xfId="0" applyFont="1" applyFill="1" applyBorder="1" applyAlignment="1">
      <alignment wrapText="1"/>
    </xf>
    <xf numFmtId="0" fontId="5" fillId="0" borderId="21" xfId="0" applyFont="1" applyFill="1" applyBorder="1" applyAlignment="1">
      <alignment wrapText="1"/>
    </xf>
    <xf numFmtId="0" fontId="5" fillId="0" borderId="0" xfId="0" applyFont="1" applyFill="1" applyBorder="1" applyAlignment="1">
      <alignment wrapText="1"/>
    </xf>
    <xf numFmtId="1" fontId="1" fillId="0" borderId="2" xfId="0" applyNumberFormat="1" applyFont="1" applyBorder="1" applyAlignment="1">
      <alignment horizontal="center" vertical="center"/>
    </xf>
    <xf numFmtId="1" fontId="1" fillId="0" borderId="2" xfId="0" applyNumberFormat="1" applyFont="1" applyBorder="1" applyAlignment="1">
      <alignment horizontal="center"/>
    </xf>
    <xf numFmtId="0" fontId="1" fillId="6" borderId="2" xfId="0" applyFont="1" applyFill="1" applyBorder="1" applyAlignment="1">
      <alignment wrapText="1"/>
    </xf>
    <xf numFmtId="17" fontId="6" fillId="0" borderId="2" xfId="0" applyNumberFormat="1" applyFont="1" applyBorder="1"/>
    <xf numFmtId="3" fontId="18" fillId="0" borderId="0" xfId="0" applyNumberFormat="1" applyFont="1" applyFill="1" applyBorder="1" applyAlignment="1">
      <alignment horizontal="center" vertical="top" wrapText="1"/>
    </xf>
    <xf numFmtId="0" fontId="12" fillId="0" borderId="16" xfId="0" applyNumberFormat="1" applyFont="1" applyFill="1" applyBorder="1" applyAlignment="1">
      <alignment horizontal="center"/>
    </xf>
    <xf numFmtId="0" fontId="12" fillId="0" borderId="12" xfId="0" applyFont="1" applyFill="1" applyBorder="1" applyAlignment="1"/>
    <xf numFmtId="0" fontId="6" fillId="0" borderId="25" xfId="0" applyNumberFormat="1" applyFont="1" applyFill="1" applyBorder="1" applyAlignment="1"/>
    <xf numFmtId="0" fontId="12" fillId="0" borderId="18" xfId="0" applyNumberFormat="1" applyFont="1" applyFill="1" applyBorder="1" applyAlignment="1">
      <alignment horizontal="center"/>
    </xf>
    <xf numFmtId="0" fontId="12" fillId="0" borderId="2" xfId="0" applyNumberFormat="1" applyFont="1" applyFill="1" applyBorder="1" applyAlignment="1">
      <alignment horizontal="center"/>
    </xf>
    <xf numFmtId="4" fontId="12" fillId="0" borderId="16" xfId="0" applyNumberFormat="1" applyFont="1" applyFill="1" applyBorder="1" applyAlignment="1">
      <alignment horizontal="center"/>
    </xf>
    <xf numFmtId="164" fontId="6" fillId="0" borderId="12" xfId="0" applyNumberFormat="1" applyFont="1" applyFill="1" applyBorder="1" applyAlignment="1"/>
    <xf numFmtId="0" fontId="6" fillId="0" borderId="12" xfId="0" applyNumberFormat="1" applyFont="1" applyFill="1" applyBorder="1" applyAlignment="1"/>
    <xf numFmtId="0" fontId="6" fillId="0" borderId="13" xfId="0" applyFont="1" applyFill="1" applyBorder="1" applyAlignment="1">
      <alignment horizontal="center" wrapText="1"/>
    </xf>
    <xf numFmtId="0" fontId="12" fillId="0" borderId="2" xfId="0" applyNumberFormat="1" applyFont="1" applyFill="1" applyBorder="1" applyAlignment="1">
      <alignment horizontal="center" wrapText="1"/>
    </xf>
    <xf numFmtId="0" fontId="6" fillId="0" borderId="0" xfId="0" applyFont="1" applyFill="1" applyAlignment="1">
      <alignment wrapText="1"/>
    </xf>
    <xf numFmtId="0" fontId="6" fillId="0" borderId="2" xfId="0" applyFont="1" applyFill="1" applyBorder="1" applyAlignment="1">
      <alignment horizontal="center"/>
    </xf>
    <xf numFmtId="165" fontId="6" fillId="0" borderId="2" xfId="0" applyNumberFormat="1" applyFont="1" applyFill="1" applyBorder="1" applyAlignment="1">
      <alignment horizontal="center"/>
    </xf>
    <xf numFmtId="3" fontId="6" fillId="0" borderId="2" xfId="0" applyNumberFormat="1" applyFont="1" applyFill="1" applyBorder="1" applyAlignment="1">
      <alignment horizontal="center"/>
    </xf>
    <xf numFmtId="0" fontId="6" fillId="0" borderId="2" xfId="0" applyFont="1" applyFill="1" applyBorder="1" applyAlignment="1">
      <alignment wrapText="1"/>
    </xf>
    <xf numFmtId="3" fontId="6" fillId="0" borderId="2" xfId="2" applyNumberFormat="1" applyFont="1" applyFill="1" applyBorder="1" applyAlignment="1">
      <alignment horizontal="center"/>
    </xf>
    <xf numFmtId="164" fontId="6" fillId="0" borderId="2" xfId="2" applyNumberFormat="1" applyFont="1" applyFill="1" applyBorder="1" applyAlignment="1">
      <alignment horizontal="center"/>
    </xf>
    <xf numFmtId="165" fontId="6" fillId="0" borderId="2" xfId="2" applyNumberFormat="1" applyFont="1" applyFill="1" applyBorder="1" applyAlignment="1">
      <alignment horizontal="center"/>
    </xf>
    <xf numFmtId="3" fontId="6" fillId="0" borderId="16" xfId="0" applyNumberFormat="1" applyFont="1" applyFill="1" applyBorder="1" applyAlignment="1">
      <alignment horizontal="center"/>
    </xf>
    <xf numFmtId="3" fontId="6" fillId="0" borderId="21" xfId="0" applyNumberFormat="1" applyFont="1" applyFill="1" applyBorder="1" applyAlignment="1">
      <alignment horizontal="center"/>
    </xf>
    <xf numFmtId="1" fontId="6" fillId="0" borderId="2" xfId="2" applyNumberFormat="1" applyFont="1" applyFill="1" applyBorder="1" applyAlignment="1">
      <alignment horizontal="center"/>
    </xf>
    <xf numFmtId="0" fontId="6" fillId="0" borderId="2" xfId="0" applyFont="1" applyFill="1" applyBorder="1" applyAlignment="1">
      <alignment horizontal="left" wrapText="1"/>
    </xf>
    <xf numFmtId="166" fontId="6" fillId="0" borderId="2" xfId="2" applyNumberFormat="1" applyFont="1" applyFill="1" applyBorder="1" applyAlignment="1">
      <alignment horizontal="center"/>
    </xf>
    <xf numFmtId="0" fontId="21" fillId="0" borderId="2" xfId="0" applyFont="1" applyFill="1" applyBorder="1" applyAlignment="1"/>
    <xf numFmtId="0" fontId="12" fillId="0" borderId="2" xfId="0" applyFont="1" applyFill="1" applyBorder="1" applyAlignment="1">
      <alignment horizontal="center"/>
    </xf>
    <xf numFmtId="165" fontId="12" fillId="0" borderId="2" xfId="0" applyNumberFormat="1" applyFont="1" applyFill="1" applyBorder="1" applyAlignment="1">
      <alignment horizontal="center"/>
    </xf>
    <xf numFmtId="165" fontId="21" fillId="0" borderId="2" xfId="2" applyNumberFormat="1" applyFont="1" applyFill="1" applyBorder="1" applyAlignment="1">
      <alignment horizontal="center"/>
    </xf>
    <xf numFmtId="3" fontId="21" fillId="0" borderId="2" xfId="0" applyNumberFormat="1" applyFont="1" applyFill="1" applyBorder="1" applyAlignment="1">
      <alignment horizontal="center"/>
    </xf>
    <xf numFmtId="0" fontId="12" fillId="0" borderId="0" xfId="0" applyFont="1" applyFill="1"/>
    <xf numFmtId="1" fontId="6" fillId="0" borderId="2" xfId="0" applyNumberFormat="1" applyFont="1" applyFill="1" applyBorder="1" applyAlignment="1">
      <alignment horizontal="center"/>
    </xf>
    <xf numFmtId="3" fontId="6" fillId="0" borderId="2" xfId="1" applyNumberFormat="1" applyFont="1" applyFill="1" applyBorder="1" applyAlignment="1">
      <alignment horizontal="center"/>
    </xf>
    <xf numFmtId="0" fontId="21" fillId="0" borderId="2" xfId="0" applyFont="1" applyFill="1" applyBorder="1"/>
    <xf numFmtId="3" fontId="12" fillId="0" borderId="2" xfId="0" applyNumberFormat="1" applyFont="1" applyFill="1" applyBorder="1" applyAlignment="1">
      <alignment horizontal="center"/>
    </xf>
    <xf numFmtId="165" fontId="21" fillId="0" borderId="2" xfId="0" applyNumberFormat="1" applyFont="1" applyFill="1" applyBorder="1" applyAlignment="1">
      <alignment horizontal="center"/>
    </xf>
    <xf numFmtId="0" fontId="12" fillId="0" borderId="2" xfId="0" applyFont="1" applyFill="1" applyBorder="1" applyAlignment="1">
      <alignment vertical="center"/>
    </xf>
    <xf numFmtId="1" fontId="12" fillId="0" borderId="2" xfId="0" applyNumberFormat="1" applyFont="1" applyFill="1" applyBorder="1" applyAlignment="1">
      <alignment horizontal="center"/>
    </xf>
    <xf numFmtId="0" fontId="12" fillId="0" borderId="2" xfId="0" applyFont="1" applyFill="1" applyBorder="1"/>
    <xf numFmtId="0" fontId="6" fillId="0" borderId="0" xfId="0" applyFont="1" applyFill="1" applyAlignment="1">
      <alignment horizontal="center"/>
    </xf>
    <xf numFmtId="1" fontId="6" fillId="0" borderId="0" xfId="0" applyNumberFormat="1" applyFont="1" applyFill="1" applyAlignment="1">
      <alignment horizontal="center"/>
    </xf>
    <xf numFmtId="3" fontId="6" fillId="0" borderId="0" xfId="0" applyNumberFormat="1" applyFont="1" applyFill="1" applyAlignment="1">
      <alignment horizontal="center"/>
    </xf>
    <xf numFmtId="1" fontId="22" fillId="0" borderId="0" xfId="0" applyNumberFormat="1" applyFont="1" applyFill="1"/>
    <xf numFmtId="0" fontId="22" fillId="0" borderId="0" xfId="0" applyFont="1" applyFill="1"/>
    <xf numFmtId="0" fontId="23" fillId="0" borderId="0" xfId="0" applyFont="1" applyFill="1" applyAlignment="1"/>
    <xf numFmtId="0" fontId="6" fillId="0" borderId="0" xfId="0" applyFont="1" applyFill="1" applyAlignment="1">
      <alignment horizontal="left"/>
    </xf>
    <xf numFmtId="0" fontId="6" fillId="0" borderId="0" xfId="0" applyFont="1" applyFill="1" applyBorder="1" applyAlignment="1">
      <alignment horizontal="left"/>
    </xf>
    <xf numFmtId="0" fontId="6" fillId="0" borderId="0" xfId="0" applyNumberFormat="1" applyFont="1" applyFill="1" applyAlignment="1"/>
    <xf numFmtId="0" fontId="12" fillId="0" borderId="16" xfId="0" applyNumberFormat="1" applyFont="1" applyFill="1" applyBorder="1" applyAlignment="1">
      <alignment horizontal="center" wrapText="1"/>
    </xf>
    <xf numFmtId="0" fontId="6" fillId="0" borderId="6" xfId="0" applyFont="1" applyFill="1" applyBorder="1" applyAlignment="1">
      <alignment horizontal="center" wrapText="1"/>
    </xf>
    <xf numFmtId="0" fontId="6" fillId="0" borderId="24" xfId="0" applyFont="1" applyFill="1" applyBorder="1" applyAlignment="1">
      <alignment horizontal="center" wrapText="1"/>
    </xf>
    <xf numFmtId="0" fontId="12" fillId="0" borderId="18" xfId="0" applyNumberFormat="1" applyFont="1" applyFill="1" applyBorder="1" applyAlignment="1">
      <alignment horizontal="center" wrapText="1"/>
    </xf>
    <xf numFmtId="4" fontId="12" fillId="0" borderId="16" xfId="0" applyNumberFormat="1" applyFont="1" applyFill="1" applyBorder="1" applyAlignment="1">
      <alignment horizontal="center" wrapText="1"/>
    </xf>
    <xf numFmtId="3" fontId="6" fillId="0" borderId="6" xfId="0" applyNumberFormat="1" applyFont="1" applyFill="1" applyBorder="1" applyAlignment="1">
      <alignment horizontal="center" wrapText="1"/>
    </xf>
    <xf numFmtId="0" fontId="6" fillId="0" borderId="0" xfId="0" applyNumberFormat="1" applyFont="1" applyFill="1" applyAlignment="1">
      <alignment wrapText="1"/>
    </xf>
    <xf numFmtId="0" fontId="24" fillId="0" borderId="0" xfId="0" applyFont="1" applyFill="1"/>
    <xf numFmtId="4" fontId="6" fillId="0" borderId="2" xfId="1" applyNumberFormat="1" applyFont="1" applyFill="1" applyBorder="1" applyAlignment="1">
      <alignment horizontal="center"/>
    </xf>
    <xf numFmtId="4" fontId="6" fillId="0" borderId="2" xfId="0" applyNumberFormat="1" applyFont="1" applyFill="1" applyBorder="1" applyAlignment="1">
      <alignment horizontal="center"/>
    </xf>
    <xf numFmtId="166" fontId="6" fillId="0" borderId="2" xfId="0" applyNumberFormat="1" applyFont="1" applyFill="1" applyBorder="1" applyAlignment="1">
      <alignment horizontal="center"/>
    </xf>
    <xf numFmtId="166" fontId="6" fillId="0" borderId="2" xfId="1" applyNumberFormat="1" applyFont="1" applyFill="1" applyBorder="1" applyAlignment="1">
      <alignment horizontal="center"/>
    </xf>
    <xf numFmtId="164" fontId="6" fillId="0" borderId="2" xfId="0" applyNumberFormat="1" applyFont="1" applyFill="1" applyBorder="1" applyAlignment="1">
      <alignment horizontal="center"/>
    </xf>
    <xf numFmtId="2" fontId="6" fillId="0" borderId="2" xfId="0" applyNumberFormat="1" applyFont="1" applyFill="1" applyBorder="1" applyAlignment="1">
      <alignment horizontal="center"/>
    </xf>
    <xf numFmtId="167" fontId="6" fillId="0" borderId="2" xfId="0" applyNumberFormat="1" applyFont="1" applyFill="1" applyBorder="1" applyAlignment="1">
      <alignment horizontal="center"/>
    </xf>
    <xf numFmtId="164" fontId="6" fillId="0" borderId="2" xfId="1" applyNumberFormat="1" applyFont="1" applyFill="1" applyBorder="1" applyAlignment="1">
      <alignment horizontal="center"/>
    </xf>
    <xf numFmtId="0" fontId="6" fillId="0" borderId="2" xfId="0" applyFont="1" applyFill="1" applyBorder="1" applyAlignment="1">
      <alignment horizontal="left"/>
    </xf>
    <xf numFmtId="168" fontId="6" fillId="0" borderId="2" xfId="0" applyNumberFormat="1" applyFont="1" applyFill="1" applyBorder="1" applyAlignment="1">
      <alignment horizontal="center"/>
    </xf>
    <xf numFmtId="3" fontId="12" fillId="0" borderId="2" xfId="1" applyNumberFormat="1" applyFont="1" applyFill="1" applyBorder="1" applyAlignment="1">
      <alignment horizontal="center"/>
    </xf>
    <xf numFmtId="3" fontId="12" fillId="0" borderId="16" xfId="0" applyNumberFormat="1" applyFont="1" applyFill="1" applyBorder="1" applyAlignment="1">
      <alignment horizontal="center"/>
    </xf>
    <xf numFmtId="3" fontId="12" fillId="0" borderId="17" xfId="0" applyNumberFormat="1" applyFont="1" applyFill="1" applyBorder="1" applyAlignment="1">
      <alignment horizontal="center"/>
    </xf>
    <xf numFmtId="3" fontId="12" fillId="0" borderId="18" xfId="0" applyNumberFormat="1" applyFont="1" applyFill="1" applyBorder="1" applyAlignment="1">
      <alignment horizontal="center"/>
    </xf>
    <xf numFmtId="0" fontId="23" fillId="0" borderId="0" xfId="0" applyFont="1" applyFill="1"/>
    <xf numFmtId="0" fontId="12" fillId="0" borderId="19" xfId="0" applyNumberFormat="1" applyFont="1" applyFill="1" applyBorder="1" applyAlignment="1">
      <alignment horizontal="center" vertical="top" wrapText="1"/>
    </xf>
    <xf numFmtId="0" fontId="6" fillId="0" borderId="13" xfId="0" applyFont="1" applyFill="1" applyBorder="1" applyAlignment="1">
      <alignment horizontal="center" vertical="top" wrapText="1"/>
    </xf>
    <xf numFmtId="0" fontId="6" fillId="0" borderId="22" xfId="0" applyFont="1" applyFill="1" applyBorder="1" applyAlignment="1">
      <alignment horizontal="center" vertical="top" wrapText="1"/>
    </xf>
    <xf numFmtId="0" fontId="12" fillId="0" borderId="25" xfId="0" applyNumberFormat="1" applyFont="1" applyFill="1" applyBorder="1" applyAlignment="1">
      <alignment horizontal="center" vertical="top" wrapText="1"/>
    </xf>
    <xf numFmtId="0" fontId="12" fillId="0" borderId="12" xfId="0" applyNumberFormat="1" applyFont="1" applyFill="1" applyBorder="1" applyAlignment="1">
      <alignment horizontal="center" vertical="top" wrapText="1"/>
    </xf>
    <xf numFmtId="0" fontId="12" fillId="0" borderId="2" xfId="0" applyNumberFormat="1" applyFont="1" applyFill="1" applyBorder="1" applyAlignment="1">
      <alignment horizontal="center" vertical="top" wrapText="1"/>
    </xf>
    <xf numFmtId="4" fontId="12" fillId="0" borderId="19" xfId="0" applyNumberFormat="1" applyFont="1" applyFill="1" applyBorder="1" applyAlignment="1">
      <alignment horizontal="center" vertical="top" wrapText="1"/>
    </xf>
    <xf numFmtId="3" fontId="6" fillId="0" borderId="13" xfId="0" applyNumberFormat="1" applyFont="1" applyFill="1" applyBorder="1" applyAlignment="1">
      <alignment horizontal="center" vertical="top" wrapText="1"/>
    </xf>
    <xf numFmtId="0" fontId="12" fillId="0" borderId="16" xfId="0" applyNumberFormat="1"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24" xfId="0" applyFont="1" applyFill="1" applyBorder="1" applyAlignment="1">
      <alignment horizontal="center" vertical="top" wrapText="1"/>
    </xf>
    <xf numFmtId="0" fontId="12" fillId="0" borderId="18" xfId="0" applyNumberFormat="1" applyFont="1" applyFill="1" applyBorder="1" applyAlignment="1">
      <alignment horizontal="center" vertical="top" wrapText="1"/>
    </xf>
    <xf numFmtId="4" fontId="12" fillId="0" borderId="16" xfId="0" applyNumberFormat="1" applyFont="1" applyFill="1" applyBorder="1" applyAlignment="1">
      <alignment horizontal="center" vertical="top" wrapText="1"/>
    </xf>
    <xf numFmtId="3" fontId="6" fillId="0" borderId="6" xfId="0" applyNumberFormat="1" applyFont="1" applyFill="1" applyBorder="1" applyAlignment="1">
      <alignment horizontal="center" vertical="top" wrapText="1"/>
    </xf>
    <xf numFmtId="3" fontId="21" fillId="0" borderId="2" xfId="1" applyNumberFormat="1" applyFont="1" applyFill="1" applyBorder="1" applyAlignment="1">
      <alignment horizontal="center"/>
    </xf>
    <xf numFmtId="0" fontId="6" fillId="0" borderId="19" xfId="0" applyNumberFormat="1" applyFont="1" applyFill="1" applyBorder="1" applyAlignment="1"/>
    <xf numFmtId="165" fontId="6" fillId="0" borderId="6" xfId="0" applyNumberFormat="1" applyFont="1" applyFill="1" applyBorder="1" applyAlignment="1">
      <alignment horizontal="center"/>
    </xf>
    <xf numFmtId="0" fontId="6" fillId="0" borderId="14" xfId="0" applyFont="1" applyFill="1" applyBorder="1"/>
    <xf numFmtId="0" fontId="6" fillId="0" borderId="1" xfId="0" applyFont="1" applyFill="1" applyBorder="1"/>
    <xf numFmtId="165" fontId="12" fillId="0" borderId="14" xfId="0" applyNumberFormat="1" applyFont="1" applyFill="1" applyBorder="1" applyAlignment="1">
      <alignment horizontal="right"/>
    </xf>
    <xf numFmtId="165" fontId="12" fillId="0" borderId="1" xfId="0" applyNumberFormat="1" applyFont="1" applyFill="1" applyBorder="1"/>
    <xf numFmtId="0" fontId="12" fillId="0" borderId="14" xfId="0" applyFont="1" applyFill="1" applyBorder="1"/>
    <xf numFmtId="0" fontId="12" fillId="0" borderId="1" xfId="0" applyFont="1" applyFill="1" applyBorder="1"/>
    <xf numFmtId="0" fontId="12" fillId="0" borderId="0" xfId="0" applyFont="1" applyFill="1" applyBorder="1"/>
    <xf numFmtId="166" fontId="6" fillId="0" borderId="2" xfId="0" applyNumberFormat="1" applyFont="1" applyBorder="1"/>
    <xf numFmtId="166" fontId="6" fillId="0" borderId="2" xfId="0" applyNumberFormat="1" applyFont="1" applyFill="1" applyBorder="1"/>
    <xf numFmtId="0" fontId="14" fillId="0" borderId="0" xfId="0" applyFont="1"/>
    <xf numFmtId="0" fontId="12" fillId="0" borderId="2" xfId="0" applyFont="1" applyBorder="1"/>
    <xf numFmtId="0" fontId="12" fillId="0" borderId="2" xfId="0" applyFont="1" applyBorder="1" applyAlignment="1">
      <alignment horizontal="center" wrapText="1"/>
    </xf>
    <xf numFmtId="3" fontId="12" fillId="0" borderId="2" xfId="0" applyNumberFormat="1" applyFont="1" applyBorder="1"/>
    <xf numFmtId="165" fontId="12" fillId="0" borderId="2" xfId="0" applyNumberFormat="1" applyFont="1" applyBorder="1"/>
    <xf numFmtId="3" fontId="12" fillId="0" borderId="0" xfId="0" applyNumberFormat="1" applyFont="1"/>
    <xf numFmtId="165" fontId="12" fillId="0" borderId="0" xfId="0" applyNumberFormat="1" applyFont="1"/>
    <xf numFmtId="0" fontId="12" fillId="0" borderId="2" xfId="0" applyNumberFormat="1" applyFont="1" applyFill="1" applyBorder="1" applyAlignment="1">
      <alignment horizontal="center" vertical="center"/>
    </xf>
    <xf numFmtId="3" fontId="6" fillId="0" borderId="2" xfId="0" applyNumberFormat="1" applyFont="1" applyFill="1" applyBorder="1" applyAlignment="1">
      <alignment horizontal="center" wrapText="1"/>
    </xf>
    <xf numFmtId="165" fontId="6" fillId="0" borderId="2" xfId="0" applyNumberFormat="1" applyFont="1" applyFill="1" applyBorder="1" applyAlignment="1">
      <alignment horizontal="right" wrapText="1"/>
    </xf>
    <xf numFmtId="0" fontId="12" fillId="0" borderId="0" xfId="0" applyFont="1" applyFill="1" applyBorder="1" applyAlignment="1">
      <alignment horizontal="left" vertical="center"/>
    </xf>
    <xf numFmtId="0" fontId="6" fillId="0" borderId="0" xfId="0" applyFont="1" applyFill="1" applyBorder="1" applyAlignment="1">
      <alignment horizontal="center" vertical="top" wrapText="1"/>
    </xf>
    <xf numFmtId="49" fontId="6" fillId="0" borderId="2" xfId="0" applyNumberFormat="1" applyFont="1" applyFill="1" applyBorder="1" applyAlignment="1">
      <alignment vertical="top" wrapText="1"/>
    </xf>
    <xf numFmtId="4" fontId="6" fillId="0" borderId="2" xfId="0" applyNumberFormat="1" applyFont="1" applyFill="1" applyBorder="1" applyAlignment="1">
      <alignment horizontal="center" wrapText="1"/>
    </xf>
    <xf numFmtId="164" fontId="6" fillId="0" borderId="2" xfId="0" applyNumberFormat="1" applyFont="1" applyFill="1" applyBorder="1" applyAlignment="1">
      <alignment horizontal="right" wrapText="1"/>
    </xf>
    <xf numFmtId="0" fontId="12" fillId="0" borderId="0" xfId="0" applyFont="1" applyFill="1" applyBorder="1" applyAlignment="1">
      <alignment horizontal="center" vertical="top" wrapText="1"/>
    </xf>
    <xf numFmtId="49" fontId="6" fillId="0" borderId="2" xfId="0" applyNumberFormat="1" applyFont="1" applyFill="1" applyBorder="1" applyAlignment="1">
      <alignment vertical="top"/>
    </xf>
    <xf numFmtId="0" fontId="23" fillId="0" borderId="0" xfId="0" applyFont="1" applyFill="1" applyBorder="1" applyAlignment="1">
      <alignment horizontal="left"/>
    </xf>
    <xf numFmtId="0" fontId="6" fillId="0" borderId="0" xfId="0" applyFont="1" applyFill="1" applyBorder="1" applyAlignment="1">
      <alignment horizontal="centerContinuous"/>
    </xf>
    <xf numFmtId="0" fontId="6" fillId="0" borderId="0" xfId="0" applyFont="1" applyFill="1" applyBorder="1" applyAlignment="1">
      <alignment horizontal="centerContinuous" vertical="top" wrapText="1"/>
    </xf>
    <xf numFmtId="166" fontId="6" fillId="0" borderId="2" xfId="0" applyNumberFormat="1" applyFont="1" applyFill="1" applyBorder="1" applyAlignment="1">
      <alignment horizontal="center" wrapText="1"/>
    </xf>
    <xf numFmtId="0" fontId="11" fillId="0" borderId="0" xfId="0" applyFont="1" applyFill="1" applyBorder="1" applyAlignment="1">
      <alignment horizontal="center" vertical="top" wrapText="1"/>
    </xf>
    <xf numFmtId="3" fontId="6" fillId="0" borderId="13" xfId="0" applyNumberFormat="1" applyFont="1" applyFill="1" applyBorder="1" applyAlignment="1">
      <alignment vertical="top"/>
    </xf>
    <xf numFmtId="39" fontId="6" fillId="0" borderId="2" xfId="0" applyNumberFormat="1" applyFont="1" applyFill="1" applyBorder="1" applyAlignment="1">
      <alignment horizontal="center" wrapText="1"/>
    </xf>
    <xf numFmtId="0" fontId="12" fillId="0" borderId="2" xfId="0" applyFont="1" applyFill="1" applyBorder="1" applyAlignment="1">
      <alignment horizontal="left"/>
    </xf>
    <xf numFmtId="165" fontId="12" fillId="0" borderId="2" xfId="0" applyNumberFormat="1" applyFont="1" applyFill="1" applyBorder="1" applyAlignment="1">
      <alignment horizontal="right" wrapText="1"/>
    </xf>
    <xf numFmtId="3" fontId="6" fillId="0" borderId="0" xfId="0" applyNumberFormat="1" applyFont="1" applyFill="1" applyBorder="1" applyAlignment="1">
      <alignment horizontal="center"/>
    </xf>
    <xf numFmtId="0" fontId="6" fillId="0" borderId="0" xfId="0" applyFont="1" applyFill="1" applyBorder="1" applyAlignment="1">
      <alignment horizontal="center"/>
    </xf>
    <xf numFmtId="3" fontId="6" fillId="0" borderId="0" xfId="0" applyNumberFormat="1" applyFont="1" applyFill="1" applyBorder="1" applyAlignment="1">
      <alignment horizontal="center" wrapText="1"/>
    </xf>
    <xf numFmtId="0" fontId="23" fillId="0" borderId="0" xfId="0" applyFont="1" applyFill="1" applyAlignment="1">
      <alignment wrapText="1"/>
    </xf>
    <xf numFmtId="3" fontId="1" fillId="0" borderId="0" xfId="0" applyNumberFormat="1" applyFont="1" applyFill="1"/>
    <xf numFmtId="168" fontId="6" fillId="0" borderId="2" xfId="0" applyNumberFormat="1" applyFont="1" applyFill="1" applyBorder="1"/>
    <xf numFmtId="49" fontId="6" fillId="0" borderId="12" xfId="0" applyNumberFormat="1" applyFont="1" applyFill="1" applyBorder="1" applyAlignment="1">
      <alignment horizontal="left" vertical="top" wrapText="1" indent="1"/>
    </xf>
    <xf numFmtId="49" fontId="6" fillId="0" borderId="2" xfId="0" applyNumberFormat="1" applyFont="1" applyFill="1" applyBorder="1" applyAlignment="1">
      <alignment horizontal="left" vertical="top" wrapText="1" indent="1"/>
    </xf>
    <xf numFmtId="49" fontId="6" fillId="0" borderId="13" xfId="0" applyNumberFormat="1" applyFont="1" applyFill="1" applyBorder="1" applyAlignment="1">
      <alignment horizontal="left" vertical="top" wrapText="1" indent="1"/>
    </xf>
    <xf numFmtId="0" fontId="6" fillId="0" borderId="2" xfId="0" applyFont="1" applyFill="1" applyBorder="1" applyAlignment="1">
      <alignment vertical="top" wrapText="1"/>
    </xf>
    <xf numFmtId="3"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1" fillId="0" borderId="16" xfId="0" applyFont="1" applyFill="1" applyBorder="1" applyAlignment="1">
      <alignment horizontal="left" vertical="top" wrapText="1" indent="1"/>
    </xf>
    <xf numFmtId="0" fontId="11" fillId="0" borderId="17" xfId="0" applyFont="1" applyFill="1" applyBorder="1" applyAlignment="1">
      <alignment vertical="top" wrapText="1"/>
    </xf>
    <xf numFmtId="3" fontId="11" fillId="0" borderId="18" xfId="0" applyNumberFormat="1" applyFont="1" applyFill="1" applyBorder="1" applyAlignment="1">
      <alignment horizontal="center" vertical="top" wrapText="1"/>
    </xf>
    <xf numFmtId="0" fontId="11" fillId="0" borderId="16"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8"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12" xfId="0" applyFont="1" applyFill="1" applyBorder="1" applyAlignment="1">
      <alignment horizontal="center" vertical="center" wrapText="1"/>
    </xf>
    <xf numFmtId="3" fontId="6" fillId="0" borderId="12" xfId="0" applyNumberFormat="1" applyFont="1" applyFill="1" applyBorder="1" applyAlignment="1">
      <alignment horizontal="center" vertical="center" wrapText="1"/>
    </xf>
    <xf numFmtId="0" fontId="6" fillId="0" borderId="17" xfId="0" applyFont="1" applyFill="1" applyBorder="1"/>
    <xf numFmtId="165" fontId="12" fillId="0" borderId="2" xfId="0" applyNumberFormat="1" applyFont="1" applyFill="1" applyBorder="1"/>
    <xf numFmtId="164" fontId="6" fillId="0" borderId="0" xfId="0" applyNumberFormat="1" applyFont="1"/>
    <xf numFmtId="166" fontId="6" fillId="0" borderId="0" xfId="0" applyNumberFormat="1" applyFont="1" applyFill="1"/>
    <xf numFmtId="0" fontId="25" fillId="0" borderId="0" xfId="0" applyFont="1" applyAlignment="1">
      <alignment vertical="center"/>
    </xf>
    <xf numFmtId="0" fontId="6" fillId="0" borderId="0" xfId="0" applyFont="1" applyAlignment="1">
      <alignment vertical="center"/>
    </xf>
    <xf numFmtId="166" fontId="1" fillId="0" borderId="2" xfId="0" applyNumberFormat="1" applyFont="1" applyFill="1" applyBorder="1" applyAlignment="1">
      <alignment horizontal="center"/>
    </xf>
    <xf numFmtId="0" fontId="6" fillId="0" borderId="0" xfId="0" quotePrefix="1" applyFont="1" applyFill="1"/>
    <xf numFmtId="0" fontId="15" fillId="0" borderId="0" xfId="0" applyFont="1" applyAlignment="1"/>
    <xf numFmtId="0" fontId="28" fillId="0" borderId="0" xfId="0" applyFont="1" applyFill="1" applyAlignment="1">
      <alignment horizontal="left" vertical="top"/>
    </xf>
    <xf numFmtId="0" fontId="28" fillId="0" borderId="0" xfId="0" applyFont="1" applyFill="1"/>
    <xf numFmtId="0" fontId="23" fillId="0" borderId="0" xfId="0" quotePrefix="1" applyFont="1" applyFill="1"/>
    <xf numFmtId="0" fontId="23" fillId="0" borderId="2" xfId="0" applyFont="1" applyFill="1" applyBorder="1" applyAlignment="1">
      <alignment horizontal="right"/>
    </xf>
    <xf numFmtId="0" fontId="1" fillId="0" borderId="4" xfId="0" applyFont="1" applyFill="1" applyBorder="1"/>
    <xf numFmtId="0" fontId="1" fillId="0" borderId="9" xfId="0" applyFont="1" applyFill="1" applyBorder="1"/>
    <xf numFmtId="1" fontId="1" fillId="0" borderId="2" xfId="0" applyNumberFormat="1" applyFont="1" applyFill="1" applyBorder="1"/>
    <xf numFmtId="3" fontId="1" fillId="0" borderId="30" xfId="0" applyNumberFormat="1" applyFont="1" applyFill="1" applyBorder="1"/>
    <xf numFmtId="0" fontId="1" fillId="0" borderId="35" xfId="0" applyFont="1" applyFill="1" applyBorder="1"/>
    <xf numFmtId="1" fontId="1" fillId="0" borderId="35" xfId="0" applyNumberFormat="1" applyFont="1" applyFill="1" applyBorder="1"/>
    <xf numFmtId="0" fontId="1" fillId="0" borderId="2" xfId="0" applyFont="1" applyFill="1" applyBorder="1" applyAlignment="1">
      <alignment horizontal="center"/>
    </xf>
    <xf numFmtId="0" fontId="1" fillId="0" borderId="30" xfId="0" applyFont="1" applyFill="1" applyBorder="1"/>
    <xf numFmtId="0" fontId="1" fillId="0" borderId="35" xfId="0" applyFont="1" applyFill="1" applyBorder="1" applyAlignment="1">
      <alignment horizontal="center"/>
    </xf>
    <xf numFmtId="0" fontId="1" fillId="0" borderId="36" xfId="0" applyFont="1" applyFill="1" applyBorder="1"/>
    <xf numFmtId="3" fontId="6" fillId="0" borderId="2" xfId="1" quotePrefix="1" applyNumberFormat="1" applyFont="1" applyFill="1" applyBorder="1" applyAlignment="1">
      <alignment horizontal="center"/>
    </xf>
    <xf numFmtId="4" fontId="23" fillId="0" borderId="0" xfId="0" applyNumberFormat="1" applyFont="1" applyFill="1"/>
    <xf numFmtId="0" fontId="6" fillId="0" borderId="2" xfId="0" applyFont="1" applyFill="1" applyBorder="1" applyAlignment="1">
      <alignment horizontal="center" vertical="top" wrapText="1"/>
    </xf>
    <xf numFmtId="3" fontId="6" fillId="0" borderId="2" xfId="0" applyNumberFormat="1" applyFont="1" applyFill="1" applyBorder="1" applyAlignment="1">
      <alignment horizontal="center" vertical="top" wrapText="1"/>
    </xf>
    <xf numFmtId="0" fontId="12" fillId="0" borderId="2" xfId="0" applyFont="1" applyFill="1" applyBorder="1" applyAlignment="1">
      <alignment horizontal="center" vertical="top" wrapText="1"/>
    </xf>
    <xf numFmtId="3" fontId="12" fillId="0" borderId="2" xfId="0" applyNumberFormat="1" applyFont="1" applyFill="1" applyBorder="1" applyAlignment="1">
      <alignment horizontal="center" vertical="top" wrapText="1"/>
    </xf>
    <xf numFmtId="166" fontId="6" fillId="0" borderId="2" xfId="0" applyNumberFormat="1" applyFont="1" applyFill="1" applyBorder="1" applyAlignment="1">
      <alignment horizontal="center" vertical="top" wrapText="1"/>
    </xf>
    <xf numFmtId="166" fontId="12" fillId="0" borderId="2" xfId="0" applyNumberFormat="1" applyFont="1" applyFill="1" applyBorder="1" applyAlignment="1">
      <alignment horizontal="center" vertical="top" wrapText="1"/>
    </xf>
    <xf numFmtId="0" fontId="6" fillId="0" borderId="0" xfId="0" quotePrefix="1" applyFont="1" applyFill="1" applyBorder="1"/>
    <xf numFmtId="3" fontId="6" fillId="0" borderId="0" xfId="0" quotePrefix="1" applyNumberFormat="1" applyFont="1" applyFill="1" applyBorder="1" applyAlignment="1">
      <alignment horizontal="left"/>
    </xf>
    <xf numFmtId="0" fontId="30" fillId="0" borderId="0" xfId="0" applyFont="1"/>
    <xf numFmtId="3" fontId="30" fillId="0" borderId="0" xfId="0" applyNumberFormat="1" applyFont="1"/>
    <xf numFmtId="1" fontId="30" fillId="0" borderId="0" xfId="0" applyNumberFormat="1" applyFont="1"/>
    <xf numFmtId="1" fontId="31" fillId="0" borderId="0" xfId="0" applyNumberFormat="1" applyFont="1" applyFill="1"/>
    <xf numFmtId="0" fontId="31" fillId="0" borderId="0" xfId="0" applyFont="1" applyFill="1"/>
    <xf numFmtId="0" fontId="10" fillId="0" borderId="0" xfId="0" applyFont="1" applyBorder="1" applyAlignment="1">
      <alignment horizontal="center" vertical="center" wrapText="1"/>
    </xf>
    <xf numFmtId="0" fontId="8" fillId="0" borderId="0" xfId="0" applyFont="1" applyBorder="1" applyAlignment="1">
      <alignment horizontal="left" vertical="top" wrapText="1"/>
    </xf>
    <xf numFmtId="0" fontId="12" fillId="0" borderId="17" xfId="0" applyFont="1" applyBorder="1" applyAlignment="1">
      <alignment horizontal="center"/>
    </xf>
    <xf numFmtId="0" fontId="12" fillId="0" borderId="18" xfId="0" applyFont="1" applyBorder="1" applyAlignment="1">
      <alignment horizontal="center"/>
    </xf>
    <xf numFmtId="0" fontId="10" fillId="0" borderId="20" xfId="0" applyFont="1" applyBorder="1" applyAlignment="1">
      <alignment horizontal="left" vertical="center"/>
    </xf>
    <xf numFmtId="0" fontId="6" fillId="0" borderId="0" xfId="0" applyFont="1" applyFill="1" applyAlignment="1">
      <alignment horizontal="left" vertical="center"/>
    </xf>
    <xf numFmtId="0" fontId="8" fillId="0" borderId="0" xfId="0" applyFont="1" applyFill="1" applyAlignment="1">
      <alignment horizontal="left" vertical="top" wrapText="1"/>
    </xf>
    <xf numFmtId="0" fontId="12" fillId="0" borderId="12" xfId="0" applyNumberFormat="1" applyFont="1" applyFill="1" applyBorder="1" applyAlignment="1">
      <alignment horizontal="center" vertical="center" wrapText="1"/>
    </xf>
    <xf numFmtId="0" fontId="12" fillId="0" borderId="13" xfId="0" applyNumberFormat="1" applyFont="1" applyFill="1" applyBorder="1" applyAlignment="1">
      <alignment horizontal="center" vertical="center" wrapText="1"/>
    </xf>
    <xf numFmtId="3" fontId="12" fillId="0" borderId="2" xfId="0" applyNumberFormat="1" applyFont="1" applyFill="1" applyBorder="1" applyAlignment="1">
      <alignment horizontal="center" wrapText="1"/>
    </xf>
    <xf numFmtId="0" fontId="6" fillId="0" borderId="0" xfId="0" applyFont="1" applyFill="1" applyAlignment="1">
      <alignment horizontal="left" vertical="center" wrapText="1"/>
    </xf>
    <xf numFmtId="0" fontId="1" fillId="0" borderId="3"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3" xfId="0" applyFont="1" applyBorder="1" applyAlignment="1">
      <alignment horizontal="left" vertical="top" wrapText="1"/>
    </xf>
    <xf numFmtId="0" fontId="1" fillId="0" borderId="11" xfId="0" applyFont="1" applyBorder="1" applyAlignment="1">
      <alignment horizontal="left" vertical="top" wrapText="1"/>
    </xf>
    <xf numFmtId="0" fontId="1" fillId="0" borderId="7"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1" fillId="0" borderId="10" xfId="0" applyFont="1" applyBorder="1" applyAlignment="1">
      <alignment horizontal="left" vertical="top" wrapText="1"/>
    </xf>
    <xf numFmtId="0" fontId="1" fillId="0" borderId="8" xfId="0" applyFont="1" applyBorder="1" applyAlignment="1">
      <alignment horizontal="left" vertical="top" wrapText="1"/>
    </xf>
    <xf numFmtId="0" fontId="3" fillId="6" borderId="2" xfId="0" applyFont="1" applyFill="1" applyBorder="1" applyAlignment="1">
      <alignment horizontal="center" wrapText="1"/>
    </xf>
    <xf numFmtId="0" fontId="3" fillId="6" borderId="2" xfId="0" applyFont="1" applyFill="1" applyBorder="1" applyAlignment="1">
      <alignment horizontal="center"/>
    </xf>
    <xf numFmtId="0" fontId="1" fillId="0" borderId="31"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0" xfId="0" applyFont="1" applyAlignment="1">
      <alignment horizontal="left" vertical="center" wrapText="1"/>
    </xf>
    <xf numFmtId="0" fontId="1" fillId="0" borderId="29" xfId="0" applyFont="1" applyFill="1" applyBorder="1" applyAlignment="1">
      <alignment horizontal="center"/>
    </xf>
    <xf numFmtId="0" fontId="1" fillId="0" borderId="2" xfId="0" applyFont="1" applyFill="1" applyBorder="1" applyAlignment="1">
      <alignment horizontal="center"/>
    </xf>
    <xf numFmtId="0" fontId="1" fillId="0" borderId="37" xfId="0" applyFont="1" applyFill="1" applyBorder="1" applyAlignment="1">
      <alignment horizontal="center"/>
    </xf>
    <xf numFmtId="0" fontId="1" fillId="0" borderId="35" xfId="0" applyFont="1" applyFill="1" applyBorder="1" applyAlignment="1">
      <alignment horizontal="center"/>
    </xf>
    <xf numFmtId="0" fontId="3" fillId="0" borderId="26" xfId="0" applyFont="1" applyFill="1" applyBorder="1" applyAlignment="1">
      <alignment horizontal="center"/>
    </xf>
    <xf numFmtId="0" fontId="3" fillId="0" borderId="27" xfId="0" applyFont="1" applyFill="1" applyBorder="1" applyAlignment="1">
      <alignment horizontal="center"/>
    </xf>
    <xf numFmtId="0" fontId="3" fillId="0" borderId="28" xfId="0" applyFont="1" applyFill="1" applyBorder="1" applyAlignment="1">
      <alignment horizontal="center"/>
    </xf>
    <xf numFmtId="0" fontId="1" fillId="0" borderId="2" xfId="0" applyFont="1" applyBorder="1" applyAlignment="1">
      <alignment horizontal="left" vertical="top" wrapText="1"/>
    </xf>
    <xf numFmtId="0" fontId="1" fillId="0" borderId="2" xfId="0" applyFont="1" applyBorder="1" applyAlignment="1">
      <alignment horizontal="left" vertical="top"/>
    </xf>
    <xf numFmtId="3" fontId="3" fillId="0" borderId="26" xfId="0" applyNumberFormat="1" applyFont="1" applyFill="1" applyBorder="1" applyAlignment="1">
      <alignment horizontal="center" vertical="center" wrapText="1"/>
    </xf>
    <xf numFmtId="3" fontId="3" fillId="0" borderId="27" xfId="0" applyNumberFormat="1" applyFont="1" applyFill="1" applyBorder="1" applyAlignment="1">
      <alignment horizontal="center" vertical="center" wrapText="1"/>
    </xf>
    <xf numFmtId="3" fontId="3" fillId="0" borderId="28" xfId="0" applyNumberFormat="1" applyFont="1" applyFill="1" applyBorder="1" applyAlignment="1">
      <alignment horizontal="center" vertical="center" wrapText="1"/>
    </xf>
    <xf numFmtId="0" fontId="1" fillId="0" borderId="2" xfId="0" applyFont="1" applyFill="1" applyBorder="1" applyAlignment="1">
      <alignment horizontal="center" wrapText="1"/>
    </xf>
    <xf numFmtId="0" fontId="1" fillId="5" borderId="30" xfId="0" applyFont="1" applyFill="1" applyBorder="1" applyAlignment="1">
      <alignment horizontal="center" wrapText="1"/>
    </xf>
    <xf numFmtId="0" fontId="1" fillId="0" borderId="30" xfId="0" applyFont="1" applyFill="1" applyBorder="1" applyAlignment="1">
      <alignment horizontal="center" wrapText="1"/>
    </xf>
    <xf numFmtId="0" fontId="3" fillId="6" borderId="2" xfId="0" applyFont="1" applyFill="1" applyBorder="1" applyAlignment="1">
      <alignment horizontal="left"/>
    </xf>
    <xf numFmtId="0" fontId="1" fillId="0" borderId="29" xfId="0" applyFont="1" applyFill="1" applyBorder="1" applyAlignment="1">
      <alignment horizontal="center" wrapText="1"/>
    </xf>
    <xf numFmtId="0" fontId="1" fillId="0" borderId="33" xfId="0" applyFont="1" applyFill="1" applyBorder="1" applyAlignment="1">
      <alignment horizontal="center" vertical="center"/>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xf>
    <xf numFmtId="0" fontId="5" fillId="0" borderId="2" xfId="0" applyFont="1" applyFill="1" applyBorder="1" applyAlignment="1">
      <alignment horizontal="center"/>
    </xf>
    <xf numFmtId="0" fontId="6" fillId="0" borderId="0" xfId="0" applyFont="1" applyFill="1" applyAlignment="1">
      <alignment horizontal="left" vertical="top" wrapText="1"/>
    </xf>
    <xf numFmtId="0" fontId="6" fillId="0" borderId="0" xfId="0" applyFont="1" applyFill="1" applyBorder="1" applyAlignment="1">
      <alignment horizontal="left" wrapText="1"/>
    </xf>
    <xf numFmtId="0" fontId="12" fillId="0" borderId="12" xfId="0" applyNumberFormat="1" applyFont="1" applyFill="1" applyBorder="1" applyAlignment="1">
      <alignment horizontal="left" wrapText="1"/>
    </xf>
    <xf numFmtId="0" fontId="12" fillId="0" borderId="13" xfId="0" applyNumberFormat="1" applyFont="1" applyFill="1" applyBorder="1" applyAlignment="1">
      <alignment horizontal="left" wrapText="1"/>
    </xf>
    <xf numFmtId="0" fontId="6" fillId="0" borderId="0" xfId="0" applyFont="1" applyFill="1" applyAlignment="1">
      <alignment horizontal="left" wrapText="1"/>
    </xf>
    <xf numFmtId="3" fontId="21" fillId="0" borderId="16" xfId="2" applyNumberFormat="1" applyFont="1" applyFill="1" applyBorder="1" applyAlignment="1">
      <alignment horizontal="center"/>
    </xf>
    <xf numFmtId="3" fontId="21" fillId="0" borderId="17" xfId="2" applyNumberFormat="1" applyFont="1" applyFill="1" applyBorder="1" applyAlignment="1">
      <alignment horizontal="center"/>
    </xf>
    <xf numFmtId="3" fontId="21" fillId="0" borderId="18" xfId="2" applyNumberFormat="1" applyFont="1" applyFill="1" applyBorder="1" applyAlignment="1">
      <alignment horizontal="center"/>
    </xf>
    <xf numFmtId="3" fontId="21" fillId="0" borderId="16" xfId="0" applyNumberFormat="1" applyFont="1" applyFill="1" applyBorder="1" applyAlignment="1">
      <alignment horizontal="center"/>
    </xf>
    <xf numFmtId="3" fontId="21" fillId="0" borderId="17" xfId="0" applyNumberFormat="1" applyFont="1" applyFill="1" applyBorder="1" applyAlignment="1">
      <alignment horizontal="center"/>
    </xf>
    <xf numFmtId="3" fontId="21" fillId="0" borderId="18" xfId="0" applyNumberFormat="1" applyFont="1" applyFill="1" applyBorder="1" applyAlignment="1">
      <alignment horizontal="center"/>
    </xf>
    <xf numFmtId="3" fontId="12" fillId="0" borderId="16" xfId="0" applyNumberFormat="1" applyFont="1" applyFill="1" applyBorder="1" applyAlignment="1">
      <alignment horizontal="center"/>
    </xf>
    <xf numFmtId="3" fontId="12" fillId="0" borderId="17" xfId="0" applyNumberFormat="1" applyFont="1" applyFill="1" applyBorder="1" applyAlignment="1">
      <alignment horizontal="center"/>
    </xf>
    <xf numFmtId="3" fontId="12" fillId="0" borderId="18" xfId="0" applyNumberFormat="1" applyFont="1" applyFill="1" applyBorder="1" applyAlignment="1">
      <alignment horizontal="center"/>
    </xf>
    <xf numFmtId="0" fontId="12" fillId="0" borderId="6" xfId="0" applyNumberFormat="1" applyFont="1" applyFill="1" applyBorder="1" applyAlignment="1">
      <alignment horizontal="left" wrapText="1"/>
    </xf>
    <xf numFmtId="3" fontId="21" fillId="0" borderId="16" xfId="1" applyNumberFormat="1" applyFont="1" applyFill="1" applyBorder="1" applyAlignment="1">
      <alignment horizontal="center"/>
    </xf>
    <xf numFmtId="3" fontId="21" fillId="0" borderId="17" xfId="1" applyNumberFormat="1" applyFont="1" applyFill="1" applyBorder="1" applyAlignment="1">
      <alignment horizontal="center"/>
    </xf>
    <xf numFmtId="3" fontId="21" fillId="0" borderId="18" xfId="1" applyNumberFormat="1" applyFont="1" applyFill="1" applyBorder="1" applyAlignment="1">
      <alignment horizontal="center"/>
    </xf>
    <xf numFmtId="0" fontId="6" fillId="0" borderId="0" xfId="0" applyFont="1" applyFill="1" applyAlignment="1">
      <alignment horizontal="left"/>
    </xf>
    <xf numFmtId="0" fontId="6" fillId="0" borderId="0" xfId="0" applyFont="1" applyFill="1" applyBorder="1" applyAlignment="1">
      <alignment horizontal="left" vertical="center" wrapText="1"/>
    </xf>
    <xf numFmtId="0" fontId="8" fillId="0" borderId="2" xfId="0" applyFont="1" applyBorder="1" applyAlignment="1">
      <alignment horizontal="center" vertical="top" wrapText="1"/>
    </xf>
    <xf numFmtId="0" fontId="6" fillId="0" borderId="16" xfId="0" applyFont="1" applyBorder="1" applyAlignment="1">
      <alignment vertical="top" wrapText="1"/>
    </xf>
    <xf numFmtId="0" fontId="6" fillId="0" borderId="18" xfId="0" applyFont="1" applyBorder="1" applyAlignment="1">
      <alignment vertical="top" wrapText="1"/>
    </xf>
    <xf numFmtId="0" fontId="8" fillId="0" borderId="16" xfId="0" applyFont="1" applyBorder="1" applyAlignment="1">
      <alignment horizontal="center" vertical="top" wrapText="1"/>
    </xf>
    <xf numFmtId="0" fontId="8" fillId="0" borderId="17" xfId="0" applyFont="1" applyBorder="1" applyAlignment="1">
      <alignment horizontal="center" vertical="top" wrapText="1"/>
    </xf>
    <xf numFmtId="0" fontId="8" fillId="0" borderId="18" xfId="0" applyFont="1" applyBorder="1" applyAlignment="1">
      <alignment horizontal="center" vertical="top" wrapText="1"/>
    </xf>
    <xf numFmtId="0" fontId="12" fillId="0" borderId="16" xfId="0" applyFont="1" applyBorder="1" applyAlignment="1">
      <alignment vertical="top" wrapText="1"/>
    </xf>
    <xf numFmtId="0" fontId="12" fillId="0" borderId="17" xfId="0" applyFont="1" applyBorder="1" applyAlignment="1">
      <alignmen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6"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8" xfId="0" applyFont="1" applyFill="1" applyBorder="1" applyAlignment="1">
      <alignment horizontal="left" vertical="top" wrapText="1"/>
    </xf>
    <xf numFmtId="0" fontId="9" fillId="0" borderId="16" xfId="0" applyFont="1" applyFill="1" applyBorder="1" applyAlignment="1">
      <alignment horizontal="center" vertical="top"/>
    </xf>
    <xf numFmtId="0" fontId="9" fillId="0" borderId="17" xfId="0" applyFont="1" applyFill="1" applyBorder="1" applyAlignment="1">
      <alignment horizontal="center" vertical="top"/>
    </xf>
    <xf numFmtId="0" fontId="9" fillId="0" borderId="18" xfId="0" applyFont="1" applyFill="1" applyBorder="1" applyAlignment="1">
      <alignment horizontal="center" vertical="top"/>
    </xf>
    <xf numFmtId="0" fontId="6" fillId="0" borderId="20" xfId="0" applyFont="1" applyBorder="1" applyAlignment="1">
      <alignment horizontal="left" vertical="top"/>
    </xf>
    <xf numFmtId="0" fontId="6"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20" fillId="0" borderId="20" xfId="0" applyFont="1" applyBorder="1" applyAlignment="1">
      <alignment horizontal="left" vertical="top" wrapText="1"/>
    </xf>
    <xf numFmtId="0" fontId="9" fillId="0" borderId="0" xfId="0" applyFont="1" applyFill="1" applyBorder="1" applyAlignment="1">
      <alignment horizontal="center" vertical="top"/>
    </xf>
    <xf numFmtId="0" fontId="11" fillId="0" borderId="16" xfId="0" applyFont="1" applyFill="1" applyBorder="1" applyAlignment="1">
      <alignment vertical="top" wrapText="1"/>
    </xf>
    <xf numFmtId="0" fontId="11" fillId="0" borderId="17" xfId="0" applyFont="1" applyFill="1" applyBorder="1" applyAlignment="1">
      <alignment vertical="top" wrapText="1"/>
    </xf>
    <xf numFmtId="0" fontId="11" fillId="0" borderId="18" xfId="0" applyFont="1" applyFill="1" applyBorder="1" applyAlignment="1">
      <alignment vertical="top" wrapText="1"/>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8" xfId="0" applyFont="1" applyBorder="1" applyAlignment="1">
      <alignment vertical="top" wrapText="1"/>
    </xf>
  </cellXfs>
  <cellStyles count="6">
    <cellStyle name="Comma" xfId="1" builtinId="3"/>
    <cellStyle name="Comma 2" xfId="3" xr:uid="{00000000-0005-0000-0000-000001000000}"/>
    <cellStyle name="Currency" xfId="2" builtinId="4"/>
    <cellStyle name="Currency 2" xfId="4" xr:uid="{00000000-0005-0000-0000-000003000000}"/>
    <cellStyle name="Normal" xfId="0" builtinId="0"/>
    <cellStyle name="Percent" xfId="5" builtinId="5"/>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OATS\SURVEY\COST\MRR\MRRBOAT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ersons/person.xml><?xml version="1.0" encoding="utf-8"?>
<personList xmlns="http://schemas.microsoft.com/office/spreadsheetml/2018/threadedcomments" xmlns:x="http://schemas.openxmlformats.org/spreadsheetml/2006/main">
  <person displayName="Stephen Treimel" id="{62958089-7786-4D6A-A640-8E744737CB99}" userId="S::Stephen.Treimel@erg.com::6926721d-cb01-48c7-a20f-3b32c9c3a9a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6" dT="2021-09-21T19:57:38.63" personId="{62958089-7786-4D6A-A640-8E744737CB99}" id="{4C9A2420-FD9F-48D6-A797-1E4F07BEE648}">
    <text>Updated these base data to show growth or decrease
 since previous ICR.</text>
  </threadedComment>
  <threadedComment ref="D7" dT="2021-09-21T19:58:07.22" personId="{62958089-7786-4D6A-A640-8E744737CB99}" id="{667E191C-D0D1-489C-AE76-221CE93826EE}">
    <text>Updated these base data to show growth for solid units since previous ICR.</text>
  </threadedComment>
  <threadedComment ref="D13" dT="2021-09-21T19:59:28.03" personId="{62958089-7786-4D6A-A640-8E744737CB99}" id="{953F744A-8021-4247-AAFF-DCFA46EE9BEF}">
    <text>Updated these existing data for liquid units to show decrease in #2 fuel oil since 2013.</text>
  </threadedComment>
  <threadedComment ref="C50" dT="2021-09-21T21:05:53.16" personId="{62958089-7786-4D6A-A640-8E744737CB99}" id="{4AE56592-65A9-4A14-833A-A0DE9B52A710}">
    <text>revised to zero</text>
  </threadedComment>
  <threadedComment ref="J51" dT="2021-09-21T21:06:08.31" personId="{62958089-7786-4D6A-A640-8E744737CB99}" id="{43EA325C-B1A3-47AB-8900-79C2719DB725}">
    <text>revised to zero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
  <sheetViews>
    <sheetView tabSelected="1" workbookViewId="0">
      <selection activeCell="K9" sqref="K9"/>
    </sheetView>
  </sheetViews>
  <sheetFormatPr defaultColWidth="9.1796875" defaultRowHeight="10.5" x14ac:dyDescent="0.25"/>
  <cols>
    <col min="1" max="1" width="34.453125" style="233" customWidth="1"/>
    <col min="2" max="2" width="12.7265625" style="233" customWidth="1"/>
    <col min="3" max="3" width="13.1796875" style="233" customWidth="1"/>
    <col min="4" max="4" width="12.54296875" style="233" customWidth="1"/>
    <col min="5" max="5" width="14.54296875" style="233" customWidth="1"/>
    <col min="6" max="6" width="11.81640625" style="233" customWidth="1"/>
    <col min="7" max="7" width="12.54296875" style="233" customWidth="1"/>
    <col min="8" max="8" width="14" style="233" bestFit="1" customWidth="1"/>
    <col min="9" max="9" width="12.1796875" style="233" customWidth="1"/>
    <col min="10" max="10" width="16.81640625" style="233" customWidth="1"/>
    <col min="11" max="16384" width="9.1796875" style="233"/>
  </cols>
  <sheetData>
    <row r="1" spans="1:12" ht="37.5" customHeight="1" x14ac:dyDescent="0.25">
      <c r="A1" s="320" t="s">
        <v>196</v>
      </c>
      <c r="B1" s="320"/>
      <c r="C1" s="320"/>
      <c r="D1" s="320"/>
      <c r="E1" s="320"/>
      <c r="F1" s="320"/>
      <c r="G1" s="320"/>
      <c r="H1" s="320"/>
      <c r="I1" s="320"/>
    </row>
    <row r="2" spans="1:12" ht="13" x14ac:dyDescent="0.25">
      <c r="C2" s="319"/>
      <c r="D2" s="319"/>
      <c r="E2" s="319"/>
      <c r="F2" s="319"/>
    </row>
    <row r="3" spans="1:12" s="49" customFormat="1" ht="39" x14ac:dyDescent="0.3">
      <c r="A3" s="234" t="s">
        <v>39</v>
      </c>
      <c r="B3" s="235" t="s">
        <v>147</v>
      </c>
      <c r="C3" s="235" t="s">
        <v>154</v>
      </c>
      <c r="D3" s="235" t="s">
        <v>149</v>
      </c>
      <c r="E3" s="235" t="s">
        <v>148</v>
      </c>
      <c r="F3" s="235" t="s">
        <v>150</v>
      </c>
      <c r="G3" s="235" t="s">
        <v>151</v>
      </c>
      <c r="H3" s="235" t="s">
        <v>152</v>
      </c>
      <c r="I3" s="235" t="s">
        <v>195</v>
      </c>
    </row>
    <row r="4" spans="1:12" s="49" customFormat="1" ht="13" x14ac:dyDescent="0.3">
      <c r="A4" s="64" t="s">
        <v>143</v>
      </c>
      <c r="B4" s="66">
        <f>'Capital vs. O&amp;M'!F10</f>
        <v>2119.5</v>
      </c>
      <c r="C4" s="66">
        <f>'Capital vs. O&amp;M'!E37</f>
        <v>3071</v>
      </c>
      <c r="D4" s="66">
        <f>LrgSolid!I39</f>
        <v>101228.61000000002</v>
      </c>
      <c r="E4" s="66">
        <f>LrgSolid!I54</f>
        <v>26195.56</v>
      </c>
      <c r="F4" s="66">
        <f>LrgSolid!I57</f>
        <v>127424.17000000001</v>
      </c>
      <c r="G4" s="65">
        <f>LrgSolid!L55</f>
        <v>15072452.09</v>
      </c>
      <c r="H4" s="65">
        <f>'Capital vs. O&amp;M'!D71+'Capital vs. O&amp;M'!G71</f>
        <v>6912727.5</v>
      </c>
      <c r="I4" s="65">
        <f>SUM(G4,H4)</f>
        <v>21985179.59</v>
      </c>
    </row>
    <row r="5" spans="1:12" s="49" customFormat="1" ht="13" x14ac:dyDescent="0.3">
      <c r="A5" s="64" t="s">
        <v>144</v>
      </c>
      <c r="B5" s="66">
        <f>'Capital vs. O&amp;M'!F15</f>
        <v>3114.6357000000007</v>
      </c>
      <c r="C5" s="66">
        <f>'Capital vs. O&amp;M'!E43</f>
        <v>1638.6511833333336</v>
      </c>
      <c r="D5" s="66">
        <f>LrgLiquid!J33</f>
        <v>38142.850000000006</v>
      </c>
      <c r="E5" s="66">
        <f>LrgLiquid!J48</f>
        <v>176405.16999999995</v>
      </c>
      <c r="F5" s="66">
        <f>LrgLiquid!J51</f>
        <v>214548.01999999996</v>
      </c>
      <c r="G5" s="65">
        <f>LrgLiquid!M49</f>
        <v>25377953.190000001</v>
      </c>
      <c r="H5" s="65">
        <f>'Capital vs. O&amp;M'!D78+'Capital vs. O&amp;M'!G78</f>
        <v>5889777.7088888893</v>
      </c>
      <c r="I5" s="65">
        <f>SUM(G5,H5)</f>
        <v>31267730.89888889</v>
      </c>
    </row>
    <row r="6" spans="1:12" s="49" customFormat="1" ht="13" x14ac:dyDescent="0.3">
      <c r="A6" s="64" t="s">
        <v>145</v>
      </c>
      <c r="B6" s="66">
        <f>'Capital vs. O&amp;M'!F20</f>
        <v>5806.166666666667</v>
      </c>
      <c r="C6" s="66">
        <f>'Capital vs. O&amp;M'!E48</f>
        <v>3001.416666666667</v>
      </c>
      <c r="D6" s="66">
        <f>SmlSolid!H18</f>
        <v>66202.91</v>
      </c>
      <c r="E6" s="66">
        <f>SmlSolid!H28</f>
        <v>15023.45</v>
      </c>
      <c r="F6" s="66">
        <f>SmlSolid!H31</f>
        <v>81226.36</v>
      </c>
      <c r="G6" s="65">
        <f>SmlSolid!K29</f>
        <v>9607913.9499999993</v>
      </c>
      <c r="H6" s="65">
        <f>'Capital vs. O&amp;M'!D81+'Capital vs. O&amp;M'!G81</f>
        <v>6468069.666666667</v>
      </c>
      <c r="I6" s="65">
        <f>SUM(G6,H6)</f>
        <v>16075983.616666667</v>
      </c>
    </row>
    <row r="7" spans="1:12" s="49" customFormat="1" ht="13" x14ac:dyDescent="0.3">
      <c r="A7" s="64" t="s">
        <v>146</v>
      </c>
      <c r="B7" s="66">
        <f>'Capital vs. O&amp;M'!F25</f>
        <v>53303.782950000001</v>
      </c>
      <c r="C7" s="66">
        <f>'Capital vs. O&amp;M'!E53</f>
        <v>26651.891475</v>
      </c>
      <c r="D7" s="66">
        <f>SmlLiquid!H18</f>
        <v>582343.84</v>
      </c>
      <c r="E7" s="66">
        <f>SmlLiquid!H28</f>
        <v>137923.56</v>
      </c>
      <c r="F7" s="66">
        <f>SmlLiquid!H31</f>
        <v>720267.39999999991</v>
      </c>
      <c r="G7" s="65">
        <f>SmlLiquid!K29</f>
        <v>85197298.600600004</v>
      </c>
      <c r="H7" s="65">
        <f>'Capital vs. O&amp;M'!D84+'Capital vs. O&amp;M'!G84</f>
        <v>59380414.206299998</v>
      </c>
      <c r="I7" s="65">
        <f>SUM(G7,H7)</f>
        <v>144577712.80689999</v>
      </c>
    </row>
    <row r="8" spans="1:12" s="49" customFormat="1" ht="13" x14ac:dyDescent="0.3">
      <c r="A8" s="234" t="s">
        <v>41</v>
      </c>
      <c r="B8" s="236">
        <f>SUM(B4:B7)</f>
        <v>64344.085316666664</v>
      </c>
      <c r="C8" s="236">
        <f>SUM(C4:C7)</f>
        <v>34362.959325000003</v>
      </c>
      <c r="D8" s="236">
        <f t="shared" ref="D8" si="0">SUM(D4:D7)</f>
        <v>787918.21</v>
      </c>
      <c r="E8" s="236">
        <f>SUM(E4:E7)</f>
        <v>355547.74</v>
      </c>
      <c r="F8" s="236">
        <f>SUM(F4:F7)</f>
        <v>1143465.9499999997</v>
      </c>
      <c r="G8" s="237">
        <f>SUM(G4:G7)</f>
        <v>135255617.83060002</v>
      </c>
      <c r="H8" s="237">
        <f>SUM(H4:H7)</f>
        <v>78650989.08185555</v>
      </c>
      <c r="I8" s="237">
        <f>(SUM(I4:I7))</f>
        <v>213906606.91245556</v>
      </c>
    </row>
    <row r="9" spans="1:12" s="49" customFormat="1" ht="15" x14ac:dyDescent="0.3">
      <c r="A9" s="234" t="s">
        <v>277</v>
      </c>
      <c r="B9" s="236"/>
      <c r="C9" s="236"/>
      <c r="D9" s="236"/>
      <c r="E9" s="236"/>
      <c r="F9" s="236">
        <f>ROUND(F8,-4)</f>
        <v>1140000</v>
      </c>
      <c r="G9" s="237">
        <f>ROUND(G8,-6)</f>
        <v>135000000</v>
      </c>
      <c r="H9" s="237">
        <f>ROUND(H8,-5)</f>
        <v>78700000</v>
      </c>
      <c r="I9" s="237">
        <f>ROUND(I8,-6)</f>
        <v>214000000</v>
      </c>
      <c r="K9" s="238">
        <f>F8/C8</f>
        <v>33.276119765624976</v>
      </c>
      <c r="L9" s="239" t="s">
        <v>153</v>
      </c>
    </row>
    <row r="10" spans="1:12" s="49" customFormat="1" ht="13" x14ac:dyDescent="0.3">
      <c r="A10" s="321"/>
      <c r="B10" s="321"/>
      <c r="C10" s="321"/>
      <c r="D10" s="321"/>
      <c r="E10" s="321"/>
      <c r="F10" s="321"/>
      <c r="G10" s="321"/>
      <c r="H10" s="321"/>
      <c r="I10" s="322"/>
    </row>
    <row r="11" spans="1:12" s="49" customFormat="1" ht="13" x14ac:dyDescent="0.3">
      <c r="A11" s="64" t="s">
        <v>278</v>
      </c>
      <c r="B11" s="66">
        <f>0.49*B8</f>
        <v>31528.601805166665</v>
      </c>
      <c r="C11" s="66">
        <f>0.49*C8</f>
        <v>16837.850069250002</v>
      </c>
      <c r="D11" s="66">
        <f>0.49*D8</f>
        <v>386079.92289999995</v>
      </c>
      <c r="E11" s="66">
        <f>0.49*E8</f>
        <v>174218.39259999999</v>
      </c>
      <c r="F11" s="66">
        <f>ROUND(0.49*F8,-3)</f>
        <v>560000</v>
      </c>
      <c r="G11" s="66">
        <f>ROUND(0.49*G8,-5)</f>
        <v>66300000</v>
      </c>
      <c r="H11" s="66">
        <f>ROUND(0.49*H8,-5)</f>
        <v>38500000</v>
      </c>
      <c r="I11" s="66">
        <f>G11+H11</f>
        <v>104800000</v>
      </c>
    </row>
    <row r="12" spans="1:12" s="49" customFormat="1" ht="13" x14ac:dyDescent="0.3">
      <c r="A12" s="64" t="s">
        <v>279</v>
      </c>
      <c r="B12" s="66">
        <f>0.51*B8</f>
        <v>32815.483511500002</v>
      </c>
      <c r="C12" s="66">
        <f>0.51*C8</f>
        <v>17525.109255750001</v>
      </c>
      <c r="D12" s="66">
        <f>0.51*D8</f>
        <v>401838.28710000002</v>
      </c>
      <c r="E12" s="66">
        <f>0.51*E8</f>
        <v>181329.3474</v>
      </c>
      <c r="F12" s="66">
        <f>ROUND(0.51*F8,-3)</f>
        <v>583000</v>
      </c>
      <c r="G12" s="66">
        <f>ROUND(0.51*G8,-5)</f>
        <v>69000000</v>
      </c>
      <c r="H12" s="66">
        <f>ROUND(0.51*H8,-5)</f>
        <v>40100000</v>
      </c>
      <c r="I12" s="66">
        <f>G12+H12</f>
        <v>109100000</v>
      </c>
    </row>
    <row r="13" spans="1:12" s="49" customFormat="1" ht="15.5" x14ac:dyDescent="0.3">
      <c r="A13" s="323" t="s">
        <v>340</v>
      </c>
      <c r="B13" s="323"/>
      <c r="C13" s="323"/>
      <c r="D13" s="323"/>
      <c r="E13" s="323"/>
      <c r="F13" s="323"/>
      <c r="G13" s="323"/>
      <c r="H13" s="323"/>
      <c r="I13" s="323"/>
    </row>
  </sheetData>
  <mergeCells count="4">
    <mergeCell ref="C2:F2"/>
    <mergeCell ref="A1:I1"/>
    <mergeCell ref="A10:I10"/>
    <mergeCell ref="A13:I13"/>
  </mergeCells>
  <phoneticPr fontId="2" type="noConversion"/>
  <pageMargins left="0.75" right="0.75" top="1" bottom="1" header="0.5" footer="0.5"/>
  <pageSetup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
  <sheetViews>
    <sheetView topLeftCell="A13" zoomScaleNormal="100" workbookViewId="0">
      <selection activeCell="A42" sqref="A42"/>
    </sheetView>
  </sheetViews>
  <sheetFormatPr defaultColWidth="9.1796875" defaultRowHeight="10.5" x14ac:dyDescent="0.25"/>
  <cols>
    <col min="1" max="1" width="48.81640625" style="72" customWidth="1"/>
    <col min="2" max="2" width="12" style="77" customWidth="1"/>
    <col min="3" max="3" width="13" style="77" customWidth="1"/>
    <col min="4" max="4" width="14.26953125" style="77" customWidth="1"/>
    <col min="5" max="5" width="10.54296875" style="77" customWidth="1"/>
    <col min="6" max="6" width="11.7265625" style="77" bestFit="1" customWidth="1"/>
    <col min="7" max="7" width="9.54296875" style="77" customWidth="1"/>
    <col min="8" max="8" width="13" style="78" customWidth="1"/>
    <col min="9" max="9" width="27.1796875" style="72" customWidth="1"/>
    <col min="10" max="10" width="14.81640625" style="72" customWidth="1"/>
    <col min="11" max="11" width="31.81640625" style="72" customWidth="1"/>
    <col min="12" max="16384" width="9.1796875" style="72"/>
  </cols>
  <sheetData>
    <row r="1" spans="1:11" s="52" customFormat="1" ht="34.5" customHeight="1" x14ac:dyDescent="0.3">
      <c r="A1" s="325" t="s">
        <v>79</v>
      </c>
      <c r="B1" s="325"/>
      <c r="C1" s="325"/>
      <c r="D1" s="325"/>
      <c r="E1" s="325"/>
      <c r="F1" s="325"/>
      <c r="G1" s="325"/>
      <c r="H1" s="325"/>
    </row>
    <row r="2" spans="1:11" x14ac:dyDescent="0.25">
      <c r="A2" s="75"/>
      <c r="B2" s="75"/>
      <c r="C2" s="75"/>
      <c r="D2" s="75"/>
      <c r="E2" s="75"/>
      <c r="F2" s="75"/>
      <c r="G2" s="75"/>
      <c r="H2" s="75"/>
      <c r="I2" s="75"/>
    </row>
    <row r="3" spans="1:11" s="183" customFormat="1" ht="12.75" customHeight="1" x14ac:dyDescent="0.3">
      <c r="A3" s="326" t="s">
        <v>21</v>
      </c>
      <c r="B3" s="240" t="s">
        <v>124</v>
      </c>
      <c r="C3" s="240" t="s">
        <v>125</v>
      </c>
      <c r="D3" s="240" t="s">
        <v>126</v>
      </c>
      <c r="E3" s="240" t="s">
        <v>127</v>
      </c>
      <c r="F3" s="240" t="s">
        <v>128</v>
      </c>
      <c r="G3" s="240" t="s">
        <v>129</v>
      </c>
      <c r="H3" s="240" t="s">
        <v>130</v>
      </c>
    </row>
    <row r="4" spans="1:11" s="190" customFormat="1" ht="52" x14ac:dyDescent="0.3">
      <c r="A4" s="327"/>
      <c r="B4" s="211" t="s">
        <v>132</v>
      </c>
      <c r="C4" s="211" t="s">
        <v>133</v>
      </c>
      <c r="D4" s="211" t="s">
        <v>134</v>
      </c>
      <c r="E4" s="211" t="s">
        <v>135</v>
      </c>
      <c r="F4" s="211" t="s">
        <v>136</v>
      </c>
      <c r="G4" s="211" t="s">
        <v>137</v>
      </c>
      <c r="H4" s="212" t="s">
        <v>280</v>
      </c>
    </row>
    <row r="5" spans="1:11" s="52" customFormat="1" ht="15.5" x14ac:dyDescent="0.3">
      <c r="A5" s="69" t="s">
        <v>298</v>
      </c>
      <c r="B5" s="241">
        <v>40</v>
      </c>
      <c r="C5" s="241">
        <v>0</v>
      </c>
      <c r="D5" s="241">
        <f>B5*C5</f>
        <v>0</v>
      </c>
      <c r="E5" s="241">
        <f>D5</f>
        <v>0</v>
      </c>
      <c r="F5" s="241">
        <f>E5*0.05</f>
        <v>0</v>
      </c>
      <c r="G5" s="241">
        <f>E5*0.1</f>
        <v>0</v>
      </c>
      <c r="H5" s="242">
        <f>(E5*'Base Data'!$J$64)+(F5*'Base Data'!$J$62)+(G5*'Base Data'!$J$63)</f>
        <v>0</v>
      </c>
      <c r="I5" s="243"/>
      <c r="J5" s="182"/>
      <c r="K5" s="244"/>
    </row>
    <row r="6" spans="1:11" s="52" customFormat="1" ht="31.5" customHeight="1" x14ac:dyDescent="0.3">
      <c r="A6" s="245" t="s">
        <v>299</v>
      </c>
      <c r="B6" s="241">
        <v>2</v>
      </c>
      <c r="C6" s="253">
        <f>LrgSolid!$H$34 + LrgLiquid!$I$28 + SmlSolid!$G$15 + SmlLiquid!$G$15</f>
        <v>59.166666666666664</v>
      </c>
      <c r="D6" s="241">
        <f>ROUND(B6*C6, 2)</f>
        <v>118.33</v>
      </c>
      <c r="E6" s="241">
        <f>D6</f>
        <v>118.33</v>
      </c>
      <c r="F6" s="246">
        <f>ROUND(E6*0.05, 2)</f>
        <v>5.92</v>
      </c>
      <c r="G6" s="253">
        <f>ROUND(E6*0.1, 2)</f>
        <v>11.83</v>
      </c>
      <c r="H6" s="247">
        <f>ROUND((E6*'Base Data'!$J$64)+(F6*'Base Data'!$J$62)+(G6*'Base Data'!$J$63), 2)</f>
        <v>4296.0600000000004</v>
      </c>
      <c r="I6" s="248"/>
      <c r="J6" s="248"/>
      <c r="K6" s="248"/>
    </row>
    <row r="7" spans="1:11" s="52" customFormat="1" ht="18.75" customHeight="1" x14ac:dyDescent="0.3">
      <c r="A7" s="249" t="s">
        <v>300</v>
      </c>
      <c r="B7" s="241"/>
      <c r="C7" s="241"/>
      <c r="D7" s="241"/>
      <c r="E7" s="241"/>
      <c r="F7" s="241"/>
      <c r="G7" s="241"/>
      <c r="H7" s="247"/>
      <c r="I7" s="244"/>
      <c r="J7" s="244"/>
      <c r="K7" s="244"/>
    </row>
    <row r="8" spans="1:11" s="52" customFormat="1" ht="18.75" customHeight="1" x14ac:dyDescent="0.3">
      <c r="A8" s="265" t="s">
        <v>305</v>
      </c>
      <c r="B8" s="241">
        <v>40</v>
      </c>
      <c r="C8" s="246">
        <f>ROUND(0.2*(SUM(LrgSolid!$H$14:$H$16) + LrgLiquid!$I$14), 2)</f>
        <v>0.37</v>
      </c>
      <c r="D8" s="241">
        <f t="shared" ref="D8:D12" si="0">ROUND(B8*C8, 2)</f>
        <v>14.8</v>
      </c>
      <c r="E8" s="241">
        <f>D8</f>
        <v>14.8</v>
      </c>
      <c r="F8" s="241">
        <f t="shared" ref="F8:F12" si="1">ROUND(E8*0.05, 2)</f>
        <v>0.74</v>
      </c>
      <c r="G8" s="241">
        <f t="shared" ref="G8:G12" si="2">ROUND(E8*0.1, 2)</f>
        <v>1.48</v>
      </c>
      <c r="H8" s="247">
        <f>ROUND((E8*'Base Data'!$J$64)+(F8*'Base Data'!$J$62)+(G8*'Base Data'!$J$63), 2)</f>
        <v>537.30999999999995</v>
      </c>
      <c r="I8" s="250"/>
      <c r="J8" s="251"/>
      <c r="K8" s="252"/>
    </row>
    <row r="9" spans="1:11" s="52" customFormat="1" ht="18.75" customHeight="1" x14ac:dyDescent="0.3">
      <c r="A9" s="266" t="s">
        <v>306</v>
      </c>
      <c r="B9" s="241">
        <v>40</v>
      </c>
      <c r="C9" s="246">
        <f>ROUND(0.1*C8, 2)</f>
        <v>0.04</v>
      </c>
      <c r="D9" s="241">
        <f t="shared" si="0"/>
        <v>1.6</v>
      </c>
      <c r="E9" s="241">
        <f>D9</f>
        <v>1.6</v>
      </c>
      <c r="F9" s="253">
        <f t="shared" si="1"/>
        <v>0.08</v>
      </c>
      <c r="G9" s="253">
        <f t="shared" si="2"/>
        <v>0.16</v>
      </c>
      <c r="H9" s="247">
        <f>ROUND((E9*'Base Data'!$J$64)+(F9*'Base Data'!$J$62)+(G9*'Base Data'!$J$63), 2)</f>
        <v>58.09</v>
      </c>
      <c r="I9" s="251"/>
      <c r="J9" s="251"/>
      <c r="K9" s="252"/>
    </row>
    <row r="10" spans="1:11" s="52" customFormat="1" ht="18.75" customHeight="1" x14ac:dyDescent="0.3">
      <c r="A10" s="266" t="s">
        <v>307</v>
      </c>
      <c r="B10" s="241">
        <v>2</v>
      </c>
      <c r="C10" s="241">
        <f>ROUND(1*(SUM(LrgSolid!$H$14:$H$16) + LrgLiquid!$I$14), 2)</f>
        <v>1.83</v>
      </c>
      <c r="D10" s="241">
        <f t="shared" si="0"/>
        <v>3.66</v>
      </c>
      <c r="E10" s="241">
        <f>D10</f>
        <v>3.66</v>
      </c>
      <c r="F10" s="253">
        <f t="shared" si="1"/>
        <v>0.18</v>
      </c>
      <c r="G10" s="253">
        <f t="shared" si="2"/>
        <v>0.37</v>
      </c>
      <c r="H10" s="247">
        <f>ROUND((E10*'Base Data'!$J$64)+(F10*'Base Data'!$J$62)+(G10*'Base Data'!$J$63), 2)</f>
        <v>132.87</v>
      </c>
      <c r="I10" s="248"/>
      <c r="J10" s="248"/>
      <c r="K10" s="248"/>
    </row>
    <row r="11" spans="1:11" s="52" customFormat="1" ht="18.75" customHeight="1" x14ac:dyDescent="0.3">
      <c r="A11" s="265" t="s">
        <v>308</v>
      </c>
      <c r="B11" s="241">
        <v>2</v>
      </c>
      <c r="C11" s="241">
        <f>ROUND(LrgSolid!H45 + LrgLiquid!$I$39, 2)</f>
        <v>3421.3</v>
      </c>
      <c r="D11" s="241">
        <f t="shared" si="0"/>
        <v>6842.6</v>
      </c>
      <c r="E11" s="241">
        <f>D11</f>
        <v>6842.6</v>
      </c>
      <c r="F11" s="241">
        <f t="shared" si="1"/>
        <v>342.13</v>
      </c>
      <c r="G11" s="241">
        <f t="shared" si="2"/>
        <v>684.26</v>
      </c>
      <c r="H11" s="247">
        <f>ROUND((E11*'Base Data'!$J$64)+(F11*'Base Data'!$J$62)+(G11*'Base Data'!$J$63), 2)</f>
        <v>248420.59</v>
      </c>
      <c r="I11" s="244"/>
      <c r="J11" s="244"/>
      <c r="K11" s="244"/>
    </row>
    <row r="12" spans="1:11" s="52" customFormat="1" ht="18.75" customHeight="1" x14ac:dyDescent="0.3">
      <c r="A12" s="249" t="s">
        <v>301</v>
      </c>
      <c r="B12" s="241">
        <v>24</v>
      </c>
      <c r="C12" s="253">
        <f>ROUND(0.1*C10, 2)</f>
        <v>0.18</v>
      </c>
      <c r="D12" s="253">
        <f t="shared" si="0"/>
        <v>4.32</v>
      </c>
      <c r="E12" s="253">
        <f>D12</f>
        <v>4.32</v>
      </c>
      <c r="F12" s="246">
        <f t="shared" si="1"/>
        <v>0.22</v>
      </c>
      <c r="G12" s="246">
        <f t="shared" si="2"/>
        <v>0.43</v>
      </c>
      <c r="H12" s="247">
        <f>ROUND((E12*'Base Data'!$J$64)+(F12*'Base Data'!$J$62)+(G12*'Base Data'!$J$63), 2)</f>
        <v>157.01</v>
      </c>
      <c r="I12" s="244"/>
      <c r="J12" s="244"/>
      <c r="K12" s="244"/>
    </row>
    <row r="13" spans="1:11" s="52" customFormat="1" ht="18.75" customHeight="1" x14ac:dyDescent="0.3">
      <c r="A13" s="249" t="s">
        <v>302</v>
      </c>
      <c r="B13" s="241"/>
      <c r="C13" s="241"/>
      <c r="D13" s="241"/>
      <c r="E13" s="241"/>
      <c r="F13" s="241"/>
      <c r="G13" s="241"/>
      <c r="H13" s="242"/>
      <c r="I13" s="244"/>
      <c r="J13" s="244"/>
      <c r="K13" s="244"/>
    </row>
    <row r="14" spans="1:11" s="52" customFormat="1" ht="27" customHeight="1" x14ac:dyDescent="0.3">
      <c r="A14" s="265" t="s">
        <v>313</v>
      </c>
      <c r="B14" s="241">
        <v>2</v>
      </c>
      <c r="C14" s="253">
        <f>C6</f>
        <v>59.166666666666664</v>
      </c>
      <c r="D14" s="241">
        <f t="shared" ref="D14:D16" si="3">ROUND(B14*C14, 2)</f>
        <v>118.33</v>
      </c>
      <c r="E14" s="241">
        <f t="shared" ref="E14:E20" si="4">D14</f>
        <v>118.33</v>
      </c>
      <c r="F14" s="246">
        <f t="shared" ref="F14:F16" si="5">ROUND(E14*0.05, 2)</f>
        <v>5.92</v>
      </c>
      <c r="G14" s="253">
        <f t="shared" ref="G14:G19" si="6">ROUND(E14*0.1, 2)</f>
        <v>11.83</v>
      </c>
      <c r="H14" s="247">
        <f>ROUND((E14*'Base Data'!$J$64)+(F14*'Base Data'!$J$62)+(G14*'Base Data'!$J$63), 2)</f>
        <v>4296.0600000000004</v>
      </c>
      <c r="I14" s="244"/>
      <c r="J14" s="244"/>
      <c r="K14" s="244"/>
    </row>
    <row r="15" spans="1:11" s="52" customFormat="1" ht="33" customHeight="1" x14ac:dyDescent="0.3">
      <c r="A15" s="266" t="s">
        <v>319</v>
      </c>
      <c r="B15" s="241">
        <v>20</v>
      </c>
      <c r="C15" s="241">
        <f>C10</f>
        <v>1.83</v>
      </c>
      <c r="D15" s="241">
        <f t="shared" si="3"/>
        <v>36.6</v>
      </c>
      <c r="E15" s="241">
        <f t="shared" si="4"/>
        <v>36.6</v>
      </c>
      <c r="F15" s="241">
        <f t="shared" si="5"/>
        <v>1.83</v>
      </c>
      <c r="G15" s="241">
        <f t="shared" si="6"/>
        <v>3.66</v>
      </c>
      <c r="H15" s="247">
        <f>ROUND((E15*'Base Data'!$J$64)+(F15*'Base Data'!$J$62)+(G15*'Base Data'!$J$63), 2)</f>
        <v>1328.76</v>
      </c>
      <c r="I15" s="244"/>
      <c r="J15" s="244"/>
      <c r="K15" s="244"/>
    </row>
    <row r="16" spans="1:11" s="52" customFormat="1" ht="19.5" customHeight="1" x14ac:dyDescent="0.3">
      <c r="A16" s="265" t="s">
        <v>309</v>
      </c>
      <c r="B16" s="241">
        <v>2</v>
      </c>
      <c r="C16" s="253">
        <f>LrgSolid!$H$35 + LrgLiquid!$I$29 + SmlSolid!$G$16 + SmlLiquid!$G$16</f>
        <v>59.166666666666664</v>
      </c>
      <c r="D16" s="241">
        <f t="shared" si="3"/>
        <v>118.33</v>
      </c>
      <c r="E16" s="241">
        <f t="shared" si="4"/>
        <v>118.33</v>
      </c>
      <c r="F16" s="246">
        <f t="shared" si="5"/>
        <v>5.92</v>
      </c>
      <c r="G16" s="253">
        <f t="shared" si="6"/>
        <v>11.83</v>
      </c>
      <c r="H16" s="247">
        <f>ROUND((E16*'Base Data'!$J$64)+(F16*'Base Data'!$J$62)+(G16*'Base Data'!$J$63), 2)</f>
        <v>4296.0600000000004</v>
      </c>
      <c r="I16" s="254"/>
      <c r="J16" s="244"/>
      <c r="K16" s="244"/>
    </row>
    <row r="17" spans="1:11" s="52" customFormat="1" ht="19.5" customHeight="1" x14ac:dyDescent="0.3">
      <c r="A17" s="249" t="s">
        <v>303</v>
      </c>
      <c r="B17" s="241"/>
      <c r="C17" s="241"/>
      <c r="D17" s="241"/>
      <c r="E17" s="241"/>
      <c r="F17" s="241"/>
      <c r="G17" s="241">
        <f t="shared" si="6"/>
        <v>0</v>
      </c>
      <c r="H17" s="242"/>
      <c r="I17" s="244"/>
      <c r="J17" s="244"/>
      <c r="K17" s="244"/>
    </row>
    <row r="18" spans="1:11" s="52" customFormat="1" ht="19.5" customHeight="1" x14ac:dyDescent="0.3">
      <c r="A18" s="266" t="s">
        <v>310</v>
      </c>
      <c r="B18" s="241">
        <v>4</v>
      </c>
      <c r="C18" s="241">
        <f>LrgSolid!$H$37 + LrgLiquid!$I$31</f>
        <v>2210.8333333333335</v>
      </c>
      <c r="D18" s="241">
        <f t="shared" ref="D18:D19" si="7">ROUND(B18*C18, 2)</f>
        <v>8843.33</v>
      </c>
      <c r="E18" s="241">
        <f t="shared" si="4"/>
        <v>8843.33</v>
      </c>
      <c r="F18" s="241">
        <f t="shared" ref="F18:F19" si="8">ROUND(E18*0.05, 2)</f>
        <v>442.17</v>
      </c>
      <c r="G18" s="241">
        <f t="shared" si="6"/>
        <v>884.33</v>
      </c>
      <c r="H18" s="247">
        <f>ROUND((E18*'Base Data'!$J$64)+(F18*'Base Data'!$J$62)+(G18*'Base Data'!$J$63), 2)</f>
        <v>321057.18</v>
      </c>
    </row>
    <row r="19" spans="1:11" s="52" customFormat="1" ht="19.5" customHeight="1" x14ac:dyDescent="0.3">
      <c r="A19" s="267" t="s">
        <v>311</v>
      </c>
      <c r="B19" s="241">
        <v>2</v>
      </c>
      <c r="C19" s="241">
        <f>ROUND(0.5*(LrgSolid!H38 + LrgLiquid!I32 + SmlSolid!G17 + SmlLiquid!G17),0)</f>
        <v>32034</v>
      </c>
      <c r="D19" s="241">
        <f t="shared" si="7"/>
        <v>64068</v>
      </c>
      <c r="E19" s="241">
        <f t="shared" si="4"/>
        <v>64068</v>
      </c>
      <c r="F19" s="241">
        <f t="shared" si="8"/>
        <v>3203.4</v>
      </c>
      <c r="G19" s="241">
        <f t="shared" si="6"/>
        <v>6406.8</v>
      </c>
      <c r="H19" s="247">
        <f>ROUND((E19*'Base Data'!$J$64)+(F19*'Base Data'!$J$62)+(G19*'Base Data'!$J$63), 2)</f>
        <v>2325988.7400000002</v>
      </c>
    </row>
    <row r="20" spans="1:11" s="52" customFormat="1" ht="19.5" customHeight="1" x14ac:dyDescent="0.3">
      <c r="A20" s="266" t="s">
        <v>312</v>
      </c>
      <c r="B20" s="241">
        <v>2</v>
      </c>
      <c r="C20" s="241">
        <f>SUM(LrgSolid!$H$12:$H$13)</f>
        <v>0</v>
      </c>
      <c r="D20" s="241">
        <f t="shared" ref="D20" si="9">ROUND(B20*C20, 2)</f>
        <v>0</v>
      </c>
      <c r="E20" s="241">
        <f t="shared" si="4"/>
        <v>0</v>
      </c>
      <c r="F20" s="241">
        <f t="shared" ref="F20" si="10">E20*0.05</f>
        <v>0</v>
      </c>
      <c r="G20" s="241">
        <f t="shared" ref="G20" si="11">E20*0.1</f>
        <v>0</v>
      </c>
      <c r="H20" s="242">
        <f>(E20*'Base Data'!$J$64)+(F20*'Base Data'!$J$62)+(G20*'Base Data'!$J$63)</f>
        <v>0</v>
      </c>
    </row>
    <row r="21" spans="1:11" s="52" customFormat="1" ht="19.5" customHeight="1" x14ac:dyDescent="0.3">
      <c r="A21" s="255" t="s">
        <v>304</v>
      </c>
      <c r="B21" s="149"/>
      <c r="C21" s="149"/>
      <c r="D21" s="149"/>
      <c r="E21" s="149"/>
      <c r="F21" s="256"/>
      <c r="G21" s="151"/>
      <c r="H21" s="247">
        <f>('Base Data'!$J$68*('Base Data'!$J$65+'Base Data'!$J$66)+'Base Data'!$J$67)*SUM(C8:C9)</f>
        <v>634.67999999999995</v>
      </c>
    </row>
    <row r="22" spans="1:11" s="52" customFormat="1" ht="13.5" customHeight="1" x14ac:dyDescent="0.3">
      <c r="A22" s="257" t="s">
        <v>281</v>
      </c>
      <c r="B22" s="149"/>
      <c r="C22" s="149"/>
      <c r="D22" s="149"/>
      <c r="E22" s="328">
        <f>ROUND(SUM(E5:G20),-2)</f>
        <v>92200</v>
      </c>
      <c r="F22" s="328"/>
      <c r="G22" s="328"/>
      <c r="H22" s="258">
        <f>ROUND((SUM(H5:H21)),-4)</f>
        <v>2910000</v>
      </c>
    </row>
    <row r="23" spans="1:11" s="52" customFormat="1" ht="13" x14ac:dyDescent="0.3">
      <c r="A23" s="230" t="s">
        <v>220</v>
      </c>
      <c r="B23" s="259"/>
      <c r="C23" s="260"/>
      <c r="D23" s="261"/>
      <c r="E23" s="261"/>
      <c r="F23" s="261"/>
      <c r="G23" s="261"/>
      <c r="H23" s="261"/>
    </row>
    <row r="24" spans="1:11" s="148" customFormat="1" ht="44.25" customHeight="1" x14ac:dyDescent="0.3">
      <c r="A24" s="329" t="s">
        <v>290</v>
      </c>
      <c r="B24" s="329"/>
      <c r="C24" s="329"/>
      <c r="D24" s="329"/>
      <c r="E24" s="329"/>
      <c r="F24" s="329"/>
      <c r="G24" s="329"/>
      <c r="H24" s="329"/>
      <c r="I24" s="262"/>
    </row>
    <row r="25" spans="1:11" s="52" customFormat="1" ht="19.5" customHeight="1" x14ac:dyDescent="0.3">
      <c r="A25" s="324" t="s">
        <v>292</v>
      </c>
      <c r="B25" s="324"/>
      <c r="C25" s="324"/>
      <c r="D25" s="324"/>
      <c r="E25" s="324"/>
      <c r="F25" s="324"/>
      <c r="G25" s="324"/>
      <c r="H25" s="324"/>
    </row>
    <row r="26" spans="1:11" s="52" customFormat="1" ht="19.5" customHeight="1" x14ac:dyDescent="0.3">
      <c r="A26" s="329" t="s">
        <v>282</v>
      </c>
      <c r="B26" s="329"/>
      <c r="C26" s="329"/>
      <c r="D26" s="329"/>
      <c r="E26" s="329"/>
      <c r="F26" s="329"/>
      <c r="G26" s="329"/>
      <c r="H26" s="329"/>
    </row>
    <row r="27" spans="1:11" s="52" customFormat="1" ht="19.5" customHeight="1" x14ac:dyDescent="0.3">
      <c r="A27" s="329" t="s">
        <v>283</v>
      </c>
      <c r="B27" s="329"/>
      <c r="C27" s="329"/>
      <c r="D27" s="329"/>
      <c r="E27" s="329"/>
      <c r="F27" s="329"/>
      <c r="G27" s="329"/>
      <c r="H27" s="329"/>
    </row>
    <row r="28" spans="1:11" s="52" customFormat="1" ht="19.5" customHeight="1" x14ac:dyDescent="0.3">
      <c r="A28" s="324" t="s">
        <v>284</v>
      </c>
      <c r="B28" s="324"/>
      <c r="C28" s="324"/>
      <c r="D28" s="324"/>
      <c r="E28" s="324"/>
      <c r="F28" s="324"/>
      <c r="G28" s="324"/>
      <c r="H28" s="324"/>
    </row>
    <row r="29" spans="1:11" s="52" customFormat="1" ht="29.25" customHeight="1" x14ac:dyDescent="0.3">
      <c r="A29" s="329" t="s">
        <v>285</v>
      </c>
      <c r="B29" s="329"/>
      <c r="C29" s="329"/>
      <c r="D29" s="329"/>
      <c r="E29" s="329"/>
      <c r="F29" s="329"/>
      <c r="G29" s="329"/>
      <c r="H29" s="329"/>
    </row>
    <row r="30" spans="1:11" s="52" customFormat="1" ht="19.5" customHeight="1" x14ac:dyDescent="0.3">
      <c r="A30" s="324" t="s">
        <v>286</v>
      </c>
      <c r="B30" s="324"/>
      <c r="C30" s="324"/>
      <c r="D30" s="324"/>
      <c r="E30" s="324"/>
      <c r="F30" s="324"/>
      <c r="G30" s="324"/>
      <c r="H30" s="324"/>
    </row>
    <row r="31" spans="1:11" s="52" customFormat="1" ht="19.5" customHeight="1" x14ac:dyDescent="0.3">
      <c r="A31" s="324" t="s">
        <v>287</v>
      </c>
      <c r="B31" s="324"/>
      <c r="C31" s="324"/>
      <c r="D31" s="324"/>
      <c r="E31" s="324"/>
      <c r="F31" s="324"/>
      <c r="G31" s="324"/>
      <c r="H31" s="324"/>
    </row>
    <row r="32" spans="1:11" s="52" customFormat="1" ht="35.25" customHeight="1" x14ac:dyDescent="0.3">
      <c r="A32" s="329" t="s">
        <v>288</v>
      </c>
      <c r="B32" s="329"/>
      <c r="C32" s="329"/>
      <c r="D32" s="329"/>
      <c r="E32" s="329"/>
      <c r="F32" s="329"/>
      <c r="G32" s="329"/>
      <c r="H32" s="329"/>
    </row>
    <row r="33" spans="1:8" s="52" customFormat="1" ht="30.75" customHeight="1" x14ac:dyDescent="0.3">
      <c r="A33" s="329" t="s">
        <v>291</v>
      </c>
      <c r="B33" s="329"/>
      <c r="C33" s="329"/>
      <c r="D33" s="329"/>
      <c r="E33" s="329"/>
      <c r="F33" s="329"/>
      <c r="G33" s="329"/>
      <c r="H33" s="329"/>
    </row>
    <row r="34" spans="1:8" s="52" customFormat="1" ht="21" customHeight="1" x14ac:dyDescent="0.3">
      <c r="A34" s="324" t="s">
        <v>289</v>
      </c>
      <c r="B34" s="324"/>
      <c r="C34" s="324"/>
      <c r="D34" s="324"/>
      <c r="E34" s="324"/>
      <c r="F34" s="324"/>
      <c r="G34" s="324"/>
      <c r="H34" s="324"/>
    </row>
  </sheetData>
  <mergeCells count="14">
    <mergeCell ref="A34:H34"/>
    <mergeCell ref="A1:H1"/>
    <mergeCell ref="A3:A4"/>
    <mergeCell ref="E22:G22"/>
    <mergeCell ref="A26:H26"/>
    <mergeCell ref="A33:H33"/>
    <mergeCell ref="A27:H27"/>
    <mergeCell ref="A32:H32"/>
    <mergeCell ref="A24:H24"/>
    <mergeCell ref="A25:H25"/>
    <mergeCell ref="A28:H28"/>
    <mergeCell ref="A29:H29"/>
    <mergeCell ref="A30:H30"/>
    <mergeCell ref="A31:H31"/>
  </mergeCells>
  <phoneticPr fontId="2" type="noConversion"/>
  <printOptions horizontalCentered="1"/>
  <pageMargins left="0.5" right="0.5" top="0.75" bottom="0.75" header="0.5" footer="0.5"/>
  <pageSetup scale="77"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X79"/>
  <sheetViews>
    <sheetView topLeftCell="A10" zoomScale="80" zoomScaleNormal="80" workbookViewId="0">
      <selection activeCell="H42" sqref="H42"/>
    </sheetView>
  </sheetViews>
  <sheetFormatPr defaultColWidth="9.1796875" defaultRowHeight="12.5" x14ac:dyDescent="0.25"/>
  <cols>
    <col min="1" max="1" width="2.1796875" style="9" customWidth="1"/>
    <col min="2" max="2" width="20.26953125" style="9" customWidth="1"/>
    <col min="3" max="3" width="13.81640625" style="9" customWidth="1"/>
    <col min="4" max="4" width="15.1796875" style="9" customWidth="1"/>
    <col min="5" max="5" width="19.1796875" style="9" bestFit="1" customWidth="1"/>
    <col min="6" max="6" width="14.453125" style="9" customWidth="1"/>
    <col min="7" max="7" width="14.7265625" style="9" customWidth="1"/>
    <col min="8" max="8" width="14" style="9" customWidth="1"/>
    <col min="9" max="9" width="23.26953125" style="9" customWidth="1"/>
    <col min="10" max="10" width="12" style="9" customWidth="1"/>
    <col min="11" max="11" width="7.81640625" style="9" customWidth="1"/>
    <col min="12" max="14" width="15.1796875" style="9" customWidth="1"/>
    <col min="15" max="15" width="21.81640625" style="9" customWidth="1"/>
    <col min="16" max="17" width="11.7265625" style="9" customWidth="1"/>
    <col min="18" max="18" width="4.1796875" style="9" customWidth="1"/>
    <col min="19" max="19" width="9.1796875" style="9"/>
    <col min="20" max="20" width="18.453125" style="9" customWidth="1"/>
    <col min="21" max="21" width="12.54296875" style="9" customWidth="1"/>
    <col min="22" max="23" width="12" style="9" customWidth="1"/>
    <col min="24" max="24" width="17" style="9" customWidth="1"/>
    <col min="25" max="25" width="12.81640625" style="9" customWidth="1"/>
    <col min="26" max="16384" width="9.1796875" style="9"/>
  </cols>
  <sheetData>
    <row r="3" spans="2:24" ht="13" x14ac:dyDescent="0.3">
      <c r="B3" s="2" t="s">
        <v>211</v>
      </c>
    </row>
    <row r="5" spans="2:24" ht="13.5" thickBot="1" x14ac:dyDescent="0.35">
      <c r="B5" s="369" t="s">
        <v>214</v>
      </c>
      <c r="C5" s="369"/>
      <c r="D5" s="369"/>
      <c r="E5" s="369"/>
      <c r="F5" s="369"/>
      <c r="G5" s="369"/>
      <c r="H5" s="369"/>
      <c r="I5" s="369"/>
      <c r="J5" s="369"/>
      <c r="L5" s="349" t="s">
        <v>215</v>
      </c>
      <c r="M5" s="349"/>
      <c r="N5" s="349"/>
      <c r="O5" s="349"/>
      <c r="P5" s="349"/>
      <c r="S5" s="27"/>
    </row>
    <row r="6" spans="2:24" ht="58.5" customHeight="1" x14ac:dyDescent="0.25">
      <c r="B6" s="123" t="s">
        <v>39</v>
      </c>
      <c r="C6" s="124" t="s">
        <v>40</v>
      </c>
      <c r="D6" s="124" t="s">
        <v>205</v>
      </c>
      <c r="E6" s="125" t="s">
        <v>206</v>
      </c>
      <c r="F6" s="124" t="s">
        <v>207</v>
      </c>
      <c r="G6" s="124" t="s">
        <v>208</v>
      </c>
      <c r="H6" s="125" t="s">
        <v>209</v>
      </c>
      <c r="I6" s="125" t="s">
        <v>75</v>
      </c>
      <c r="J6" s="124" t="s">
        <v>210</v>
      </c>
      <c r="L6" s="124" t="s">
        <v>39</v>
      </c>
      <c r="M6" s="124" t="s">
        <v>40</v>
      </c>
      <c r="N6" s="124" t="s">
        <v>210</v>
      </c>
      <c r="O6" s="125" t="s">
        <v>75</v>
      </c>
      <c r="P6" s="124" t="s">
        <v>210</v>
      </c>
      <c r="S6" s="363" t="s">
        <v>212</v>
      </c>
      <c r="T6" s="364"/>
      <c r="U6" s="364"/>
      <c r="V6" s="364"/>
      <c r="W6" s="364"/>
      <c r="X6" s="365"/>
    </row>
    <row r="7" spans="2:24" ht="13" x14ac:dyDescent="0.3">
      <c r="B7" s="372" t="s">
        <v>42</v>
      </c>
      <c r="C7" s="28" t="s">
        <v>63</v>
      </c>
      <c r="D7" s="113">
        <f>7772+140</f>
        <v>7912</v>
      </c>
      <c r="E7" s="287">
        <f>140/3</f>
        <v>46.666666666666664</v>
      </c>
      <c r="F7" s="118">
        <f>D7+E7</f>
        <v>7958.666666666667</v>
      </c>
      <c r="G7" s="116">
        <f>F7+E7</f>
        <v>8005.3333333333339</v>
      </c>
      <c r="H7" s="119">
        <f>SUM(D7,F7,G7)/3</f>
        <v>7958.666666666667</v>
      </c>
      <c r="I7" s="30" t="s">
        <v>60</v>
      </c>
      <c r="J7" s="31">
        <f>H7+H10</f>
        <v>11612.333333333334</v>
      </c>
      <c r="K7" s="27"/>
      <c r="L7" s="372" t="s">
        <v>42</v>
      </c>
      <c r="M7" s="28" t="s">
        <v>63</v>
      </c>
      <c r="N7" s="110">
        <f>H7/$C$18</f>
        <v>3979.3333333333335</v>
      </c>
      <c r="O7" s="30" t="s">
        <v>60</v>
      </c>
      <c r="P7" s="31">
        <f>N7+N10</f>
        <v>5806.166666666667</v>
      </c>
      <c r="Q7" s="95"/>
      <c r="S7" s="294" t="s">
        <v>202</v>
      </c>
      <c r="T7" s="20"/>
      <c r="U7" s="20"/>
      <c r="V7" s="20"/>
      <c r="W7" s="20"/>
      <c r="X7" s="295"/>
    </row>
    <row r="8" spans="2:24" ht="13" x14ac:dyDescent="0.3">
      <c r="B8" s="372"/>
      <c r="C8" s="28" t="s">
        <v>44</v>
      </c>
      <c r="D8" s="113">
        <f>3440+11</f>
        <v>3451</v>
      </c>
      <c r="E8" s="287">
        <f>11/3</f>
        <v>3.6666666666666665</v>
      </c>
      <c r="F8" s="118">
        <f t="shared" ref="F8:F12" si="0">D8+E8</f>
        <v>3454.6666666666665</v>
      </c>
      <c r="G8" s="116">
        <f t="shared" ref="G8:G15" si="1">F8+E8</f>
        <v>3458.333333333333</v>
      </c>
      <c r="H8" s="119">
        <f t="shared" ref="H8:H14" si="2">SUM(D8,F8,G8)/3</f>
        <v>3454.6666666666665</v>
      </c>
      <c r="I8" s="30" t="s">
        <v>59</v>
      </c>
      <c r="J8" s="31">
        <f>H8+H9+H11+H12</f>
        <v>4239</v>
      </c>
      <c r="L8" s="372"/>
      <c r="M8" s="28" t="s">
        <v>44</v>
      </c>
      <c r="N8" s="110">
        <f>H8/$C$18</f>
        <v>1727.3333333333333</v>
      </c>
      <c r="O8" s="30" t="s">
        <v>59</v>
      </c>
      <c r="P8" s="31">
        <f>N8+N9+N11+N12</f>
        <v>2119.5</v>
      </c>
      <c r="Q8" s="95"/>
      <c r="S8" s="370" t="s">
        <v>203</v>
      </c>
      <c r="T8" s="366"/>
      <c r="U8" s="366" t="s">
        <v>341</v>
      </c>
      <c r="V8" s="366" t="s">
        <v>342</v>
      </c>
      <c r="W8" s="366" t="s">
        <v>343</v>
      </c>
      <c r="X8" s="368" t="s">
        <v>344</v>
      </c>
    </row>
    <row r="9" spans="2:24" ht="13" x14ac:dyDescent="0.3">
      <c r="B9" s="372"/>
      <c r="C9" s="28" t="s">
        <v>45</v>
      </c>
      <c r="D9" s="113">
        <f>146+49</f>
        <v>195</v>
      </c>
      <c r="E9" s="287">
        <f>49/3</f>
        <v>16.333333333333332</v>
      </c>
      <c r="F9" s="118">
        <f t="shared" si="0"/>
        <v>211.33333333333334</v>
      </c>
      <c r="G9" s="116">
        <f t="shared" si="1"/>
        <v>227.66666666666669</v>
      </c>
      <c r="H9" s="119">
        <f t="shared" si="2"/>
        <v>211.33333333333334</v>
      </c>
      <c r="I9" s="30" t="s">
        <v>62</v>
      </c>
      <c r="J9" s="31">
        <f>H13</f>
        <v>106607.5659</v>
      </c>
      <c r="L9" s="372"/>
      <c r="M9" s="28" t="s">
        <v>45</v>
      </c>
      <c r="N9" s="110">
        <f>H9/$C$18</f>
        <v>105.66666666666667</v>
      </c>
      <c r="O9" s="30" t="s">
        <v>62</v>
      </c>
      <c r="P9" s="31">
        <f>N13</f>
        <v>53303.782950000001</v>
      </c>
      <c r="Q9" s="27"/>
      <c r="S9" s="370"/>
      <c r="T9" s="366"/>
      <c r="U9" s="366"/>
      <c r="V9" s="366"/>
      <c r="W9" s="366"/>
      <c r="X9" s="368"/>
    </row>
    <row r="10" spans="2:24" ht="13" x14ac:dyDescent="0.3">
      <c r="B10" s="372" t="s">
        <v>46</v>
      </c>
      <c r="C10" s="33" t="s">
        <v>63</v>
      </c>
      <c r="D10" s="113">
        <f>3447+155</f>
        <v>3602</v>
      </c>
      <c r="E10" s="287">
        <f>155/3</f>
        <v>51.666666666666664</v>
      </c>
      <c r="F10" s="118">
        <f t="shared" si="0"/>
        <v>3653.6666666666665</v>
      </c>
      <c r="G10" s="116">
        <f t="shared" si="1"/>
        <v>3705.333333333333</v>
      </c>
      <c r="H10" s="119">
        <f t="shared" si="2"/>
        <v>3653.6666666666665</v>
      </c>
      <c r="I10" s="30" t="s">
        <v>61</v>
      </c>
      <c r="J10" s="31">
        <f>H14+H15</f>
        <v>6229.2714000000005</v>
      </c>
      <c r="L10" s="372" t="s">
        <v>46</v>
      </c>
      <c r="M10" s="33" t="s">
        <v>63</v>
      </c>
      <c r="N10" s="110">
        <f>H10/$C$18</f>
        <v>1826.8333333333333</v>
      </c>
      <c r="O10" s="30" t="s">
        <v>61</v>
      </c>
      <c r="P10" s="31">
        <f>N14+N15</f>
        <v>3114.6357000000003</v>
      </c>
      <c r="S10" s="350" t="s">
        <v>47</v>
      </c>
      <c r="T10" s="10" t="s">
        <v>63</v>
      </c>
      <c r="U10" s="10">
        <v>79387</v>
      </c>
      <c r="V10" s="296">
        <f>2968/3</f>
        <v>989.33333333333337</v>
      </c>
      <c r="W10" s="296">
        <f>U10+V10</f>
        <v>80376.333333333328</v>
      </c>
      <c r="X10" s="297">
        <f>W10*0.67</f>
        <v>53852.143333333333</v>
      </c>
    </row>
    <row r="11" spans="2:24" x14ac:dyDescent="0.25">
      <c r="B11" s="372"/>
      <c r="C11" s="33" t="s">
        <v>44</v>
      </c>
      <c r="D11" s="113">
        <f>573+0</f>
        <v>573</v>
      </c>
      <c r="E11" s="116">
        <f>0/3</f>
        <v>0</v>
      </c>
      <c r="F11" s="118">
        <f t="shared" si="0"/>
        <v>573</v>
      </c>
      <c r="G11" s="116">
        <f t="shared" si="1"/>
        <v>573</v>
      </c>
      <c r="H11" s="119">
        <f t="shared" si="2"/>
        <v>573</v>
      </c>
      <c r="I11" s="28" t="s">
        <v>48</v>
      </c>
      <c r="J11" s="31">
        <f>SUM(J7:J10)</f>
        <v>128688.17063333333</v>
      </c>
      <c r="L11" s="372"/>
      <c r="M11" s="33" t="s">
        <v>44</v>
      </c>
      <c r="N11" s="110">
        <f t="shared" ref="N11:N15" si="3">H11/$C$18</f>
        <v>286.5</v>
      </c>
      <c r="O11" s="28" t="s">
        <v>76</v>
      </c>
      <c r="P11" s="31">
        <f>SUM(P7:P10)</f>
        <v>64344.085316666664</v>
      </c>
      <c r="R11" s="94"/>
      <c r="S11" s="351"/>
      <c r="T11" s="10" t="s">
        <v>44</v>
      </c>
      <c r="U11" s="10">
        <v>4545</v>
      </c>
      <c r="V11" s="296">
        <f>(244/3)*0.985</f>
        <v>80.11333333333333</v>
      </c>
      <c r="W11" s="296">
        <f t="shared" ref="W11:W12" si="4">U11+V11</f>
        <v>4625.1133333333337</v>
      </c>
      <c r="X11" s="297">
        <f t="shared" ref="X11:X12" si="5">W11*0.67</f>
        <v>3098.825933333334</v>
      </c>
    </row>
    <row r="12" spans="2:24" ht="12.75" customHeight="1" x14ac:dyDescent="0.3">
      <c r="B12" s="372"/>
      <c r="C12" s="33" t="s">
        <v>45</v>
      </c>
      <c r="D12" s="113">
        <f>0+0</f>
        <v>0</v>
      </c>
      <c r="E12" s="116">
        <f>0/3</f>
        <v>0</v>
      </c>
      <c r="F12" s="118">
        <f t="shared" si="0"/>
        <v>0</v>
      </c>
      <c r="G12" s="116">
        <f t="shared" si="1"/>
        <v>0</v>
      </c>
      <c r="H12" s="119">
        <f t="shared" si="2"/>
        <v>0</v>
      </c>
      <c r="L12" s="372"/>
      <c r="M12" s="33" t="s">
        <v>45</v>
      </c>
      <c r="N12" s="110">
        <f t="shared" si="3"/>
        <v>0</v>
      </c>
      <c r="O12" s="129"/>
      <c r="P12" s="130"/>
      <c r="S12" s="371"/>
      <c r="T12" s="10" t="s">
        <v>45</v>
      </c>
      <c r="U12" s="10">
        <v>70</v>
      </c>
      <c r="V12" s="296">
        <f>(244/3)*0.015</f>
        <v>1.22</v>
      </c>
      <c r="W12" s="296">
        <f t="shared" si="4"/>
        <v>71.22</v>
      </c>
      <c r="X12" s="297">
        <f t="shared" si="5"/>
        <v>47.717400000000005</v>
      </c>
    </row>
    <row r="13" spans="2:24" ht="13" x14ac:dyDescent="0.3">
      <c r="B13" s="373" t="s">
        <v>47</v>
      </c>
      <c r="C13" s="28" t="s">
        <v>63</v>
      </c>
      <c r="D13" s="120">
        <f>X17</f>
        <v>107684.41</v>
      </c>
      <c r="E13" s="287">
        <f>-D13*0.01</f>
        <v>-1076.8441</v>
      </c>
      <c r="F13" s="118">
        <f>D13+E13</f>
        <v>106607.5659</v>
      </c>
      <c r="G13" s="116">
        <f t="shared" si="1"/>
        <v>105530.7218</v>
      </c>
      <c r="H13" s="119">
        <f t="shared" si="2"/>
        <v>106607.5659</v>
      </c>
      <c r="I13" s="20"/>
      <c r="J13" s="20"/>
      <c r="L13" s="373" t="s">
        <v>47</v>
      </c>
      <c r="M13" s="28" t="s">
        <v>63</v>
      </c>
      <c r="N13" s="110">
        <f t="shared" si="3"/>
        <v>53303.782950000001</v>
      </c>
      <c r="O13" s="131"/>
      <c r="P13" s="132"/>
      <c r="S13" s="294"/>
      <c r="T13" s="20"/>
      <c r="U13" s="20"/>
      <c r="V13" s="20"/>
      <c r="W13" s="20"/>
      <c r="X13" s="295"/>
    </row>
    <row r="14" spans="2:24" ht="13" x14ac:dyDescent="0.3">
      <c r="B14" s="374"/>
      <c r="C14" s="28" t="s">
        <v>44</v>
      </c>
      <c r="D14" s="120">
        <f t="shared" ref="D14" si="6">X18</f>
        <v>6199.0633333333344</v>
      </c>
      <c r="E14" s="287">
        <f t="shared" ref="E14:E15" si="7">-D14*0.01</f>
        <v>-61.990633333333342</v>
      </c>
      <c r="F14" s="118">
        <f>D14+E14</f>
        <v>6137.0727000000006</v>
      </c>
      <c r="G14" s="116">
        <f t="shared" si="1"/>
        <v>6075.0820666666668</v>
      </c>
      <c r="H14" s="119">
        <f t="shared" si="2"/>
        <v>6137.0727000000006</v>
      </c>
      <c r="I14" s="96"/>
      <c r="J14" s="92"/>
      <c r="L14" s="374"/>
      <c r="M14" s="28" t="s">
        <v>44</v>
      </c>
      <c r="N14" s="110">
        <f t="shared" si="3"/>
        <v>3068.5363500000003</v>
      </c>
      <c r="O14" s="131"/>
      <c r="P14" s="132"/>
      <c r="S14" s="294" t="s">
        <v>204</v>
      </c>
      <c r="T14" s="20"/>
      <c r="U14" s="20"/>
      <c r="V14" s="20"/>
      <c r="W14" s="20"/>
      <c r="X14" s="295"/>
    </row>
    <row r="15" spans="2:24" ht="13" x14ac:dyDescent="0.3">
      <c r="B15" s="375"/>
      <c r="C15" s="28" t="s">
        <v>45</v>
      </c>
      <c r="D15" s="120">
        <f>X19</f>
        <v>93.13000000000001</v>
      </c>
      <c r="E15" s="287">
        <f t="shared" si="7"/>
        <v>-0.93130000000000013</v>
      </c>
      <c r="F15" s="118">
        <f>D15+E15</f>
        <v>92.198700000000017</v>
      </c>
      <c r="G15" s="116">
        <f t="shared" si="1"/>
        <v>91.267400000000023</v>
      </c>
      <c r="H15" s="119">
        <f>SUM(D15,F15,G15)/3</f>
        <v>92.198700000000017</v>
      </c>
      <c r="I15" s="20"/>
      <c r="J15" s="20"/>
      <c r="L15" s="375"/>
      <c r="M15" s="28" t="s">
        <v>45</v>
      </c>
      <c r="N15" s="110">
        <f t="shared" si="3"/>
        <v>46.099350000000008</v>
      </c>
      <c r="O15" s="131"/>
      <c r="P15" s="132"/>
      <c r="Q15" s="27"/>
      <c r="S15" s="370" t="s">
        <v>203</v>
      </c>
      <c r="T15" s="366"/>
      <c r="U15" s="366" t="s">
        <v>341</v>
      </c>
      <c r="V15" s="366" t="s">
        <v>342</v>
      </c>
      <c r="W15" s="366" t="s">
        <v>343</v>
      </c>
      <c r="X15" s="367" t="s">
        <v>344</v>
      </c>
    </row>
    <row r="16" spans="2:24" ht="13" x14ac:dyDescent="0.3">
      <c r="B16" s="376" t="s">
        <v>48</v>
      </c>
      <c r="C16" s="376"/>
      <c r="D16" s="29">
        <f>SUM(D7:D15)</f>
        <v>129709.60333333335</v>
      </c>
      <c r="E16" s="117">
        <f>SUM(E7:E15)</f>
        <v>-1021.4327000000001</v>
      </c>
      <c r="F16" s="116">
        <f>SUM(F7:F15)</f>
        <v>128688.17063333333</v>
      </c>
      <c r="G16" s="116">
        <f t="shared" ref="G16:H16" si="8">SUM(G7:G15)</f>
        <v>127666.73793333334</v>
      </c>
      <c r="H16" s="116">
        <f t="shared" si="8"/>
        <v>128688.17063333333</v>
      </c>
      <c r="I16" s="97"/>
      <c r="J16" s="34"/>
      <c r="L16" s="376" t="s">
        <v>48</v>
      </c>
      <c r="M16" s="376"/>
      <c r="N16" s="110">
        <f>SUM(N7:N15)</f>
        <v>64344.085316666664</v>
      </c>
      <c r="O16" s="131"/>
      <c r="P16" s="132"/>
      <c r="S16" s="370"/>
      <c r="T16" s="366"/>
      <c r="U16" s="366"/>
      <c r="V16" s="366"/>
      <c r="W16" s="366"/>
      <c r="X16" s="367"/>
    </row>
    <row r="17" spans="1:24" x14ac:dyDescent="0.25">
      <c r="D17" s="93"/>
      <c r="E17" s="107" t="e">
        <f>D16-#REF!</f>
        <v>#REF!</v>
      </c>
      <c r="F17" s="107"/>
      <c r="G17" s="107"/>
      <c r="H17" s="107"/>
      <c r="I17" s="91"/>
      <c r="O17" s="91"/>
      <c r="S17" s="350" t="s">
        <v>47</v>
      </c>
      <c r="T17" s="10" t="s">
        <v>63</v>
      </c>
      <c r="U17" s="10">
        <v>158744</v>
      </c>
      <c r="V17" s="10">
        <f>5937/3</f>
        <v>1979</v>
      </c>
      <c r="W17" s="296">
        <f>U17+V17</f>
        <v>160723</v>
      </c>
      <c r="X17" s="121">
        <f t="shared" ref="X17:X19" si="9">W17*0.67</f>
        <v>107684.41</v>
      </c>
    </row>
    <row r="18" spans="1:24" ht="17.25" customHeight="1" x14ac:dyDescent="0.3">
      <c r="B18" s="25" t="s">
        <v>70</v>
      </c>
      <c r="C18" s="26">
        <v>2</v>
      </c>
      <c r="D18" s="127"/>
      <c r="E18" s="127"/>
      <c r="F18" s="111"/>
      <c r="G18" s="111"/>
      <c r="H18" s="111"/>
      <c r="Q18" s="17"/>
      <c r="S18" s="351"/>
      <c r="T18" s="10" t="s">
        <v>44</v>
      </c>
      <c r="U18" s="10">
        <v>9090</v>
      </c>
      <c r="V18" s="296">
        <f>487/3</f>
        <v>162.33333333333334</v>
      </c>
      <c r="W18" s="296">
        <f t="shared" ref="W18:W19" si="10">U18+V18</f>
        <v>9252.3333333333339</v>
      </c>
      <c r="X18" s="121">
        <f t="shared" si="9"/>
        <v>6199.0633333333344</v>
      </c>
    </row>
    <row r="19" spans="1:24" ht="12.75" customHeight="1" thickBot="1" x14ac:dyDescent="0.35">
      <c r="B19" s="105"/>
      <c r="C19" s="128"/>
      <c r="D19" s="127"/>
      <c r="E19" s="127"/>
      <c r="F19" s="111"/>
      <c r="G19" s="111"/>
      <c r="H19" s="111"/>
      <c r="Q19" s="17"/>
      <c r="S19" s="352"/>
      <c r="T19" s="298" t="s">
        <v>45</v>
      </c>
      <c r="U19" s="298">
        <v>139</v>
      </c>
      <c r="V19" s="298">
        <v>0</v>
      </c>
      <c r="W19" s="299">
        <f t="shared" si="10"/>
        <v>139</v>
      </c>
      <c r="X19" s="122">
        <f t="shared" si="9"/>
        <v>93.13000000000001</v>
      </c>
    </row>
    <row r="20" spans="1:24" ht="12.75" customHeight="1" x14ac:dyDescent="0.25">
      <c r="B20" s="353" t="s">
        <v>49</v>
      </c>
      <c r="C20" s="353"/>
      <c r="D20" s="353"/>
      <c r="E20" s="353"/>
      <c r="G20" s="93"/>
      <c r="P20" s="17"/>
      <c r="Q20" s="17"/>
      <c r="S20" s="330" t="s">
        <v>347</v>
      </c>
      <c r="T20" s="331"/>
      <c r="U20" s="331"/>
      <c r="V20" s="331"/>
      <c r="W20" s="331"/>
      <c r="X20" s="332"/>
    </row>
    <row r="21" spans="1:24" x14ac:dyDescent="0.25">
      <c r="B21" s="9" t="s">
        <v>54</v>
      </c>
      <c r="G21" s="93"/>
      <c r="K21" s="20"/>
      <c r="L21" s="20"/>
      <c r="P21" s="17"/>
      <c r="Q21" s="17"/>
      <c r="S21" s="333"/>
      <c r="T21" s="334"/>
      <c r="U21" s="334"/>
      <c r="V21" s="334"/>
      <c r="W21" s="334"/>
      <c r="X21" s="335"/>
    </row>
    <row r="22" spans="1:24" ht="13" x14ac:dyDescent="0.3">
      <c r="B22" s="1" t="s">
        <v>40</v>
      </c>
      <c r="C22" s="1" t="s">
        <v>41</v>
      </c>
      <c r="F22" s="93"/>
      <c r="G22" s="93"/>
      <c r="I22" s="93"/>
      <c r="K22" s="3"/>
      <c r="P22" s="17"/>
      <c r="Q22" s="5"/>
      <c r="S22" s="333"/>
      <c r="T22" s="334"/>
      <c r="U22" s="334"/>
      <c r="V22" s="334"/>
      <c r="W22" s="334"/>
      <c r="X22" s="335"/>
    </row>
    <row r="23" spans="1:24" x14ac:dyDescent="0.25">
      <c r="B23" s="10" t="s">
        <v>55</v>
      </c>
      <c r="C23" s="10">
        <v>80</v>
      </c>
      <c r="D23" s="17"/>
      <c r="E23" s="17"/>
      <c r="F23" s="17"/>
      <c r="G23" s="93"/>
      <c r="H23" s="17"/>
      <c r="K23" s="20"/>
      <c r="M23" s="94"/>
      <c r="P23" s="17"/>
      <c r="Q23" s="17"/>
      <c r="S23" s="333"/>
      <c r="T23" s="334"/>
      <c r="U23" s="334"/>
      <c r="V23" s="334"/>
      <c r="W23" s="334"/>
      <c r="X23" s="335"/>
    </row>
    <row r="24" spans="1:24" ht="12.75" customHeight="1" x14ac:dyDescent="0.25">
      <c r="B24" s="17"/>
      <c r="C24" s="17"/>
      <c r="D24" s="17"/>
      <c r="E24" s="17"/>
      <c r="F24" s="263"/>
      <c r="G24" s="93"/>
      <c r="H24" s="17"/>
      <c r="K24" s="20"/>
      <c r="P24" s="17"/>
      <c r="Q24" s="17"/>
      <c r="R24" s="17"/>
      <c r="S24" s="333"/>
      <c r="T24" s="334"/>
      <c r="U24" s="334"/>
      <c r="V24" s="334"/>
      <c r="W24" s="334"/>
      <c r="X24" s="335"/>
    </row>
    <row r="25" spans="1:24" x14ac:dyDescent="0.25">
      <c r="A25" s="127"/>
      <c r="B25" s="353" t="s">
        <v>50</v>
      </c>
      <c r="C25" s="353"/>
      <c r="D25" s="353"/>
      <c r="E25" s="353"/>
      <c r="F25" s="17"/>
      <c r="G25" s="93"/>
      <c r="H25" s="17"/>
      <c r="K25" s="20"/>
      <c r="O25" s="27"/>
      <c r="Q25" s="17"/>
      <c r="R25" s="17"/>
      <c r="S25" s="333"/>
      <c r="T25" s="334"/>
      <c r="U25" s="334"/>
      <c r="V25" s="334"/>
      <c r="W25" s="334"/>
      <c r="X25" s="335"/>
    </row>
    <row r="26" spans="1:24" x14ac:dyDescent="0.25">
      <c r="B26" s="9" t="s">
        <v>56</v>
      </c>
      <c r="D26" s="17"/>
      <c r="E26" s="17"/>
      <c r="F26" s="17"/>
      <c r="G26" s="263"/>
      <c r="H26" s="17"/>
      <c r="K26" s="20"/>
      <c r="Q26" s="17"/>
      <c r="R26" s="17"/>
      <c r="S26" s="333"/>
      <c r="T26" s="334"/>
      <c r="U26" s="334"/>
      <c r="V26" s="334"/>
      <c r="W26" s="334"/>
      <c r="X26" s="335"/>
    </row>
    <row r="27" spans="1:24" ht="13" x14ac:dyDescent="0.3">
      <c r="B27" s="1" t="s">
        <v>40</v>
      </c>
      <c r="C27" s="1" t="s">
        <v>41</v>
      </c>
      <c r="D27" s="17"/>
      <c r="E27" s="17"/>
      <c r="F27" s="17"/>
      <c r="G27" s="17"/>
      <c r="H27" s="17"/>
      <c r="I27" s="17"/>
      <c r="J27" s="17"/>
      <c r="K27" s="17"/>
      <c r="Q27" s="17"/>
      <c r="R27" s="17"/>
      <c r="S27" s="333"/>
      <c r="T27" s="334"/>
      <c r="U27" s="334"/>
      <c r="V27" s="334"/>
      <c r="W27" s="334"/>
      <c r="X27" s="335"/>
    </row>
    <row r="28" spans="1:24" x14ac:dyDescent="0.25">
      <c r="B28" s="10" t="s">
        <v>43</v>
      </c>
      <c r="C28" s="10">
        <v>0</v>
      </c>
      <c r="D28" s="17"/>
      <c r="E28" s="17"/>
      <c r="J28" s="17"/>
      <c r="K28" s="17"/>
      <c r="L28" s="17"/>
      <c r="M28" s="17"/>
      <c r="N28" s="17"/>
      <c r="O28" s="17"/>
      <c r="Q28" s="17"/>
      <c r="R28" s="17"/>
      <c r="S28" s="333"/>
      <c r="T28" s="334"/>
      <c r="U28" s="334"/>
      <c r="V28" s="334"/>
      <c r="W28" s="334"/>
      <c r="X28" s="335"/>
    </row>
    <row r="29" spans="1:24" x14ac:dyDescent="0.25">
      <c r="B29" s="10" t="s">
        <v>44</v>
      </c>
      <c r="C29" s="10">
        <v>0</v>
      </c>
      <c r="J29" s="17"/>
      <c r="K29" s="17"/>
      <c r="L29" s="17"/>
      <c r="M29" s="17"/>
      <c r="N29" s="17"/>
      <c r="O29" s="17"/>
      <c r="Q29" s="17"/>
      <c r="R29" s="17"/>
      <c r="S29" s="333"/>
      <c r="T29" s="334"/>
      <c r="U29" s="334"/>
      <c r="V29" s="334"/>
      <c r="W29" s="334"/>
      <c r="X29" s="335"/>
    </row>
    <row r="30" spans="1:24" x14ac:dyDescent="0.25">
      <c r="B30" s="10" t="s">
        <v>45</v>
      </c>
      <c r="C30" s="10">
        <v>0</v>
      </c>
      <c r="J30" s="17"/>
      <c r="K30" s="17"/>
      <c r="L30" s="17"/>
      <c r="M30" s="17"/>
      <c r="N30" s="17"/>
      <c r="O30" s="17"/>
      <c r="Q30" s="17"/>
      <c r="R30" s="17"/>
      <c r="S30" s="333"/>
      <c r="T30" s="334"/>
      <c r="U30" s="334"/>
      <c r="V30" s="334"/>
      <c r="W30" s="334"/>
      <c r="X30" s="335"/>
    </row>
    <row r="31" spans="1:24" s="34" customFormat="1" x14ac:dyDescent="0.25">
      <c r="A31" s="9"/>
      <c r="B31" s="10" t="s">
        <v>48</v>
      </c>
      <c r="C31" s="10">
        <v>0</v>
      </c>
      <c r="D31" s="9"/>
      <c r="E31" s="9"/>
      <c r="F31" s="9"/>
      <c r="G31" s="9"/>
      <c r="H31" s="9"/>
      <c r="I31" s="9"/>
      <c r="J31" s="17"/>
      <c r="K31" s="17"/>
      <c r="L31" s="17"/>
      <c r="M31" s="17"/>
      <c r="N31" s="17"/>
      <c r="O31" s="17"/>
      <c r="P31" s="9"/>
      <c r="Q31" s="17"/>
      <c r="S31" s="333"/>
      <c r="T31" s="334"/>
      <c r="U31" s="334"/>
      <c r="V31" s="334"/>
      <c r="W31" s="334"/>
      <c r="X31" s="335"/>
    </row>
    <row r="32" spans="1:24" x14ac:dyDescent="0.25">
      <c r="F32" s="34"/>
      <c r="G32" s="34"/>
      <c r="H32" s="34"/>
      <c r="I32" s="34"/>
      <c r="J32" s="34"/>
      <c r="K32" s="34"/>
      <c r="L32" s="34"/>
      <c r="M32" s="34"/>
      <c r="N32" s="34"/>
      <c r="O32" s="34"/>
      <c r="P32" s="34"/>
      <c r="Q32" s="34"/>
      <c r="S32" s="333"/>
      <c r="T32" s="334"/>
      <c r="U32" s="334"/>
      <c r="V32" s="334"/>
      <c r="W32" s="334"/>
      <c r="X32" s="335"/>
    </row>
    <row r="33" spans="1:24" ht="13.5" thickBot="1" x14ac:dyDescent="0.35">
      <c r="A33" s="34"/>
      <c r="B33" s="21" t="s">
        <v>51</v>
      </c>
      <c r="C33" s="91"/>
      <c r="D33" s="34"/>
      <c r="E33" s="34"/>
      <c r="F33" s="34"/>
      <c r="G33" s="34"/>
      <c r="H33" s="34"/>
      <c r="I33" s="34"/>
      <c r="J33" s="34"/>
      <c r="K33" s="34"/>
      <c r="L33" s="34"/>
      <c r="M33" s="34"/>
      <c r="N33" s="34"/>
      <c r="O33" s="34"/>
      <c r="P33" s="34"/>
      <c r="S33" s="336"/>
      <c r="T33" s="337"/>
      <c r="U33" s="337"/>
      <c r="V33" s="337"/>
      <c r="W33" s="337"/>
      <c r="X33" s="338"/>
    </row>
    <row r="34" spans="1:24" ht="13" thickBot="1" x14ac:dyDescent="0.3"/>
    <row r="35" spans="1:24" ht="13" x14ac:dyDescent="0.3">
      <c r="B35" s="349" t="s">
        <v>213</v>
      </c>
      <c r="C35" s="349"/>
      <c r="D35" s="349"/>
      <c r="E35" s="349"/>
      <c r="F35" s="349"/>
      <c r="G35" s="349"/>
      <c r="H35" s="349"/>
      <c r="L35" s="13" t="s">
        <v>74</v>
      </c>
      <c r="M35" s="14"/>
      <c r="N35" s="14"/>
      <c r="O35" s="14"/>
      <c r="P35" s="14"/>
      <c r="Q35" s="15"/>
      <c r="S35" s="358" t="s">
        <v>322</v>
      </c>
      <c r="T35" s="359"/>
      <c r="U35" s="359"/>
      <c r="V35" s="359"/>
      <c r="W35" s="359"/>
      <c r="X35" s="360"/>
    </row>
    <row r="36" spans="1:24" ht="93.75" customHeight="1" x14ac:dyDescent="0.3">
      <c r="B36" s="126" t="s">
        <v>39</v>
      </c>
      <c r="C36" s="126" t="s">
        <v>40</v>
      </c>
      <c r="D36" s="126" t="s">
        <v>71</v>
      </c>
      <c r="E36" s="135" t="s">
        <v>77</v>
      </c>
      <c r="F36" s="348" t="s">
        <v>75</v>
      </c>
      <c r="G36" s="348"/>
      <c r="H36" s="126" t="s">
        <v>71</v>
      </c>
      <c r="L36" s="1" t="s">
        <v>39</v>
      </c>
      <c r="M36" s="1" t="s">
        <v>40</v>
      </c>
      <c r="N36" s="1" t="s">
        <v>71</v>
      </c>
      <c r="O36" s="16" t="s">
        <v>75</v>
      </c>
      <c r="P36" s="12" t="s">
        <v>73</v>
      </c>
      <c r="Q36" s="12" t="s">
        <v>72</v>
      </c>
      <c r="S36" s="354" t="s">
        <v>38</v>
      </c>
      <c r="T36" s="355"/>
      <c r="U36" s="300" t="s">
        <v>323</v>
      </c>
      <c r="V36" s="300" t="s">
        <v>345</v>
      </c>
      <c r="W36" s="10"/>
      <c r="X36" s="301"/>
    </row>
    <row r="37" spans="1:24" ht="13" x14ac:dyDescent="0.3">
      <c r="B37" s="361" t="s">
        <v>42</v>
      </c>
      <c r="C37" s="28" t="s">
        <v>63</v>
      </c>
      <c r="D37" s="133">
        <f>E7*3</f>
        <v>140</v>
      </c>
      <c r="E37" s="112">
        <v>0</v>
      </c>
      <c r="F37" s="377" t="s">
        <v>64</v>
      </c>
      <c r="G37" s="377"/>
      <c r="H37" s="31">
        <f>D37+D40</f>
        <v>295</v>
      </c>
      <c r="L37" s="361" t="s">
        <v>42</v>
      </c>
      <c r="M37" s="28" t="s">
        <v>63</v>
      </c>
      <c r="N37" s="32">
        <f>D37/$C$18</f>
        <v>70</v>
      </c>
      <c r="O37" s="30" t="s">
        <v>64</v>
      </c>
      <c r="P37" s="31">
        <f>N37+N40</f>
        <v>147.5</v>
      </c>
      <c r="Q37" s="32">
        <f>P37/3</f>
        <v>49.166666666666664</v>
      </c>
      <c r="S37" s="354" t="s">
        <v>202</v>
      </c>
      <c r="T37" s="355"/>
      <c r="U37" s="300">
        <v>3</v>
      </c>
      <c r="V37" s="300">
        <f>U37*(V11+V12)</f>
        <v>244</v>
      </c>
      <c r="W37" s="10"/>
      <c r="X37" s="301"/>
    </row>
    <row r="38" spans="1:24" ht="13.5" thickBot="1" x14ac:dyDescent="0.35">
      <c r="B38" s="361"/>
      <c r="C38" s="28" t="s">
        <v>44</v>
      </c>
      <c r="D38" s="133">
        <f t="shared" ref="D38:D45" si="11">E8*3</f>
        <v>11</v>
      </c>
      <c r="E38" s="112">
        <v>0</v>
      </c>
      <c r="F38" s="377" t="s">
        <v>65</v>
      </c>
      <c r="G38" s="377"/>
      <c r="H38" s="31">
        <f>D38+D39+D41+D42</f>
        <v>60</v>
      </c>
      <c r="L38" s="361"/>
      <c r="M38" s="28" t="s">
        <v>44</v>
      </c>
      <c r="N38" s="32">
        <f>D38/$C$18</f>
        <v>5.5</v>
      </c>
      <c r="O38" s="30" t="s">
        <v>65</v>
      </c>
      <c r="P38" s="31">
        <f>N38+N39+N41+N42</f>
        <v>30</v>
      </c>
      <c r="Q38" s="32">
        <f>P38/3</f>
        <v>10</v>
      </c>
      <c r="S38" s="356" t="s">
        <v>204</v>
      </c>
      <c r="T38" s="357"/>
      <c r="U38" s="302">
        <v>3</v>
      </c>
      <c r="V38" s="302">
        <f>U38*(V18+V19)</f>
        <v>487</v>
      </c>
      <c r="W38" s="298"/>
      <c r="X38" s="303"/>
    </row>
    <row r="39" spans="1:24" ht="12.75" customHeight="1" x14ac:dyDescent="0.3">
      <c r="B39" s="361"/>
      <c r="C39" s="28" t="s">
        <v>45</v>
      </c>
      <c r="D39" s="133">
        <f t="shared" si="11"/>
        <v>49</v>
      </c>
      <c r="E39" s="117">
        <f>D39</f>
        <v>49</v>
      </c>
      <c r="F39" s="377" t="s">
        <v>66</v>
      </c>
      <c r="G39" s="377"/>
      <c r="H39" s="31">
        <f>D43</f>
        <v>-3230.5322999999999</v>
      </c>
      <c r="L39" s="361"/>
      <c r="M39" s="28" t="s">
        <v>45</v>
      </c>
      <c r="N39" s="32">
        <f t="shared" ref="N39:N45" si="12">D39/$C$18</f>
        <v>24.5</v>
      </c>
      <c r="O39" s="30" t="s">
        <v>66</v>
      </c>
      <c r="P39" s="31">
        <f>N43</f>
        <v>-1615.2661499999999</v>
      </c>
      <c r="Q39" s="32">
        <f>P39/3</f>
        <v>-538.42205000000001</v>
      </c>
      <c r="S39" s="339" t="s">
        <v>346</v>
      </c>
      <c r="T39" s="340"/>
      <c r="U39" s="340"/>
      <c r="V39" s="340"/>
      <c r="W39" s="340"/>
      <c r="X39" s="341"/>
    </row>
    <row r="40" spans="1:24" ht="13" x14ac:dyDescent="0.3">
      <c r="B40" s="362" t="s">
        <v>46</v>
      </c>
      <c r="C40" s="28" t="s">
        <v>63</v>
      </c>
      <c r="D40" s="133">
        <f t="shared" si="11"/>
        <v>155</v>
      </c>
      <c r="E40" s="112">
        <v>0</v>
      </c>
      <c r="F40" s="377" t="s">
        <v>67</v>
      </c>
      <c r="G40" s="377"/>
      <c r="H40" s="31">
        <f>D44+D45</f>
        <v>-188.76580000000004</v>
      </c>
      <c r="L40" s="362" t="s">
        <v>46</v>
      </c>
      <c r="M40" s="28" t="s">
        <v>63</v>
      </c>
      <c r="N40" s="32">
        <f>D40/$C$18</f>
        <v>77.5</v>
      </c>
      <c r="O40" s="30" t="s">
        <v>67</v>
      </c>
      <c r="P40" s="32">
        <f>N44+N45</f>
        <v>-94.382900000000021</v>
      </c>
      <c r="Q40" s="32">
        <f>P40/3</f>
        <v>-31.460966666666675</v>
      </c>
      <c r="S40" s="342"/>
      <c r="T40" s="343"/>
      <c r="U40" s="343"/>
      <c r="V40" s="343"/>
      <c r="W40" s="343"/>
      <c r="X40" s="344"/>
    </row>
    <row r="41" spans="1:24" x14ac:dyDescent="0.25">
      <c r="B41" s="362"/>
      <c r="C41" s="28" t="s">
        <v>44</v>
      </c>
      <c r="D41" s="133">
        <f t="shared" si="11"/>
        <v>0</v>
      </c>
      <c r="E41" s="112">
        <v>0</v>
      </c>
      <c r="F41" s="376" t="s">
        <v>48</v>
      </c>
      <c r="G41" s="376"/>
      <c r="H41" s="31">
        <f>SUM(H37:H40)</f>
        <v>-3064.2981</v>
      </c>
      <c r="L41" s="362"/>
      <c r="M41" s="28" t="s">
        <v>44</v>
      </c>
      <c r="N41" s="32">
        <f t="shared" si="12"/>
        <v>0</v>
      </c>
      <c r="O41" s="28" t="s">
        <v>48</v>
      </c>
      <c r="P41" s="31">
        <f>SUM(P37:P40)</f>
        <v>-1532.14905</v>
      </c>
      <c r="Q41" s="110">
        <f>P41/3</f>
        <v>-510.71634999999998</v>
      </c>
      <c r="S41" s="342"/>
      <c r="T41" s="343"/>
      <c r="U41" s="343"/>
      <c r="V41" s="343"/>
      <c r="W41" s="343"/>
      <c r="X41" s="344"/>
    </row>
    <row r="42" spans="1:24" ht="13" x14ac:dyDescent="0.3">
      <c r="B42" s="362"/>
      <c r="C42" s="28" t="s">
        <v>45</v>
      </c>
      <c r="D42" s="133">
        <f t="shared" si="11"/>
        <v>0</v>
      </c>
      <c r="E42" s="112">
        <v>0</v>
      </c>
      <c r="F42" s="377" t="s">
        <v>193</v>
      </c>
      <c r="G42" s="377"/>
      <c r="H42" s="29">
        <f>H41/3</f>
        <v>-1021.4327</v>
      </c>
      <c r="L42" s="362"/>
      <c r="M42" s="28" t="s">
        <v>45</v>
      </c>
      <c r="N42" s="32">
        <f t="shared" si="12"/>
        <v>0</v>
      </c>
      <c r="S42" s="342"/>
      <c r="T42" s="343"/>
      <c r="U42" s="343"/>
      <c r="V42" s="343"/>
      <c r="W42" s="343"/>
      <c r="X42" s="344"/>
    </row>
    <row r="43" spans="1:24" x14ac:dyDescent="0.25">
      <c r="B43" s="361" t="s">
        <v>47</v>
      </c>
      <c r="C43" s="28" t="s">
        <v>63</v>
      </c>
      <c r="D43" s="133">
        <f t="shared" si="11"/>
        <v>-3230.5322999999999</v>
      </c>
      <c r="E43" s="112">
        <v>0</v>
      </c>
      <c r="F43" s="114"/>
      <c r="G43" s="114"/>
      <c r="H43" s="114"/>
      <c r="I43" s="34"/>
      <c r="J43" s="34"/>
      <c r="K43" s="34"/>
      <c r="L43" s="361" t="s">
        <v>47</v>
      </c>
      <c r="M43" s="28" t="s">
        <v>63</v>
      </c>
      <c r="N43" s="32">
        <f t="shared" si="12"/>
        <v>-1615.2661499999999</v>
      </c>
      <c r="S43" s="342"/>
      <c r="T43" s="343"/>
      <c r="U43" s="343"/>
      <c r="V43" s="343"/>
      <c r="W43" s="343"/>
      <c r="X43" s="344"/>
    </row>
    <row r="44" spans="1:24" ht="13" thickBot="1" x14ac:dyDescent="0.3">
      <c r="B44" s="361"/>
      <c r="C44" s="28" t="s">
        <v>44</v>
      </c>
      <c r="D44" s="133">
        <f t="shared" si="11"/>
        <v>-185.97190000000003</v>
      </c>
      <c r="E44" s="112">
        <v>0</v>
      </c>
      <c r="F44" s="114"/>
      <c r="G44" s="114"/>
      <c r="H44" s="114"/>
      <c r="I44" s="35"/>
      <c r="J44" s="35"/>
      <c r="K44" s="36"/>
      <c r="L44" s="361"/>
      <c r="M44" s="28" t="s">
        <v>44</v>
      </c>
      <c r="N44" s="32">
        <f t="shared" si="12"/>
        <v>-92.985950000000017</v>
      </c>
      <c r="O44" s="37"/>
      <c r="P44" s="11"/>
      <c r="S44" s="345"/>
      <c r="T44" s="346"/>
      <c r="U44" s="346"/>
      <c r="V44" s="346"/>
      <c r="W44" s="346"/>
      <c r="X44" s="347"/>
    </row>
    <row r="45" spans="1:24" x14ac:dyDescent="0.25">
      <c r="B45" s="361"/>
      <c r="C45" s="28" t="s">
        <v>45</v>
      </c>
      <c r="D45" s="133">
        <f t="shared" si="11"/>
        <v>-2.7939000000000003</v>
      </c>
      <c r="E45" s="112">
        <v>0</v>
      </c>
      <c r="F45" s="114"/>
      <c r="G45" s="114"/>
      <c r="H45" s="114"/>
      <c r="I45" s="35"/>
      <c r="J45" s="35"/>
      <c r="K45" s="36"/>
      <c r="L45" s="361"/>
      <c r="M45" s="28" t="s">
        <v>45</v>
      </c>
      <c r="N45" s="32">
        <f t="shared" si="12"/>
        <v>-1.3969500000000001</v>
      </c>
      <c r="O45" s="37"/>
      <c r="P45" s="11"/>
    </row>
    <row r="46" spans="1:24" x14ac:dyDescent="0.25">
      <c r="B46" s="376" t="s">
        <v>48</v>
      </c>
      <c r="C46" s="376"/>
      <c r="D46" s="134">
        <f>SUM(D37:D45)</f>
        <v>-3064.2981</v>
      </c>
      <c r="E46" s="112">
        <f>SUM(E37:E45)</f>
        <v>49</v>
      </c>
      <c r="F46" s="34"/>
      <c r="G46" s="34"/>
      <c r="H46" s="34"/>
      <c r="I46" s="35"/>
      <c r="J46" s="35"/>
      <c r="K46" s="36"/>
      <c r="L46" s="376" t="s">
        <v>48</v>
      </c>
      <c r="M46" s="376"/>
      <c r="N46" s="31">
        <f>SUM(N37:N45)</f>
        <v>-1532.14905</v>
      </c>
    </row>
    <row r="47" spans="1:24" x14ac:dyDescent="0.25">
      <c r="I47" s="34"/>
      <c r="J47" s="34"/>
    </row>
    <row r="48" spans="1:24" x14ac:dyDescent="0.25">
      <c r="B48" s="9" t="s">
        <v>54</v>
      </c>
      <c r="I48" s="9" t="s">
        <v>56</v>
      </c>
    </row>
    <row r="49" spans="2:13" ht="13" x14ac:dyDescent="0.3">
      <c r="B49" s="1" t="s">
        <v>40</v>
      </c>
      <c r="C49" s="1" t="s">
        <v>41</v>
      </c>
      <c r="I49" s="1" t="s">
        <v>40</v>
      </c>
      <c r="J49" s="1" t="s">
        <v>41</v>
      </c>
    </row>
    <row r="50" spans="2:13" x14ac:dyDescent="0.25">
      <c r="B50" s="10" t="s">
        <v>53</v>
      </c>
      <c r="C50" s="10">
        <v>0</v>
      </c>
      <c r="I50" s="10" t="s">
        <v>52</v>
      </c>
      <c r="J50" s="10">
        <v>60</v>
      </c>
    </row>
    <row r="51" spans="2:13" x14ac:dyDescent="0.25">
      <c r="I51" s="10" t="s">
        <v>53</v>
      </c>
      <c r="J51" s="10">
        <v>0</v>
      </c>
    </row>
    <row r="52" spans="2:13" x14ac:dyDescent="0.25">
      <c r="B52" s="34"/>
      <c r="C52" s="34"/>
    </row>
    <row r="53" spans="2:13" x14ac:dyDescent="0.25">
      <c r="B53" s="17" t="s">
        <v>20</v>
      </c>
    </row>
    <row r="54" spans="2:13" x14ac:dyDescent="0.25">
      <c r="B54" s="17" t="s">
        <v>0</v>
      </c>
    </row>
    <row r="55" spans="2:13" x14ac:dyDescent="0.25">
      <c r="B55" s="20" t="s">
        <v>6</v>
      </c>
    </row>
    <row r="56" spans="2:13" x14ac:dyDescent="0.25">
      <c r="B56" s="20"/>
    </row>
    <row r="59" spans="2:13" ht="13" x14ac:dyDescent="0.3">
      <c r="B59" s="2" t="s">
        <v>104</v>
      </c>
      <c r="I59" s="2" t="s">
        <v>105</v>
      </c>
      <c r="L59" s="4"/>
    </row>
    <row r="60" spans="2:13" ht="13" x14ac:dyDescent="0.3">
      <c r="I60" s="2"/>
    </row>
    <row r="61" spans="2:13" ht="13" x14ac:dyDescent="0.3">
      <c r="B61" s="1" t="s">
        <v>38</v>
      </c>
      <c r="C61" s="1" t="s">
        <v>37</v>
      </c>
      <c r="I61" s="1" t="s">
        <v>38</v>
      </c>
      <c r="J61" s="1" t="s">
        <v>37</v>
      </c>
    </row>
    <row r="62" spans="2:13" ht="13" x14ac:dyDescent="0.3">
      <c r="B62" s="10" t="s">
        <v>35</v>
      </c>
      <c r="C62" s="71">
        <v>122.2</v>
      </c>
      <c r="D62" s="136" t="s">
        <v>216</v>
      </c>
      <c r="E62" s="17"/>
      <c r="F62" s="17"/>
      <c r="G62" s="17"/>
      <c r="H62" s="17"/>
      <c r="I62" s="10" t="s">
        <v>34</v>
      </c>
      <c r="J62" s="71">
        <v>69.040000000000006</v>
      </c>
      <c r="K62" s="49" t="s">
        <v>217</v>
      </c>
    </row>
    <row r="63" spans="2:13" ht="13" x14ac:dyDescent="0.3">
      <c r="B63" s="10" t="s">
        <v>36</v>
      </c>
      <c r="C63" s="71">
        <v>61.51</v>
      </c>
      <c r="D63" s="136" t="s">
        <v>216</v>
      </c>
      <c r="E63" s="17"/>
      <c r="F63" s="17"/>
      <c r="G63" s="17"/>
      <c r="H63" s="17"/>
      <c r="I63" s="10" t="s">
        <v>36</v>
      </c>
      <c r="J63" s="71">
        <v>51.23</v>
      </c>
      <c r="K63" s="49" t="s">
        <v>217</v>
      </c>
    </row>
    <row r="64" spans="2:13" ht="13" x14ac:dyDescent="0.3">
      <c r="B64" s="10" t="s">
        <v>34</v>
      </c>
      <c r="C64" s="71">
        <v>153.55000000000001</v>
      </c>
      <c r="D64" s="136" t="s">
        <v>216</v>
      </c>
      <c r="E64" s="17"/>
      <c r="F64" s="17"/>
      <c r="G64" s="17"/>
      <c r="H64" s="17"/>
      <c r="I64" s="10" t="s">
        <v>35</v>
      </c>
      <c r="J64" s="71">
        <v>27.73</v>
      </c>
      <c r="K64" s="49" t="s">
        <v>217</v>
      </c>
      <c r="L64" s="49"/>
      <c r="M64" s="50"/>
    </row>
    <row r="65" spans="2:14" ht="13" x14ac:dyDescent="0.3">
      <c r="B65" s="28" t="s">
        <v>1</v>
      </c>
      <c r="C65" s="38">
        <v>80</v>
      </c>
      <c r="D65" s="91"/>
      <c r="I65" s="28" t="s">
        <v>12</v>
      </c>
      <c r="J65" s="65">
        <v>220</v>
      </c>
      <c r="K65" s="49" t="s">
        <v>218</v>
      </c>
    </row>
    <row r="66" spans="2:14" ht="25" x14ac:dyDescent="0.3">
      <c r="B66" s="39" t="s">
        <v>2</v>
      </c>
      <c r="C66" s="40">
        <v>56.78</v>
      </c>
      <c r="I66" s="28" t="s">
        <v>13</v>
      </c>
      <c r="J66" s="65">
        <v>96</v>
      </c>
      <c r="K66" s="49" t="s">
        <v>219</v>
      </c>
    </row>
    <row r="67" spans="2:14" ht="13" x14ac:dyDescent="0.3">
      <c r="I67" s="28" t="s">
        <v>14</v>
      </c>
      <c r="J67" s="65">
        <v>600</v>
      </c>
      <c r="K67" s="49"/>
    </row>
    <row r="68" spans="2:14" x14ac:dyDescent="0.25">
      <c r="I68" s="28" t="s">
        <v>15</v>
      </c>
      <c r="J68" s="28">
        <v>3</v>
      </c>
    </row>
    <row r="69" spans="2:14" ht="13" x14ac:dyDescent="0.3">
      <c r="B69" s="2" t="s">
        <v>16</v>
      </c>
    </row>
    <row r="71" spans="2:14" x14ac:dyDescent="0.25">
      <c r="B71" s="376" t="s">
        <v>17</v>
      </c>
      <c r="C71" s="376"/>
      <c r="D71" s="376"/>
      <c r="E71" s="41">
        <v>0.2</v>
      </c>
      <c r="F71" s="115"/>
      <c r="G71" s="115"/>
      <c r="H71" s="115"/>
    </row>
    <row r="72" spans="2:14" x14ac:dyDescent="0.25">
      <c r="B72" s="376" t="s">
        <v>18</v>
      </c>
      <c r="C72" s="376"/>
      <c r="D72" s="376"/>
      <c r="E72" s="41">
        <v>0.1</v>
      </c>
      <c r="F72" s="115"/>
      <c r="G72" s="115"/>
      <c r="H72" s="115"/>
    </row>
    <row r="73" spans="2:14" x14ac:dyDescent="0.25">
      <c r="B73" s="376" t="s">
        <v>19</v>
      </c>
      <c r="C73" s="376"/>
      <c r="D73" s="376"/>
      <c r="E73" s="41">
        <v>0.1</v>
      </c>
      <c r="F73" s="115"/>
      <c r="G73" s="115"/>
      <c r="H73" s="115"/>
    </row>
    <row r="75" spans="2:14" ht="13" thickBot="1" x14ac:dyDescent="0.3"/>
    <row r="76" spans="2:14" ht="13" x14ac:dyDescent="0.3">
      <c r="B76" s="6" t="s">
        <v>57</v>
      </c>
      <c r="C76" s="42"/>
      <c r="D76" s="43"/>
    </row>
    <row r="77" spans="2:14" x14ac:dyDescent="0.25">
      <c r="B77" s="7" t="s">
        <v>68</v>
      </c>
      <c r="C77" s="34"/>
      <c r="D77" s="44">
        <v>0</v>
      </c>
      <c r="M77" s="45"/>
      <c r="N77" s="46"/>
    </row>
    <row r="78" spans="2:14" x14ac:dyDescent="0.25">
      <c r="B78" s="7" t="s">
        <v>69</v>
      </c>
      <c r="C78" s="34"/>
      <c r="D78" s="44">
        <v>30</v>
      </c>
    </row>
    <row r="79" spans="2:14" ht="13" thickBot="1" x14ac:dyDescent="0.3">
      <c r="B79" s="8" t="s">
        <v>58</v>
      </c>
      <c r="C79" s="47"/>
      <c r="D79" s="48">
        <v>0</v>
      </c>
    </row>
  </sheetData>
  <mergeCells count="50">
    <mergeCell ref="L46:M46"/>
    <mergeCell ref="F42:G42"/>
    <mergeCell ref="B71:D71"/>
    <mergeCell ref="B72:D72"/>
    <mergeCell ref="B73:D73"/>
    <mergeCell ref="B46:C46"/>
    <mergeCell ref="F37:G37"/>
    <mergeCell ref="F38:G38"/>
    <mergeCell ref="F39:G39"/>
    <mergeCell ref="F40:G40"/>
    <mergeCell ref="F41:G41"/>
    <mergeCell ref="B5:J5"/>
    <mergeCell ref="L5:P5"/>
    <mergeCell ref="B20:E20"/>
    <mergeCell ref="S15:T16"/>
    <mergeCell ref="U15:U16"/>
    <mergeCell ref="S10:S12"/>
    <mergeCell ref="S8:T9"/>
    <mergeCell ref="U8:U9"/>
    <mergeCell ref="L7:L9"/>
    <mergeCell ref="L10:L12"/>
    <mergeCell ref="L13:L15"/>
    <mergeCell ref="L16:M16"/>
    <mergeCell ref="B10:B12"/>
    <mergeCell ref="B7:B9"/>
    <mergeCell ref="B16:C16"/>
    <mergeCell ref="B13:B15"/>
    <mergeCell ref="S6:X6"/>
    <mergeCell ref="V15:V16"/>
    <mergeCell ref="W15:W16"/>
    <mergeCell ref="X15:X16"/>
    <mergeCell ref="X8:X9"/>
    <mergeCell ref="V8:V9"/>
    <mergeCell ref="W8:W9"/>
    <mergeCell ref="S20:X33"/>
    <mergeCell ref="S39:X44"/>
    <mergeCell ref="F36:G36"/>
    <mergeCell ref="B35:H35"/>
    <mergeCell ref="S17:S19"/>
    <mergeCell ref="B25:E25"/>
    <mergeCell ref="S36:T36"/>
    <mergeCell ref="S37:T37"/>
    <mergeCell ref="S38:T38"/>
    <mergeCell ref="S35:X35"/>
    <mergeCell ref="B43:B45"/>
    <mergeCell ref="B37:B39"/>
    <mergeCell ref="L37:L39"/>
    <mergeCell ref="L43:L45"/>
    <mergeCell ref="B40:B42"/>
    <mergeCell ref="L40:L42"/>
  </mergeCells>
  <phoneticPr fontId="2" type="noConversion"/>
  <pageMargins left="0.75" right="0.75" top="1" bottom="1" header="0.5" footer="0.5"/>
  <pageSetup scale="8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5"/>
  <sheetViews>
    <sheetView zoomScaleNormal="100" workbookViewId="0">
      <selection activeCell="N36" sqref="N36"/>
    </sheetView>
  </sheetViews>
  <sheetFormatPr defaultColWidth="9.1796875" defaultRowHeight="10.5" x14ac:dyDescent="0.25"/>
  <cols>
    <col min="1" max="1" width="37.453125" style="72" customWidth="1"/>
    <col min="2" max="2" width="9.7265625" style="73" bestFit="1" customWidth="1"/>
    <col min="3" max="3" width="9.26953125" style="73" bestFit="1" customWidth="1"/>
    <col min="4" max="4" width="8.453125" style="73" bestFit="1" customWidth="1"/>
    <col min="5" max="5" width="10.453125" style="73" bestFit="1" customWidth="1"/>
    <col min="6" max="6" width="10" style="73" bestFit="1" customWidth="1"/>
    <col min="7" max="7" width="11.26953125" style="73" customWidth="1"/>
    <col min="8" max="8" width="8.26953125" style="74" bestFit="1" customWidth="1"/>
    <col min="9" max="9" width="11.54296875" style="74" customWidth="1"/>
    <col min="10" max="10" width="10.7265625" style="74" bestFit="1" customWidth="1"/>
    <col min="11" max="12" width="10.81640625" style="74" bestFit="1" customWidth="1"/>
    <col min="13" max="13" width="9.453125" style="73" bestFit="1" customWidth="1"/>
    <col min="14" max="16384" width="9.1796875" style="72"/>
  </cols>
  <sheetData>
    <row r="1" spans="1:14" s="52" customFormat="1" ht="40.5" customHeight="1" x14ac:dyDescent="0.3">
      <c r="A1" s="325" t="s">
        <v>82</v>
      </c>
      <c r="B1" s="325"/>
      <c r="C1" s="325"/>
      <c r="D1" s="325"/>
      <c r="E1" s="325"/>
      <c r="F1" s="325"/>
      <c r="G1" s="325"/>
      <c r="H1" s="325"/>
      <c r="I1" s="325"/>
      <c r="J1" s="325"/>
      <c r="K1" s="325"/>
      <c r="L1" s="325"/>
      <c r="M1" s="325"/>
    </row>
    <row r="2" spans="1:14" x14ac:dyDescent="0.25">
      <c r="A2" s="75"/>
      <c r="B2" s="75"/>
      <c r="C2" s="75"/>
      <c r="D2" s="75"/>
      <c r="E2" s="75"/>
      <c r="F2" s="75"/>
      <c r="G2" s="75"/>
      <c r="H2" s="75"/>
      <c r="I2" s="75"/>
      <c r="J2" s="75"/>
      <c r="K2" s="75"/>
      <c r="L2" s="75"/>
      <c r="M2" s="75"/>
      <c r="N2" s="75"/>
    </row>
    <row r="3" spans="1:14" s="52" customFormat="1" ht="13.5" customHeight="1" x14ac:dyDescent="0.3">
      <c r="A3" s="380" t="s">
        <v>21</v>
      </c>
      <c r="B3" s="138" t="s">
        <v>124</v>
      </c>
      <c r="C3" s="139"/>
      <c r="D3" s="140"/>
      <c r="E3" s="141" t="s">
        <v>125</v>
      </c>
      <c r="F3" s="142" t="s">
        <v>126</v>
      </c>
      <c r="G3" s="142" t="s">
        <v>127</v>
      </c>
      <c r="H3" s="142" t="s">
        <v>128</v>
      </c>
      <c r="I3" s="142" t="s">
        <v>129</v>
      </c>
      <c r="J3" s="142" t="s">
        <v>130</v>
      </c>
      <c r="K3" s="143" t="s">
        <v>131</v>
      </c>
      <c r="L3" s="144"/>
      <c r="M3" s="145"/>
    </row>
    <row r="4" spans="1:14" s="148" customFormat="1" ht="78" x14ac:dyDescent="0.3">
      <c r="A4" s="381"/>
      <c r="B4" s="207" t="s">
        <v>132</v>
      </c>
      <c r="C4" s="208" t="s">
        <v>142</v>
      </c>
      <c r="D4" s="209" t="s">
        <v>160</v>
      </c>
      <c r="E4" s="210" t="s">
        <v>141</v>
      </c>
      <c r="F4" s="211" t="s">
        <v>134</v>
      </c>
      <c r="G4" s="212" t="s">
        <v>221</v>
      </c>
      <c r="H4" s="212" t="s">
        <v>161</v>
      </c>
      <c r="I4" s="212" t="s">
        <v>162</v>
      </c>
      <c r="J4" s="212" t="s">
        <v>163</v>
      </c>
      <c r="K4" s="213" t="s">
        <v>222</v>
      </c>
      <c r="L4" s="214" t="s">
        <v>139</v>
      </c>
      <c r="M4" s="214" t="s">
        <v>140</v>
      </c>
    </row>
    <row r="5" spans="1:14" s="52" customFormat="1" ht="13" x14ac:dyDescent="0.3">
      <c r="A5" s="69" t="s">
        <v>22</v>
      </c>
      <c r="B5" s="149" t="s">
        <v>155</v>
      </c>
      <c r="C5" s="150"/>
      <c r="D5" s="150"/>
      <c r="E5" s="149"/>
      <c r="F5" s="149"/>
      <c r="G5" s="151"/>
      <c r="H5" s="151"/>
      <c r="I5" s="151"/>
      <c r="J5" s="151"/>
      <c r="K5" s="150"/>
      <c r="L5" s="150"/>
      <c r="M5" s="150"/>
    </row>
    <row r="6" spans="1:14" s="52" customFormat="1" ht="13" x14ac:dyDescent="0.3">
      <c r="A6" s="69" t="s">
        <v>23</v>
      </c>
      <c r="B6" s="149" t="s">
        <v>155</v>
      </c>
      <c r="C6" s="150"/>
      <c r="D6" s="150"/>
      <c r="E6" s="149"/>
      <c r="F6" s="149"/>
      <c r="G6" s="151"/>
      <c r="H6" s="151"/>
      <c r="I6" s="151"/>
      <c r="J6" s="151"/>
      <c r="K6" s="150"/>
      <c r="L6" s="150"/>
      <c r="M6" s="150"/>
    </row>
    <row r="7" spans="1:14" s="52" customFormat="1" ht="13" x14ac:dyDescent="0.3">
      <c r="A7" s="69" t="s">
        <v>24</v>
      </c>
      <c r="B7" s="149"/>
      <c r="C7" s="150"/>
      <c r="D7" s="150"/>
      <c r="E7" s="149"/>
      <c r="F7" s="149"/>
      <c r="G7" s="151"/>
      <c r="H7" s="151"/>
      <c r="I7" s="151"/>
      <c r="J7" s="151"/>
      <c r="K7" s="150"/>
      <c r="L7" s="150"/>
      <c r="M7" s="150"/>
    </row>
    <row r="8" spans="1:14" s="52" customFormat="1" ht="27" customHeight="1" x14ac:dyDescent="0.3">
      <c r="A8" s="152" t="s">
        <v>241</v>
      </c>
      <c r="B8" s="149">
        <v>40</v>
      </c>
      <c r="C8" s="150">
        <v>0</v>
      </c>
      <c r="D8" s="150">
        <v>0</v>
      </c>
      <c r="E8" s="149">
        <v>1</v>
      </c>
      <c r="F8" s="149">
        <f>B8*E8</f>
        <v>40</v>
      </c>
      <c r="G8" s="168">
        <f>'Capital vs. O&amp;M'!B20</f>
        <v>49.166666666666664</v>
      </c>
      <c r="H8" s="153">
        <f>ROUND(F8*G8, 2)</f>
        <v>1966.67</v>
      </c>
      <c r="I8" s="153">
        <f>ROUND(H8*0.1, 2)</f>
        <v>196.67</v>
      </c>
      <c r="J8" s="153">
        <f>ROUND(H8*0.05, 2)</f>
        <v>98.33</v>
      </c>
      <c r="K8" s="154">
        <f>ROUND((H8*'Base Data'!$C$62)+(I8*'Base Data'!$C$63)+(J8*'Base Data'!$C$64), 2)</f>
        <v>267522.82</v>
      </c>
      <c r="L8" s="155">
        <v>0</v>
      </c>
      <c r="M8" s="151">
        <v>0</v>
      </c>
    </row>
    <row r="9" spans="1:14" s="52" customFormat="1" ht="11.25" customHeight="1" x14ac:dyDescent="0.3">
      <c r="A9" s="152" t="s">
        <v>198</v>
      </c>
      <c r="B9" s="149">
        <v>1</v>
      </c>
      <c r="C9" s="150">
        <v>0</v>
      </c>
      <c r="D9" s="150">
        <v>0</v>
      </c>
      <c r="E9" s="149">
        <v>1</v>
      </c>
      <c r="F9" s="149">
        <f>B9*E9</f>
        <v>1</v>
      </c>
      <c r="G9" s="168">
        <f>'Capital vs. O&amp;M'!C20</f>
        <v>5757</v>
      </c>
      <c r="H9" s="153">
        <f>ROUND(F9*G9, 2)</f>
        <v>5757</v>
      </c>
      <c r="I9" s="153">
        <f>ROUND(H9*0.1, 2)</f>
        <v>575.70000000000005</v>
      </c>
      <c r="J9" s="153">
        <f>ROUND(H9*0.05, 2)</f>
        <v>287.85000000000002</v>
      </c>
      <c r="K9" s="154">
        <f>ROUND((H9*'Base Data'!$C$62)+(I9*'Base Data'!$C$63)+(J9*'Base Data'!$C$64), 2)</f>
        <v>783116.07</v>
      </c>
      <c r="L9" s="155">
        <v>0</v>
      </c>
      <c r="M9" s="156">
        <v>0</v>
      </c>
      <c r="N9" s="157"/>
    </row>
    <row r="10" spans="1:14" s="52" customFormat="1" ht="13" x14ac:dyDescent="0.3">
      <c r="A10" s="152" t="s">
        <v>25</v>
      </c>
      <c r="B10" s="149"/>
      <c r="C10" s="150"/>
      <c r="D10" s="150"/>
      <c r="E10" s="149"/>
      <c r="F10" s="149"/>
      <c r="G10" s="151"/>
      <c r="H10" s="158"/>
      <c r="I10" s="158"/>
      <c r="J10" s="158"/>
      <c r="K10" s="155"/>
      <c r="L10" s="155"/>
      <c r="M10" s="150"/>
    </row>
    <row r="11" spans="1:14" s="52" customFormat="1" ht="13" x14ac:dyDescent="0.3">
      <c r="A11" s="159" t="s">
        <v>188</v>
      </c>
      <c r="B11" s="149">
        <v>12</v>
      </c>
      <c r="C11" s="150">
        <v>2228</v>
      </c>
      <c r="D11" s="150">
        <v>0</v>
      </c>
      <c r="E11" s="149">
        <v>0.5</v>
      </c>
      <c r="F11" s="149">
        <f>B11*E11</f>
        <v>6</v>
      </c>
      <c r="G11" s="168">
        <f>'Capital vs. O&amp;M'!F20</f>
        <v>5806.166666666667</v>
      </c>
      <c r="H11" s="153">
        <f>ROUND(F11*G11, 2)</f>
        <v>34837</v>
      </c>
      <c r="I11" s="153">
        <f>ROUND(H11*0.1, 2)</f>
        <v>3483.7</v>
      </c>
      <c r="J11" s="153">
        <f>ROUND(H11*0.05, 2)</f>
        <v>1741.85</v>
      </c>
      <c r="K11" s="154">
        <f>ROUND((H11*'Base Data'!$C$62)+(I11*'Base Data'!$C$63)+(J11*'Base Data'!$C$64), 2)</f>
        <v>4738824.8499999996</v>
      </c>
      <c r="L11" s="155">
        <f>C11*E11*G11</f>
        <v>6468069.666666667</v>
      </c>
      <c r="M11" s="151">
        <v>0</v>
      </c>
    </row>
    <row r="12" spans="1:14" s="52" customFormat="1" ht="13" x14ac:dyDescent="0.3">
      <c r="A12" s="152" t="s">
        <v>26</v>
      </c>
      <c r="B12" s="149" t="s">
        <v>155</v>
      </c>
      <c r="C12" s="150"/>
      <c r="D12" s="150"/>
      <c r="E12" s="149"/>
      <c r="F12" s="149"/>
      <c r="G12" s="151"/>
      <c r="H12" s="158"/>
      <c r="I12" s="158"/>
      <c r="J12" s="158"/>
      <c r="K12" s="155"/>
      <c r="L12" s="155"/>
      <c r="M12" s="150"/>
    </row>
    <row r="13" spans="1:14" s="52" customFormat="1" ht="13" x14ac:dyDescent="0.3">
      <c r="A13" s="152" t="s">
        <v>27</v>
      </c>
      <c r="B13" s="149" t="s">
        <v>155</v>
      </c>
      <c r="C13" s="150"/>
      <c r="D13" s="150"/>
      <c r="E13" s="149"/>
      <c r="F13" s="149"/>
      <c r="G13" s="151"/>
      <c r="H13" s="158"/>
      <c r="I13" s="158"/>
      <c r="J13" s="158"/>
      <c r="K13" s="155"/>
      <c r="L13" s="155"/>
      <c r="M13" s="150"/>
    </row>
    <row r="14" spans="1:14" s="52" customFormat="1" ht="13" x14ac:dyDescent="0.3">
      <c r="A14" s="152" t="s">
        <v>28</v>
      </c>
      <c r="B14" s="149"/>
      <c r="C14" s="150"/>
      <c r="D14" s="150"/>
      <c r="E14" s="149"/>
      <c r="F14" s="149"/>
      <c r="G14" s="168"/>
      <c r="H14" s="158"/>
      <c r="I14" s="158"/>
      <c r="J14" s="158"/>
      <c r="K14" s="155"/>
      <c r="L14" s="155"/>
      <c r="M14" s="151"/>
    </row>
    <row r="15" spans="1:14" s="52" customFormat="1" ht="13" x14ac:dyDescent="0.3">
      <c r="A15" s="159" t="s">
        <v>176</v>
      </c>
      <c r="B15" s="149">
        <v>2</v>
      </c>
      <c r="C15" s="150">
        <v>0</v>
      </c>
      <c r="D15" s="150">
        <v>0</v>
      </c>
      <c r="E15" s="149">
        <v>1</v>
      </c>
      <c r="F15" s="149">
        <f>B15*E15</f>
        <v>2</v>
      </c>
      <c r="G15" s="168">
        <f>G8</f>
        <v>49.166666666666664</v>
      </c>
      <c r="H15" s="153">
        <f t="shared" ref="H15:H17" si="0">ROUND(F15*G15, 2)</f>
        <v>98.33</v>
      </c>
      <c r="I15" s="153">
        <f t="shared" ref="I15:I17" si="1">ROUND(H15*0.1, 2)</f>
        <v>9.83</v>
      </c>
      <c r="J15" s="160">
        <f t="shared" ref="J15:J17" si="2">ROUND(H15*0.05, 2)</f>
        <v>4.92</v>
      </c>
      <c r="K15" s="154">
        <f>ROUND((H15*'Base Data'!$C$62)+(I15*'Base Data'!$C$63)+(J15*'Base Data'!$C$64), 2)</f>
        <v>13376.04</v>
      </c>
      <c r="L15" s="155">
        <v>0</v>
      </c>
      <c r="M15" s="151">
        <f>E15*G15</f>
        <v>49.166666666666664</v>
      </c>
    </row>
    <row r="16" spans="1:14" s="52" customFormat="1" ht="13" x14ac:dyDescent="0.3">
      <c r="A16" s="159" t="s">
        <v>177</v>
      </c>
      <c r="B16" s="149">
        <v>8</v>
      </c>
      <c r="C16" s="150">
        <v>0</v>
      </c>
      <c r="D16" s="150">
        <v>0</v>
      </c>
      <c r="E16" s="149">
        <v>1</v>
      </c>
      <c r="F16" s="149">
        <f>B16*E16</f>
        <v>8</v>
      </c>
      <c r="G16" s="168">
        <f>G8</f>
        <v>49.166666666666664</v>
      </c>
      <c r="H16" s="153">
        <f t="shared" si="0"/>
        <v>393.33</v>
      </c>
      <c r="I16" s="153">
        <f t="shared" si="1"/>
        <v>39.33</v>
      </c>
      <c r="J16" s="153">
        <f t="shared" si="2"/>
        <v>19.670000000000002</v>
      </c>
      <c r="K16" s="154">
        <f>ROUND((H16*'Base Data'!$C$62)+(I16*'Base Data'!$C$63)+(J16*'Base Data'!$C$64), 2)</f>
        <v>53504.44</v>
      </c>
      <c r="L16" s="155">
        <v>0</v>
      </c>
      <c r="M16" s="151">
        <f>E16*G16</f>
        <v>49.166666666666664</v>
      </c>
    </row>
    <row r="17" spans="1:17" s="52" customFormat="1" ht="13" x14ac:dyDescent="0.3">
      <c r="A17" s="159" t="s">
        <v>187</v>
      </c>
      <c r="B17" s="149">
        <v>5</v>
      </c>
      <c r="C17" s="150">
        <v>0</v>
      </c>
      <c r="D17" s="150">
        <v>0</v>
      </c>
      <c r="E17" s="149">
        <v>0.5</v>
      </c>
      <c r="F17" s="149">
        <f>B17*E17</f>
        <v>2.5</v>
      </c>
      <c r="G17" s="168">
        <f>G11</f>
        <v>5806.166666666667</v>
      </c>
      <c r="H17" s="153">
        <f t="shared" si="0"/>
        <v>14515.42</v>
      </c>
      <c r="I17" s="153">
        <f t="shared" si="1"/>
        <v>1451.54</v>
      </c>
      <c r="J17" s="153">
        <f t="shared" si="2"/>
        <v>725.77</v>
      </c>
      <c r="K17" s="154">
        <f>ROUND((H17*'Base Data'!$C$62)+(I17*'Base Data'!$C$63)+(J17*'Base Data'!$C$64), 2)</f>
        <v>1974510.53</v>
      </c>
      <c r="L17" s="155">
        <v>0</v>
      </c>
      <c r="M17" s="151">
        <f>E17*G17</f>
        <v>2903.0833333333335</v>
      </c>
    </row>
    <row r="18" spans="1:17" s="166" customFormat="1" ht="13.5" x14ac:dyDescent="0.35">
      <c r="A18" s="161" t="s">
        <v>158</v>
      </c>
      <c r="B18" s="162"/>
      <c r="C18" s="163"/>
      <c r="D18" s="163"/>
      <c r="E18" s="162"/>
      <c r="F18" s="162"/>
      <c r="G18" s="202"/>
      <c r="H18" s="383">
        <f>SUM(H8:J17)</f>
        <v>66202.91</v>
      </c>
      <c r="I18" s="384"/>
      <c r="J18" s="385"/>
      <c r="K18" s="164">
        <f t="shared" ref="K18" si="3">SUM(K8:K17)</f>
        <v>7830854.75</v>
      </c>
      <c r="L18" s="164">
        <f>SUM(L8:L17)</f>
        <v>6468069.666666667</v>
      </c>
      <c r="M18" s="165">
        <f>SUM(M14:M17)</f>
        <v>3001.416666666667</v>
      </c>
    </row>
    <row r="19" spans="1:17" s="52" customFormat="1" ht="13" x14ac:dyDescent="0.3">
      <c r="A19" s="69" t="s">
        <v>33</v>
      </c>
      <c r="B19" s="149"/>
      <c r="C19" s="150"/>
      <c r="D19" s="150"/>
      <c r="E19" s="149"/>
      <c r="F19" s="149"/>
      <c r="G19" s="151"/>
      <c r="H19" s="167"/>
      <c r="I19" s="167"/>
      <c r="J19" s="167"/>
      <c r="K19" s="150"/>
      <c r="L19" s="150"/>
      <c r="M19" s="150"/>
    </row>
    <row r="20" spans="1:17" s="52" customFormat="1" ht="13" x14ac:dyDescent="0.3">
      <c r="A20" s="69" t="s">
        <v>199</v>
      </c>
      <c r="B20" s="149" t="s">
        <v>156</v>
      </c>
      <c r="C20" s="150"/>
      <c r="D20" s="150"/>
      <c r="E20" s="149"/>
      <c r="F20" s="149"/>
      <c r="G20" s="151"/>
      <c r="H20" s="167"/>
      <c r="I20" s="167"/>
      <c r="J20" s="167"/>
      <c r="K20" s="150"/>
      <c r="L20" s="150"/>
      <c r="M20" s="150"/>
    </row>
    <row r="21" spans="1:17" s="52" customFormat="1" ht="13" x14ac:dyDescent="0.3">
      <c r="A21" s="69" t="s">
        <v>172</v>
      </c>
      <c r="B21" s="149" t="s">
        <v>155</v>
      </c>
      <c r="C21" s="150"/>
      <c r="D21" s="150"/>
      <c r="E21" s="149"/>
      <c r="F21" s="149"/>
      <c r="G21" s="151"/>
      <c r="H21" s="167"/>
      <c r="I21" s="167"/>
      <c r="J21" s="167"/>
      <c r="K21" s="150"/>
      <c r="L21" s="150"/>
      <c r="M21" s="150"/>
    </row>
    <row r="22" spans="1:17" s="52" customFormat="1" ht="15.5" x14ac:dyDescent="0.3">
      <c r="A22" s="152" t="s">
        <v>250</v>
      </c>
      <c r="B22" s="149" t="s">
        <v>155</v>
      </c>
      <c r="C22" s="150"/>
      <c r="D22" s="150"/>
      <c r="E22" s="149"/>
      <c r="F22" s="149"/>
      <c r="G22" s="151"/>
      <c r="H22" s="167"/>
      <c r="I22" s="167"/>
      <c r="J22" s="167"/>
      <c r="K22" s="150"/>
      <c r="L22" s="150"/>
      <c r="M22" s="150"/>
    </row>
    <row r="23" spans="1:17" s="52" customFormat="1" ht="13" x14ac:dyDescent="0.3">
      <c r="A23" s="69" t="s">
        <v>173</v>
      </c>
      <c r="B23" s="149"/>
      <c r="C23" s="150"/>
      <c r="D23" s="150"/>
      <c r="E23" s="149"/>
      <c r="F23" s="149"/>
      <c r="G23" s="151"/>
      <c r="H23" s="167"/>
      <c r="I23" s="167"/>
      <c r="J23" s="167"/>
      <c r="K23" s="150"/>
      <c r="L23" s="150"/>
      <c r="M23" s="150"/>
    </row>
    <row r="24" spans="1:17" s="52" customFormat="1" ht="26" x14ac:dyDescent="0.3">
      <c r="A24" s="159" t="s">
        <v>189</v>
      </c>
      <c r="B24" s="149">
        <v>2</v>
      </c>
      <c r="C24" s="150">
        <v>0</v>
      </c>
      <c r="D24" s="150">
        <v>0</v>
      </c>
      <c r="E24" s="149">
        <v>1</v>
      </c>
      <c r="F24" s="149">
        <f>B24*E24</f>
        <v>2</v>
      </c>
      <c r="G24" s="151">
        <f>G11</f>
        <v>5806.166666666667</v>
      </c>
      <c r="H24" s="153">
        <f t="shared" ref="H24:H25" si="4">ROUND(F24*G24, 2)</f>
        <v>11612.33</v>
      </c>
      <c r="I24" s="153">
        <f t="shared" ref="I24:I25" si="5">ROUND(H24*0.1, 2)</f>
        <v>1161.23</v>
      </c>
      <c r="J24" s="153">
        <f t="shared" ref="J24:J25" si="6">ROUND(H24*0.05, 2)</f>
        <v>580.62</v>
      </c>
      <c r="K24" s="154">
        <f>ROUND((H24*'Base Data'!$C$62)+(I24*'Base Data'!$C$63)+(J24*'Base Data'!$C$64), 2)</f>
        <v>1579608.18</v>
      </c>
      <c r="L24" s="150">
        <v>0</v>
      </c>
      <c r="M24" s="151">
        <v>0</v>
      </c>
    </row>
    <row r="25" spans="1:17" s="52" customFormat="1" ht="13" x14ac:dyDescent="0.3">
      <c r="A25" s="159" t="s">
        <v>190</v>
      </c>
      <c r="B25" s="149">
        <v>0.5</v>
      </c>
      <c r="C25" s="150">
        <v>0</v>
      </c>
      <c r="D25" s="150">
        <v>0</v>
      </c>
      <c r="E25" s="149">
        <v>0.5</v>
      </c>
      <c r="F25" s="149">
        <f>B25*E25</f>
        <v>0.25</v>
      </c>
      <c r="G25" s="151">
        <f>G11</f>
        <v>5806.166666666667</v>
      </c>
      <c r="H25" s="153">
        <f t="shared" si="4"/>
        <v>1451.54</v>
      </c>
      <c r="I25" s="153">
        <f t="shared" si="5"/>
        <v>145.15</v>
      </c>
      <c r="J25" s="153">
        <f t="shared" si="6"/>
        <v>72.58</v>
      </c>
      <c r="K25" s="154">
        <f>ROUND((H25*'Base Data'!$C$62)+(I25*'Base Data'!$C$63)+(J25*'Base Data'!$C$64), 2)</f>
        <v>197451.02</v>
      </c>
      <c r="L25" s="150">
        <v>0</v>
      </c>
      <c r="M25" s="151">
        <v>0</v>
      </c>
    </row>
    <row r="26" spans="1:17" s="52" customFormat="1" ht="13" x14ac:dyDescent="0.3">
      <c r="A26" s="69" t="s">
        <v>174</v>
      </c>
      <c r="B26" s="149" t="s">
        <v>155</v>
      </c>
      <c r="C26" s="150"/>
      <c r="D26" s="150"/>
      <c r="E26" s="149"/>
      <c r="F26" s="149"/>
      <c r="G26" s="168"/>
      <c r="H26" s="167"/>
      <c r="I26" s="167"/>
      <c r="J26" s="167"/>
      <c r="K26" s="150"/>
      <c r="L26" s="150"/>
      <c r="M26" s="150"/>
    </row>
    <row r="27" spans="1:17" s="52" customFormat="1" ht="13" x14ac:dyDescent="0.3">
      <c r="A27" s="69" t="s">
        <v>175</v>
      </c>
      <c r="B27" s="149" t="s">
        <v>155</v>
      </c>
      <c r="C27" s="150"/>
      <c r="D27" s="150"/>
      <c r="E27" s="149"/>
      <c r="F27" s="149"/>
      <c r="G27" s="151"/>
      <c r="H27" s="167"/>
      <c r="I27" s="167"/>
      <c r="J27" s="167"/>
      <c r="K27" s="150"/>
      <c r="L27" s="150"/>
      <c r="M27" s="150"/>
    </row>
    <row r="28" spans="1:17" s="166" customFormat="1" ht="13.5" x14ac:dyDescent="0.35">
      <c r="A28" s="169" t="s">
        <v>157</v>
      </c>
      <c r="B28" s="162"/>
      <c r="C28" s="163"/>
      <c r="D28" s="163"/>
      <c r="E28" s="162"/>
      <c r="F28" s="162"/>
      <c r="G28" s="170"/>
      <c r="H28" s="386">
        <f>SUM(H21:J27)</f>
        <v>15023.45</v>
      </c>
      <c r="I28" s="387"/>
      <c r="J28" s="388"/>
      <c r="K28" s="171">
        <f t="shared" ref="K28:M28" si="7">SUM(K21:K27)</f>
        <v>1777059.2</v>
      </c>
      <c r="L28" s="171">
        <f t="shared" si="7"/>
        <v>0</v>
      </c>
      <c r="M28" s="165">
        <f t="shared" si="7"/>
        <v>0</v>
      </c>
    </row>
    <row r="29" spans="1:17" s="166" customFormat="1" ht="15" x14ac:dyDescent="0.3">
      <c r="A29" s="172" t="s">
        <v>265</v>
      </c>
      <c r="B29" s="162"/>
      <c r="C29" s="163"/>
      <c r="D29" s="163"/>
      <c r="E29" s="162"/>
      <c r="F29" s="162"/>
      <c r="G29" s="170"/>
      <c r="H29" s="389"/>
      <c r="I29" s="390"/>
      <c r="J29" s="391"/>
      <c r="K29" s="163">
        <f>(K18+K28)</f>
        <v>9607913.9499999993</v>
      </c>
      <c r="L29" s="163"/>
      <c r="M29" s="170"/>
    </row>
    <row r="30" spans="1:17" s="166" customFormat="1" ht="15" x14ac:dyDescent="0.3">
      <c r="A30" s="172" t="s">
        <v>266</v>
      </c>
      <c r="B30" s="162"/>
      <c r="C30" s="163"/>
      <c r="D30" s="163"/>
      <c r="E30" s="162"/>
      <c r="F30" s="162"/>
      <c r="G30" s="170"/>
      <c r="H30" s="389"/>
      <c r="I30" s="390"/>
      <c r="J30" s="391"/>
      <c r="K30" s="163"/>
      <c r="L30" s="163">
        <f>L18+L28</f>
        <v>6468069.666666667</v>
      </c>
      <c r="M30" s="170"/>
    </row>
    <row r="31" spans="1:17" s="166" customFormat="1" ht="15" x14ac:dyDescent="0.3">
      <c r="A31" s="172" t="s">
        <v>267</v>
      </c>
      <c r="B31" s="162"/>
      <c r="C31" s="162"/>
      <c r="D31" s="163"/>
      <c r="E31" s="162"/>
      <c r="F31" s="162"/>
      <c r="G31" s="173"/>
      <c r="H31" s="389">
        <f>H18+H28</f>
        <v>81226.36</v>
      </c>
      <c r="I31" s="390"/>
      <c r="J31" s="391"/>
      <c r="K31" s="163">
        <f>(K18+K28+L30)</f>
        <v>16075983.616666667</v>
      </c>
      <c r="L31" s="174"/>
      <c r="M31" s="170">
        <f>M18+M28</f>
        <v>3001.416666666667</v>
      </c>
    </row>
    <row r="32" spans="1:17" s="52" customFormat="1" ht="13" x14ac:dyDescent="0.3">
      <c r="A32" s="166" t="s">
        <v>220</v>
      </c>
      <c r="B32" s="175"/>
      <c r="C32" s="175"/>
      <c r="D32" s="175"/>
      <c r="E32" s="175"/>
      <c r="F32" s="175"/>
      <c r="G32" s="175"/>
      <c r="H32" s="176"/>
      <c r="I32" s="175"/>
      <c r="J32" s="175"/>
      <c r="K32" s="175"/>
      <c r="L32" s="175"/>
      <c r="M32" s="177"/>
      <c r="N32" s="178" t="s">
        <v>194</v>
      </c>
      <c r="O32" s="179"/>
      <c r="P32" s="179"/>
      <c r="Q32" s="179"/>
    </row>
    <row r="33" spans="1:17" s="52" customFormat="1" ht="27.75" customHeight="1" x14ac:dyDescent="0.3">
      <c r="A33" s="379" t="s">
        <v>275</v>
      </c>
      <c r="B33" s="379"/>
      <c r="C33" s="379"/>
      <c r="D33" s="379"/>
      <c r="E33" s="379"/>
      <c r="F33" s="379"/>
      <c r="G33" s="379"/>
      <c r="H33" s="379"/>
      <c r="I33" s="379"/>
      <c r="J33" s="379"/>
      <c r="K33" s="379"/>
      <c r="L33" s="379"/>
      <c r="M33" s="379"/>
      <c r="N33" s="317">
        <f>'Capital vs. O&amp;M'!H18</f>
        <v>11514</v>
      </c>
      <c r="O33" s="317">
        <f>'Capital vs. O&amp;M'!I18</f>
        <v>5757</v>
      </c>
      <c r="P33" s="317">
        <f>'Capital vs. O&amp;M'!J18</f>
        <v>11612.333333333334</v>
      </c>
      <c r="Q33" s="317">
        <f>'Capital vs. O&amp;M'!K18</f>
        <v>5806.166666666667</v>
      </c>
    </row>
    <row r="34" spans="1:17" s="52" customFormat="1" ht="41.25" customHeight="1" x14ac:dyDescent="0.3">
      <c r="A34" s="382" t="s">
        <v>225</v>
      </c>
      <c r="B34" s="382"/>
      <c r="C34" s="382"/>
      <c r="D34" s="382"/>
      <c r="E34" s="382"/>
      <c r="F34" s="382"/>
      <c r="G34" s="382"/>
      <c r="H34" s="382"/>
      <c r="I34" s="382"/>
      <c r="J34" s="382"/>
      <c r="K34" s="382"/>
      <c r="L34" s="382"/>
      <c r="M34" s="382"/>
      <c r="N34" s="180"/>
    </row>
    <row r="35" spans="1:17" s="181" customFormat="1" ht="40.5" customHeight="1" x14ac:dyDescent="0.3">
      <c r="A35" s="378" t="s">
        <v>223</v>
      </c>
      <c r="B35" s="378"/>
      <c r="C35" s="378"/>
      <c r="D35" s="378"/>
      <c r="E35" s="378"/>
      <c r="F35" s="378"/>
      <c r="G35" s="378"/>
      <c r="H35" s="378"/>
      <c r="I35" s="378"/>
      <c r="J35" s="378"/>
      <c r="K35" s="378"/>
      <c r="L35" s="378"/>
      <c r="M35" s="378"/>
      <c r="O35" s="182"/>
    </row>
    <row r="36" spans="1:17" s="181" customFormat="1" ht="18.75" customHeight="1" x14ac:dyDescent="0.3">
      <c r="A36" s="181" t="s">
        <v>224</v>
      </c>
      <c r="O36" s="182"/>
    </row>
    <row r="37" spans="1:17" ht="15.5" x14ac:dyDescent="0.3">
      <c r="A37" s="52" t="s">
        <v>264</v>
      </c>
      <c r="G37" s="76"/>
      <c r="H37" s="73"/>
      <c r="I37" s="73"/>
      <c r="J37" s="73"/>
      <c r="K37" s="73"/>
      <c r="M37" s="74"/>
    </row>
    <row r="38" spans="1:17" x14ac:dyDescent="0.25">
      <c r="G38" s="76"/>
      <c r="H38" s="73"/>
      <c r="I38" s="73"/>
      <c r="J38" s="73"/>
      <c r="K38" s="73"/>
      <c r="M38" s="74"/>
    </row>
    <row r="39" spans="1:17" x14ac:dyDescent="0.25">
      <c r="G39" s="76"/>
      <c r="H39" s="73"/>
      <c r="I39" s="73"/>
      <c r="J39" s="73"/>
      <c r="K39" s="73"/>
      <c r="M39" s="74"/>
    </row>
    <row r="40" spans="1:17" x14ac:dyDescent="0.25">
      <c r="G40" s="76"/>
      <c r="H40" s="73"/>
      <c r="I40" s="73"/>
      <c r="J40" s="73"/>
      <c r="K40" s="73"/>
      <c r="M40" s="74"/>
    </row>
    <row r="41" spans="1:17" x14ac:dyDescent="0.25">
      <c r="G41" s="76"/>
      <c r="H41" s="73"/>
      <c r="I41" s="73"/>
      <c r="J41" s="73"/>
      <c r="K41" s="73"/>
      <c r="M41" s="74"/>
    </row>
    <row r="42" spans="1:17" x14ac:dyDescent="0.25">
      <c r="G42" s="76"/>
      <c r="H42" s="73"/>
      <c r="I42" s="73"/>
      <c r="J42" s="73"/>
      <c r="K42" s="73"/>
      <c r="M42" s="74"/>
    </row>
    <row r="43" spans="1:17" x14ac:dyDescent="0.25">
      <c r="G43" s="76"/>
      <c r="H43" s="73"/>
      <c r="I43" s="73"/>
      <c r="J43" s="73"/>
      <c r="K43" s="73"/>
      <c r="M43" s="74"/>
    </row>
    <row r="44" spans="1:17" x14ac:dyDescent="0.25">
      <c r="G44" s="76"/>
      <c r="H44" s="73"/>
      <c r="I44" s="73"/>
      <c r="J44" s="73"/>
      <c r="K44" s="73"/>
      <c r="M44" s="74"/>
    </row>
    <row r="45" spans="1:17" x14ac:dyDescent="0.25">
      <c r="G45" s="76"/>
      <c r="H45" s="73"/>
      <c r="I45" s="73"/>
      <c r="J45" s="73"/>
      <c r="K45" s="73"/>
      <c r="M45" s="74"/>
    </row>
  </sheetData>
  <mergeCells count="10">
    <mergeCell ref="A35:M35"/>
    <mergeCell ref="A1:M1"/>
    <mergeCell ref="A33:M33"/>
    <mergeCell ref="A3:A4"/>
    <mergeCell ref="A34:M34"/>
    <mergeCell ref="H18:J18"/>
    <mergeCell ref="H28:J28"/>
    <mergeCell ref="H31:J31"/>
    <mergeCell ref="H29:J29"/>
    <mergeCell ref="H30:J30"/>
  </mergeCells>
  <phoneticPr fontId="2" type="noConversion"/>
  <printOptions horizontalCentered="1"/>
  <pageMargins left="0.25" right="0.25" top="0.5" bottom="0.5" header="0.5" footer="0.5"/>
  <pageSetup scale="94"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73"/>
  <sheetViews>
    <sheetView zoomScaleNormal="100" zoomScaleSheetLayoutView="100" workbookViewId="0">
      <pane ySplit="4" topLeftCell="A38" activePane="bottomLeft" state="frozen"/>
      <selection activeCell="F51" sqref="F51"/>
      <selection pane="bottomLeft" activeCell="O59" sqref="O59:R59"/>
    </sheetView>
  </sheetViews>
  <sheetFormatPr defaultColWidth="9.1796875" defaultRowHeight="10.5" x14ac:dyDescent="0.25"/>
  <cols>
    <col min="1" max="1" width="34.1796875" style="72" customWidth="1"/>
    <col min="2" max="2" width="13.1796875" style="73" bestFit="1" customWidth="1"/>
    <col min="3" max="3" width="11.7265625" style="73" bestFit="1" customWidth="1"/>
    <col min="4" max="4" width="12.26953125" style="73" bestFit="1" customWidth="1"/>
    <col min="5" max="6" width="12.453125" style="73" customWidth="1"/>
    <col min="7" max="7" width="13.7265625" style="73" customWidth="1"/>
    <col min="8" max="8" width="12" style="76" bestFit="1" customWidth="1"/>
    <col min="9" max="9" width="11.81640625" style="73" bestFit="1" customWidth="1"/>
    <col min="10" max="10" width="12.453125" style="73" customWidth="1"/>
    <col min="11" max="11" width="11.7265625" style="73" bestFit="1" customWidth="1"/>
    <col min="12" max="12" width="12" style="73" bestFit="1" customWidth="1"/>
    <col min="13" max="13" width="12.1796875" style="74" bestFit="1" customWidth="1"/>
    <col min="14" max="14" width="12" style="74" bestFit="1" customWidth="1"/>
    <col min="15" max="16384" width="9.1796875" style="72"/>
  </cols>
  <sheetData>
    <row r="1" spans="1:16" s="52" customFormat="1" ht="32.25" customHeight="1" x14ac:dyDescent="0.3">
      <c r="A1" s="325" t="s">
        <v>78</v>
      </c>
      <c r="B1" s="325"/>
      <c r="C1" s="325"/>
      <c r="D1" s="325"/>
      <c r="E1" s="325"/>
      <c r="F1" s="325"/>
      <c r="G1" s="325"/>
      <c r="H1" s="325"/>
      <c r="I1" s="325"/>
      <c r="J1" s="325"/>
      <c r="K1" s="325"/>
      <c r="L1" s="325"/>
      <c r="M1" s="325"/>
      <c r="N1" s="325"/>
    </row>
    <row r="2" spans="1:16" x14ac:dyDescent="0.25">
      <c r="A2" s="75"/>
      <c r="B2" s="75"/>
      <c r="C2" s="75"/>
      <c r="D2" s="75"/>
      <c r="E2" s="75"/>
      <c r="F2" s="75"/>
      <c r="G2" s="75"/>
      <c r="H2" s="75"/>
      <c r="I2" s="75"/>
      <c r="J2" s="75"/>
      <c r="K2" s="75"/>
      <c r="L2" s="75"/>
      <c r="M2" s="75"/>
      <c r="N2" s="75"/>
    </row>
    <row r="3" spans="1:16" s="183" customFormat="1" ht="13" x14ac:dyDescent="0.3">
      <c r="A3" s="380" t="s">
        <v>21</v>
      </c>
      <c r="B3" s="138" t="s">
        <v>124</v>
      </c>
      <c r="C3" s="145"/>
      <c r="D3" s="145"/>
      <c r="E3" s="145"/>
      <c r="F3" s="141" t="s">
        <v>125</v>
      </c>
      <c r="G3" s="142" t="s">
        <v>126</v>
      </c>
      <c r="H3" s="142" t="s">
        <v>127</v>
      </c>
      <c r="I3" s="142" t="s">
        <v>128</v>
      </c>
      <c r="J3" s="142" t="s">
        <v>129</v>
      </c>
      <c r="K3" s="142" t="s">
        <v>130</v>
      </c>
      <c r="L3" s="143" t="s">
        <v>131</v>
      </c>
      <c r="M3" s="144"/>
      <c r="N3" s="145"/>
    </row>
    <row r="4" spans="1:16" s="190" customFormat="1" ht="65" x14ac:dyDescent="0.3">
      <c r="A4" s="392"/>
      <c r="B4" s="215" t="s">
        <v>132</v>
      </c>
      <c r="C4" s="216" t="s">
        <v>138</v>
      </c>
      <c r="D4" s="216" t="s">
        <v>159</v>
      </c>
      <c r="E4" s="217" t="s">
        <v>160</v>
      </c>
      <c r="F4" s="218" t="s">
        <v>141</v>
      </c>
      <c r="G4" s="212" t="s">
        <v>134</v>
      </c>
      <c r="H4" s="212" t="s">
        <v>221</v>
      </c>
      <c r="I4" s="212" t="s">
        <v>161</v>
      </c>
      <c r="J4" s="212" t="s">
        <v>162</v>
      </c>
      <c r="K4" s="212" t="s">
        <v>163</v>
      </c>
      <c r="L4" s="219" t="s">
        <v>222</v>
      </c>
      <c r="M4" s="220" t="s">
        <v>139</v>
      </c>
      <c r="N4" s="220" t="s">
        <v>140</v>
      </c>
    </row>
    <row r="5" spans="1:16" s="52" customFormat="1" ht="13" x14ac:dyDescent="0.3">
      <c r="A5" s="69" t="s">
        <v>22</v>
      </c>
      <c r="B5" s="149" t="s">
        <v>155</v>
      </c>
      <c r="C5" s="150"/>
      <c r="D5" s="150"/>
      <c r="E5" s="150"/>
      <c r="F5" s="149"/>
      <c r="G5" s="149"/>
      <c r="H5" s="151"/>
      <c r="I5" s="151"/>
      <c r="J5" s="151"/>
      <c r="K5" s="151"/>
      <c r="L5" s="150"/>
      <c r="M5" s="150"/>
      <c r="N5" s="150"/>
    </row>
    <row r="6" spans="1:16" s="52" customFormat="1" ht="13" x14ac:dyDescent="0.3">
      <c r="A6" s="69" t="s">
        <v>23</v>
      </c>
      <c r="B6" s="149" t="s">
        <v>155</v>
      </c>
      <c r="C6" s="150"/>
      <c r="D6" s="150"/>
      <c r="E6" s="150"/>
      <c r="F6" s="149"/>
      <c r="G6" s="149"/>
      <c r="H6" s="151"/>
      <c r="I6" s="151"/>
      <c r="J6" s="151"/>
      <c r="K6" s="151"/>
      <c r="L6" s="150"/>
      <c r="M6" s="150"/>
      <c r="N6" s="150"/>
    </row>
    <row r="7" spans="1:16" s="52" customFormat="1" ht="13" x14ac:dyDescent="0.3">
      <c r="A7" s="69" t="s">
        <v>24</v>
      </c>
      <c r="B7" s="149"/>
      <c r="C7" s="150"/>
      <c r="D7" s="150"/>
      <c r="E7" s="150"/>
      <c r="F7" s="149"/>
      <c r="G7" s="149"/>
      <c r="H7" s="151"/>
      <c r="I7" s="151"/>
      <c r="J7" s="151"/>
      <c r="K7" s="151"/>
      <c r="L7" s="150"/>
      <c r="M7" s="150"/>
      <c r="N7" s="150"/>
    </row>
    <row r="8" spans="1:16" s="52" customFormat="1" ht="28.5" x14ac:dyDescent="0.3">
      <c r="A8" s="152" t="s">
        <v>241</v>
      </c>
      <c r="B8" s="149">
        <v>40</v>
      </c>
      <c r="C8" s="150">
        <v>0</v>
      </c>
      <c r="D8" s="150">
        <v>0</v>
      </c>
      <c r="E8" s="150">
        <v>0</v>
      </c>
      <c r="F8" s="149">
        <v>1</v>
      </c>
      <c r="G8" s="149">
        <f>B8*F8</f>
        <v>40</v>
      </c>
      <c r="H8" s="168">
        <f>'Capital vs. O&amp;M'!B10</f>
        <v>10</v>
      </c>
      <c r="I8" s="151">
        <f>ROUND(G8*H8, 2)</f>
        <v>400</v>
      </c>
      <c r="J8" s="151">
        <f>ROUND(I8*0.1, 2)</f>
        <v>40</v>
      </c>
      <c r="K8" s="168">
        <f>ROUND(I8*0.05, 2)</f>
        <v>20</v>
      </c>
      <c r="L8" s="150">
        <f>ROUND((I8*'Base Data'!$C$62)+(J8*'Base Data'!$C$63)+(K8*'Base Data'!$C$64), 2)</f>
        <v>54411.4</v>
      </c>
      <c r="M8" s="150">
        <f>ROUND(E8*F8*H8, 2)</f>
        <v>0</v>
      </c>
      <c r="N8" s="151">
        <v>0</v>
      </c>
      <c r="P8" s="52" t="s">
        <v>194</v>
      </c>
    </row>
    <row r="9" spans="1:16" s="52" customFormat="1" ht="26" x14ac:dyDescent="0.3">
      <c r="A9" s="152" t="s">
        <v>198</v>
      </c>
      <c r="B9" s="149">
        <v>1</v>
      </c>
      <c r="C9" s="150">
        <v>0</v>
      </c>
      <c r="D9" s="150">
        <v>0</v>
      </c>
      <c r="E9" s="150">
        <v>0</v>
      </c>
      <c r="F9" s="149">
        <v>1</v>
      </c>
      <c r="G9" s="149">
        <f>B9*F9</f>
        <v>1</v>
      </c>
      <c r="H9" s="168">
        <f>'Capital vs. O&amp;M'!C10</f>
        <v>2109.5</v>
      </c>
      <c r="I9" s="151">
        <f>ROUND(G9*H9, 2)</f>
        <v>2109.5</v>
      </c>
      <c r="J9" s="151">
        <f>ROUND(I9*0.1, 2)</f>
        <v>210.95</v>
      </c>
      <c r="K9" s="168">
        <f>ROUND(I9*0.05, 2)</f>
        <v>105.48</v>
      </c>
      <c r="L9" s="150">
        <f>ROUND((I9*'Base Data'!$C$62)+(J9*'Base Data'!$C$63)+(K9*'Base Data'!$C$64), 2)</f>
        <v>286952.89</v>
      </c>
      <c r="M9" s="150">
        <f>ROUND(E9*F9*H9, 2)</f>
        <v>0</v>
      </c>
      <c r="N9" s="151">
        <v>0</v>
      </c>
      <c r="P9" s="52" t="s">
        <v>295</v>
      </c>
    </row>
    <row r="10" spans="1:16" s="52" customFormat="1" ht="13" x14ac:dyDescent="0.3">
      <c r="A10" s="69" t="s">
        <v>25</v>
      </c>
      <c r="B10" s="149"/>
      <c r="C10" s="150"/>
      <c r="D10" s="150"/>
      <c r="E10" s="150"/>
      <c r="F10" s="149"/>
      <c r="G10" s="149"/>
      <c r="H10" s="151"/>
      <c r="I10" s="151"/>
      <c r="J10" s="151"/>
      <c r="K10" s="151"/>
      <c r="L10" s="150"/>
      <c r="M10" s="150"/>
      <c r="N10" s="150"/>
      <c r="P10" s="52" t="s">
        <v>293</v>
      </c>
    </row>
    <row r="11" spans="1:16" s="52" customFormat="1" ht="13" x14ac:dyDescent="0.3">
      <c r="A11" s="152" t="s">
        <v>164</v>
      </c>
      <c r="B11" s="149"/>
      <c r="C11" s="163"/>
      <c r="D11" s="150"/>
      <c r="E11" s="150"/>
      <c r="F11" s="149"/>
      <c r="G11" s="149"/>
      <c r="H11" s="168"/>
      <c r="I11" s="151"/>
      <c r="J11" s="151"/>
      <c r="K11" s="151"/>
      <c r="L11" s="150"/>
      <c r="M11" s="150"/>
      <c r="N11" s="150"/>
      <c r="P11" s="52" t="s">
        <v>294</v>
      </c>
    </row>
    <row r="12" spans="1:16" s="52" customFormat="1" ht="15.5" x14ac:dyDescent="0.3">
      <c r="A12" s="69" t="s">
        <v>242</v>
      </c>
      <c r="B12" s="149">
        <v>20</v>
      </c>
      <c r="C12" s="150">
        <v>18292</v>
      </c>
      <c r="D12" s="150">
        <v>0</v>
      </c>
      <c r="E12" s="150">
        <v>0</v>
      </c>
      <c r="F12" s="149">
        <v>1</v>
      </c>
      <c r="G12" s="149">
        <f t="shared" ref="G12:G21" si="0">B12*F12</f>
        <v>20</v>
      </c>
      <c r="H12" s="168">
        <v>0</v>
      </c>
      <c r="I12" s="151">
        <f t="shared" ref="I12:I15" si="1">ROUND(G12*H12, 2)</f>
        <v>0</v>
      </c>
      <c r="J12" s="151">
        <f t="shared" ref="J12:J15" si="2">ROUND(I12*0.1, 2)</f>
        <v>0</v>
      </c>
      <c r="K12" s="168">
        <f t="shared" ref="K12:K21" si="3">ROUND(I12*0.05, 2)</f>
        <v>0</v>
      </c>
      <c r="L12" s="150">
        <f>ROUND((I12*'Base Data'!$C$62)+(J12*'Base Data'!$C$63)+(K12*'Base Data'!$C$64), 2)</f>
        <v>0</v>
      </c>
      <c r="M12" s="150">
        <f>ROUND(C12*F12*H12, 2)</f>
        <v>0</v>
      </c>
      <c r="N12" s="151">
        <v>0</v>
      </c>
      <c r="P12" s="52" t="s">
        <v>296</v>
      </c>
    </row>
    <row r="13" spans="1:16" s="52" customFormat="1" ht="15.5" x14ac:dyDescent="0.3">
      <c r="A13" s="69" t="s">
        <v>243</v>
      </c>
      <c r="B13" s="149">
        <v>20</v>
      </c>
      <c r="C13" s="150">
        <v>854</v>
      </c>
      <c r="D13" s="150">
        <v>0</v>
      </c>
      <c r="E13" s="150">
        <v>0</v>
      </c>
      <c r="F13" s="149">
        <v>1</v>
      </c>
      <c r="G13" s="149">
        <f t="shared" si="0"/>
        <v>20</v>
      </c>
      <c r="H13" s="168">
        <v>0</v>
      </c>
      <c r="I13" s="151">
        <f t="shared" si="1"/>
        <v>0</v>
      </c>
      <c r="J13" s="151">
        <f t="shared" si="2"/>
        <v>0</v>
      </c>
      <c r="K13" s="168">
        <f t="shared" si="3"/>
        <v>0</v>
      </c>
      <c r="L13" s="150">
        <f>ROUND((I13*'Base Data'!$C$62)+(J13*'Base Data'!$C$63)+(K13*'Base Data'!$C$64), 2)</f>
        <v>0</v>
      </c>
      <c r="M13" s="150">
        <f>ROUND(C13*F13*H13, 2)</f>
        <v>0</v>
      </c>
      <c r="N13" s="151">
        <v>0</v>
      </c>
      <c r="P13" s="52" t="s">
        <v>297</v>
      </c>
    </row>
    <row r="14" spans="1:16" s="191" customFormat="1" ht="15.5" x14ac:dyDescent="0.3">
      <c r="A14" s="152" t="s">
        <v>244</v>
      </c>
      <c r="B14" s="149">
        <v>12</v>
      </c>
      <c r="C14" s="150">
        <v>0</v>
      </c>
      <c r="D14" s="150">
        <v>5000</v>
      </c>
      <c r="E14" s="150">
        <v>0</v>
      </c>
      <c r="F14" s="149">
        <v>1</v>
      </c>
      <c r="G14" s="149">
        <f t="shared" si="0"/>
        <v>12</v>
      </c>
      <c r="H14" s="168">
        <f>ROUND(1/3*('Base Data'!N41+'Base Data'!N42), 2)</f>
        <v>0</v>
      </c>
      <c r="I14" s="151">
        <f t="shared" si="1"/>
        <v>0</v>
      </c>
      <c r="J14" s="151">
        <f t="shared" si="2"/>
        <v>0</v>
      </c>
      <c r="K14" s="168">
        <f t="shared" si="3"/>
        <v>0</v>
      </c>
      <c r="L14" s="150">
        <f>ROUND((I14*'Base Data'!$C$62)+(J14*'Base Data'!$C$63)+(K14*'Base Data'!$C$64), 2)</f>
        <v>0</v>
      </c>
      <c r="M14" s="150">
        <f t="shared" ref="M14:M21" si="4">ROUND(D14*F14*H14, 2)</f>
        <v>0</v>
      </c>
      <c r="N14" s="151">
        <v>0</v>
      </c>
      <c r="O14" s="206"/>
      <c r="P14" s="52"/>
    </row>
    <row r="15" spans="1:16" s="191" customFormat="1" ht="15.5" x14ac:dyDescent="0.3">
      <c r="A15" s="152" t="s">
        <v>245</v>
      </c>
      <c r="B15" s="149">
        <v>12</v>
      </c>
      <c r="C15" s="150">
        <v>0</v>
      </c>
      <c r="D15" s="150">
        <v>6000</v>
      </c>
      <c r="E15" s="150">
        <v>0</v>
      </c>
      <c r="F15" s="149">
        <v>1</v>
      </c>
      <c r="G15" s="149">
        <f t="shared" si="0"/>
        <v>12</v>
      </c>
      <c r="H15" s="168">
        <f>ROUND(1/3*('Base Data'!N41+'Base Data'!N42), 2)</f>
        <v>0</v>
      </c>
      <c r="I15" s="151">
        <f t="shared" si="1"/>
        <v>0</v>
      </c>
      <c r="J15" s="151">
        <f t="shared" si="2"/>
        <v>0</v>
      </c>
      <c r="K15" s="168">
        <f t="shared" si="3"/>
        <v>0</v>
      </c>
      <c r="L15" s="150">
        <f>ROUND((I15*'Base Data'!$C$62)+(J15*'Base Data'!$C$63)+(K15*'Base Data'!$C$64), 2)</f>
        <v>0</v>
      </c>
      <c r="M15" s="150">
        <f t="shared" si="4"/>
        <v>0</v>
      </c>
      <c r="N15" s="151">
        <v>0</v>
      </c>
      <c r="O15" s="206"/>
      <c r="P15" s="52" t="s">
        <v>320</v>
      </c>
    </row>
    <row r="16" spans="1:16" s="52" customFormat="1" ht="15.5" x14ac:dyDescent="0.3">
      <c r="A16" s="152" t="s">
        <v>246</v>
      </c>
      <c r="B16" s="149">
        <v>12</v>
      </c>
      <c r="C16" s="150">
        <v>0</v>
      </c>
      <c r="D16" s="150">
        <v>8000</v>
      </c>
      <c r="E16" s="150">
        <v>0</v>
      </c>
      <c r="F16" s="149">
        <v>1</v>
      </c>
      <c r="G16" s="167">
        <f t="shared" si="0"/>
        <v>12</v>
      </c>
      <c r="H16" s="192">
        <f>ROUND(1/3*((('Base Data'!D38 + 'Base Data'!D39 - 'Base Data'!E38 - 'Base Data'!E39) + ('Base Data'!D41 + 'Base Data'!D42 - 'Base Data'!E41 - 'Base Data'!E42))/'Base Data'!C18), 2)</f>
        <v>1.83</v>
      </c>
      <c r="I16" s="194">
        <f>ROUND(G16*H16, 2)</f>
        <v>21.96</v>
      </c>
      <c r="J16" s="194">
        <f>ROUND(I16*0.1, 2)</f>
        <v>2.2000000000000002</v>
      </c>
      <c r="K16" s="195">
        <f t="shared" si="3"/>
        <v>1.1000000000000001</v>
      </c>
      <c r="L16" s="196">
        <f>ROUND((I16*'Base Data'!$C$62)+(J16*'Base Data'!$C$63)+(K16*'Base Data'!$C$64), 2)</f>
        <v>2987.74</v>
      </c>
      <c r="M16" s="150">
        <f t="shared" si="4"/>
        <v>14640</v>
      </c>
      <c r="N16" s="151">
        <v>0</v>
      </c>
      <c r="P16" s="52" t="s">
        <v>336</v>
      </c>
    </row>
    <row r="17" spans="1:17" s="52" customFormat="1" ht="15.5" x14ac:dyDescent="0.3">
      <c r="A17" s="152" t="s">
        <v>247</v>
      </c>
      <c r="B17" s="149">
        <v>12</v>
      </c>
      <c r="C17" s="150">
        <v>0</v>
      </c>
      <c r="D17" s="150">
        <v>5000</v>
      </c>
      <c r="E17" s="150">
        <v>0</v>
      </c>
      <c r="F17" s="149">
        <v>1</v>
      </c>
      <c r="G17" s="167">
        <f t="shared" si="0"/>
        <v>12</v>
      </c>
      <c r="H17" s="195">
        <f>ROUND((1/3*('Base Data'!H11 + 'Base Data'!H12))/'Base Data'!C18, 2)</f>
        <v>95.5</v>
      </c>
      <c r="I17" s="151">
        <f t="shared" ref="I17:I19" si="5">ROUND(G17*H17, 2)</f>
        <v>1146</v>
      </c>
      <c r="J17" s="194">
        <f t="shared" ref="J17:J30" si="6">ROUND(I17*0.1, 2)</f>
        <v>114.6</v>
      </c>
      <c r="K17" s="195">
        <f t="shared" si="3"/>
        <v>57.3</v>
      </c>
      <c r="L17" s="196">
        <f>ROUND((I17*'Base Data'!$C$62)+(J17*'Base Data'!$C$63)+(K17*'Base Data'!$C$64), 2)</f>
        <v>155888.66</v>
      </c>
      <c r="M17" s="150">
        <f>ROUND(D17*F17*H17, 2)</f>
        <v>477500</v>
      </c>
      <c r="N17" s="151">
        <v>0</v>
      </c>
      <c r="P17" s="52" t="s">
        <v>337</v>
      </c>
    </row>
    <row r="18" spans="1:17" s="52" customFormat="1" ht="15.5" x14ac:dyDescent="0.3">
      <c r="A18" s="152" t="s">
        <v>248</v>
      </c>
      <c r="B18" s="149">
        <v>12</v>
      </c>
      <c r="C18" s="150">
        <v>0</v>
      </c>
      <c r="D18" s="150">
        <v>6000</v>
      </c>
      <c r="E18" s="150">
        <v>0</v>
      </c>
      <c r="F18" s="149">
        <v>1</v>
      </c>
      <c r="G18" s="167">
        <f t="shared" si="0"/>
        <v>12</v>
      </c>
      <c r="H18" s="195">
        <f>H17</f>
        <v>95.5</v>
      </c>
      <c r="I18" s="151">
        <f t="shared" si="5"/>
        <v>1146</v>
      </c>
      <c r="J18" s="194">
        <f t="shared" si="6"/>
        <v>114.6</v>
      </c>
      <c r="K18" s="195">
        <f t="shared" si="3"/>
        <v>57.3</v>
      </c>
      <c r="L18" s="196">
        <f>ROUND((I18*'Base Data'!$C$62)+(J18*'Base Data'!$C$63)+(K18*'Base Data'!$C$64), 2)</f>
        <v>155888.66</v>
      </c>
      <c r="M18" s="150">
        <f t="shared" si="4"/>
        <v>573000</v>
      </c>
      <c r="N18" s="151">
        <v>0</v>
      </c>
      <c r="P18" s="52" t="s">
        <v>338</v>
      </c>
    </row>
    <row r="19" spans="1:17" s="52" customFormat="1" ht="15.5" x14ac:dyDescent="0.3">
      <c r="A19" s="152" t="s">
        <v>249</v>
      </c>
      <c r="B19" s="149">
        <v>12</v>
      </c>
      <c r="C19" s="150">
        <v>0</v>
      </c>
      <c r="D19" s="150">
        <v>8000</v>
      </c>
      <c r="E19" s="150">
        <v>0</v>
      </c>
      <c r="F19" s="149">
        <v>1</v>
      </c>
      <c r="G19" s="167">
        <f t="shared" si="0"/>
        <v>12</v>
      </c>
      <c r="H19" s="195">
        <f>1/3*('Base Data'!N38*3)</f>
        <v>5.5</v>
      </c>
      <c r="I19" s="194">
        <f t="shared" si="5"/>
        <v>66</v>
      </c>
      <c r="J19" s="193">
        <f t="shared" si="6"/>
        <v>6.6</v>
      </c>
      <c r="K19" s="192">
        <f t="shared" si="3"/>
        <v>3.3</v>
      </c>
      <c r="L19" s="196">
        <f>ROUND((I19*'Base Data'!$C$62)+(J19*'Base Data'!$C$63)+(K19*'Base Data'!$C$64), 2)</f>
        <v>8977.8799999999992</v>
      </c>
      <c r="M19" s="150">
        <f>ROUND(D19*F19*H19, 2)</f>
        <v>44000</v>
      </c>
      <c r="N19" s="151">
        <v>0</v>
      </c>
      <c r="P19" s="52" t="s">
        <v>333</v>
      </c>
    </row>
    <row r="20" spans="1:17" s="191" customFormat="1" ht="15.5" x14ac:dyDescent="0.3">
      <c r="A20" s="152" t="s">
        <v>239</v>
      </c>
      <c r="B20" s="149">
        <v>5</v>
      </c>
      <c r="C20" s="150">
        <v>0</v>
      </c>
      <c r="D20" s="150">
        <v>200</v>
      </c>
      <c r="E20" s="150">
        <v>0</v>
      </c>
      <c r="F20" s="149">
        <v>1</v>
      </c>
      <c r="G20" s="149">
        <f t="shared" si="0"/>
        <v>5</v>
      </c>
      <c r="H20" s="168">
        <v>0</v>
      </c>
      <c r="I20" s="151">
        <f t="shared" ref="I20:I21" si="7">ROUND(G20*H20, 2)</f>
        <v>0</v>
      </c>
      <c r="J20" s="151">
        <f t="shared" si="6"/>
        <v>0</v>
      </c>
      <c r="K20" s="192">
        <f t="shared" si="3"/>
        <v>0</v>
      </c>
      <c r="L20" s="150">
        <f>ROUND((I20*'Base Data'!$C$62)+(J20*'Base Data'!$C$63)+(K20*'Base Data'!$C$64), 2)</f>
        <v>0</v>
      </c>
      <c r="M20" s="150">
        <f t="shared" si="4"/>
        <v>0</v>
      </c>
      <c r="N20" s="151">
        <v>0</v>
      </c>
      <c r="P20" s="206"/>
    </row>
    <row r="21" spans="1:17" s="191" customFormat="1" ht="30.75" customHeight="1" x14ac:dyDescent="0.3">
      <c r="A21" s="152" t="s">
        <v>240</v>
      </c>
      <c r="B21" s="149">
        <v>5</v>
      </c>
      <c r="C21" s="150">
        <v>0</v>
      </c>
      <c r="D21" s="150">
        <v>200</v>
      </c>
      <c r="E21" s="150">
        <v>0</v>
      </c>
      <c r="F21" s="149">
        <v>12</v>
      </c>
      <c r="G21" s="149">
        <f t="shared" si="0"/>
        <v>60</v>
      </c>
      <c r="H21" s="168">
        <v>0</v>
      </c>
      <c r="I21" s="151">
        <f t="shared" si="7"/>
        <v>0</v>
      </c>
      <c r="J21" s="151">
        <f t="shared" si="6"/>
        <v>0</v>
      </c>
      <c r="K21" s="168">
        <f t="shared" si="3"/>
        <v>0</v>
      </c>
      <c r="L21" s="150">
        <f>ROUND((I21*'Base Data'!$C$62)+(J21*'Base Data'!$C$63)+(K21*'Base Data'!$C$64), 2)</f>
        <v>0</v>
      </c>
      <c r="M21" s="150">
        <f t="shared" si="4"/>
        <v>0</v>
      </c>
      <c r="N21" s="151">
        <v>0</v>
      </c>
      <c r="P21" s="305"/>
      <c r="Q21" s="52"/>
    </row>
    <row r="22" spans="1:17" s="52" customFormat="1" ht="15" customHeight="1" x14ac:dyDescent="0.3">
      <c r="A22" s="152" t="s">
        <v>165</v>
      </c>
      <c r="B22" s="149"/>
      <c r="C22" s="150"/>
      <c r="D22" s="150"/>
      <c r="E22" s="150"/>
      <c r="F22" s="149"/>
      <c r="G22" s="149"/>
      <c r="H22" s="151"/>
      <c r="I22" s="151"/>
      <c r="J22" s="151"/>
      <c r="K22" s="151"/>
      <c r="L22" s="150"/>
      <c r="M22" s="150"/>
      <c r="N22" s="150"/>
      <c r="P22" s="206"/>
    </row>
    <row r="23" spans="1:17" s="52" customFormat="1" ht="28.5" x14ac:dyDescent="0.3">
      <c r="A23" s="152" t="s">
        <v>234</v>
      </c>
      <c r="B23" s="149">
        <v>40</v>
      </c>
      <c r="C23" s="150">
        <v>0</v>
      </c>
      <c r="D23" s="150">
        <v>0</v>
      </c>
      <c r="E23" s="150">
        <v>0</v>
      </c>
      <c r="F23" s="149">
        <v>1</v>
      </c>
      <c r="G23" s="149">
        <f>B23*F23</f>
        <v>40</v>
      </c>
      <c r="H23" s="168">
        <f>H8</f>
        <v>10</v>
      </c>
      <c r="I23" s="151">
        <f t="shared" ref="I23" si="8">ROUND(G23*H23, 2)</f>
        <v>400</v>
      </c>
      <c r="J23" s="151">
        <f t="shared" si="6"/>
        <v>40</v>
      </c>
      <c r="K23" s="168">
        <f>ROUND(I23*0.05, 2)</f>
        <v>20</v>
      </c>
      <c r="L23" s="196">
        <f>ROUND((I23*'Base Data'!$C$62)+(J23*'Base Data'!$C$63)+(K23*'Base Data'!$C$64), 2)</f>
        <v>54411.4</v>
      </c>
      <c r="M23" s="150">
        <f>ROUND(E23*F23*H23, 2)</f>
        <v>0</v>
      </c>
      <c r="N23" s="151">
        <v>0</v>
      </c>
    </row>
    <row r="24" spans="1:17" s="52" customFormat="1" ht="13" x14ac:dyDescent="0.3">
      <c r="A24" s="152" t="s">
        <v>166</v>
      </c>
      <c r="B24" s="149"/>
      <c r="C24" s="150"/>
      <c r="D24" s="150"/>
      <c r="E24" s="150"/>
      <c r="F24" s="149"/>
      <c r="G24" s="149"/>
      <c r="H24" s="168"/>
      <c r="I24" s="151"/>
      <c r="J24" s="151"/>
      <c r="K24" s="151"/>
      <c r="L24" s="150"/>
      <c r="M24" s="150"/>
      <c r="N24" s="150"/>
      <c r="P24" s="52" t="s">
        <v>194</v>
      </c>
    </row>
    <row r="25" spans="1:17" s="52" customFormat="1" ht="15.5" x14ac:dyDescent="0.3">
      <c r="A25" s="69" t="s">
        <v>235</v>
      </c>
      <c r="B25" s="149">
        <v>10</v>
      </c>
      <c r="C25" s="150">
        <v>0</v>
      </c>
      <c r="D25" s="150">
        <v>0</v>
      </c>
      <c r="E25" s="150">
        <v>43100</v>
      </c>
      <c r="F25" s="149">
        <v>1</v>
      </c>
      <c r="G25" s="149">
        <f>B25*F25</f>
        <v>10</v>
      </c>
      <c r="H25" s="192">
        <f>ROUND(1/3*(('Base Data'!D38 + 'Base Data'!D39 - 'Base Data'!E38 - 'Base Data'!E39)/'Base Data'!C18), 2)</f>
        <v>1.83</v>
      </c>
      <c r="I25" s="198">
        <f t="shared" ref="I25:I26" si="9">ROUND(G25*H25, 2)</f>
        <v>18.3</v>
      </c>
      <c r="J25" s="196">
        <f t="shared" si="6"/>
        <v>1.83</v>
      </c>
      <c r="K25" s="199">
        <f>ROUND(I25*0.05, 2)</f>
        <v>0.92</v>
      </c>
      <c r="L25" s="150">
        <f>ROUND((I25*'Base Data'!$C$62)+(J25*'Base Data'!$C$63)+(K25*'Base Data'!$C$64), 2)</f>
        <v>2490.09</v>
      </c>
      <c r="M25" s="150">
        <f>ROUND(E25*F25*H25, 2)</f>
        <v>78873</v>
      </c>
      <c r="N25" s="151">
        <v>0</v>
      </c>
      <c r="P25" s="52" t="s">
        <v>336</v>
      </c>
    </row>
    <row r="26" spans="1:17" s="52" customFormat="1" ht="15.5" x14ac:dyDescent="0.3">
      <c r="A26" s="69" t="s">
        <v>236</v>
      </c>
      <c r="B26" s="149">
        <v>10</v>
      </c>
      <c r="C26" s="150">
        <v>0</v>
      </c>
      <c r="D26" s="150">
        <v>0</v>
      </c>
      <c r="E26" s="150">
        <v>14700</v>
      </c>
      <c r="F26" s="149">
        <v>1</v>
      </c>
      <c r="G26" s="149">
        <f>B26*F26</f>
        <v>10</v>
      </c>
      <c r="H26" s="195">
        <f>H16*2 + 'Base Data'!N38*3</f>
        <v>20.16</v>
      </c>
      <c r="I26" s="150">
        <f t="shared" si="9"/>
        <v>201.6</v>
      </c>
      <c r="J26" s="198">
        <f t="shared" si="6"/>
        <v>20.16</v>
      </c>
      <c r="K26" s="199">
        <f>ROUND(I26*0.05, 2)</f>
        <v>10.08</v>
      </c>
      <c r="L26" s="196">
        <f>ROUND((I26*'Base Data'!$C$62)+(J26*'Base Data'!$C$63)+(K26*'Base Data'!$C$64), 2)</f>
        <v>27423.35</v>
      </c>
      <c r="M26" s="150">
        <f>ROUND(E26*F26*H26, 2)</f>
        <v>296352</v>
      </c>
      <c r="N26" s="151">
        <v>0</v>
      </c>
      <c r="P26" s="52" t="s">
        <v>334</v>
      </c>
    </row>
    <row r="27" spans="1:17" s="52" customFormat="1" ht="26" x14ac:dyDescent="0.3">
      <c r="A27" s="152" t="s">
        <v>167</v>
      </c>
      <c r="B27" s="149"/>
      <c r="C27" s="150"/>
      <c r="D27" s="150"/>
      <c r="E27" s="150"/>
      <c r="F27" s="149"/>
      <c r="G27" s="149"/>
      <c r="H27" s="168"/>
      <c r="I27" s="151"/>
      <c r="J27" s="151"/>
      <c r="K27" s="151"/>
      <c r="L27" s="150"/>
      <c r="M27" s="150"/>
      <c r="N27" s="150"/>
    </row>
    <row r="28" spans="1:17" s="52" customFormat="1" ht="15.5" x14ac:dyDescent="0.3">
      <c r="A28" s="69" t="s">
        <v>237</v>
      </c>
      <c r="B28" s="149">
        <v>10</v>
      </c>
      <c r="C28" s="150">
        <v>0</v>
      </c>
      <c r="D28" s="150">
        <v>0</v>
      </c>
      <c r="E28" s="150">
        <v>25500</v>
      </c>
      <c r="F28" s="149">
        <v>1</v>
      </c>
      <c r="G28" s="149">
        <f>B28*F28</f>
        <v>10</v>
      </c>
      <c r="H28" s="168">
        <f>ROUND(1/3*(('Base Data'!N41+'Base Data'!N42)/'Base Data'!C18), 2)</f>
        <v>0</v>
      </c>
      <c r="I28" s="151">
        <f t="shared" ref="I28:I29" si="10">ROUND(G28*H28, 2)</f>
        <v>0</v>
      </c>
      <c r="J28" s="151">
        <f t="shared" si="6"/>
        <v>0</v>
      </c>
      <c r="K28" s="168">
        <f>ROUND(I28*0.05, 2)</f>
        <v>0</v>
      </c>
      <c r="L28" s="150">
        <f>ROUND((I28*'Base Data'!$C$62)+(J28*'Base Data'!$C$63)+(K28*'Base Data'!$C$64), 2)</f>
        <v>0</v>
      </c>
      <c r="M28" s="150">
        <f t="shared" ref="M28:M29" si="11">ROUND(E28*F28*H28, 2)</f>
        <v>0</v>
      </c>
      <c r="N28" s="151">
        <v>0</v>
      </c>
    </row>
    <row r="29" spans="1:17" s="52" customFormat="1" ht="15.5" x14ac:dyDescent="0.3">
      <c r="A29" s="69" t="s">
        <v>238</v>
      </c>
      <c r="B29" s="149">
        <v>10</v>
      </c>
      <c r="C29" s="150">
        <v>0</v>
      </c>
      <c r="D29" s="150">
        <v>0</v>
      </c>
      <c r="E29" s="150">
        <v>9700</v>
      </c>
      <c r="F29" s="149">
        <v>1</v>
      </c>
      <c r="G29" s="149">
        <f>B29*F29</f>
        <v>10</v>
      </c>
      <c r="H29" s="168">
        <f>'Base Data'!N11</f>
        <v>286.5</v>
      </c>
      <c r="I29" s="151">
        <f t="shared" si="10"/>
        <v>2865</v>
      </c>
      <c r="J29" s="151">
        <f t="shared" si="6"/>
        <v>286.5</v>
      </c>
      <c r="K29" s="168">
        <f>ROUND(I29*0.05, 2)</f>
        <v>143.25</v>
      </c>
      <c r="L29" s="196">
        <f>ROUND((I29*'Base Data'!$C$62)+(J29*'Base Data'!$C$63)+(K29*'Base Data'!$C$64), 2)</f>
        <v>389721.65</v>
      </c>
      <c r="M29" s="150">
        <f t="shared" si="11"/>
        <v>2779050</v>
      </c>
      <c r="N29" s="151">
        <v>0</v>
      </c>
      <c r="P29" s="52" t="s">
        <v>335</v>
      </c>
    </row>
    <row r="30" spans="1:17" s="52" customFormat="1" ht="15.5" x14ac:dyDescent="0.3">
      <c r="A30" s="152" t="s">
        <v>233</v>
      </c>
      <c r="B30" s="149">
        <v>12</v>
      </c>
      <c r="C30" s="150">
        <v>0</v>
      </c>
      <c r="D30" s="150">
        <v>2875</v>
      </c>
      <c r="E30" s="150">
        <v>0</v>
      </c>
      <c r="F30" s="149">
        <f>1/2</f>
        <v>0.5</v>
      </c>
      <c r="G30" s="149">
        <f>B30*F30</f>
        <v>6</v>
      </c>
      <c r="H30" s="168">
        <f>('Base Data'!D8 + 'Base Data'!D9)/2+2/3*('Base Data'!N38 + 'Base Data'!N39)</f>
        <v>1843</v>
      </c>
      <c r="I30" s="151">
        <f t="shared" ref="I30" si="12">ROUND(G30*H30, 2)</f>
        <v>11058</v>
      </c>
      <c r="J30" s="151">
        <f t="shared" si="6"/>
        <v>1105.8</v>
      </c>
      <c r="K30" s="168">
        <f>ROUND(I30*0.05, 2)</f>
        <v>552.9</v>
      </c>
      <c r="L30" s="196">
        <f>ROUND((I30*'Base Data'!$C$62)+(J30*'Base Data'!$C$63)+(K30*'Base Data'!$C$64), 2)</f>
        <v>1504203.15</v>
      </c>
      <c r="M30" s="150">
        <f>ROUND(D30*F30*H30, 2)</f>
        <v>2649312.5</v>
      </c>
      <c r="N30" s="151">
        <v>0</v>
      </c>
      <c r="P30" s="284" t="s">
        <v>348</v>
      </c>
    </row>
    <row r="31" spans="1:17" s="52" customFormat="1" ht="13" x14ac:dyDescent="0.3">
      <c r="A31" s="69" t="s">
        <v>26</v>
      </c>
      <c r="B31" s="149" t="s">
        <v>155</v>
      </c>
      <c r="C31" s="150"/>
      <c r="D31" s="150"/>
      <c r="E31" s="150"/>
      <c r="F31" s="149"/>
      <c r="G31" s="149"/>
      <c r="H31" s="151"/>
      <c r="I31" s="151"/>
      <c r="J31" s="151"/>
      <c r="K31" s="151"/>
      <c r="L31" s="150"/>
      <c r="M31" s="150"/>
      <c r="N31" s="150"/>
    </row>
    <row r="32" spans="1:17" s="52" customFormat="1" ht="13" x14ac:dyDescent="0.3">
      <c r="A32" s="69" t="s">
        <v>27</v>
      </c>
      <c r="B32" s="149" t="s">
        <v>155</v>
      </c>
      <c r="C32" s="150"/>
      <c r="D32" s="150"/>
      <c r="E32" s="150"/>
      <c r="F32" s="149"/>
      <c r="G32" s="149"/>
      <c r="H32" s="151"/>
      <c r="I32" s="151"/>
      <c r="J32" s="151"/>
      <c r="K32" s="151"/>
      <c r="L32" s="150"/>
      <c r="M32" s="150"/>
      <c r="N32" s="150"/>
    </row>
    <row r="33" spans="1:16" s="52" customFormat="1" ht="13" x14ac:dyDescent="0.3">
      <c r="A33" s="69" t="s">
        <v>28</v>
      </c>
      <c r="B33" s="149"/>
      <c r="C33" s="150"/>
      <c r="D33" s="150"/>
      <c r="E33" s="150"/>
      <c r="F33" s="149"/>
      <c r="G33" s="149"/>
      <c r="H33" s="151"/>
      <c r="I33" s="151"/>
      <c r="J33" s="151"/>
      <c r="K33" s="151"/>
      <c r="L33" s="150"/>
      <c r="M33" s="150"/>
      <c r="N33" s="150"/>
    </row>
    <row r="34" spans="1:16" s="52" customFormat="1" ht="11.25" customHeight="1" x14ac:dyDescent="0.3">
      <c r="A34" s="159" t="s">
        <v>176</v>
      </c>
      <c r="B34" s="149">
        <v>2</v>
      </c>
      <c r="C34" s="150">
        <v>0</v>
      </c>
      <c r="D34" s="150">
        <v>0</v>
      </c>
      <c r="E34" s="150">
        <v>0</v>
      </c>
      <c r="F34" s="149">
        <v>1</v>
      </c>
      <c r="G34" s="167">
        <f t="shared" ref="G34:G38" si="13">B34*F34</f>
        <v>2</v>
      </c>
      <c r="H34" s="168">
        <f>H8</f>
        <v>10</v>
      </c>
      <c r="I34" s="151">
        <f t="shared" ref="I34:I38" si="14">ROUND(G34*H34, 2)</f>
        <v>20</v>
      </c>
      <c r="J34" s="151">
        <f t="shared" ref="J34:J38" si="15">ROUND(I34*0.1, 2)</f>
        <v>2</v>
      </c>
      <c r="K34" s="168">
        <f t="shared" ref="K34:K38" si="16">ROUND(I34*0.05, 2)</f>
        <v>1</v>
      </c>
      <c r="L34" s="196">
        <f>ROUND((I34*'Base Data'!$C$62)+(J34*'Base Data'!$C$63)+(K34*'Base Data'!$C$64), 2)</f>
        <v>2720.57</v>
      </c>
      <c r="M34" s="150">
        <v>0</v>
      </c>
      <c r="N34" s="151">
        <f t="shared" ref="N34:N38" si="17">F34*H34</f>
        <v>10</v>
      </c>
    </row>
    <row r="35" spans="1:16" s="52" customFormat="1" ht="13" x14ac:dyDescent="0.3">
      <c r="A35" s="159" t="s">
        <v>177</v>
      </c>
      <c r="B35" s="149">
        <v>8</v>
      </c>
      <c r="C35" s="150">
        <v>0</v>
      </c>
      <c r="D35" s="150">
        <v>0</v>
      </c>
      <c r="E35" s="150">
        <v>0</v>
      </c>
      <c r="F35" s="149">
        <v>1</v>
      </c>
      <c r="G35" s="167">
        <f t="shared" si="13"/>
        <v>8</v>
      </c>
      <c r="H35" s="168">
        <f>H8</f>
        <v>10</v>
      </c>
      <c r="I35" s="151">
        <f t="shared" si="14"/>
        <v>80</v>
      </c>
      <c r="J35" s="151">
        <f t="shared" si="15"/>
        <v>8</v>
      </c>
      <c r="K35" s="168">
        <f t="shared" si="16"/>
        <v>4</v>
      </c>
      <c r="L35" s="196">
        <f>ROUND((I35*'Base Data'!$C$62)+(J35*'Base Data'!$C$63)+(K35*'Base Data'!$C$64), 2)</f>
        <v>10882.28</v>
      </c>
      <c r="M35" s="150">
        <v>0</v>
      </c>
      <c r="N35" s="151">
        <f t="shared" si="17"/>
        <v>10</v>
      </c>
    </row>
    <row r="36" spans="1:16" s="52" customFormat="1" ht="11.25" customHeight="1" x14ac:dyDescent="0.3">
      <c r="A36" s="159" t="s">
        <v>226</v>
      </c>
      <c r="B36" s="149">
        <v>5</v>
      </c>
      <c r="C36" s="150">
        <v>0</v>
      </c>
      <c r="D36" s="150">
        <v>0</v>
      </c>
      <c r="E36" s="150">
        <v>0</v>
      </c>
      <c r="F36" s="149">
        <v>1</v>
      </c>
      <c r="G36" s="167">
        <f t="shared" si="13"/>
        <v>5</v>
      </c>
      <c r="H36" s="168">
        <v>0</v>
      </c>
      <c r="I36" s="151">
        <f t="shared" si="14"/>
        <v>0</v>
      </c>
      <c r="J36" s="151">
        <f t="shared" si="15"/>
        <v>0</v>
      </c>
      <c r="K36" s="168">
        <f t="shared" si="16"/>
        <v>0</v>
      </c>
      <c r="L36" s="150">
        <f>ROUND((I36*'Base Data'!$C$62)+(J36*'Base Data'!$C$63)+(K36*'Base Data'!$C$64), 2)</f>
        <v>0</v>
      </c>
      <c r="M36" s="150">
        <v>0</v>
      </c>
      <c r="N36" s="151">
        <f t="shared" si="17"/>
        <v>0</v>
      </c>
      <c r="P36" s="52" t="s">
        <v>321</v>
      </c>
    </row>
    <row r="37" spans="1:16" s="52" customFormat="1" ht="13" x14ac:dyDescent="0.3">
      <c r="A37" s="200" t="s">
        <v>178</v>
      </c>
      <c r="B37" s="149">
        <v>30</v>
      </c>
      <c r="C37" s="150">
        <v>0</v>
      </c>
      <c r="D37" s="150">
        <v>0</v>
      </c>
      <c r="E37" s="150">
        <v>0</v>
      </c>
      <c r="F37" s="149">
        <v>1</v>
      </c>
      <c r="G37" s="167">
        <f t="shared" si="13"/>
        <v>30</v>
      </c>
      <c r="H37" s="168">
        <f>('Base Data'!D8+ 'Base Data'!D9+ 'Base Data'!D11+ 'Base Data'!D12 )/2+ 2/3*'Base Data'!P38</f>
        <v>2129.5</v>
      </c>
      <c r="I37" s="151">
        <f t="shared" si="14"/>
        <v>63885</v>
      </c>
      <c r="J37" s="151">
        <f t="shared" si="15"/>
        <v>6388.5</v>
      </c>
      <c r="K37" s="168">
        <f t="shared" si="16"/>
        <v>3194.25</v>
      </c>
      <c r="L37" s="196">
        <f>ROUND((I37*'Base Data'!$C$62)+(J37*'Base Data'!$C$63)+(K37*'Base Data'!$C$64), 2)</f>
        <v>8690180.7200000007</v>
      </c>
      <c r="M37" s="150">
        <v>0</v>
      </c>
      <c r="N37" s="151">
        <f t="shared" si="17"/>
        <v>2129.5</v>
      </c>
      <c r="P37" s="52" t="s">
        <v>349</v>
      </c>
    </row>
    <row r="38" spans="1:16" s="52" customFormat="1" ht="15.5" x14ac:dyDescent="0.3">
      <c r="A38" s="200" t="s">
        <v>232</v>
      </c>
      <c r="B38" s="149">
        <v>5</v>
      </c>
      <c r="C38" s="150">
        <v>0</v>
      </c>
      <c r="D38" s="150">
        <v>0</v>
      </c>
      <c r="E38" s="150">
        <v>0</v>
      </c>
      <c r="F38" s="149">
        <v>0.5</v>
      </c>
      <c r="G38" s="201">
        <f t="shared" si="13"/>
        <v>2.5</v>
      </c>
      <c r="H38" s="168">
        <f>H30</f>
        <v>1843</v>
      </c>
      <c r="I38" s="194">
        <f t="shared" si="14"/>
        <v>4607.5</v>
      </c>
      <c r="J38" s="194">
        <f t="shared" si="15"/>
        <v>460.75</v>
      </c>
      <c r="K38" s="195">
        <f t="shared" si="16"/>
        <v>230.38</v>
      </c>
      <c r="L38" s="196">
        <f>ROUND((I38*'Base Data'!$C$62)+(J38*'Base Data'!$C$63)+(K38*'Base Data'!$C$64), 2)</f>
        <v>626752.07999999996</v>
      </c>
      <c r="M38" s="150">
        <v>0</v>
      </c>
      <c r="N38" s="151">
        <f t="shared" si="17"/>
        <v>921.5</v>
      </c>
      <c r="P38" s="284" t="s">
        <v>348</v>
      </c>
    </row>
    <row r="39" spans="1:16" s="166" customFormat="1" ht="13.5" x14ac:dyDescent="0.35">
      <c r="A39" s="161" t="s">
        <v>158</v>
      </c>
      <c r="B39" s="162"/>
      <c r="C39" s="163"/>
      <c r="D39" s="163"/>
      <c r="E39" s="163"/>
      <c r="F39" s="162"/>
      <c r="G39" s="162"/>
      <c r="H39" s="202"/>
      <c r="I39" s="386">
        <f>SUM(I8:K38)</f>
        <v>101228.61000000002</v>
      </c>
      <c r="J39" s="387"/>
      <c r="K39" s="388"/>
      <c r="L39" s="171">
        <f>SUM(L8:L38)</f>
        <v>11973892.520000001</v>
      </c>
      <c r="M39" s="171">
        <f>SUM(M8:M38)</f>
        <v>6912727.5</v>
      </c>
      <c r="N39" s="165">
        <f>SUM(N8:N38)</f>
        <v>3071</v>
      </c>
    </row>
    <row r="40" spans="1:16" s="52" customFormat="1" ht="13" x14ac:dyDescent="0.3">
      <c r="A40" s="69" t="s">
        <v>33</v>
      </c>
      <c r="B40" s="149"/>
      <c r="C40" s="150"/>
      <c r="D40" s="150"/>
      <c r="E40" s="150"/>
      <c r="F40" s="149"/>
      <c r="G40" s="149"/>
      <c r="H40" s="151"/>
      <c r="I40" s="151"/>
      <c r="J40" s="151"/>
      <c r="K40" s="151"/>
      <c r="L40" s="150"/>
      <c r="M40" s="150"/>
      <c r="N40" s="150"/>
    </row>
    <row r="41" spans="1:16" s="52" customFormat="1" ht="13" x14ac:dyDescent="0.3">
      <c r="A41" s="69" t="s">
        <v>199</v>
      </c>
      <c r="B41" s="149" t="s">
        <v>156</v>
      </c>
      <c r="C41" s="150"/>
      <c r="D41" s="150"/>
      <c r="E41" s="150"/>
      <c r="F41" s="149"/>
      <c r="G41" s="149"/>
      <c r="H41" s="151"/>
      <c r="I41" s="151"/>
      <c r="J41" s="151"/>
      <c r="K41" s="151"/>
      <c r="L41" s="150"/>
      <c r="M41" s="150"/>
      <c r="N41" s="150"/>
    </row>
    <row r="42" spans="1:16" s="52" customFormat="1" ht="13" x14ac:dyDescent="0.3">
      <c r="A42" s="69" t="s">
        <v>172</v>
      </c>
      <c r="B42" s="149" t="s">
        <v>155</v>
      </c>
      <c r="C42" s="150"/>
      <c r="D42" s="150"/>
      <c r="E42" s="150"/>
      <c r="F42" s="149"/>
      <c r="G42" s="149"/>
      <c r="H42" s="151"/>
      <c r="I42" s="151"/>
      <c r="J42" s="151"/>
      <c r="K42" s="151"/>
      <c r="L42" s="150"/>
      <c r="M42" s="150"/>
      <c r="N42" s="150"/>
      <c r="O42" s="206"/>
      <c r="P42" s="312"/>
    </row>
    <row r="43" spans="1:16" s="52" customFormat="1" ht="15.5" x14ac:dyDescent="0.3">
      <c r="A43" s="69" t="s">
        <v>231</v>
      </c>
      <c r="B43" s="149" t="s">
        <v>155</v>
      </c>
      <c r="C43" s="150"/>
      <c r="D43" s="150"/>
      <c r="E43" s="150"/>
      <c r="F43" s="149"/>
      <c r="G43" s="293"/>
      <c r="H43" s="175"/>
      <c r="I43" s="151"/>
      <c r="J43" s="151"/>
      <c r="K43" s="151"/>
      <c r="L43" s="150"/>
      <c r="M43" s="150"/>
      <c r="N43" s="150"/>
      <c r="O43" s="206"/>
      <c r="P43" s="313"/>
    </row>
    <row r="44" spans="1:16" s="52" customFormat="1" ht="13" x14ac:dyDescent="0.3">
      <c r="A44" s="69" t="s">
        <v>173</v>
      </c>
      <c r="B44" s="149"/>
      <c r="C44" s="150"/>
      <c r="D44" s="150"/>
      <c r="E44" s="150"/>
      <c r="F44" s="149"/>
      <c r="G44" s="293"/>
      <c r="H44" s="194"/>
      <c r="I44" s="151"/>
      <c r="J44" s="151"/>
      <c r="K44" s="151"/>
      <c r="L44" s="150"/>
      <c r="M44" s="150"/>
      <c r="N44" s="150"/>
      <c r="O44" s="292"/>
      <c r="P44" s="312" t="s">
        <v>321</v>
      </c>
    </row>
    <row r="45" spans="1:16" s="52" customFormat="1" ht="30.75" customHeight="1" x14ac:dyDescent="0.3">
      <c r="A45" s="152" t="s">
        <v>227</v>
      </c>
      <c r="B45" s="149">
        <v>20</v>
      </c>
      <c r="C45" s="150">
        <v>0</v>
      </c>
      <c r="D45" s="150">
        <v>0</v>
      </c>
      <c r="E45" s="150">
        <v>0</v>
      </c>
      <c r="F45" s="149">
        <v>1</v>
      </c>
      <c r="G45" s="167">
        <f t="shared" ref="G45:G51" si="18">B45*F45</f>
        <v>20</v>
      </c>
      <c r="H45" s="304">
        <f>(('Base Data'!D11 + 'Base Data'!D12)/2) + (('Base Data'!D38 + 'Base Data'!D39- 'Base Data'!E39)/2)*3 + 2/3*(('Base Data'!D38 + 'Base Data'!D39- 'Base Data'!E39)/2)</f>
        <v>306.66666666666669</v>
      </c>
      <c r="I45" s="151">
        <f t="shared" ref="I45:I50" si="19">ROUND(G45*H45, 2)</f>
        <v>6133.33</v>
      </c>
      <c r="J45" s="151">
        <f t="shared" ref="J45:J51" si="20">ROUND(I45*0.1, 2)</f>
        <v>613.33000000000004</v>
      </c>
      <c r="K45" s="168">
        <f t="shared" ref="K45:K51" si="21">ROUND(I45*0.05, 2)</f>
        <v>306.67</v>
      </c>
      <c r="L45" s="196">
        <f>ROUND((I45*'Base Data'!$C$62)+(J45*'Base Data'!$C$63)+(K45*'Base Data'!$C$64), 2)</f>
        <v>834308.03</v>
      </c>
      <c r="M45" s="150">
        <v>0</v>
      </c>
      <c r="N45" s="151">
        <v>0</v>
      </c>
      <c r="P45" s="288" t="s">
        <v>361</v>
      </c>
    </row>
    <row r="46" spans="1:16" s="52" customFormat="1" ht="15.5" x14ac:dyDescent="0.3">
      <c r="A46" s="152" t="s">
        <v>228</v>
      </c>
      <c r="B46" s="149">
        <v>15</v>
      </c>
      <c r="C46" s="150">
        <v>0</v>
      </c>
      <c r="D46" s="150">
        <v>0</v>
      </c>
      <c r="E46" s="150">
        <v>0</v>
      </c>
      <c r="F46" s="149">
        <v>1</v>
      </c>
      <c r="G46" s="167">
        <f t="shared" si="18"/>
        <v>15</v>
      </c>
      <c r="H46" s="168">
        <f>H45</f>
        <v>306.66666666666669</v>
      </c>
      <c r="I46" s="151">
        <f t="shared" si="19"/>
        <v>4600</v>
      </c>
      <c r="J46" s="151">
        <f t="shared" si="20"/>
        <v>460</v>
      </c>
      <c r="K46" s="168">
        <f t="shared" si="21"/>
        <v>230</v>
      </c>
      <c r="L46" s="196">
        <f>ROUND((I46*'Base Data'!$C$62)+(J46*'Base Data'!$C$63)+(K46*'Base Data'!$C$64), 2)</f>
        <v>625731.1</v>
      </c>
      <c r="M46" s="150">
        <v>0</v>
      </c>
      <c r="N46" s="151">
        <v>0</v>
      </c>
      <c r="P46" s="288"/>
    </row>
    <row r="47" spans="1:16" s="52" customFormat="1" ht="15.5" x14ac:dyDescent="0.3">
      <c r="A47" s="69" t="s">
        <v>229</v>
      </c>
      <c r="B47" s="149">
        <v>2</v>
      </c>
      <c r="C47" s="150">
        <v>0</v>
      </c>
      <c r="D47" s="150">
        <v>0</v>
      </c>
      <c r="E47" s="150">
        <v>0</v>
      </c>
      <c r="F47" s="149">
        <v>1</v>
      </c>
      <c r="G47" s="167">
        <f t="shared" si="18"/>
        <v>2</v>
      </c>
      <c r="H47" s="168">
        <f>H45</f>
        <v>306.66666666666669</v>
      </c>
      <c r="I47" s="151">
        <f t="shared" si="19"/>
        <v>613.33000000000004</v>
      </c>
      <c r="J47" s="194">
        <f t="shared" si="20"/>
        <v>61.33</v>
      </c>
      <c r="K47" s="195">
        <f t="shared" si="21"/>
        <v>30.67</v>
      </c>
      <c r="L47" s="196">
        <f>ROUND((I47*'Base Data'!$C$62)+(J47*'Base Data'!$C$63)+(K47*'Base Data'!$C$64), 2)</f>
        <v>83430.710000000006</v>
      </c>
      <c r="M47" s="150">
        <v>0</v>
      </c>
      <c r="N47" s="151">
        <v>0</v>
      </c>
    </row>
    <row r="48" spans="1:16" s="52" customFormat="1" ht="28.5" x14ac:dyDescent="0.3">
      <c r="A48" s="152" t="s">
        <v>273</v>
      </c>
      <c r="B48" s="149">
        <v>2</v>
      </c>
      <c r="C48" s="150">
        <v>0</v>
      </c>
      <c r="D48" s="150">
        <v>0</v>
      </c>
      <c r="E48" s="150">
        <v>0</v>
      </c>
      <c r="F48" s="149">
        <v>1</v>
      </c>
      <c r="G48" s="167">
        <f t="shared" si="18"/>
        <v>2</v>
      </c>
      <c r="H48" s="168">
        <f>H45</f>
        <v>306.66666666666669</v>
      </c>
      <c r="I48" s="151">
        <f t="shared" si="19"/>
        <v>613.33000000000004</v>
      </c>
      <c r="J48" s="194">
        <f t="shared" si="20"/>
        <v>61.33</v>
      </c>
      <c r="K48" s="195">
        <f t="shared" si="21"/>
        <v>30.67</v>
      </c>
      <c r="L48" s="196">
        <f>ROUND((I48*'Base Data'!$C$62)+(J48*'Base Data'!$C$63)+(K48*'Base Data'!$C$64), 2)</f>
        <v>83430.710000000006</v>
      </c>
      <c r="M48" s="150">
        <v>0</v>
      </c>
      <c r="N48" s="151">
        <v>0</v>
      </c>
    </row>
    <row r="49" spans="1:19" s="52" customFormat="1" ht="28.5" x14ac:dyDescent="0.3">
      <c r="A49" s="152" t="s">
        <v>269</v>
      </c>
      <c r="B49" s="149">
        <v>2</v>
      </c>
      <c r="C49" s="150">
        <v>0</v>
      </c>
      <c r="D49" s="150">
        <v>0</v>
      </c>
      <c r="E49" s="150">
        <v>0</v>
      </c>
      <c r="F49" s="149">
        <v>2</v>
      </c>
      <c r="G49" s="167">
        <f t="shared" si="18"/>
        <v>4</v>
      </c>
      <c r="H49" s="304">
        <f>H37</f>
        <v>2129.5</v>
      </c>
      <c r="I49" s="151">
        <f>ROUND(G49*H49, 2)</f>
        <v>8518</v>
      </c>
      <c r="J49" s="151">
        <f t="shared" si="20"/>
        <v>851.8</v>
      </c>
      <c r="K49" s="168">
        <f t="shared" si="21"/>
        <v>425.9</v>
      </c>
      <c r="L49" s="196">
        <f>ROUND((I49*'Base Data'!$C$62)+(J49*'Base Data'!$C$63)+(K49*'Base Data'!$C$64), 2)</f>
        <v>1158690.76</v>
      </c>
      <c r="M49" s="150">
        <v>0</v>
      </c>
      <c r="N49" s="151">
        <v>0</v>
      </c>
    </row>
    <row r="50" spans="1:19" s="52" customFormat="1" ht="15.5" x14ac:dyDescent="0.3">
      <c r="A50" s="152" t="s">
        <v>230</v>
      </c>
      <c r="B50" s="149">
        <v>0.5</v>
      </c>
      <c r="C50" s="150">
        <v>0</v>
      </c>
      <c r="D50" s="150">
        <v>0</v>
      </c>
      <c r="E50" s="150">
        <v>0</v>
      </c>
      <c r="F50" s="149">
        <v>12</v>
      </c>
      <c r="G50" s="167">
        <f t="shared" si="18"/>
        <v>6</v>
      </c>
      <c r="H50" s="168">
        <f>H45</f>
        <v>306.66666666666669</v>
      </c>
      <c r="I50" s="151">
        <f t="shared" si="19"/>
        <v>1840</v>
      </c>
      <c r="J50" s="151">
        <f t="shared" si="20"/>
        <v>184</v>
      </c>
      <c r="K50" s="195">
        <f t="shared" si="21"/>
        <v>92</v>
      </c>
      <c r="L50" s="196">
        <f>ROUND((I50*'Base Data'!$C$62)+(J50*'Base Data'!$C$63)+(K50*'Base Data'!$C$64), 2)</f>
        <v>250292.44</v>
      </c>
      <c r="M50" s="150">
        <v>0</v>
      </c>
      <c r="N50" s="151">
        <v>0</v>
      </c>
    </row>
    <row r="51" spans="1:19" s="52" customFormat="1" ht="13" x14ac:dyDescent="0.3">
      <c r="A51" s="152" t="s">
        <v>186</v>
      </c>
      <c r="B51" s="149">
        <v>0.5</v>
      </c>
      <c r="C51" s="150">
        <v>0</v>
      </c>
      <c r="D51" s="150">
        <v>0</v>
      </c>
      <c r="E51" s="150">
        <v>0</v>
      </c>
      <c r="F51" s="149">
        <v>0.5</v>
      </c>
      <c r="G51" s="197">
        <f t="shared" si="18"/>
        <v>0.25</v>
      </c>
      <c r="H51" s="168">
        <f>H30</f>
        <v>1843</v>
      </c>
      <c r="I51" s="194">
        <f t="shared" ref="I51" si="22">ROUND(G51*H51, 2)</f>
        <v>460.75</v>
      </c>
      <c r="J51" s="194">
        <f t="shared" si="20"/>
        <v>46.08</v>
      </c>
      <c r="K51" s="195">
        <f t="shared" si="21"/>
        <v>23.04</v>
      </c>
      <c r="L51" s="196">
        <f>ROUND((I51*'Base Data'!$C$62)+(J51*'Base Data'!$C$63)+(K51*'Base Data'!$C$64), 2)</f>
        <v>62675.82</v>
      </c>
      <c r="M51" s="150">
        <v>0</v>
      </c>
      <c r="N51" s="151">
        <v>0</v>
      </c>
    </row>
    <row r="52" spans="1:19" s="52" customFormat="1" ht="13" x14ac:dyDescent="0.3">
      <c r="A52" s="69" t="s">
        <v>174</v>
      </c>
      <c r="B52" s="149" t="s">
        <v>155</v>
      </c>
      <c r="C52" s="150"/>
      <c r="D52" s="150"/>
      <c r="E52" s="150"/>
      <c r="F52" s="149"/>
      <c r="G52" s="149"/>
      <c r="H52" s="168"/>
      <c r="I52" s="151"/>
      <c r="J52" s="151"/>
      <c r="K52" s="151"/>
      <c r="L52" s="150"/>
      <c r="M52" s="150"/>
      <c r="N52" s="150"/>
    </row>
    <row r="53" spans="1:19" s="52" customFormat="1" ht="13" x14ac:dyDescent="0.3">
      <c r="A53" s="69" t="s">
        <v>175</v>
      </c>
      <c r="B53" s="149" t="s">
        <v>155</v>
      </c>
      <c r="C53" s="150"/>
      <c r="D53" s="150"/>
      <c r="E53" s="150"/>
      <c r="F53" s="149"/>
      <c r="G53" s="149"/>
      <c r="H53" s="151"/>
      <c r="I53" s="151"/>
      <c r="J53" s="151"/>
      <c r="K53" s="151"/>
      <c r="L53" s="150"/>
      <c r="M53" s="150"/>
      <c r="N53" s="150"/>
    </row>
    <row r="54" spans="1:19" s="166" customFormat="1" ht="13.5" x14ac:dyDescent="0.35">
      <c r="A54" s="169" t="s">
        <v>157</v>
      </c>
      <c r="B54" s="162"/>
      <c r="C54" s="163"/>
      <c r="D54" s="163"/>
      <c r="E54" s="163"/>
      <c r="F54" s="162"/>
      <c r="G54" s="162"/>
      <c r="H54" s="170"/>
      <c r="I54" s="386">
        <f>SUM(I45:K51)</f>
        <v>26195.56</v>
      </c>
      <c r="J54" s="387"/>
      <c r="K54" s="388"/>
      <c r="L54" s="171">
        <f t="shared" ref="L54:N54" si="23">SUM(L45:L51)</f>
        <v>3098559.5699999994</v>
      </c>
      <c r="M54" s="171">
        <f t="shared" si="23"/>
        <v>0</v>
      </c>
      <c r="N54" s="165">
        <f t="shared" si="23"/>
        <v>0</v>
      </c>
    </row>
    <row r="55" spans="1:19" s="166" customFormat="1" ht="15" x14ac:dyDescent="0.3">
      <c r="A55" s="172" t="s">
        <v>270</v>
      </c>
      <c r="B55" s="162"/>
      <c r="C55" s="163"/>
      <c r="D55" s="163"/>
      <c r="E55" s="163"/>
      <c r="F55" s="162"/>
      <c r="G55" s="162"/>
      <c r="H55" s="170"/>
      <c r="I55" s="203"/>
      <c r="J55" s="204"/>
      <c r="K55" s="205"/>
      <c r="L55" s="163">
        <f>(L54+L39)</f>
        <v>15072452.09</v>
      </c>
      <c r="M55" s="163"/>
      <c r="N55" s="170"/>
    </row>
    <row r="56" spans="1:19" s="166" customFormat="1" ht="15" x14ac:dyDescent="0.3">
      <c r="A56" s="172" t="s">
        <v>271</v>
      </c>
      <c r="B56" s="162"/>
      <c r="C56" s="163"/>
      <c r="D56" s="163"/>
      <c r="E56" s="163"/>
      <c r="F56" s="162"/>
      <c r="G56" s="162"/>
      <c r="H56" s="170"/>
      <c r="I56" s="203"/>
      <c r="J56" s="204"/>
      <c r="K56" s="205"/>
      <c r="L56" s="163"/>
      <c r="M56" s="163">
        <f>M39+M54</f>
        <v>6912727.5</v>
      </c>
      <c r="N56" s="170"/>
    </row>
    <row r="57" spans="1:19" s="166" customFormat="1" ht="15" x14ac:dyDescent="0.3">
      <c r="A57" s="172" t="s">
        <v>272</v>
      </c>
      <c r="B57" s="162"/>
      <c r="C57" s="162"/>
      <c r="D57" s="162"/>
      <c r="E57" s="163"/>
      <c r="F57" s="162"/>
      <c r="G57" s="162"/>
      <c r="H57" s="173"/>
      <c r="I57" s="389">
        <f>I39+I54</f>
        <v>127424.17000000001</v>
      </c>
      <c r="J57" s="390"/>
      <c r="K57" s="391"/>
      <c r="L57" s="163">
        <f>(L39+L54+M56)</f>
        <v>21985179.59</v>
      </c>
      <c r="M57" s="174"/>
      <c r="N57" s="170">
        <f>N39+N54</f>
        <v>3071</v>
      </c>
    </row>
    <row r="58" spans="1:19" s="52" customFormat="1" ht="13" x14ac:dyDescent="0.3">
      <c r="A58" s="166" t="s">
        <v>220</v>
      </c>
      <c r="B58" s="175"/>
      <c r="C58" s="175"/>
      <c r="D58" s="175"/>
      <c r="E58" s="175"/>
      <c r="F58" s="175"/>
      <c r="G58" s="175"/>
      <c r="H58" s="176"/>
      <c r="I58" s="175"/>
      <c r="J58" s="175"/>
      <c r="K58" s="175"/>
      <c r="L58" s="175"/>
      <c r="M58" s="177"/>
      <c r="N58" s="177"/>
      <c r="O58" s="179" t="str">
        <f>'Capital vs. O&amp;M'!H7</f>
        <v>Notes (Units vs. Respondents):</v>
      </c>
      <c r="P58" s="179"/>
      <c r="Q58" s="179"/>
      <c r="R58" s="179"/>
    </row>
    <row r="59" spans="1:19" s="52" customFormat="1" ht="27.75" customHeight="1" x14ac:dyDescent="0.3">
      <c r="A59" s="382" t="s">
        <v>252</v>
      </c>
      <c r="B59" s="382"/>
      <c r="C59" s="382"/>
      <c r="D59" s="382"/>
      <c r="E59" s="382"/>
      <c r="F59" s="382"/>
      <c r="G59" s="382"/>
      <c r="H59" s="382"/>
      <c r="I59" s="382"/>
      <c r="J59" s="382"/>
      <c r="K59" s="382"/>
      <c r="L59" s="382"/>
      <c r="M59" s="382"/>
      <c r="N59" s="382"/>
      <c r="O59" s="318">
        <f>'Capital vs. O&amp;M'!H8</f>
        <v>4219</v>
      </c>
      <c r="P59" s="318">
        <f>'Capital vs. O&amp;M'!I8</f>
        <v>2109.5</v>
      </c>
      <c r="Q59" s="318">
        <f>'Capital vs. O&amp;M'!J8</f>
        <v>4239</v>
      </c>
      <c r="R59" s="318">
        <f>'Capital vs. O&amp;M'!K8</f>
        <v>2119.5</v>
      </c>
      <c r="S59" s="206"/>
    </row>
    <row r="60" spans="1:19" s="52" customFormat="1" ht="40.5" customHeight="1" x14ac:dyDescent="0.3">
      <c r="A60" s="382" t="s">
        <v>225</v>
      </c>
      <c r="B60" s="382"/>
      <c r="C60" s="382"/>
      <c r="D60" s="382"/>
      <c r="E60" s="382"/>
      <c r="F60" s="382"/>
      <c r="G60" s="382"/>
      <c r="H60" s="382"/>
      <c r="I60" s="382"/>
      <c r="J60" s="382"/>
      <c r="K60" s="382"/>
      <c r="L60" s="382"/>
      <c r="M60" s="382"/>
      <c r="N60" s="382"/>
      <c r="O60" s="206"/>
    </row>
    <row r="61" spans="1:19" s="52" customFormat="1" ht="30" customHeight="1" x14ac:dyDescent="0.3">
      <c r="A61" s="378" t="s">
        <v>223</v>
      </c>
      <c r="B61" s="378"/>
      <c r="C61" s="378"/>
      <c r="D61" s="378"/>
      <c r="E61" s="378"/>
      <c r="F61" s="378"/>
      <c r="G61" s="378"/>
      <c r="H61" s="378"/>
      <c r="I61" s="378"/>
      <c r="J61" s="378"/>
      <c r="K61" s="378"/>
      <c r="L61" s="378"/>
      <c r="M61" s="378"/>
      <c r="N61" s="378"/>
    </row>
    <row r="62" spans="1:19" s="52" customFormat="1" ht="27.75" customHeight="1" x14ac:dyDescent="0.3">
      <c r="A62" s="382" t="s">
        <v>254</v>
      </c>
      <c r="B62" s="382"/>
      <c r="C62" s="382"/>
      <c r="D62" s="382"/>
      <c r="E62" s="382"/>
      <c r="F62" s="382"/>
      <c r="G62" s="382"/>
      <c r="H62" s="382"/>
      <c r="I62" s="382"/>
      <c r="J62" s="382"/>
      <c r="K62" s="382"/>
      <c r="L62" s="382"/>
      <c r="M62" s="382"/>
      <c r="N62" s="382"/>
    </row>
    <row r="63" spans="1:19" s="52" customFormat="1" ht="32.25" customHeight="1" x14ac:dyDescent="0.3">
      <c r="A63" s="382" t="s">
        <v>253</v>
      </c>
      <c r="B63" s="382"/>
      <c r="C63" s="382"/>
      <c r="D63" s="382"/>
      <c r="E63" s="382"/>
      <c r="F63" s="382"/>
      <c r="G63" s="382"/>
      <c r="H63" s="382"/>
      <c r="I63" s="382"/>
      <c r="J63" s="382"/>
      <c r="K63" s="382"/>
      <c r="L63" s="382"/>
      <c r="M63" s="382"/>
      <c r="N63" s="382"/>
    </row>
    <row r="64" spans="1:19" s="52" customFormat="1" ht="33.75" customHeight="1" x14ac:dyDescent="0.3">
      <c r="A64" s="382" t="s">
        <v>360</v>
      </c>
      <c r="B64" s="382"/>
      <c r="C64" s="382"/>
      <c r="D64" s="382"/>
      <c r="E64" s="382"/>
      <c r="F64" s="382"/>
      <c r="G64" s="382"/>
      <c r="H64" s="382"/>
      <c r="I64" s="382"/>
      <c r="J64" s="382"/>
      <c r="K64" s="382"/>
      <c r="L64" s="382"/>
      <c r="M64" s="382"/>
      <c r="N64" s="382"/>
    </row>
    <row r="65" spans="1:14" s="52" customFormat="1" ht="27.75" customHeight="1" x14ac:dyDescent="0.3">
      <c r="A65" s="382" t="s">
        <v>255</v>
      </c>
      <c r="B65" s="382"/>
      <c r="C65" s="382"/>
      <c r="D65" s="382"/>
      <c r="E65" s="382"/>
      <c r="F65" s="382"/>
      <c r="G65" s="382"/>
      <c r="H65" s="382"/>
      <c r="I65" s="382"/>
      <c r="J65" s="382"/>
      <c r="K65" s="382"/>
      <c r="L65" s="382"/>
      <c r="M65" s="382"/>
      <c r="N65" s="382"/>
    </row>
    <row r="66" spans="1:14" s="52" customFormat="1" ht="31.5" customHeight="1" x14ac:dyDescent="0.3">
      <c r="A66" s="382" t="s">
        <v>256</v>
      </c>
      <c r="B66" s="382"/>
      <c r="C66" s="382"/>
      <c r="D66" s="382"/>
      <c r="E66" s="382"/>
      <c r="F66" s="382"/>
      <c r="G66" s="382"/>
      <c r="H66" s="382"/>
      <c r="I66" s="382"/>
      <c r="J66" s="382"/>
      <c r="K66" s="382"/>
      <c r="L66" s="382"/>
      <c r="M66" s="382"/>
      <c r="N66" s="382"/>
    </row>
    <row r="67" spans="1:14" s="52" customFormat="1" ht="27.75" customHeight="1" x14ac:dyDescent="0.3">
      <c r="A67" s="382" t="s">
        <v>257</v>
      </c>
      <c r="B67" s="382"/>
      <c r="C67" s="382"/>
      <c r="D67" s="382"/>
      <c r="E67" s="382"/>
      <c r="F67" s="382"/>
      <c r="G67" s="382"/>
      <c r="H67" s="382"/>
      <c r="I67" s="382"/>
      <c r="J67" s="382"/>
      <c r="K67" s="382"/>
      <c r="L67" s="382"/>
      <c r="M67" s="382"/>
      <c r="N67" s="382"/>
    </row>
    <row r="68" spans="1:14" s="52" customFormat="1" ht="27.75" customHeight="1" x14ac:dyDescent="0.3">
      <c r="A68" s="382" t="s">
        <v>258</v>
      </c>
      <c r="B68" s="382"/>
      <c r="C68" s="382"/>
      <c r="D68" s="382"/>
      <c r="E68" s="382"/>
      <c r="F68" s="382"/>
      <c r="G68" s="382"/>
      <c r="H68" s="382"/>
      <c r="I68" s="382"/>
      <c r="J68" s="382"/>
      <c r="K68" s="382"/>
      <c r="L68" s="382"/>
      <c r="M68" s="382"/>
      <c r="N68" s="382"/>
    </row>
    <row r="69" spans="1:14" s="52" customFormat="1" ht="27.75" customHeight="1" x14ac:dyDescent="0.3">
      <c r="A69" s="382" t="s">
        <v>259</v>
      </c>
      <c r="B69" s="382"/>
      <c r="C69" s="382"/>
      <c r="D69" s="382"/>
      <c r="E69" s="382"/>
      <c r="F69" s="382"/>
      <c r="G69" s="382"/>
      <c r="H69" s="382"/>
      <c r="I69" s="382"/>
      <c r="J69" s="382"/>
      <c r="K69" s="382"/>
      <c r="L69" s="382"/>
      <c r="M69" s="382"/>
      <c r="N69" s="382"/>
    </row>
    <row r="70" spans="1:14" s="52" customFormat="1" ht="21.75" customHeight="1" x14ac:dyDescent="0.3">
      <c r="A70" s="382" t="s">
        <v>339</v>
      </c>
      <c r="B70" s="382"/>
      <c r="C70" s="382"/>
      <c r="D70" s="382"/>
      <c r="E70" s="382"/>
      <c r="F70" s="382"/>
      <c r="G70" s="382"/>
      <c r="H70" s="382"/>
      <c r="I70" s="382"/>
      <c r="J70" s="382"/>
      <c r="K70" s="382"/>
      <c r="L70" s="382"/>
      <c r="M70" s="382"/>
      <c r="N70" s="382"/>
    </row>
    <row r="71" spans="1:14" s="52" customFormat="1" ht="21" customHeight="1" x14ac:dyDescent="0.3">
      <c r="A71" s="52" t="s">
        <v>260</v>
      </c>
      <c r="B71" s="175"/>
      <c r="C71" s="175"/>
      <c r="D71" s="175"/>
      <c r="E71" s="175"/>
      <c r="F71" s="175"/>
      <c r="G71" s="176"/>
      <c r="H71" s="175"/>
      <c r="I71" s="175"/>
      <c r="J71" s="175"/>
      <c r="K71" s="175"/>
      <c r="L71" s="175"/>
      <c r="M71" s="177"/>
      <c r="N71" s="177"/>
    </row>
    <row r="72" spans="1:14" ht="15.5" x14ac:dyDescent="0.3">
      <c r="A72" s="52" t="s">
        <v>268</v>
      </c>
    </row>
    <row r="73" spans="1:14" x14ac:dyDescent="0.25">
      <c r="B73" s="72"/>
      <c r="C73" s="72"/>
      <c r="D73" s="72"/>
      <c r="E73" s="72"/>
      <c r="F73" s="72"/>
      <c r="G73" s="72"/>
      <c r="H73" s="72"/>
      <c r="I73" s="72"/>
      <c r="J73" s="72"/>
      <c r="K73" s="72"/>
      <c r="L73" s="72"/>
      <c r="M73" s="72"/>
      <c r="N73" s="72"/>
    </row>
  </sheetData>
  <mergeCells count="17">
    <mergeCell ref="A64:N64"/>
    <mergeCell ref="A1:N1"/>
    <mergeCell ref="A61:N61"/>
    <mergeCell ref="A70:N70"/>
    <mergeCell ref="A60:N60"/>
    <mergeCell ref="A3:A4"/>
    <mergeCell ref="I39:K39"/>
    <mergeCell ref="I54:K54"/>
    <mergeCell ref="I57:K57"/>
    <mergeCell ref="A65:N65"/>
    <mergeCell ref="A66:N66"/>
    <mergeCell ref="A67:N67"/>
    <mergeCell ref="A68:N68"/>
    <mergeCell ref="A69:N69"/>
    <mergeCell ref="A63:N63"/>
    <mergeCell ref="A59:N59"/>
    <mergeCell ref="A62:N62"/>
  </mergeCells>
  <phoneticPr fontId="2" type="noConversion"/>
  <pageMargins left="0.25" right="0.25" top="0.5" bottom="0.75" header="0.5" footer="0.5"/>
  <pageSetup scale="76"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37"/>
  <sheetViews>
    <sheetView topLeftCell="A10" zoomScaleNormal="100" workbookViewId="0">
      <selection activeCell="P36" sqref="P36"/>
    </sheetView>
  </sheetViews>
  <sheetFormatPr defaultColWidth="9.1796875" defaultRowHeight="10.5" x14ac:dyDescent="0.25"/>
  <cols>
    <col min="1" max="1" width="37.81640625" style="72" customWidth="1"/>
    <col min="2" max="2" width="9.81640625" style="73" bestFit="1" customWidth="1"/>
    <col min="3" max="3" width="8.453125" style="73" bestFit="1" customWidth="1"/>
    <col min="4" max="4" width="8.54296875" style="73" bestFit="1" customWidth="1"/>
    <col min="5" max="5" width="10.54296875" style="73" bestFit="1" customWidth="1"/>
    <col min="6" max="6" width="9.81640625" style="73" bestFit="1" customWidth="1"/>
    <col min="7" max="7" width="10.453125" style="74" customWidth="1"/>
    <col min="8" max="8" width="8.81640625" style="74" bestFit="1" customWidth="1"/>
    <col min="9" max="9" width="8.7265625" style="74" bestFit="1" customWidth="1"/>
    <col min="10" max="10" width="11.453125" style="74" customWidth="1"/>
    <col min="11" max="11" width="12.81640625" style="73" bestFit="1" customWidth="1"/>
    <col min="12" max="12" width="10.81640625" style="72" bestFit="1" customWidth="1"/>
    <col min="13" max="13" width="8.54296875" style="72" customWidth="1"/>
    <col min="14" max="17" width="9.26953125" style="72" bestFit="1" customWidth="1"/>
    <col min="18" max="16384" width="9.1796875" style="72"/>
  </cols>
  <sheetData>
    <row r="1" spans="1:14" s="52" customFormat="1" ht="38.25" customHeight="1" x14ac:dyDescent="0.3">
      <c r="A1" s="325" t="s">
        <v>81</v>
      </c>
      <c r="B1" s="325"/>
      <c r="C1" s="325"/>
      <c r="D1" s="325"/>
      <c r="E1" s="325"/>
      <c r="F1" s="325"/>
      <c r="G1" s="325"/>
      <c r="H1" s="325"/>
      <c r="I1" s="325"/>
      <c r="J1" s="325"/>
      <c r="K1" s="325"/>
      <c r="L1" s="325"/>
      <c r="M1" s="325"/>
    </row>
    <row r="2" spans="1:14" x14ac:dyDescent="0.25">
      <c r="A2" s="75"/>
      <c r="B2" s="75"/>
      <c r="C2" s="75"/>
      <c r="D2" s="75"/>
      <c r="E2" s="75"/>
      <c r="F2" s="75"/>
      <c r="G2" s="75"/>
      <c r="H2" s="75"/>
      <c r="I2" s="75"/>
      <c r="J2" s="75"/>
      <c r="K2" s="75"/>
      <c r="L2" s="75"/>
      <c r="M2" s="75"/>
      <c r="N2" s="75"/>
    </row>
    <row r="3" spans="1:14" s="52" customFormat="1" ht="13" x14ac:dyDescent="0.3">
      <c r="A3" s="380" t="s">
        <v>21</v>
      </c>
      <c r="B3" s="138" t="s">
        <v>124</v>
      </c>
      <c r="C3" s="139"/>
      <c r="D3" s="140"/>
      <c r="E3" s="141" t="s">
        <v>125</v>
      </c>
      <c r="F3" s="142" t="s">
        <v>126</v>
      </c>
      <c r="G3" s="142" t="s">
        <v>127</v>
      </c>
      <c r="H3" s="142" t="s">
        <v>128</v>
      </c>
      <c r="I3" s="142" t="s">
        <v>129</v>
      </c>
      <c r="J3" s="142" t="s">
        <v>130</v>
      </c>
      <c r="K3" s="143" t="s">
        <v>131</v>
      </c>
      <c r="L3" s="144"/>
      <c r="M3" s="145"/>
    </row>
    <row r="4" spans="1:14" s="148" customFormat="1" ht="78" x14ac:dyDescent="0.3">
      <c r="A4" s="381"/>
      <c r="B4" s="207" t="s">
        <v>132</v>
      </c>
      <c r="C4" s="208" t="s">
        <v>142</v>
      </c>
      <c r="D4" s="209" t="s">
        <v>160</v>
      </c>
      <c r="E4" s="210" t="s">
        <v>141</v>
      </c>
      <c r="F4" s="211" t="s">
        <v>134</v>
      </c>
      <c r="G4" s="212" t="s">
        <v>221</v>
      </c>
      <c r="H4" s="212" t="s">
        <v>161</v>
      </c>
      <c r="I4" s="212" t="s">
        <v>162</v>
      </c>
      <c r="J4" s="212" t="s">
        <v>163</v>
      </c>
      <c r="K4" s="213" t="s">
        <v>222</v>
      </c>
      <c r="L4" s="214" t="s">
        <v>139</v>
      </c>
      <c r="M4" s="214" t="s">
        <v>140</v>
      </c>
    </row>
    <row r="5" spans="1:14" s="52" customFormat="1" ht="13" x14ac:dyDescent="0.3">
      <c r="A5" s="152" t="s">
        <v>22</v>
      </c>
      <c r="B5" s="149" t="s">
        <v>155</v>
      </c>
      <c r="C5" s="150"/>
      <c r="D5" s="150"/>
      <c r="E5" s="149"/>
      <c r="F5" s="149"/>
      <c r="G5" s="151"/>
      <c r="H5" s="149"/>
      <c r="I5" s="149"/>
      <c r="J5" s="149"/>
      <c r="K5" s="150"/>
      <c r="L5" s="150"/>
      <c r="M5" s="151"/>
    </row>
    <row r="6" spans="1:14" s="52" customFormat="1" ht="13" x14ac:dyDescent="0.3">
      <c r="A6" s="152" t="s">
        <v>23</v>
      </c>
      <c r="B6" s="149" t="s">
        <v>155</v>
      </c>
      <c r="C6" s="150"/>
      <c r="D6" s="150"/>
      <c r="E6" s="149"/>
      <c r="F6" s="149"/>
      <c r="G6" s="151"/>
      <c r="H6" s="149"/>
      <c r="I6" s="149"/>
      <c r="J6" s="149"/>
      <c r="K6" s="150"/>
      <c r="L6" s="150"/>
      <c r="M6" s="151"/>
    </row>
    <row r="7" spans="1:14" s="52" customFormat="1" ht="13" x14ac:dyDescent="0.3">
      <c r="A7" s="152" t="s">
        <v>24</v>
      </c>
      <c r="B7" s="149"/>
      <c r="C7" s="150"/>
      <c r="D7" s="150"/>
      <c r="E7" s="149"/>
      <c r="F7" s="149"/>
      <c r="G7" s="151"/>
      <c r="H7" s="149"/>
      <c r="I7" s="149"/>
      <c r="J7" s="149"/>
      <c r="K7" s="150"/>
      <c r="L7" s="150"/>
      <c r="M7" s="151"/>
    </row>
    <row r="8" spans="1:14" s="52" customFormat="1" ht="28.5" x14ac:dyDescent="0.3">
      <c r="A8" s="152" t="s">
        <v>241</v>
      </c>
      <c r="B8" s="149">
        <v>40</v>
      </c>
      <c r="C8" s="150">
        <v>0</v>
      </c>
      <c r="D8" s="150">
        <v>0</v>
      </c>
      <c r="E8" s="149">
        <v>1</v>
      </c>
      <c r="F8" s="149">
        <f>B8*E8</f>
        <v>40</v>
      </c>
      <c r="G8" s="168">
        <f>ROUND(0,0)</f>
        <v>0</v>
      </c>
      <c r="H8" s="168">
        <f>ROUND(F8*G8, 2)</f>
        <v>0</v>
      </c>
      <c r="I8" s="168">
        <f>ROUND(H8*0.1, 2)</f>
        <v>0</v>
      </c>
      <c r="J8" s="168">
        <f>ROUND(H8*0.05, 2)</f>
        <v>0</v>
      </c>
      <c r="K8" s="150">
        <f>(H8*'Base Data'!$C$62)+(I8*'Base Data'!$C$63)+(J8*'Base Data'!$C$64)</f>
        <v>0</v>
      </c>
      <c r="L8" s="150">
        <v>0</v>
      </c>
      <c r="M8" s="151">
        <v>0</v>
      </c>
    </row>
    <row r="9" spans="1:14" s="52" customFormat="1" ht="26" x14ac:dyDescent="0.3">
      <c r="A9" s="152" t="s">
        <v>198</v>
      </c>
      <c r="B9" s="149">
        <v>1</v>
      </c>
      <c r="C9" s="150">
        <v>0</v>
      </c>
      <c r="D9" s="150">
        <v>0</v>
      </c>
      <c r="E9" s="149">
        <v>1</v>
      </c>
      <c r="F9" s="149">
        <f>B9*E9</f>
        <v>1</v>
      </c>
      <c r="G9" s="168">
        <f>'Capital vs. O&amp;M'!F25</f>
        <v>53303.782950000001</v>
      </c>
      <c r="H9" s="168">
        <f>ROUND(F9*G9, 2)</f>
        <v>53303.78</v>
      </c>
      <c r="I9" s="168">
        <f>ROUND(H9*0.1, 2)</f>
        <v>5330.38</v>
      </c>
      <c r="J9" s="168">
        <f>ROUND(H9*0.05, 2)</f>
        <v>2665.19</v>
      </c>
      <c r="K9" s="150">
        <f>(H9*'Base Data'!$C$62)+(I9*'Base Data'!$C$63)+(J9*'Base Data'!$C$64)</f>
        <v>7250833.5142999999</v>
      </c>
      <c r="L9" s="150">
        <v>0</v>
      </c>
      <c r="M9" s="151">
        <v>0</v>
      </c>
    </row>
    <row r="10" spans="1:14" s="52" customFormat="1" ht="13" x14ac:dyDescent="0.3">
      <c r="A10" s="152" t="s">
        <v>25</v>
      </c>
      <c r="B10" s="149"/>
      <c r="C10" s="150"/>
      <c r="D10" s="150"/>
      <c r="E10" s="149"/>
      <c r="F10" s="149"/>
      <c r="G10" s="151"/>
      <c r="H10" s="149"/>
      <c r="I10" s="149"/>
      <c r="J10" s="149"/>
      <c r="K10" s="150"/>
      <c r="L10" s="150"/>
      <c r="M10" s="151"/>
    </row>
    <row r="11" spans="1:14" s="52" customFormat="1" ht="13" x14ac:dyDescent="0.3">
      <c r="A11" s="159" t="s">
        <v>188</v>
      </c>
      <c r="B11" s="149">
        <v>12</v>
      </c>
      <c r="C11" s="150">
        <v>2228</v>
      </c>
      <c r="D11" s="150">
        <v>0</v>
      </c>
      <c r="E11" s="149">
        <v>0.5</v>
      </c>
      <c r="F11" s="149">
        <f>B11*E11</f>
        <v>6</v>
      </c>
      <c r="G11" s="151">
        <f>'Capital vs. O&amp;M'!F25</f>
        <v>53303.782950000001</v>
      </c>
      <c r="H11" s="168">
        <f>ROUND(F11*G11, 2)</f>
        <v>319822.7</v>
      </c>
      <c r="I11" s="168">
        <f>ROUND(H11*0.1, 2)</f>
        <v>31982.27</v>
      </c>
      <c r="J11" s="168">
        <f>ROUND(H11*0.05, 2)</f>
        <v>15991.14</v>
      </c>
      <c r="K11" s="150">
        <f>(H11*'Base Data'!$C$62)+(I11*'Base Data'!$C$63)+(J11*'Base Data'!$C$64)</f>
        <v>43505002.914700001</v>
      </c>
      <c r="L11" s="150">
        <f>C11*E11*G11</f>
        <v>59380414.206299998</v>
      </c>
      <c r="M11" s="151">
        <v>0</v>
      </c>
    </row>
    <row r="12" spans="1:14" s="52" customFormat="1" ht="13" x14ac:dyDescent="0.3">
      <c r="A12" s="152" t="s">
        <v>26</v>
      </c>
      <c r="B12" s="149" t="s">
        <v>155</v>
      </c>
      <c r="C12" s="150"/>
      <c r="D12" s="150"/>
      <c r="E12" s="149"/>
      <c r="F12" s="149"/>
      <c r="G12" s="151"/>
      <c r="H12" s="149"/>
      <c r="I12" s="149"/>
      <c r="J12" s="149"/>
      <c r="K12" s="150"/>
      <c r="L12" s="150"/>
      <c r="M12" s="151"/>
    </row>
    <row r="13" spans="1:14" s="52" customFormat="1" ht="13" x14ac:dyDescent="0.3">
      <c r="A13" s="152" t="s">
        <v>27</v>
      </c>
      <c r="B13" s="149" t="s">
        <v>155</v>
      </c>
      <c r="C13" s="150"/>
      <c r="D13" s="150"/>
      <c r="E13" s="149"/>
      <c r="F13" s="149"/>
      <c r="G13" s="151"/>
      <c r="H13" s="149"/>
      <c r="I13" s="149"/>
      <c r="J13" s="149"/>
      <c r="K13" s="150"/>
      <c r="L13" s="150"/>
      <c r="M13" s="151"/>
    </row>
    <row r="14" spans="1:14" s="52" customFormat="1" ht="13" x14ac:dyDescent="0.3">
      <c r="A14" s="152" t="s">
        <v>28</v>
      </c>
      <c r="B14" s="149"/>
      <c r="C14" s="150"/>
      <c r="D14" s="150"/>
      <c r="E14" s="149"/>
      <c r="F14" s="149"/>
      <c r="G14" s="151"/>
      <c r="H14" s="149"/>
      <c r="I14" s="149"/>
      <c r="J14" s="149"/>
      <c r="K14" s="150"/>
      <c r="L14" s="150"/>
      <c r="M14" s="151"/>
    </row>
    <row r="15" spans="1:14" s="52" customFormat="1" ht="13" x14ac:dyDescent="0.3">
      <c r="A15" s="159" t="s">
        <v>176</v>
      </c>
      <c r="B15" s="149">
        <v>2</v>
      </c>
      <c r="C15" s="150">
        <v>0</v>
      </c>
      <c r="D15" s="150">
        <v>0</v>
      </c>
      <c r="E15" s="149">
        <v>1</v>
      </c>
      <c r="F15" s="149">
        <f>B15*E15</f>
        <v>2</v>
      </c>
      <c r="G15" s="168">
        <f>G8</f>
        <v>0</v>
      </c>
      <c r="H15" s="168">
        <f t="shared" ref="H15:H17" si="0">ROUND(F15*G15, 2)</f>
        <v>0</v>
      </c>
      <c r="I15" s="168">
        <f t="shared" ref="I15:I17" si="1">ROUND(H15*0.1, 2)</f>
        <v>0</v>
      </c>
      <c r="J15" s="168">
        <f t="shared" ref="J15:J17" si="2">ROUND(H15*0.05, 2)</f>
        <v>0</v>
      </c>
      <c r="K15" s="150">
        <f>(H15*'Base Data'!$C$62)+(I15*'Base Data'!$C$63)+(J15*'Base Data'!$C$64)</f>
        <v>0</v>
      </c>
      <c r="L15" s="150">
        <v>0</v>
      </c>
      <c r="M15" s="151">
        <f>E15*G15</f>
        <v>0</v>
      </c>
    </row>
    <row r="16" spans="1:14" s="52" customFormat="1" ht="13" x14ac:dyDescent="0.3">
      <c r="A16" s="159" t="s">
        <v>177</v>
      </c>
      <c r="B16" s="149">
        <v>8</v>
      </c>
      <c r="C16" s="150">
        <v>0</v>
      </c>
      <c r="D16" s="150">
        <v>0</v>
      </c>
      <c r="E16" s="149">
        <v>1</v>
      </c>
      <c r="F16" s="149">
        <f>B16*E16</f>
        <v>8</v>
      </c>
      <c r="G16" s="151">
        <f>G8</f>
        <v>0</v>
      </c>
      <c r="H16" s="168">
        <f t="shared" si="0"/>
        <v>0</v>
      </c>
      <c r="I16" s="168">
        <f t="shared" si="1"/>
        <v>0</v>
      </c>
      <c r="J16" s="168">
        <f t="shared" si="2"/>
        <v>0</v>
      </c>
      <c r="K16" s="150">
        <f>(H16*'Base Data'!$C$62)+(I16*'Base Data'!$C$63)+(J16*'Base Data'!$C$64)</f>
        <v>0</v>
      </c>
      <c r="L16" s="150">
        <v>0</v>
      </c>
      <c r="M16" s="151">
        <f>E16*G16</f>
        <v>0</v>
      </c>
    </row>
    <row r="17" spans="1:17" s="52" customFormat="1" ht="13" x14ac:dyDescent="0.3">
      <c r="A17" s="159" t="s">
        <v>187</v>
      </c>
      <c r="B17" s="149">
        <v>5</v>
      </c>
      <c r="C17" s="150">
        <v>0</v>
      </c>
      <c r="D17" s="150">
        <v>0</v>
      </c>
      <c r="E17" s="149">
        <v>0.5</v>
      </c>
      <c r="F17" s="149">
        <f>B17*E17</f>
        <v>2.5</v>
      </c>
      <c r="G17" s="151">
        <f>G11</f>
        <v>53303.782950000001</v>
      </c>
      <c r="H17" s="168">
        <f t="shared" si="0"/>
        <v>133259.46</v>
      </c>
      <c r="I17" s="168">
        <f t="shared" si="1"/>
        <v>13325.95</v>
      </c>
      <c r="J17" s="168">
        <f t="shared" si="2"/>
        <v>6662.97</v>
      </c>
      <c r="K17" s="150">
        <f>(H17*'Base Data'!$C$62)+(I17*'Base Data'!$C$63)+(J17*'Base Data'!$C$64)</f>
        <v>18127084.239999998</v>
      </c>
      <c r="L17" s="150">
        <v>0</v>
      </c>
      <c r="M17" s="151">
        <f>E17*G17</f>
        <v>26651.891475</v>
      </c>
    </row>
    <row r="18" spans="1:17" s="166" customFormat="1" ht="13.5" x14ac:dyDescent="0.35">
      <c r="A18" s="161" t="s">
        <v>158</v>
      </c>
      <c r="B18" s="162"/>
      <c r="C18" s="163"/>
      <c r="D18" s="163"/>
      <c r="E18" s="162"/>
      <c r="F18" s="162"/>
      <c r="G18" s="170"/>
      <c r="H18" s="393">
        <f>SUM(H5:J17)</f>
        <v>582343.84</v>
      </c>
      <c r="I18" s="394"/>
      <c r="J18" s="395"/>
      <c r="K18" s="171">
        <f>SUM(K5:K17)</f>
        <v>68882920.669</v>
      </c>
      <c r="L18" s="171">
        <f>SUM(L5:L17)</f>
        <v>59380414.206299998</v>
      </c>
      <c r="M18" s="221">
        <f t="shared" ref="M18" si="3">SUM(M5:M17)</f>
        <v>26651.891475</v>
      </c>
    </row>
    <row r="19" spans="1:17" s="52" customFormat="1" ht="13" x14ac:dyDescent="0.3">
      <c r="A19" s="152" t="s">
        <v>33</v>
      </c>
      <c r="B19" s="149"/>
      <c r="C19" s="150"/>
      <c r="D19" s="150"/>
      <c r="E19" s="149"/>
      <c r="F19" s="149"/>
      <c r="G19" s="151"/>
      <c r="H19" s="149"/>
      <c r="I19" s="149"/>
      <c r="J19" s="149"/>
      <c r="K19" s="150"/>
      <c r="L19" s="150"/>
      <c r="M19" s="151"/>
    </row>
    <row r="20" spans="1:17" s="52" customFormat="1" ht="13" x14ac:dyDescent="0.3">
      <c r="A20" s="69" t="s">
        <v>200</v>
      </c>
      <c r="B20" s="149" t="s">
        <v>156</v>
      </c>
      <c r="C20" s="150"/>
      <c r="D20" s="150"/>
      <c r="E20" s="149"/>
      <c r="F20" s="149"/>
      <c r="G20" s="151"/>
      <c r="H20" s="149"/>
      <c r="I20" s="149"/>
      <c r="J20" s="149"/>
      <c r="K20" s="150"/>
      <c r="L20" s="150"/>
      <c r="M20" s="151"/>
    </row>
    <row r="21" spans="1:17" s="52" customFormat="1" ht="13" x14ac:dyDescent="0.3">
      <c r="A21" s="152" t="s">
        <v>29</v>
      </c>
      <c r="B21" s="149" t="s">
        <v>155</v>
      </c>
      <c r="C21" s="150"/>
      <c r="D21" s="150"/>
      <c r="E21" s="149"/>
      <c r="F21" s="149"/>
      <c r="G21" s="151"/>
      <c r="H21" s="149"/>
      <c r="I21" s="149"/>
      <c r="J21" s="149"/>
      <c r="K21" s="150"/>
      <c r="L21" s="150"/>
      <c r="M21" s="151"/>
    </row>
    <row r="22" spans="1:17" s="52" customFormat="1" ht="15.5" x14ac:dyDescent="0.3">
      <c r="A22" s="152" t="s">
        <v>251</v>
      </c>
      <c r="B22" s="149" t="s">
        <v>155</v>
      </c>
      <c r="C22" s="150"/>
      <c r="D22" s="150"/>
      <c r="E22" s="149"/>
      <c r="F22" s="149"/>
      <c r="G22" s="151"/>
      <c r="H22" s="149"/>
      <c r="I22" s="149"/>
      <c r="J22" s="149"/>
      <c r="K22" s="150"/>
      <c r="L22" s="150"/>
      <c r="M22" s="151"/>
    </row>
    <row r="23" spans="1:17" s="52" customFormat="1" ht="13" x14ac:dyDescent="0.3">
      <c r="A23" s="152" t="s">
        <v>30</v>
      </c>
      <c r="B23" s="149"/>
      <c r="C23" s="150"/>
      <c r="D23" s="150"/>
      <c r="E23" s="149"/>
      <c r="F23" s="149"/>
      <c r="G23" s="151"/>
      <c r="H23" s="149"/>
      <c r="I23" s="149"/>
      <c r="J23" s="149"/>
      <c r="K23" s="150"/>
      <c r="L23" s="150"/>
      <c r="M23" s="151"/>
    </row>
    <row r="24" spans="1:17" s="52" customFormat="1" ht="26" x14ac:dyDescent="0.3">
      <c r="A24" s="159" t="s">
        <v>191</v>
      </c>
      <c r="B24" s="149">
        <v>2</v>
      </c>
      <c r="C24" s="150">
        <v>0</v>
      </c>
      <c r="D24" s="150">
        <v>0</v>
      </c>
      <c r="E24" s="149">
        <v>1</v>
      </c>
      <c r="F24" s="149">
        <f>B24*E24</f>
        <v>2</v>
      </c>
      <c r="G24" s="151">
        <f>G11</f>
        <v>53303.782950000001</v>
      </c>
      <c r="H24" s="168">
        <f t="shared" ref="H24:H25" si="4">ROUND(F24*G24, 2)</f>
        <v>106607.57</v>
      </c>
      <c r="I24" s="168">
        <f t="shared" ref="I24:I25" si="5">ROUND(H24*0.1, 2)</f>
        <v>10660.76</v>
      </c>
      <c r="J24" s="168">
        <f t="shared" ref="J24:J25" si="6">ROUND(H24*0.05, 2)</f>
        <v>5330.38</v>
      </c>
      <c r="K24" s="150">
        <f>(H24*'Base Data'!$C$62)+(I24*'Base Data'!$C$63)+(J24*'Base Data'!$C$64)</f>
        <v>14501668.250600001</v>
      </c>
      <c r="L24" s="150">
        <v>0</v>
      </c>
      <c r="M24" s="151">
        <v>0</v>
      </c>
    </row>
    <row r="25" spans="1:17" s="52" customFormat="1" ht="13" x14ac:dyDescent="0.3">
      <c r="A25" s="159" t="s">
        <v>192</v>
      </c>
      <c r="B25" s="149">
        <v>0.5</v>
      </c>
      <c r="C25" s="150">
        <v>0</v>
      </c>
      <c r="D25" s="150">
        <v>0</v>
      </c>
      <c r="E25" s="149">
        <v>0.5</v>
      </c>
      <c r="F25" s="149">
        <f>B25*E25</f>
        <v>0.25</v>
      </c>
      <c r="G25" s="151">
        <f>G11</f>
        <v>53303.782950000001</v>
      </c>
      <c r="H25" s="168">
        <f t="shared" si="4"/>
        <v>13325.95</v>
      </c>
      <c r="I25" s="168">
        <f t="shared" si="5"/>
        <v>1332.6</v>
      </c>
      <c r="J25" s="168">
        <f t="shared" si="6"/>
        <v>666.3</v>
      </c>
      <c r="K25" s="150">
        <f>(H25*'Base Data'!$C$62)+(I25*'Base Data'!$C$63)+(J25*'Base Data'!$C$64)</f>
        <v>1812709.6810000001</v>
      </c>
      <c r="L25" s="150">
        <v>0</v>
      </c>
      <c r="M25" s="151">
        <v>0</v>
      </c>
    </row>
    <row r="26" spans="1:17" s="52" customFormat="1" ht="13" x14ac:dyDescent="0.3">
      <c r="A26" s="152" t="s">
        <v>31</v>
      </c>
      <c r="B26" s="149" t="s">
        <v>155</v>
      </c>
      <c r="C26" s="150"/>
      <c r="D26" s="150"/>
      <c r="E26" s="149"/>
      <c r="F26" s="149"/>
      <c r="G26" s="151"/>
      <c r="H26" s="149"/>
      <c r="I26" s="149"/>
      <c r="J26" s="149"/>
      <c r="K26" s="150"/>
      <c r="L26" s="150"/>
      <c r="M26" s="151"/>
    </row>
    <row r="27" spans="1:17" s="52" customFormat="1" ht="13" x14ac:dyDescent="0.3">
      <c r="A27" s="152" t="s">
        <v>32</v>
      </c>
      <c r="B27" s="149" t="s">
        <v>155</v>
      </c>
      <c r="C27" s="150"/>
      <c r="D27" s="150"/>
      <c r="E27" s="149"/>
      <c r="F27" s="149"/>
      <c r="G27" s="151"/>
      <c r="H27" s="149"/>
      <c r="I27" s="149"/>
      <c r="J27" s="149"/>
      <c r="K27" s="150"/>
      <c r="L27" s="150"/>
      <c r="M27" s="151"/>
    </row>
    <row r="28" spans="1:17" s="166" customFormat="1" ht="13.5" x14ac:dyDescent="0.35">
      <c r="A28" s="169" t="s">
        <v>157</v>
      </c>
      <c r="B28" s="162"/>
      <c r="C28" s="163"/>
      <c r="D28" s="163"/>
      <c r="E28" s="162"/>
      <c r="F28" s="162"/>
      <c r="G28" s="170"/>
      <c r="H28" s="386">
        <f>SUM(H20:J27)</f>
        <v>137923.56</v>
      </c>
      <c r="I28" s="387"/>
      <c r="J28" s="388"/>
      <c r="K28" s="171">
        <f>SUM(K20:K27)</f>
        <v>16314377.931600001</v>
      </c>
      <c r="L28" s="171">
        <f>SUM(L20:L27)</f>
        <v>0</v>
      </c>
      <c r="M28" s="165">
        <f>SUM(M20:M27)</f>
        <v>0</v>
      </c>
    </row>
    <row r="29" spans="1:17" s="166" customFormat="1" ht="15" x14ac:dyDescent="0.3">
      <c r="A29" s="172" t="s">
        <v>265</v>
      </c>
      <c r="B29" s="162"/>
      <c r="C29" s="163"/>
      <c r="D29" s="163"/>
      <c r="E29" s="162"/>
      <c r="F29" s="162"/>
      <c r="G29" s="170"/>
      <c r="H29" s="389"/>
      <c r="I29" s="390"/>
      <c r="J29" s="391"/>
      <c r="K29" s="163">
        <f>K18+K28</f>
        <v>85197298.600600004</v>
      </c>
      <c r="L29" s="163"/>
      <c r="M29" s="170"/>
    </row>
    <row r="30" spans="1:17" s="166" customFormat="1" ht="15" x14ac:dyDescent="0.3">
      <c r="A30" s="172" t="s">
        <v>266</v>
      </c>
      <c r="B30" s="162"/>
      <c r="C30" s="163"/>
      <c r="D30" s="163"/>
      <c r="E30" s="162"/>
      <c r="F30" s="162"/>
      <c r="G30" s="170"/>
      <c r="H30" s="389"/>
      <c r="I30" s="390"/>
      <c r="J30" s="391"/>
      <c r="K30" s="163"/>
      <c r="L30" s="163">
        <f>SUM(L18,L28)</f>
        <v>59380414.206299998</v>
      </c>
      <c r="M30" s="170"/>
    </row>
    <row r="31" spans="1:17" s="52" customFormat="1" ht="15" x14ac:dyDescent="0.3">
      <c r="A31" s="172" t="s">
        <v>267</v>
      </c>
      <c r="B31" s="162"/>
      <c r="C31" s="162"/>
      <c r="D31" s="162"/>
      <c r="E31" s="162"/>
      <c r="F31" s="162"/>
      <c r="G31" s="173"/>
      <c r="H31" s="389">
        <f>SUM(H18,H28)</f>
        <v>720267.39999999991</v>
      </c>
      <c r="I31" s="390"/>
      <c r="J31" s="391"/>
      <c r="K31" s="163">
        <f>(SUM(K18,K28,L30))</f>
        <v>144577712.80689999</v>
      </c>
      <c r="L31" s="69"/>
      <c r="M31" s="170">
        <f t="shared" ref="M31" si="7">SUM(M18,M28)</f>
        <v>26651.891475</v>
      </c>
    </row>
    <row r="32" spans="1:17" s="52" customFormat="1" ht="13" x14ac:dyDescent="0.3">
      <c r="A32" s="166" t="s">
        <v>220</v>
      </c>
      <c r="B32" s="175"/>
      <c r="C32" s="175"/>
      <c r="D32" s="175"/>
      <c r="E32" s="175"/>
      <c r="F32" s="175"/>
      <c r="G32" s="175"/>
      <c r="H32" s="176"/>
      <c r="I32" s="175"/>
      <c r="J32" s="175"/>
      <c r="K32" s="175"/>
      <c r="L32" s="175"/>
      <c r="M32" s="177"/>
      <c r="N32" s="179" t="s">
        <v>194</v>
      </c>
      <c r="O32" s="179"/>
      <c r="P32" s="179"/>
      <c r="Q32" s="179"/>
    </row>
    <row r="33" spans="1:17" s="52" customFormat="1" ht="27.75" customHeight="1" x14ac:dyDescent="0.3">
      <c r="A33" s="379" t="s">
        <v>261</v>
      </c>
      <c r="B33" s="379"/>
      <c r="C33" s="379"/>
      <c r="D33" s="379"/>
      <c r="E33" s="379"/>
      <c r="F33" s="379"/>
      <c r="G33" s="379"/>
      <c r="H33" s="379"/>
      <c r="I33" s="379"/>
      <c r="J33" s="379"/>
      <c r="K33" s="379"/>
      <c r="L33" s="379"/>
      <c r="M33" s="379"/>
      <c r="N33" s="318">
        <f>'Capital vs. O&amp;M'!H23</f>
        <v>107684.41</v>
      </c>
      <c r="O33" s="318">
        <f>'Capital vs. O&amp;M'!I23</f>
        <v>53842.205000000002</v>
      </c>
      <c r="P33" s="318">
        <f>'Capital vs. O&amp;M'!J23</f>
        <v>106607.5659</v>
      </c>
      <c r="Q33" s="318">
        <f>'Capital vs. O&amp;M'!K23</f>
        <v>53303.782950000001</v>
      </c>
    </row>
    <row r="34" spans="1:17" s="52" customFormat="1" ht="53.25" customHeight="1" x14ac:dyDescent="0.3">
      <c r="A34" s="382" t="s">
        <v>225</v>
      </c>
      <c r="B34" s="382"/>
      <c r="C34" s="382"/>
      <c r="D34" s="382"/>
      <c r="E34" s="382"/>
      <c r="F34" s="382"/>
      <c r="G34" s="382"/>
      <c r="H34" s="382"/>
      <c r="I34" s="382"/>
      <c r="J34" s="382"/>
      <c r="K34" s="382"/>
      <c r="L34" s="382"/>
      <c r="M34" s="382"/>
      <c r="N34" s="148"/>
      <c r="O34" s="206"/>
    </row>
    <row r="35" spans="1:17" s="181" customFormat="1" ht="37.5" customHeight="1" x14ac:dyDescent="0.3">
      <c r="A35" s="378" t="s">
        <v>223</v>
      </c>
      <c r="B35" s="378"/>
      <c r="C35" s="378"/>
      <c r="D35" s="378"/>
      <c r="E35" s="378"/>
      <c r="F35" s="378"/>
      <c r="G35" s="378"/>
      <c r="H35" s="378"/>
      <c r="I35" s="378"/>
      <c r="J35" s="378"/>
      <c r="K35" s="378"/>
      <c r="L35" s="378"/>
      <c r="M35" s="378"/>
      <c r="O35" s="182"/>
    </row>
    <row r="36" spans="1:17" s="181" customFormat="1" ht="18.75" customHeight="1" x14ac:dyDescent="0.3">
      <c r="A36" s="181" t="s">
        <v>224</v>
      </c>
      <c r="O36" s="182"/>
    </row>
    <row r="37" spans="1:17" ht="17.25" customHeight="1" x14ac:dyDescent="0.3">
      <c r="A37" s="52" t="s">
        <v>264</v>
      </c>
      <c r="B37" s="72"/>
      <c r="C37" s="72"/>
      <c r="D37" s="72"/>
      <c r="E37" s="72"/>
      <c r="F37" s="72"/>
      <c r="G37" s="72"/>
      <c r="H37" s="72"/>
      <c r="I37" s="72"/>
      <c r="J37" s="72"/>
      <c r="K37" s="72"/>
    </row>
  </sheetData>
  <mergeCells count="10">
    <mergeCell ref="A1:M1"/>
    <mergeCell ref="A35:M35"/>
    <mergeCell ref="A34:M34"/>
    <mergeCell ref="A33:M33"/>
    <mergeCell ref="A3:A4"/>
    <mergeCell ref="H18:J18"/>
    <mergeCell ref="H28:J28"/>
    <mergeCell ref="H31:J31"/>
    <mergeCell ref="H29:J29"/>
    <mergeCell ref="H30:J30"/>
  </mergeCells>
  <phoneticPr fontId="2" type="noConversion"/>
  <printOptions horizontalCentered="1"/>
  <pageMargins left="0.25" right="0.25" top="0.5" bottom="0.5" header="0.5" footer="0.5"/>
  <pageSetup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62"/>
  <sheetViews>
    <sheetView zoomScaleNormal="100" workbookViewId="0">
      <pane ySplit="4" topLeftCell="A50" activePane="bottomLeft" state="frozen"/>
      <selection activeCell="F51" sqref="F51"/>
      <selection pane="bottomLeft" activeCell="A60" sqref="A60:R60"/>
    </sheetView>
  </sheetViews>
  <sheetFormatPr defaultColWidth="9.1796875" defaultRowHeight="10.5" x14ac:dyDescent="0.25"/>
  <cols>
    <col min="1" max="1" width="35.453125" style="72" customWidth="1"/>
    <col min="2" max="2" width="12.26953125" style="73" bestFit="1" customWidth="1"/>
    <col min="3" max="3" width="10.26953125" style="73" bestFit="1" customWidth="1"/>
    <col min="4" max="4" width="12.1796875" style="73" customWidth="1"/>
    <col min="5" max="5" width="11.453125" style="73" bestFit="1" customWidth="1"/>
    <col min="6" max="6" width="11" style="73" bestFit="1" customWidth="1"/>
    <col min="7" max="7" width="10.453125" style="73" bestFit="1" customWidth="1"/>
    <col min="8" max="8" width="13" style="73" customWidth="1"/>
    <col min="9" max="9" width="10.81640625" style="73" bestFit="1" customWidth="1"/>
    <col min="10" max="10" width="11.54296875" style="74" bestFit="1" customWidth="1"/>
    <col min="11" max="11" width="11.453125" style="74" bestFit="1" customWidth="1"/>
    <col min="12" max="12" width="11.54296875" style="74" bestFit="1" customWidth="1"/>
    <col min="13" max="13" width="11.81640625" style="74" bestFit="1" customWidth="1"/>
    <col min="14" max="14" width="10.81640625" style="74" bestFit="1" customWidth="1"/>
    <col min="15" max="15" width="10.7265625" style="74" bestFit="1" customWidth="1"/>
    <col min="16" max="17" width="0" style="72" hidden="1" customWidth="1"/>
    <col min="18" max="16384" width="9.1796875" style="72"/>
  </cols>
  <sheetData>
    <row r="1" spans="1:19" s="52" customFormat="1" ht="38.25" customHeight="1" x14ac:dyDescent="0.3">
      <c r="A1" s="325" t="s">
        <v>80</v>
      </c>
      <c r="B1" s="325"/>
      <c r="C1" s="325"/>
      <c r="D1" s="325"/>
      <c r="E1" s="325"/>
      <c r="F1" s="325"/>
      <c r="G1" s="325"/>
      <c r="H1" s="325"/>
      <c r="I1" s="325"/>
      <c r="J1" s="325"/>
      <c r="K1" s="325"/>
      <c r="L1" s="325"/>
      <c r="M1" s="325"/>
      <c r="N1" s="325"/>
      <c r="O1" s="325"/>
    </row>
    <row r="2" spans="1:19" x14ac:dyDescent="0.25">
      <c r="A2" s="75"/>
      <c r="B2" s="75"/>
      <c r="C2" s="75"/>
      <c r="D2" s="75"/>
      <c r="E2" s="75"/>
      <c r="F2" s="75"/>
      <c r="G2" s="75"/>
      <c r="H2" s="75"/>
      <c r="I2" s="75"/>
      <c r="J2" s="75"/>
      <c r="K2" s="75"/>
      <c r="L2" s="75"/>
      <c r="M2" s="75"/>
      <c r="N2" s="75"/>
      <c r="O2" s="75"/>
    </row>
    <row r="3" spans="1:19" s="52" customFormat="1" ht="13" x14ac:dyDescent="0.3">
      <c r="A3" s="380" t="s">
        <v>21</v>
      </c>
      <c r="B3" s="138" t="s">
        <v>124</v>
      </c>
      <c r="C3" s="145"/>
      <c r="D3" s="222"/>
      <c r="E3" s="139"/>
      <c r="F3" s="140"/>
      <c r="G3" s="141" t="s">
        <v>125</v>
      </c>
      <c r="H3" s="142" t="s">
        <v>126</v>
      </c>
      <c r="I3" s="142" t="s">
        <v>127</v>
      </c>
      <c r="J3" s="142" t="s">
        <v>128</v>
      </c>
      <c r="K3" s="142" t="s">
        <v>129</v>
      </c>
      <c r="L3" s="142" t="s">
        <v>130</v>
      </c>
      <c r="M3" s="143" t="s">
        <v>131</v>
      </c>
      <c r="N3" s="144"/>
      <c r="O3" s="145"/>
    </row>
    <row r="4" spans="1:19" s="148" customFormat="1" ht="65" x14ac:dyDescent="0.3">
      <c r="A4" s="392"/>
      <c r="B4" s="184" t="s">
        <v>132</v>
      </c>
      <c r="C4" s="146" t="s">
        <v>138</v>
      </c>
      <c r="D4" s="185" t="s">
        <v>159</v>
      </c>
      <c r="E4" s="185" t="s">
        <v>142</v>
      </c>
      <c r="F4" s="186" t="s">
        <v>160</v>
      </c>
      <c r="G4" s="187" t="s">
        <v>141</v>
      </c>
      <c r="H4" s="147" t="s">
        <v>134</v>
      </c>
      <c r="I4" s="147" t="s">
        <v>221</v>
      </c>
      <c r="J4" s="147" t="s">
        <v>161</v>
      </c>
      <c r="K4" s="147" t="s">
        <v>162</v>
      </c>
      <c r="L4" s="147" t="s">
        <v>163</v>
      </c>
      <c r="M4" s="188" t="s">
        <v>222</v>
      </c>
      <c r="N4" s="189" t="s">
        <v>139</v>
      </c>
      <c r="O4" s="189" t="s">
        <v>140</v>
      </c>
      <c r="P4" s="148" t="s">
        <v>4</v>
      </c>
    </row>
    <row r="5" spans="1:19" s="52" customFormat="1" ht="13" x14ac:dyDescent="0.3">
      <c r="A5" s="69" t="s">
        <v>22</v>
      </c>
      <c r="B5" s="149" t="s">
        <v>155</v>
      </c>
      <c r="C5" s="149"/>
      <c r="D5" s="150"/>
      <c r="E5" s="223"/>
      <c r="F5" s="150"/>
      <c r="G5" s="149"/>
      <c r="H5" s="149"/>
      <c r="I5" s="149"/>
      <c r="J5" s="151"/>
      <c r="K5" s="151"/>
      <c r="L5" s="151"/>
      <c r="M5" s="150"/>
      <c r="N5" s="150"/>
      <c r="O5" s="151"/>
      <c r="P5" s="224"/>
      <c r="Q5" s="225"/>
    </row>
    <row r="6" spans="1:19" s="52" customFormat="1" ht="13" x14ac:dyDescent="0.3">
      <c r="A6" s="69" t="s">
        <v>23</v>
      </c>
      <c r="B6" s="149" t="s">
        <v>155</v>
      </c>
      <c r="C6" s="149"/>
      <c r="D6" s="150"/>
      <c r="E6" s="150"/>
      <c r="F6" s="150"/>
      <c r="G6" s="149"/>
      <c r="H6" s="149"/>
      <c r="I6" s="149"/>
      <c r="J6" s="151"/>
      <c r="K6" s="151"/>
      <c r="L6" s="151"/>
      <c r="M6" s="150"/>
      <c r="N6" s="150"/>
      <c r="O6" s="151"/>
      <c r="P6" s="224"/>
      <c r="Q6" s="225"/>
    </row>
    <row r="7" spans="1:19" s="52" customFormat="1" ht="13" x14ac:dyDescent="0.3">
      <c r="A7" s="69" t="s">
        <v>24</v>
      </c>
      <c r="B7" s="149"/>
      <c r="C7" s="149"/>
      <c r="D7" s="150"/>
      <c r="E7" s="150"/>
      <c r="F7" s="150"/>
      <c r="G7" s="149"/>
      <c r="H7" s="149"/>
      <c r="I7" s="149"/>
      <c r="J7" s="151"/>
      <c r="K7" s="151"/>
      <c r="L7" s="151"/>
      <c r="M7" s="150"/>
      <c r="N7" s="150"/>
      <c r="O7" s="151"/>
      <c r="P7" s="224"/>
      <c r="Q7" s="225"/>
    </row>
    <row r="8" spans="1:19" s="52" customFormat="1" ht="28.5" x14ac:dyDescent="0.3">
      <c r="A8" s="152" t="s">
        <v>241</v>
      </c>
      <c r="B8" s="149">
        <v>40</v>
      </c>
      <c r="C8" s="150">
        <v>0</v>
      </c>
      <c r="D8" s="150">
        <v>0</v>
      </c>
      <c r="E8" s="150">
        <v>0</v>
      </c>
      <c r="F8" s="150">
        <v>0</v>
      </c>
      <c r="G8" s="149">
        <v>1</v>
      </c>
      <c r="H8" s="149">
        <f>B8*G8</f>
        <v>40</v>
      </c>
      <c r="I8" s="151">
        <f>0</f>
        <v>0</v>
      </c>
      <c r="J8" s="151">
        <f>ROUND(H8*I8, 2)</f>
        <v>0</v>
      </c>
      <c r="K8" s="151">
        <f>ROUND(J8*0.1, 2)</f>
        <v>0</v>
      </c>
      <c r="L8" s="151">
        <f>ROUND(J8*0.05, 2)</f>
        <v>0</v>
      </c>
      <c r="M8" s="150">
        <f>ROUND((J8*'Base Data'!$C$62)+(K8*'Base Data'!$C$63)+(L8*'Base Data'!$C$64), 2)</f>
        <v>0</v>
      </c>
      <c r="N8" s="150">
        <f>ROUND(D8*G8*I8, 2)</f>
        <v>0</v>
      </c>
      <c r="O8" s="151">
        <v>0</v>
      </c>
      <c r="P8" s="224"/>
      <c r="Q8" s="225"/>
    </row>
    <row r="9" spans="1:19" s="52" customFormat="1" ht="26" x14ac:dyDescent="0.3">
      <c r="A9" s="152" t="s">
        <v>198</v>
      </c>
      <c r="B9" s="149">
        <v>1</v>
      </c>
      <c r="C9" s="150">
        <v>0</v>
      </c>
      <c r="D9" s="150">
        <v>0</v>
      </c>
      <c r="E9" s="150">
        <v>0</v>
      </c>
      <c r="F9" s="150">
        <v>0</v>
      </c>
      <c r="G9" s="149">
        <v>1</v>
      </c>
      <c r="H9" s="149">
        <f>B9*G9</f>
        <v>1</v>
      </c>
      <c r="I9" s="151">
        <f>'Capital vs. O&amp;M'!F15</f>
        <v>3114.6357000000007</v>
      </c>
      <c r="J9" s="151">
        <f>ROUND(H9*I9, 2)</f>
        <v>3114.64</v>
      </c>
      <c r="K9" s="151">
        <f>ROUND(J9*0.1, 2)</f>
        <v>311.45999999999998</v>
      </c>
      <c r="L9" s="151">
        <f>ROUND(J9*0.05, 2)</f>
        <v>155.72999999999999</v>
      </c>
      <c r="M9" s="150">
        <f>ROUND((J9*'Base Data'!$C$62)+(K9*'Base Data'!$C$63)+(L9*'Base Data'!$C$64), 2)</f>
        <v>423679.25</v>
      </c>
      <c r="N9" s="150">
        <f>ROUND(D9*G9*I9, 2)</f>
        <v>0</v>
      </c>
      <c r="O9" s="151">
        <v>0</v>
      </c>
      <c r="P9" s="224"/>
      <c r="Q9" s="225"/>
    </row>
    <row r="10" spans="1:19" s="52" customFormat="1" ht="13" x14ac:dyDescent="0.3">
      <c r="A10" s="69" t="s">
        <v>25</v>
      </c>
      <c r="B10" s="149"/>
      <c r="C10" s="149"/>
      <c r="D10" s="150"/>
      <c r="E10" s="150"/>
      <c r="F10" s="150"/>
      <c r="G10" s="149"/>
      <c r="H10" s="149"/>
      <c r="I10" s="151"/>
      <c r="J10" s="151"/>
      <c r="K10" s="151"/>
      <c r="L10" s="151"/>
      <c r="M10" s="150"/>
      <c r="N10" s="150"/>
      <c r="O10" s="151"/>
      <c r="P10" s="224"/>
      <c r="Q10" s="225"/>
    </row>
    <row r="11" spans="1:19" s="52" customFormat="1" ht="13" x14ac:dyDescent="0.3">
      <c r="A11" s="152" t="s">
        <v>164</v>
      </c>
      <c r="B11" s="149"/>
      <c r="C11" s="149"/>
      <c r="D11" s="163"/>
      <c r="E11" s="163"/>
      <c r="F11" s="150"/>
      <c r="G11" s="150"/>
      <c r="H11" s="150"/>
      <c r="I11" s="150"/>
      <c r="J11" s="150"/>
      <c r="K11" s="149"/>
      <c r="L11" s="69"/>
      <c r="M11" s="69"/>
      <c r="N11" s="69"/>
      <c r="O11" s="69"/>
    </row>
    <row r="12" spans="1:19" s="52" customFormat="1" ht="15.5" x14ac:dyDescent="0.3">
      <c r="A12" s="69" t="s">
        <v>324</v>
      </c>
      <c r="B12" s="149">
        <v>20</v>
      </c>
      <c r="C12" s="150">
        <v>18292</v>
      </c>
      <c r="D12" s="69"/>
      <c r="E12" s="150">
        <v>0</v>
      </c>
      <c r="F12" s="150">
        <v>0</v>
      </c>
      <c r="G12" s="149">
        <v>1</v>
      </c>
      <c r="H12" s="149">
        <f>B12*G12</f>
        <v>20</v>
      </c>
      <c r="I12" s="151">
        <v>0</v>
      </c>
      <c r="J12" s="151">
        <f>ROUND(H12*I12, 2)</f>
        <v>0</v>
      </c>
      <c r="K12" s="151">
        <f>ROUND(J12*0.1, 2)</f>
        <v>0</v>
      </c>
      <c r="L12" s="151">
        <f>ROUND(J12*0.05, 2)</f>
        <v>0</v>
      </c>
      <c r="M12" s="150">
        <f>ROUND((J12*'Base Data'!$C$62)+(K12*'Base Data'!$C$63)+(L12*'Base Data'!$C$64), 2)</f>
        <v>0</v>
      </c>
      <c r="N12" s="150">
        <f>ROUND(C12*G12*I12, 2)</f>
        <v>0</v>
      </c>
      <c r="O12" s="151">
        <v>0</v>
      </c>
    </row>
    <row r="13" spans="1:19" s="52" customFormat="1" ht="15.5" x14ac:dyDescent="0.3">
      <c r="A13" s="69" t="s">
        <v>325</v>
      </c>
      <c r="B13" s="149">
        <v>20</v>
      </c>
      <c r="C13" s="150">
        <v>854</v>
      </c>
      <c r="D13" s="69"/>
      <c r="E13" s="150">
        <v>0</v>
      </c>
      <c r="F13" s="150">
        <v>0</v>
      </c>
      <c r="G13" s="149">
        <v>1</v>
      </c>
      <c r="H13" s="149">
        <f t="shared" ref="H13" si="0">B13*G13</f>
        <v>20</v>
      </c>
      <c r="I13" s="151">
        <v>0</v>
      </c>
      <c r="J13" s="151">
        <f>ROUND(H13*I13, 2)</f>
        <v>0</v>
      </c>
      <c r="K13" s="151">
        <f>ROUND(J13*0.1, 2)</f>
        <v>0</v>
      </c>
      <c r="L13" s="151">
        <f>ROUND(J13*0.05, 2)</f>
        <v>0</v>
      </c>
      <c r="M13" s="150">
        <f>ROUND((J13*'Base Data'!$C$62)+(K13*'Base Data'!$C$63)+(L13*'Base Data'!$C$64), 2)</f>
        <v>0</v>
      </c>
      <c r="N13" s="150">
        <f>ROUND(C13*G13*I13, 2)</f>
        <v>0</v>
      </c>
      <c r="O13" s="151">
        <v>0</v>
      </c>
    </row>
    <row r="14" spans="1:19" s="52" customFormat="1" ht="15.5" x14ac:dyDescent="0.3">
      <c r="A14" s="152" t="s">
        <v>352</v>
      </c>
      <c r="B14" s="149">
        <v>12</v>
      </c>
      <c r="C14" s="150">
        <v>0</v>
      </c>
      <c r="D14" s="150">
        <v>8000</v>
      </c>
      <c r="E14" s="150">
        <v>0</v>
      </c>
      <c r="F14" s="150">
        <v>0</v>
      </c>
      <c r="G14" s="149">
        <v>1</v>
      </c>
      <c r="H14" s="149">
        <f>B14*G14</f>
        <v>12</v>
      </c>
      <c r="I14" s="151">
        <f>ROUND(0,0)</f>
        <v>0</v>
      </c>
      <c r="J14" s="151">
        <f>ROUND(H14*I14, 2)</f>
        <v>0</v>
      </c>
      <c r="K14" s="167">
        <f>ROUND(J14*0.1, 2)</f>
        <v>0</v>
      </c>
      <c r="L14" s="167">
        <f>ROUND(J14*0.05, 2)</f>
        <v>0</v>
      </c>
      <c r="M14" s="150">
        <f>ROUND((J14*'Base Data'!$C$62)+(K14*'Base Data'!$C$63)+(L14*'Base Data'!$C$64), 2)</f>
        <v>0</v>
      </c>
      <c r="N14" s="150">
        <f>ROUND(D14*G14*I14, 2)</f>
        <v>0</v>
      </c>
      <c r="O14" s="151">
        <v>0</v>
      </c>
      <c r="P14" s="224"/>
      <c r="Q14" s="225"/>
      <c r="S14" s="52" t="s">
        <v>194</v>
      </c>
    </row>
    <row r="15" spans="1:19" s="52" customFormat="1" ht="15.75" customHeight="1" x14ac:dyDescent="0.3">
      <c r="A15" s="152" t="s">
        <v>353</v>
      </c>
      <c r="B15" s="149">
        <v>12</v>
      </c>
      <c r="C15" s="150">
        <v>0</v>
      </c>
      <c r="D15" s="150">
        <v>8000</v>
      </c>
      <c r="E15" s="150">
        <v>0</v>
      </c>
      <c r="F15" s="150">
        <v>0</v>
      </c>
      <c r="G15" s="149">
        <v>1</v>
      </c>
      <c r="H15" s="149">
        <f t="shared" ref="H15:H45" si="1">B15*G15</f>
        <v>12</v>
      </c>
      <c r="I15" s="151">
        <f>1/3*1/3*('Base Data'!V37)</f>
        <v>27.111111111111111</v>
      </c>
      <c r="J15" s="151">
        <f>ROUND(H15*I15, 2)</f>
        <v>325.33</v>
      </c>
      <c r="K15" s="151">
        <f>ROUND(J15*0.1, 2)</f>
        <v>32.53</v>
      </c>
      <c r="L15" s="151">
        <f>ROUND(J15*0.05, 2)</f>
        <v>16.27</v>
      </c>
      <c r="M15" s="150">
        <f>ROUND((J15*'Base Data'!$C$62)+(K15*'Base Data'!$C$63)+(L15*'Base Data'!$C$64), 2)</f>
        <v>44254.5</v>
      </c>
      <c r="N15" s="150">
        <f>ROUND(D15*G15*I15, 2)</f>
        <v>216888.89</v>
      </c>
      <c r="O15" s="151">
        <v>0</v>
      </c>
      <c r="P15" s="224"/>
      <c r="Q15" s="225"/>
      <c r="S15" s="286" t="s">
        <v>356</v>
      </c>
    </row>
    <row r="16" spans="1:19" s="52" customFormat="1" ht="13" x14ac:dyDescent="0.3">
      <c r="A16" s="152" t="s">
        <v>168</v>
      </c>
      <c r="B16" s="149"/>
      <c r="C16" s="149"/>
      <c r="D16" s="150"/>
      <c r="E16" s="150"/>
      <c r="F16" s="150"/>
      <c r="G16" s="149"/>
      <c r="H16" s="149"/>
      <c r="I16" s="151"/>
      <c r="J16" s="151"/>
      <c r="K16" s="151"/>
      <c r="L16" s="151"/>
      <c r="M16" s="150"/>
      <c r="N16" s="150"/>
      <c r="O16" s="151"/>
      <c r="P16" s="224"/>
      <c r="Q16" s="225"/>
      <c r="S16"/>
    </row>
    <row r="17" spans="1:19" s="52" customFormat="1" ht="30.75" customHeight="1" x14ac:dyDescent="0.3">
      <c r="A17" s="152" t="s">
        <v>262</v>
      </c>
      <c r="B17" s="149">
        <v>40</v>
      </c>
      <c r="C17" s="150">
        <v>0</v>
      </c>
      <c r="D17" s="150">
        <v>0</v>
      </c>
      <c r="E17" s="150">
        <v>0</v>
      </c>
      <c r="F17" s="150">
        <v>0</v>
      </c>
      <c r="G17" s="149">
        <v>1</v>
      </c>
      <c r="H17" s="149">
        <f t="shared" si="1"/>
        <v>40</v>
      </c>
      <c r="I17" s="151">
        <f>I8</f>
        <v>0</v>
      </c>
      <c r="J17" s="151">
        <f>ROUND(H17*I17, 2)</f>
        <v>0</v>
      </c>
      <c r="K17" s="151">
        <f>ROUND(J17*0.1, 2)</f>
        <v>0</v>
      </c>
      <c r="L17" s="151">
        <f>ROUND(J17*0.05, 2)</f>
        <v>0</v>
      </c>
      <c r="M17" s="150">
        <f>ROUND((J17*'Base Data'!$C$62)+(K17*'Base Data'!$C$63)+(L17*'Base Data'!$C$64), 2)</f>
        <v>0</v>
      </c>
      <c r="N17" s="150">
        <v>0</v>
      </c>
      <c r="O17" s="151">
        <v>0</v>
      </c>
      <c r="P17" s="224"/>
      <c r="Q17" s="225"/>
      <c r="S17" s="285"/>
    </row>
    <row r="18" spans="1:19" s="52" customFormat="1" ht="13" x14ac:dyDescent="0.3">
      <c r="A18" s="152" t="s">
        <v>166</v>
      </c>
      <c r="B18" s="149"/>
      <c r="C18" s="149"/>
      <c r="D18" s="150"/>
      <c r="E18" s="150"/>
      <c r="F18" s="150"/>
      <c r="G18" s="149"/>
      <c r="H18" s="149"/>
      <c r="I18" s="151"/>
      <c r="J18" s="151"/>
      <c r="K18" s="151"/>
      <c r="L18" s="151"/>
      <c r="M18" s="150"/>
      <c r="N18" s="150"/>
      <c r="O18" s="151"/>
      <c r="P18" s="224"/>
      <c r="Q18" s="225"/>
    </row>
    <row r="19" spans="1:19" s="52" customFormat="1" ht="13" x14ac:dyDescent="0.3">
      <c r="A19" s="69" t="s">
        <v>169</v>
      </c>
      <c r="B19" s="149">
        <v>10</v>
      </c>
      <c r="C19" s="150">
        <v>0</v>
      </c>
      <c r="D19" s="150">
        <v>0</v>
      </c>
      <c r="E19" s="150">
        <v>0</v>
      </c>
      <c r="F19" s="150">
        <v>43100</v>
      </c>
      <c r="G19" s="149">
        <v>1</v>
      </c>
      <c r="H19" s="149">
        <f t="shared" si="1"/>
        <v>10</v>
      </c>
      <c r="I19" s="151">
        <f>I8</f>
        <v>0</v>
      </c>
      <c r="J19" s="151">
        <f t="shared" ref="J19:J20" si="2">ROUND(H19*I19, 2)</f>
        <v>0</v>
      </c>
      <c r="K19" s="151">
        <f t="shared" ref="K19:K24" si="3">ROUND(J19*0.1, 2)</f>
        <v>0</v>
      </c>
      <c r="L19" s="151">
        <f t="shared" ref="L19:L20" si="4">ROUND(J19*0.05, 2)</f>
        <v>0</v>
      </c>
      <c r="M19" s="150">
        <f>ROUND((J19*'Base Data'!$C$62)+(K19*'Base Data'!$C$63)+(L19*'Base Data'!$C$64), 2)</f>
        <v>0</v>
      </c>
      <c r="N19" s="150">
        <f>ROUND(F19*G19*I19, 2)</f>
        <v>0</v>
      </c>
      <c r="O19" s="151">
        <v>0</v>
      </c>
      <c r="P19" s="224"/>
      <c r="Q19" s="225"/>
    </row>
    <row r="20" spans="1:19" s="52" customFormat="1" ht="16.5" customHeight="1" x14ac:dyDescent="0.3">
      <c r="A20" s="69" t="s">
        <v>354</v>
      </c>
      <c r="B20" s="149">
        <v>10</v>
      </c>
      <c r="C20" s="150">
        <v>0</v>
      </c>
      <c r="D20" s="150">
        <v>0</v>
      </c>
      <c r="E20" s="150">
        <v>0</v>
      </c>
      <c r="F20" s="150">
        <v>14700</v>
      </c>
      <c r="G20" s="149">
        <v>1</v>
      </c>
      <c r="H20" s="149">
        <f t="shared" si="1"/>
        <v>10</v>
      </c>
      <c r="I20" s="151">
        <f>1/3*('Base Data'!V37)</f>
        <v>81.333333333333329</v>
      </c>
      <c r="J20" s="151">
        <f t="shared" si="2"/>
        <v>813.33</v>
      </c>
      <c r="K20" s="151">
        <f t="shared" si="3"/>
        <v>81.33</v>
      </c>
      <c r="L20" s="151">
        <f t="shared" si="4"/>
        <v>40.67</v>
      </c>
      <c r="M20" s="150">
        <f>ROUND((J20*'Base Data'!$C$62)+(K20*'Base Data'!$C$63)+(L20*'Base Data'!$C$64), 2)</f>
        <v>110636.41</v>
      </c>
      <c r="N20" s="150">
        <f>ROUND(F20*G20*I20, 2)</f>
        <v>1195600</v>
      </c>
      <c r="O20" s="151">
        <v>0</v>
      </c>
      <c r="P20" s="224"/>
      <c r="Q20" s="225"/>
      <c r="S20" s="52" t="s">
        <v>358</v>
      </c>
    </row>
    <row r="21" spans="1:19" s="52" customFormat="1" ht="26" x14ac:dyDescent="0.3">
      <c r="A21" s="152" t="s">
        <v>167</v>
      </c>
      <c r="B21" s="149"/>
      <c r="C21" s="149"/>
      <c r="D21" s="150"/>
      <c r="E21" s="150"/>
      <c r="F21" s="150"/>
      <c r="G21" s="149"/>
      <c r="H21" s="149"/>
      <c r="I21" s="151"/>
      <c r="J21" s="151"/>
      <c r="K21" s="151"/>
      <c r="L21" s="151"/>
      <c r="M21" s="150"/>
      <c r="N21" s="150"/>
      <c r="O21" s="151"/>
      <c r="P21" s="224"/>
      <c r="Q21" s="225"/>
    </row>
    <row r="22" spans="1:19" s="52" customFormat="1" ht="13" x14ac:dyDescent="0.3">
      <c r="A22" s="69" t="s">
        <v>169</v>
      </c>
      <c r="B22" s="149">
        <v>10</v>
      </c>
      <c r="C22" s="150">
        <v>0</v>
      </c>
      <c r="D22" s="150">
        <v>0</v>
      </c>
      <c r="E22" s="150">
        <v>0</v>
      </c>
      <c r="F22" s="150">
        <v>25500</v>
      </c>
      <c r="G22" s="149">
        <v>1</v>
      </c>
      <c r="H22" s="149">
        <f>B22*G22</f>
        <v>10</v>
      </c>
      <c r="I22" s="151">
        <f>ROUND(1/3*('Base Data'!C50/'Base Data'!C18), 2)</f>
        <v>0</v>
      </c>
      <c r="J22" s="151">
        <f t="shared" ref="J22:J23" si="5">ROUND(H22*I22, 2)</f>
        <v>0</v>
      </c>
      <c r="K22" s="151">
        <f t="shared" si="3"/>
        <v>0</v>
      </c>
      <c r="L22" s="151">
        <f t="shared" ref="L22:L23" si="6">ROUND(J22*0.05, 2)</f>
        <v>0</v>
      </c>
      <c r="M22" s="150">
        <f>ROUND((J22*'Base Data'!$C$62)+(K22*'Base Data'!$C$63)+(L22*'Base Data'!$C$64), 2)</f>
        <v>0</v>
      </c>
      <c r="N22" s="150">
        <f>ROUND(F22*G22*I22, 2)</f>
        <v>0</v>
      </c>
      <c r="O22" s="151">
        <v>0</v>
      </c>
      <c r="P22" s="224"/>
      <c r="Q22" s="225"/>
    </row>
    <row r="23" spans="1:19" s="52" customFormat="1" ht="13" x14ac:dyDescent="0.3">
      <c r="A23" s="69" t="s">
        <v>170</v>
      </c>
      <c r="B23" s="149">
        <v>10</v>
      </c>
      <c r="C23" s="150">
        <v>0</v>
      </c>
      <c r="D23" s="150">
        <v>0</v>
      </c>
      <c r="E23" s="150">
        <v>0</v>
      </c>
      <c r="F23" s="150">
        <v>9700</v>
      </c>
      <c r="G23" s="149">
        <v>1</v>
      </c>
      <c r="H23" s="149">
        <f t="shared" ref="H23:H24" si="7">B23*G23</f>
        <v>10</v>
      </c>
      <c r="I23" s="151">
        <f>2*I22</f>
        <v>0</v>
      </c>
      <c r="J23" s="151">
        <f t="shared" si="5"/>
        <v>0</v>
      </c>
      <c r="K23" s="151">
        <f t="shared" si="3"/>
        <v>0</v>
      </c>
      <c r="L23" s="151">
        <f t="shared" si="6"/>
        <v>0</v>
      </c>
      <c r="M23" s="150">
        <f>ROUND((J23*'Base Data'!$C$62)+(K23*'Base Data'!$C$63)+(L23*'Base Data'!$C$64), 2)</f>
        <v>0</v>
      </c>
      <c r="N23" s="150">
        <f>ROUND(F23*G23*I23, 2)</f>
        <v>0</v>
      </c>
      <c r="O23" s="151">
        <v>0</v>
      </c>
      <c r="P23" s="224"/>
      <c r="Q23" s="225"/>
    </row>
    <row r="24" spans="1:19" s="52" customFormat="1" ht="13" x14ac:dyDescent="0.3">
      <c r="A24" s="152" t="s">
        <v>171</v>
      </c>
      <c r="B24" s="149">
        <v>12</v>
      </c>
      <c r="C24" s="150">
        <v>0</v>
      </c>
      <c r="D24" s="150">
        <v>0</v>
      </c>
      <c r="E24" s="150">
        <v>2875</v>
      </c>
      <c r="F24" s="150">
        <v>0</v>
      </c>
      <c r="G24" s="149">
        <v>0.5</v>
      </c>
      <c r="H24" s="167">
        <f t="shared" si="7"/>
        <v>6</v>
      </c>
      <c r="I24" s="151">
        <f>I9</f>
        <v>3114.6357000000007</v>
      </c>
      <c r="J24" s="151">
        <f t="shared" ref="J24" si="8">ROUND(H24*I24, 2)</f>
        <v>18687.810000000001</v>
      </c>
      <c r="K24" s="194">
        <f t="shared" si="3"/>
        <v>1868.78</v>
      </c>
      <c r="L24" s="193">
        <f t="shared" ref="L24" si="9">ROUND(J24*0.05, 2)</f>
        <v>934.39</v>
      </c>
      <c r="M24" s="198">
        <f>ROUND((J24*'Base Data'!$C$62)+(K24*'Base Data'!$C$63)+(L24*'Base Data'!$C$64), 2)</f>
        <v>2542074.62</v>
      </c>
      <c r="N24" s="196">
        <f>ROUND(E24*G24*I24, 2)</f>
        <v>4477288.82</v>
      </c>
      <c r="O24" s="151">
        <v>0</v>
      </c>
    </row>
    <row r="25" spans="1:19" s="52" customFormat="1" ht="13" x14ac:dyDescent="0.3">
      <c r="A25" s="69" t="s">
        <v>26</v>
      </c>
      <c r="B25" s="149" t="s">
        <v>155</v>
      </c>
      <c r="C25" s="149"/>
      <c r="D25" s="150"/>
      <c r="E25" s="150"/>
      <c r="F25" s="150"/>
      <c r="G25" s="149"/>
      <c r="H25" s="149"/>
      <c r="I25" s="151"/>
      <c r="J25" s="151"/>
      <c r="K25" s="151"/>
      <c r="L25" s="151"/>
      <c r="M25" s="150"/>
      <c r="N25" s="150"/>
      <c r="O25" s="151"/>
      <c r="P25" s="224"/>
      <c r="Q25" s="225"/>
    </row>
    <row r="26" spans="1:19" s="52" customFormat="1" ht="13" x14ac:dyDescent="0.3">
      <c r="A26" s="69" t="s">
        <v>27</v>
      </c>
      <c r="B26" s="149" t="s">
        <v>155</v>
      </c>
      <c r="C26" s="149"/>
      <c r="D26" s="150"/>
      <c r="E26" s="150"/>
      <c r="F26" s="150"/>
      <c r="G26" s="149"/>
      <c r="H26" s="149"/>
      <c r="I26" s="151"/>
      <c r="J26" s="151"/>
      <c r="K26" s="151"/>
      <c r="L26" s="151"/>
      <c r="M26" s="150"/>
      <c r="N26" s="150"/>
      <c r="O26" s="151"/>
      <c r="P26" s="224"/>
      <c r="Q26" s="225"/>
    </row>
    <row r="27" spans="1:19" s="52" customFormat="1" ht="13" x14ac:dyDescent="0.3">
      <c r="A27" s="69" t="s">
        <v>28</v>
      </c>
      <c r="B27" s="149"/>
      <c r="C27" s="149"/>
      <c r="D27" s="150"/>
      <c r="E27" s="150"/>
      <c r="F27" s="150"/>
      <c r="G27" s="149"/>
      <c r="H27" s="149"/>
      <c r="I27" s="151"/>
      <c r="J27" s="151"/>
      <c r="K27" s="151"/>
      <c r="L27" s="151"/>
      <c r="M27" s="150"/>
      <c r="N27" s="150"/>
      <c r="O27" s="151"/>
      <c r="P27" s="224"/>
      <c r="Q27" s="225"/>
    </row>
    <row r="28" spans="1:19" s="52" customFormat="1" ht="13" x14ac:dyDescent="0.3">
      <c r="A28" s="200" t="s">
        <v>176</v>
      </c>
      <c r="B28" s="149">
        <v>2</v>
      </c>
      <c r="C28" s="150">
        <v>0</v>
      </c>
      <c r="D28" s="150">
        <v>0</v>
      </c>
      <c r="E28" s="150">
        <v>0</v>
      </c>
      <c r="F28" s="150">
        <v>0</v>
      </c>
      <c r="G28" s="149">
        <v>1</v>
      </c>
      <c r="H28" s="149">
        <f t="shared" si="1"/>
        <v>2</v>
      </c>
      <c r="I28" s="151">
        <f>I8</f>
        <v>0</v>
      </c>
      <c r="J28" s="151">
        <f t="shared" ref="J28" si="10">ROUND(H28*I28, 2)</f>
        <v>0</v>
      </c>
      <c r="K28" s="151">
        <f t="shared" ref="K28:K32" si="11">ROUND(J28*0.1, 2)</f>
        <v>0</v>
      </c>
      <c r="L28" s="151">
        <f t="shared" ref="L28" si="12">ROUND(J28*0.05, 2)</f>
        <v>0</v>
      </c>
      <c r="M28" s="150">
        <f>ROUND((J28*'Base Data'!$C$62)+(K28*'Base Data'!$C$63)+(L28*'Base Data'!$C$64), 2)</f>
        <v>0</v>
      </c>
      <c r="N28" s="150">
        <v>0</v>
      </c>
      <c r="O28" s="151">
        <f>G28*I28</f>
        <v>0</v>
      </c>
      <c r="P28" s="224"/>
      <c r="Q28" s="225"/>
    </row>
    <row r="29" spans="1:19" s="52" customFormat="1" ht="13" x14ac:dyDescent="0.3">
      <c r="A29" s="159" t="s">
        <v>177</v>
      </c>
      <c r="B29" s="149">
        <v>8</v>
      </c>
      <c r="C29" s="150">
        <v>0</v>
      </c>
      <c r="D29" s="150">
        <v>0</v>
      </c>
      <c r="E29" s="150">
        <v>0</v>
      </c>
      <c r="F29" s="150">
        <v>0</v>
      </c>
      <c r="G29" s="149">
        <v>1</v>
      </c>
      <c r="H29" s="149">
        <f t="shared" si="1"/>
        <v>8</v>
      </c>
      <c r="I29" s="151">
        <f>I8</f>
        <v>0</v>
      </c>
      <c r="J29" s="151">
        <f t="shared" ref="J29:J30" si="13">ROUND(H29*I29, 2)</f>
        <v>0</v>
      </c>
      <c r="K29" s="151">
        <f t="shared" si="11"/>
        <v>0</v>
      </c>
      <c r="L29" s="151">
        <f t="shared" ref="L29:L30" si="14">ROUND(J29*0.05, 2)</f>
        <v>0</v>
      </c>
      <c r="M29" s="150">
        <f>ROUND((J29*'Base Data'!$C$62)+(K29*'Base Data'!$C$63)+(L29*'Base Data'!$C$64), 2)</f>
        <v>0</v>
      </c>
      <c r="N29" s="150">
        <v>0</v>
      </c>
      <c r="O29" s="151">
        <f>G29*I29</f>
        <v>0</v>
      </c>
      <c r="P29" s="224"/>
      <c r="Q29" s="225"/>
    </row>
    <row r="30" spans="1:19" s="52" customFormat="1" ht="28.5" x14ac:dyDescent="0.3">
      <c r="A30" s="159" t="s">
        <v>226</v>
      </c>
      <c r="B30" s="149">
        <v>5</v>
      </c>
      <c r="C30" s="150">
        <v>0</v>
      </c>
      <c r="D30" s="150">
        <v>0</v>
      </c>
      <c r="E30" s="150">
        <v>0</v>
      </c>
      <c r="F30" s="150">
        <v>0</v>
      </c>
      <c r="G30" s="149">
        <v>1</v>
      </c>
      <c r="H30" s="167">
        <f t="shared" si="1"/>
        <v>5</v>
      </c>
      <c r="I30" s="168">
        <v>0</v>
      </c>
      <c r="J30" s="151">
        <f t="shared" si="13"/>
        <v>0</v>
      </c>
      <c r="K30" s="151">
        <f t="shared" si="11"/>
        <v>0</v>
      </c>
      <c r="L30" s="168">
        <f t="shared" si="14"/>
        <v>0</v>
      </c>
      <c r="M30" s="150">
        <f>ROUND((J30*'Base Data'!$C$62)+(K30*'Base Data'!$C$63)+(L30*'Base Data'!$C$64), 2)</f>
        <v>0</v>
      </c>
      <c r="N30" s="150">
        <v>0</v>
      </c>
      <c r="O30" s="151">
        <f t="shared" ref="O30" si="15">G30*I30</f>
        <v>0</v>
      </c>
    </row>
    <row r="31" spans="1:19" s="52" customFormat="1" ht="13" x14ac:dyDescent="0.3">
      <c r="A31" s="200" t="s">
        <v>178</v>
      </c>
      <c r="B31" s="149">
        <v>30</v>
      </c>
      <c r="C31" s="150">
        <v>0</v>
      </c>
      <c r="D31" s="150">
        <v>0</v>
      </c>
      <c r="E31" s="150">
        <v>0</v>
      </c>
      <c r="F31" s="150">
        <v>0</v>
      </c>
      <c r="G31" s="149">
        <v>1</v>
      </c>
      <c r="H31" s="149">
        <f t="shared" si="1"/>
        <v>30</v>
      </c>
      <c r="I31" s="151">
        <f>I20</f>
        <v>81.333333333333329</v>
      </c>
      <c r="J31" s="151">
        <f t="shared" ref="J31" si="16">ROUND(H31*I31, 2)</f>
        <v>2440</v>
      </c>
      <c r="K31" s="151">
        <f t="shared" si="11"/>
        <v>244</v>
      </c>
      <c r="L31" s="151">
        <f t="shared" ref="L31" si="17">ROUND(J31*0.05, 2)</f>
        <v>122</v>
      </c>
      <c r="M31" s="150">
        <f>ROUND((J31*'Base Data'!$C$62)+(K31*'Base Data'!$C$63)+(L31*'Base Data'!$C$64), 2)</f>
        <v>331909.53999999998</v>
      </c>
      <c r="N31" s="150">
        <v>0</v>
      </c>
      <c r="O31" s="151">
        <f>G31*I31</f>
        <v>81.333333333333329</v>
      </c>
      <c r="P31" s="224"/>
      <c r="Q31" s="225"/>
      <c r="S31" s="52" t="s">
        <v>359</v>
      </c>
    </row>
    <row r="32" spans="1:19" s="52" customFormat="1" ht="13" x14ac:dyDescent="0.3">
      <c r="A32" s="200" t="s">
        <v>179</v>
      </c>
      <c r="B32" s="149">
        <v>5</v>
      </c>
      <c r="C32" s="150">
        <v>0</v>
      </c>
      <c r="D32" s="150">
        <v>0</v>
      </c>
      <c r="E32" s="150">
        <v>0</v>
      </c>
      <c r="F32" s="150">
        <v>0</v>
      </c>
      <c r="G32" s="149">
        <v>0.5</v>
      </c>
      <c r="H32" s="149">
        <f t="shared" ref="H32" si="18">B32*G32</f>
        <v>2.5</v>
      </c>
      <c r="I32" s="151">
        <f>I24</f>
        <v>3114.6357000000007</v>
      </c>
      <c r="J32" s="151">
        <f t="shared" ref="J32" si="19">ROUND(H32*I32, 2)</f>
        <v>7786.59</v>
      </c>
      <c r="K32" s="194">
        <f t="shared" si="11"/>
        <v>778.66</v>
      </c>
      <c r="L32" s="194">
        <f t="shared" ref="L32" si="20">ROUND(J32*0.05, 2)</f>
        <v>389.33</v>
      </c>
      <c r="M32" s="196">
        <f>ROUND((J32*'Base Data'!$C$62)+(K32*'Base Data'!$C$63)+(L32*'Base Data'!$C$64), 2)</f>
        <v>1059198.3</v>
      </c>
      <c r="N32" s="150">
        <v>0</v>
      </c>
      <c r="O32" s="151">
        <f>G32*I32</f>
        <v>1557.3178500000004</v>
      </c>
      <c r="P32" s="224"/>
      <c r="Q32" s="225"/>
    </row>
    <row r="33" spans="1:17" s="166" customFormat="1" ht="13.5" x14ac:dyDescent="0.35">
      <c r="A33" s="161" t="s">
        <v>158</v>
      </c>
      <c r="B33" s="162"/>
      <c r="C33" s="162"/>
      <c r="D33" s="163"/>
      <c r="E33" s="163"/>
      <c r="F33" s="163"/>
      <c r="G33" s="162"/>
      <c r="H33" s="162"/>
      <c r="I33" s="170"/>
      <c r="J33" s="386">
        <f>SUM(J8:L32)</f>
        <v>38142.850000000006</v>
      </c>
      <c r="K33" s="387"/>
      <c r="L33" s="388"/>
      <c r="M33" s="171">
        <f>SUM(M8:M32)</f>
        <v>4511752.62</v>
      </c>
      <c r="N33" s="171">
        <f>SUM(N8:N32)</f>
        <v>5889777.7100000009</v>
      </c>
      <c r="O33" s="165">
        <f>SUM(O8:O32)</f>
        <v>1638.6511833333336</v>
      </c>
      <c r="P33" s="226" t="e">
        <f>SUM(N14:N15,N20,#REF!,N23)</f>
        <v>#REF!</v>
      </c>
      <c r="Q33" s="227" t="e">
        <f>SUM(#REF!,N22,N19)</f>
        <v>#REF!</v>
      </c>
    </row>
    <row r="34" spans="1:17" s="52" customFormat="1" ht="13" x14ac:dyDescent="0.3">
      <c r="A34" s="69" t="s">
        <v>33</v>
      </c>
      <c r="B34" s="149"/>
      <c r="C34" s="149"/>
      <c r="D34" s="150"/>
      <c r="E34" s="150"/>
      <c r="F34" s="150"/>
      <c r="G34" s="149"/>
      <c r="H34" s="149"/>
      <c r="I34" s="151"/>
      <c r="J34" s="151"/>
      <c r="K34" s="151"/>
      <c r="L34" s="151"/>
      <c r="M34" s="150"/>
      <c r="N34" s="150"/>
      <c r="O34" s="151"/>
      <c r="P34" s="224"/>
      <c r="Q34" s="225"/>
    </row>
    <row r="35" spans="1:17" s="52" customFormat="1" ht="13" x14ac:dyDescent="0.3">
      <c r="A35" s="69" t="s">
        <v>199</v>
      </c>
      <c r="B35" s="149" t="s">
        <v>156</v>
      </c>
      <c r="C35" s="149"/>
      <c r="D35" s="150"/>
      <c r="E35" s="150"/>
      <c r="F35" s="150"/>
      <c r="G35" s="149"/>
      <c r="H35" s="149"/>
      <c r="I35" s="151"/>
      <c r="J35" s="151"/>
      <c r="K35" s="151"/>
      <c r="L35" s="151"/>
      <c r="M35" s="150"/>
      <c r="N35" s="150"/>
      <c r="O35" s="151"/>
      <c r="P35" s="224"/>
      <c r="Q35" s="225"/>
    </row>
    <row r="36" spans="1:17" s="52" customFormat="1" ht="13" x14ac:dyDescent="0.3">
      <c r="A36" s="69" t="s">
        <v>172</v>
      </c>
      <c r="B36" s="149" t="s">
        <v>155</v>
      </c>
      <c r="C36" s="149"/>
      <c r="D36" s="150"/>
      <c r="E36" s="150"/>
      <c r="F36" s="150"/>
      <c r="G36" s="149"/>
      <c r="H36" s="149"/>
      <c r="I36" s="151"/>
      <c r="J36" s="151"/>
      <c r="K36" s="151"/>
      <c r="L36" s="151"/>
      <c r="M36" s="150"/>
      <c r="N36" s="150"/>
      <c r="O36" s="151"/>
      <c r="P36" s="224"/>
      <c r="Q36" s="225"/>
    </row>
    <row r="37" spans="1:17" s="52" customFormat="1" ht="15.5" x14ac:dyDescent="0.3">
      <c r="A37" s="69" t="s">
        <v>330</v>
      </c>
      <c r="B37" s="149" t="s">
        <v>155</v>
      </c>
      <c r="C37" s="149"/>
      <c r="D37" s="150"/>
      <c r="E37" s="150"/>
      <c r="F37" s="150"/>
      <c r="G37" s="149"/>
      <c r="H37" s="149"/>
      <c r="I37" s="151"/>
      <c r="J37" s="151"/>
      <c r="K37" s="151"/>
      <c r="L37" s="151"/>
      <c r="M37" s="150"/>
      <c r="N37" s="150"/>
      <c r="O37" s="151"/>
      <c r="P37" s="224"/>
      <c r="Q37" s="225"/>
    </row>
    <row r="38" spans="1:17" s="52" customFormat="1" ht="13" x14ac:dyDescent="0.3">
      <c r="A38" s="69" t="s">
        <v>173</v>
      </c>
      <c r="B38" s="149"/>
      <c r="C38" s="149"/>
      <c r="D38" s="150"/>
      <c r="E38" s="150"/>
      <c r="F38" s="150"/>
      <c r="G38" s="149"/>
      <c r="H38" s="149"/>
      <c r="I38" s="151"/>
      <c r="J38" s="151"/>
      <c r="K38" s="151"/>
      <c r="L38" s="151"/>
      <c r="M38" s="150"/>
      <c r="N38" s="150"/>
      <c r="O38" s="151"/>
      <c r="P38" s="224"/>
      <c r="Q38" s="225"/>
    </row>
    <row r="39" spans="1:17" s="52" customFormat="1" ht="13" x14ac:dyDescent="0.3">
      <c r="A39" s="69" t="s">
        <v>180</v>
      </c>
      <c r="B39" s="149">
        <v>20</v>
      </c>
      <c r="C39" s="150">
        <v>0</v>
      </c>
      <c r="D39" s="150">
        <v>0</v>
      </c>
      <c r="E39" s="150">
        <v>0</v>
      </c>
      <c r="F39" s="150">
        <v>0</v>
      </c>
      <c r="G39" s="149">
        <v>1</v>
      </c>
      <c r="H39" s="167">
        <f t="shared" si="1"/>
        <v>20</v>
      </c>
      <c r="I39" s="151">
        <f>I24</f>
        <v>3114.6357000000007</v>
      </c>
      <c r="J39" s="151">
        <f t="shared" ref="J39:J44" si="21">ROUND(H39*I39, 2)</f>
        <v>62292.71</v>
      </c>
      <c r="K39" s="194">
        <f t="shared" ref="K39:K44" si="22">ROUND(J39*0.1, 2)</f>
        <v>6229.27</v>
      </c>
      <c r="L39" s="194">
        <f t="shared" ref="L39:L44" si="23">ROUND(J39*0.05, 2)</f>
        <v>3114.64</v>
      </c>
      <c r="M39" s="196">
        <f>ROUND((J39*'Base Data'!$C$62)+(K39*'Base Data'!$C$63)+(L39*'Base Data'!$C$64), 2)</f>
        <v>8473584.5299999993</v>
      </c>
      <c r="N39" s="150">
        <v>0</v>
      </c>
      <c r="O39" s="151">
        <v>0</v>
      </c>
      <c r="P39" s="224"/>
      <c r="Q39" s="225"/>
    </row>
    <row r="40" spans="1:17" s="52" customFormat="1" ht="13" x14ac:dyDescent="0.3">
      <c r="A40" s="152" t="s">
        <v>181</v>
      </c>
      <c r="B40" s="149">
        <v>15</v>
      </c>
      <c r="C40" s="150">
        <v>0</v>
      </c>
      <c r="D40" s="150">
        <v>0</v>
      </c>
      <c r="E40" s="150">
        <v>0</v>
      </c>
      <c r="F40" s="150">
        <v>0</v>
      </c>
      <c r="G40" s="149">
        <v>1</v>
      </c>
      <c r="H40" s="167">
        <f t="shared" si="1"/>
        <v>15</v>
      </c>
      <c r="I40" s="151">
        <f>I24</f>
        <v>3114.6357000000007</v>
      </c>
      <c r="J40" s="151">
        <f t="shared" si="21"/>
        <v>46719.54</v>
      </c>
      <c r="K40" s="194">
        <f t="shared" si="22"/>
        <v>4671.95</v>
      </c>
      <c r="L40" s="194">
        <f t="shared" si="23"/>
        <v>2335.98</v>
      </c>
      <c r="M40" s="196">
        <f>ROUND((J40*'Base Data'!$C$62)+(K40*'Base Data'!$C$63)+(L40*'Base Data'!$C$64), 2)</f>
        <v>6355189.1600000001</v>
      </c>
      <c r="N40" s="150">
        <v>0</v>
      </c>
      <c r="O40" s="151">
        <v>0</v>
      </c>
      <c r="P40" s="224"/>
      <c r="Q40" s="225"/>
    </row>
    <row r="41" spans="1:17" s="52" customFormat="1" ht="13" x14ac:dyDescent="0.3">
      <c r="A41" s="69" t="s">
        <v>182</v>
      </c>
      <c r="B41" s="149">
        <v>2</v>
      </c>
      <c r="C41" s="150">
        <v>0</v>
      </c>
      <c r="D41" s="150">
        <v>0</v>
      </c>
      <c r="E41" s="150">
        <v>0</v>
      </c>
      <c r="F41" s="150">
        <v>0</v>
      </c>
      <c r="G41" s="149">
        <v>1</v>
      </c>
      <c r="H41" s="167">
        <f t="shared" si="1"/>
        <v>2</v>
      </c>
      <c r="I41" s="151">
        <f>I24</f>
        <v>3114.6357000000007</v>
      </c>
      <c r="J41" s="151">
        <f t="shared" si="21"/>
        <v>6229.27</v>
      </c>
      <c r="K41" s="194">
        <f t="shared" si="22"/>
        <v>622.92999999999995</v>
      </c>
      <c r="L41" s="194">
        <f t="shared" si="23"/>
        <v>311.45999999999998</v>
      </c>
      <c r="M41" s="196">
        <f>ROUND((J41*'Base Data'!$C$62)+(K41*'Base Data'!$C$63)+(L41*'Base Data'!$C$64), 2)</f>
        <v>847357.9</v>
      </c>
      <c r="N41" s="150">
        <v>0</v>
      </c>
      <c r="O41" s="151">
        <v>0</v>
      </c>
      <c r="P41" s="224"/>
      <c r="Q41" s="225"/>
    </row>
    <row r="42" spans="1:17" s="52" customFormat="1" ht="26" x14ac:dyDescent="0.3">
      <c r="A42" s="152" t="s">
        <v>183</v>
      </c>
      <c r="B42" s="149">
        <v>2</v>
      </c>
      <c r="C42" s="150">
        <v>0</v>
      </c>
      <c r="D42" s="150">
        <v>0</v>
      </c>
      <c r="E42" s="150">
        <v>0</v>
      </c>
      <c r="F42" s="150">
        <v>0</v>
      </c>
      <c r="G42" s="149">
        <v>1</v>
      </c>
      <c r="H42" s="167">
        <f t="shared" si="1"/>
        <v>2</v>
      </c>
      <c r="I42" s="151">
        <f>I24</f>
        <v>3114.6357000000007</v>
      </c>
      <c r="J42" s="151">
        <f t="shared" si="21"/>
        <v>6229.27</v>
      </c>
      <c r="K42" s="194">
        <f t="shared" si="22"/>
        <v>622.92999999999995</v>
      </c>
      <c r="L42" s="194">
        <f t="shared" si="23"/>
        <v>311.45999999999998</v>
      </c>
      <c r="M42" s="196">
        <f>ROUND((J42*'Base Data'!$C$62)+(K42*'Base Data'!$C$63)+(L42*'Base Data'!$C$64), 2)</f>
        <v>847357.9</v>
      </c>
      <c r="N42" s="150">
        <v>0</v>
      </c>
      <c r="O42" s="151">
        <v>0</v>
      </c>
      <c r="P42" s="224"/>
      <c r="Q42" s="225"/>
    </row>
    <row r="43" spans="1:17" s="52" customFormat="1" ht="26" x14ac:dyDescent="0.3">
      <c r="A43" s="152" t="s">
        <v>184</v>
      </c>
      <c r="B43" s="149">
        <v>2</v>
      </c>
      <c r="C43" s="150">
        <v>0</v>
      </c>
      <c r="D43" s="150">
        <v>0</v>
      </c>
      <c r="E43" s="150">
        <v>0</v>
      </c>
      <c r="F43" s="150">
        <v>0</v>
      </c>
      <c r="G43" s="149">
        <v>2</v>
      </c>
      <c r="H43" s="167">
        <f t="shared" si="1"/>
        <v>4</v>
      </c>
      <c r="I43" s="151">
        <f>I24</f>
        <v>3114.6357000000007</v>
      </c>
      <c r="J43" s="151">
        <f t="shared" si="21"/>
        <v>12458.54</v>
      </c>
      <c r="K43" s="194">
        <f t="shared" si="22"/>
        <v>1245.8499999999999</v>
      </c>
      <c r="L43" s="194">
        <f t="shared" si="23"/>
        <v>622.92999999999995</v>
      </c>
      <c r="M43" s="196">
        <f>ROUND((J43*'Base Data'!$C$62)+(K43*'Base Data'!$C$63)+(L43*'Base Data'!$C$64), 2)</f>
        <v>1694716.72</v>
      </c>
      <c r="N43" s="150">
        <v>0</v>
      </c>
      <c r="O43" s="151">
        <v>0</v>
      </c>
      <c r="P43" s="224"/>
      <c r="Q43" s="225"/>
    </row>
    <row r="44" spans="1:17" s="52" customFormat="1" ht="13" x14ac:dyDescent="0.3">
      <c r="A44" s="152" t="s">
        <v>185</v>
      </c>
      <c r="B44" s="149">
        <v>0.5</v>
      </c>
      <c r="C44" s="150">
        <v>0</v>
      </c>
      <c r="D44" s="150">
        <v>0</v>
      </c>
      <c r="E44" s="150">
        <v>0</v>
      </c>
      <c r="F44" s="150">
        <v>0</v>
      </c>
      <c r="G44" s="149">
        <v>12</v>
      </c>
      <c r="H44" s="167">
        <f t="shared" si="1"/>
        <v>6</v>
      </c>
      <c r="I44" s="151">
        <f>I24</f>
        <v>3114.6357000000007</v>
      </c>
      <c r="J44" s="151">
        <f t="shared" si="21"/>
        <v>18687.810000000001</v>
      </c>
      <c r="K44" s="194">
        <f t="shared" si="22"/>
        <v>1868.78</v>
      </c>
      <c r="L44" s="194">
        <f t="shared" si="23"/>
        <v>934.39</v>
      </c>
      <c r="M44" s="196">
        <f>ROUND((J44*'Base Data'!$C$62)+(K44*'Base Data'!$C$63)+(L44*'Base Data'!$C$64), 2)</f>
        <v>2542074.62</v>
      </c>
      <c r="N44" s="150">
        <v>0</v>
      </c>
      <c r="O44" s="151">
        <v>0</v>
      </c>
      <c r="P44" s="224"/>
      <c r="Q44" s="225"/>
    </row>
    <row r="45" spans="1:17" s="52" customFormat="1" ht="13" x14ac:dyDescent="0.3">
      <c r="A45" s="152" t="s">
        <v>186</v>
      </c>
      <c r="B45" s="149">
        <v>0.5</v>
      </c>
      <c r="C45" s="150">
        <v>0</v>
      </c>
      <c r="D45" s="150">
        <v>0</v>
      </c>
      <c r="E45" s="150">
        <v>0</v>
      </c>
      <c r="F45" s="150">
        <v>0</v>
      </c>
      <c r="G45" s="149">
        <v>0.5</v>
      </c>
      <c r="H45" s="197">
        <f t="shared" si="1"/>
        <v>0.25</v>
      </c>
      <c r="I45" s="151">
        <f>I24</f>
        <v>3114.6357000000007</v>
      </c>
      <c r="J45" s="151">
        <f t="shared" ref="J45" si="24">ROUND(H45*I45, 2)</f>
        <v>778.66</v>
      </c>
      <c r="K45" s="194">
        <f t="shared" ref="K45" si="25">ROUND(J45*0.1, 2)</f>
        <v>77.87</v>
      </c>
      <c r="L45" s="194">
        <f t="shared" ref="L45" si="26">ROUND(J45*0.05, 2)</f>
        <v>38.93</v>
      </c>
      <c r="M45" s="196">
        <f>ROUND((J45*'Base Data'!$C$62)+(K45*'Base Data'!$C$63)+(L45*'Base Data'!$C$64), 2)</f>
        <v>105919.74</v>
      </c>
      <c r="N45" s="150">
        <v>0</v>
      </c>
      <c r="O45" s="151">
        <v>0</v>
      </c>
      <c r="P45" s="224"/>
      <c r="Q45" s="225"/>
    </row>
    <row r="46" spans="1:17" s="52" customFormat="1" ht="13" x14ac:dyDescent="0.3">
      <c r="A46" s="69" t="s">
        <v>174</v>
      </c>
      <c r="B46" s="149" t="s">
        <v>155</v>
      </c>
      <c r="C46" s="149"/>
      <c r="D46" s="150"/>
      <c r="E46" s="150"/>
      <c r="F46" s="150"/>
      <c r="G46" s="149"/>
      <c r="H46" s="149"/>
      <c r="I46" s="151" t="s">
        <v>3</v>
      </c>
      <c r="J46" s="151"/>
      <c r="K46" s="194"/>
      <c r="L46" s="151"/>
      <c r="M46" s="150"/>
      <c r="N46" s="150"/>
      <c r="O46" s="151"/>
      <c r="P46" s="224"/>
      <c r="Q46" s="225"/>
    </row>
    <row r="47" spans="1:17" s="52" customFormat="1" ht="13" x14ac:dyDescent="0.3">
      <c r="A47" s="69" t="s">
        <v>175</v>
      </c>
      <c r="B47" s="149" t="s">
        <v>155</v>
      </c>
      <c r="C47" s="149"/>
      <c r="D47" s="150"/>
      <c r="E47" s="150"/>
      <c r="F47" s="150"/>
      <c r="G47" s="149"/>
      <c r="H47" s="149"/>
      <c r="I47" s="149"/>
      <c r="J47" s="151"/>
      <c r="K47" s="151"/>
      <c r="L47" s="151"/>
      <c r="M47" s="150"/>
      <c r="N47" s="150"/>
      <c r="O47" s="151"/>
      <c r="P47" s="224"/>
      <c r="Q47" s="225"/>
    </row>
    <row r="48" spans="1:17" s="166" customFormat="1" ht="13.5" x14ac:dyDescent="0.35">
      <c r="A48" s="169" t="s">
        <v>157</v>
      </c>
      <c r="B48" s="162"/>
      <c r="C48" s="162"/>
      <c r="D48" s="163"/>
      <c r="E48" s="163"/>
      <c r="F48" s="163"/>
      <c r="G48" s="162"/>
      <c r="H48" s="162"/>
      <c r="I48" s="162"/>
      <c r="J48" s="386">
        <f>SUM(J35:L47)</f>
        <v>176405.16999999995</v>
      </c>
      <c r="K48" s="387"/>
      <c r="L48" s="388"/>
      <c r="M48" s="171">
        <f>SUM(M35:M47)</f>
        <v>20866200.57</v>
      </c>
      <c r="N48" s="171">
        <f>SUM(N35:N47)</f>
        <v>0</v>
      </c>
      <c r="O48" s="165">
        <f>SUM(O35:O47)</f>
        <v>0</v>
      </c>
      <c r="P48" s="228"/>
      <c r="Q48" s="229"/>
    </row>
    <row r="49" spans="1:21" s="166" customFormat="1" ht="15" x14ac:dyDescent="0.3">
      <c r="A49" s="172" t="s">
        <v>327</v>
      </c>
      <c r="B49" s="162"/>
      <c r="C49" s="162"/>
      <c r="D49" s="163"/>
      <c r="E49" s="163"/>
      <c r="F49" s="163"/>
      <c r="G49" s="162"/>
      <c r="H49" s="162"/>
      <c r="I49" s="162"/>
      <c r="J49" s="203"/>
      <c r="K49" s="204"/>
      <c r="L49" s="205"/>
      <c r="M49" s="163">
        <f>(M48+M33)</f>
        <v>25377953.190000001</v>
      </c>
      <c r="N49" s="163"/>
      <c r="O49" s="170"/>
      <c r="P49" s="230"/>
      <c r="Q49" s="230"/>
    </row>
    <row r="50" spans="1:21" s="166" customFormat="1" ht="15" x14ac:dyDescent="0.3">
      <c r="A50" s="172" t="s">
        <v>328</v>
      </c>
      <c r="B50" s="162"/>
      <c r="C50" s="162"/>
      <c r="D50" s="163"/>
      <c r="E50" s="163"/>
      <c r="F50" s="163"/>
      <c r="G50" s="162"/>
      <c r="H50" s="162"/>
      <c r="I50" s="162"/>
      <c r="J50" s="203"/>
      <c r="K50" s="204"/>
      <c r="L50" s="205"/>
      <c r="M50" s="163"/>
      <c r="N50" s="163">
        <f>SUM(N33,N48)</f>
        <v>5889777.7100000009</v>
      </c>
      <c r="O50" s="170"/>
      <c r="P50" s="230"/>
      <c r="Q50" s="230"/>
    </row>
    <row r="51" spans="1:21" s="166" customFormat="1" ht="15" x14ac:dyDescent="0.3">
      <c r="A51" s="172" t="s">
        <v>329</v>
      </c>
      <c r="B51" s="162"/>
      <c r="C51" s="162"/>
      <c r="D51" s="162"/>
      <c r="E51" s="162"/>
      <c r="F51" s="162"/>
      <c r="G51" s="162"/>
      <c r="H51" s="162"/>
      <c r="I51" s="162"/>
      <c r="J51" s="389">
        <f>SUM(J33,J48)</f>
        <v>214548.01999999996</v>
      </c>
      <c r="K51" s="390"/>
      <c r="L51" s="391"/>
      <c r="M51" s="163">
        <f>(SUM(M33,M48,N50))</f>
        <v>31267730.900000002</v>
      </c>
      <c r="N51" s="174"/>
      <c r="O51" s="170">
        <f>SUM(O33,O48)</f>
        <v>1638.6511833333336</v>
      </c>
    </row>
    <row r="52" spans="1:21" s="52" customFormat="1" ht="13" x14ac:dyDescent="0.3">
      <c r="A52" s="166" t="s">
        <v>220</v>
      </c>
      <c r="B52" s="175"/>
      <c r="C52" s="175"/>
      <c r="D52" s="175"/>
      <c r="E52" s="175"/>
      <c r="F52" s="175"/>
      <c r="G52" s="175"/>
      <c r="H52" s="176"/>
      <c r="I52" s="175"/>
      <c r="J52" s="175"/>
      <c r="K52" s="175"/>
      <c r="L52" s="175"/>
      <c r="M52" s="177"/>
      <c r="N52" s="177"/>
      <c r="O52" s="175"/>
      <c r="R52" s="178" t="s">
        <v>194</v>
      </c>
      <c r="S52" s="179"/>
      <c r="T52" s="179"/>
      <c r="U52" s="179"/>
    </row>
    <row r="53" spans="1:21" s="52" customFormat="1" ht="37.5" customHeight="1" x14ac:dyDescent="0.3">
      <c r="A53" s="397" t="s">
        <v>274</v>
      </c>
      <c r="B53" s="397"/>
      <c r="C53" s="397"/>
      <c r="D53" s="397"/>
      <c r="E53" s="397"/>
      <c r="F53" s="397"/>
      <c r="G53" s="397"/>
      <c r="H53" s="397"/>
      <c r="I53" s="397"/>
      <c r="J53" s="397"/>
      <c r="K53" s="397"/>
      <c r="L53" s="397"/>
      <c r="M53" s="397"/>
      <c r="N53" s="397"/>
      <c r="O53" s="397"/>
      <c r="R53" s="317">
        <f>'Capital vs. O&amp;M'!H13</f>
        <v>6292.1933333333345</v>
      </c>
      <c r="S53" s="317">
        <f>'Capital vs. O&amp;M'!I13</f>
        <v>3146.0966666666673</v>
      </c>
      <c r="T53" s="317">
        <f>'Capital vs. O&amp;M'!J13</f>
        <v>6229.2714000000014</v>
      </c>
      <c r="U53" s="317">
        <f>'Capital vs. O&amp;M'!K13</f>
        <v>3114.6357000000007</v>
      </c>
    </row>
    <row r="54" spans="1:21" s="52" customFormat="1" ht="39.75" customHeight="1" x14ac:dyDescent="0.3">
      <c r="A54" s="329" t="s">
        <v>225</v>
      </c>
      <c r="B54" s="329"/>
      <c r="C54" s="329"/>
      <c r="D54" s="329"/>
      <c r="E54" s="329"/>
      <c r="F54" s="329"/>
      <c r="G54" s="329"/>
      <c r="H54" s="329"/>
      <c r="I54" s="329"/>
      <c r="J54" s="329"/>
      <c r="K54" s="329"/>
      <c r="L54" s="329"/>
      <c r="M54" s="329"/>
      <c r="N54" s="329"/>
      <c r="O54" s="329"/>
      <c r="R54" s="206"/>
    </row>
    <row r="55" spans="1:21" s="181" customFormat="1" ht="39.75" customHeight="1" x14ac:dyDescent="0.3">
      <c r="A55" s="329" t="s">
        <v>223</v>
      </c>
      <c r="B55" s="329"/>
      <c r="C55" s="329"/>
      <c r="D55" s="329"/>
      <c r="E55" s="329"/>
      <c r="F55" s="329"/>
      <c r="G55" s="329"/>
      <c r="H55" s="329"/>
      <c r="I55" s="329"/>
      <c r="J55" s="329"/>
      <c r="K55" s="329"/>
      <c r="L55" s="329"/>
      <c r="M55" s="329"/>
      <c r="N55" s="329"/>
      <c r="O55" s="329"/>
    </row>
    <row r="56" spans="1:21" s="52" customFormat="1" ht="48.75" customHeight="1" x14ac:dyDescent="0.3">
      <c r="A56" s="329" t="s">
        <v>350</v>
      </c>
      <c r="B56" s="329"/>
      <c r="C56" s="329"/>
      <c r="D56" s="329"/>
      <c r="E56" s="329"/>
      <c r="F56" s="329"/>
      <c r="G56" s="329"/>
      <c r="H56" s="329"/>
      <c r="I56" s="329"/>
      <c r="J56" s="329"/>
      <c r="K56" s="329"/>
      <c r="L56" s="329"/>
      <c r="M56" s="329"/>
      <c r="N56" s="329"/>
      <c r="O56" s="329"/>
      <c r="R56" s="206"/>
    </row>
    <row r="57" spans="1:21" s="52" customFormat="1" ht="43.5" customHeight="1" x14ac:dyDescent="0.3">
      <c r="A57" s="397" t="s">
        <v>355</v>
      </c>
      <c r="B57" s="397"/>
      <c r="C57" s="397"/>
      <c r="D57" s="397"/>
      <c r="E57" s="397"/>
      <c r="F57" s="397"/>
      <c r="G57" s="397"/>
      <c r="H57" s="397"/>
      <c r="I57" s="397"/>
      <c r="J57" s="397"/>
      <c r="K57" s="397"/>
      <c r="L57" s="397"/>
      <c r="M57" s="397"/>
      <c r="N57" s="397"/>
      <c r="O57" s="397"/>
    </row>
    <row r="58" spans="1:21" s="181" customFormat="1" ht="57" customHeight="1" x14ac:dyDescent="0.3">
      <c r="A58" s="397" t="s">
        <v>351</v>
      </c>
      <c r="B58" s="397"/>
      <c r="C58" s="397"/>
      <c r="D58" s="397"/>
      <c r="E58" s="397"/>
      <c r="F58" s="397"/>
      <c r="G58" s="397"/>
      <c r="H58" s="397"/>
      <c r="I58" s="397"/>
      <c r="J58" s="397"/>
      <c r="K58" s="397"/>
      <c r="L58" s="397"/>
      <c r="M58" s="397"/>
      <c r="N58" s="397"/>
      <c r="O58" s="397"/>
      <c r="R58" s="290"/>
    </row>
    <row r="59" spans="1:21" s="52" customFormat="1" ht="21" customHeight="1" x14ac:dyDescent="0.3">
      <c r="A59" s="329" t="s">
        <v>263</v>
      </c>
      <c r="B59" s="329"/>
      <c r="C59" s="329"/>
      <c r="D59" s="329"/>
      <c r="E59" s="329"/>
      <c r="F59" s="329"/>
      <c r="G59" s="329"/>
      <c r="H59" s="329"/>
      <c r="I59" s="329"/>
      <c r="J59" s="329"/>
      <c r="K59" s="329"/>
      <c r="L59" s="329"/>
      <c r="M59" s="329"/>
      <c r="N59" s="329"/>
      <c r="O59" s="329"/>
    </row>
    <row r="60" spans="1:21" s="52" customFormat="1" ht="37.5" customHeight="1" x14ac:dyDescent="0.3">
      <c r="A60" s="329" t="s">
        <v>357</v>
      </c>
      <c r="B60" s="329"/>
      <c r="C60" s="329"/>
      <c r="D60" s="329"/>
      <c r="E60" s="329"/>
      <c r="F60" s="329"/>
      <c r="G60" s="329"/>
      <c r="H60" s="329"/>
      <c r="I60" s="329"/>
      <c r="J60" s="329"/>
      <c r="K60" s="329"/>
      <c r="L60" s="329"/>
      <c r="M60" s="329"/>
      <c r="N60" s="329"/>
      <c r="O60" s="329"/>
      <c r="R60" s="291"/>
    </row>
    <row r="61" spans="1:21" ht="23.25" customHeight="1" x14ac:dyDescent="0.25">
      <c r="A61" s="329" t="s">
        <v>331</v>
      </c>
      <c r="B61" s="329"/>
      <c r="C61" s="329"/>
      <c r="D61" s="329"/>
      <c r="E61" s="329"/>
      <c r="F61" s="329"/>
      <c r="G61" s="329"/>
      <c r="H61" s="329"/>
      <c r="I61" s="329"/>
      <c r="J61" s="329"/>
      <c r="K61" s="329"/>
      <c r="L61" s="329"/>
      <c r="M61" s="329"/>
      <c r="N61" s="329"/>
      <c r="O61" s="329"/>
    </row>
    <row r="62" spans="1:21" ht="18.75" customHeight="1" x14ac:dyDescent="0.3">
      <c r="A62" s="396" t="s">
        <v>326</v>
      </c>
      <c r="B62" s="396"/>
      <c r="C62" s="396"/>
      <c r="D62" s="396"/>
      <c r="E62" s="396"/>
      <c r="F62" s="396"/>
      <c r="G62" s="396"/>
      <c r="H62" s="396"/>
      <c r="I62" s="396"/>
      <c r="J62" s="396"/>
      <c r="K62" s="396"/>
      <c r="L62" s="396"/>
      <c r="M62" s="396"/>
      <c r="N62" s="396"/>
      <c r="O62" s="396"/>
    </row>
  </sheetData>
  <mergeCells count="15">
    <mergeCell ref="A61:O61"/>
    <mergeCell ref="A62:O62"/>
    <mergeCell ref="A1:O1"/>
    <mergeCell ref="A55:O55"/>
    <mergeCell ref="A60:O60"/>
    <mergeCell ref="A3:A4"/>
    <mergeCell ref="A58:O58"/>
    <mergeCell ref="A59:O59"/>
    <mergeCell ref="A56:O56"/>
    <mergeCell ref="A57:O57"/>
    <mergeCell ref="J33:L33"/>
    <mergeCell ref="J48:L48"/>
    <mergeCell ref="J51:L51"/>
    <mergeCell ref="A53:O53"/>
    <mergeCell ref="A54:O54"/>
  </mergeCells>
  <phoneticPr fontId="2" type="noConversion"/>
  <printOptions horizontalCentered="1"/>
  <pageMargins left="0" right="0" top="0.2" bottom="0.2" header="0.2" footer="0.2"/>
  <pageSetup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88"/>
  <sheetViews>
    <sheetView workbookViewId="0">
      <selection activeCell="G31" sqref="G31"/>
    </sheetView>
  </sheetViews>
  <sheetFormatPr defaultColWidth="8.81640625" defaultRowHeight="13" x14ac:dyDescent="0.3"/>
  <cols>
    <col min="1" max="1" width="31.7265625" style="49" customWidth="1"/>
    <col min="2" max="3" width="16.54296875" style="49" customWidth="1"/>
    <col min="4" max="4" width="14.1796875" style="49" customWidth="1"/>
    <col min="5" max="5" width="17" style="49" customWidth="1"/>
    <col min="6" max="6" width="11.1796875" style="49" bestFit="1" customWidth="1"/>
    <col min="7" max="7" width="13.7265625" style="49" customWidth="1"/>
    <col min="8" max="8" width="8.81640625" style="49"/>
    <col min="9" max="9" width="15" style="49" customWidth="1"/>
    <col min="10" max="16384" width="8.81640625" style="49"/>
  </cols>
  <sheetData>
    <row r="2" spans="1:12" ht="15" x14ac:dyDescent="0.3">
      <c r="A2" s="398" t="s">
        <v>112</v>
      </c>
      <c r="B2" s="398"/>
      <c r="C2" s="398"/>
      <c r="D2" s="398"/>
      <c r="E2" s="398"/>
      <c r="F2" s="398"/>
      <c r="G2" s="9"/>
      <c r="H2" s="9"/>
      <c r="I2" s="9"/>
      <c r="J2" s="9"/>
      <c r="K2" s="9"/>
      <c r="L2" s="9"/>
    </row>
    <row r="3" spans="1:12" ht="39" x14ac:dyDescent="0.3">
      <c r="A3" s="79"/>
      <c r="B3" s="399" t="s">
        <v>106</v>
      </c>
      <c r="C3" s="400"/>
      <c r="D3" s="80" t="s">
        <v>107</v>
      </c>
      <c r="E3" s="399"/>
      <c r="F3" s="400"/>
      <c r="G3" s="9"/>
      <c r="H3" s="9"/>
      <c r="I3" s="9"/>
      <c r="J3" s="9"/>
      <c r="K3" s="9"/>
      <c r="L3" s="9"/>
    </row>
    <row r="4" spans="1:12" x14ac:dyDescent="0.3">
      <c r="A4" s="416" t="s">
        <v>108</v>
      </c>
      <c r="B4" s="22" t="s">
        <v>7</v>
      </c>
      <c r="C4" s="22" t="s">
        <v>8</v>
      </c>
      <c r="D4" s="22" t="s">
        <v>9</v>
      </c>
      <c r="E4" s="22" t="s">
        <v>10</v>
      </c>
      <c r="F4" s="22" t="s">
        <v>11</v>
      </c>
      <c r="G4" s="9"/>
      <c r="H4" s="9"/>
      <c r="I4" s="9"/>
      <c r="J4" s="9"/>
      <c r="K4" s="9"/>
      <c r="L4" s="9"/>
    </row>
    <row r="5" spans="1:12" ht="78" x14ac:dyDescent="0.3">
      <c r="A5" s="417"/>
      <c r="B5" s="23" t="s">
        <v>318</v>
      </c>
      <c r="C5" s="23" t="s">
        <v>109</v>
      </c>
      <c r="D5" s="23" t="s">
        <v>110</v>
      </c>
      <c r="E5" s="23" t="s">
        <v>111</v>
      </c>
      <c r="F5" s="23" t="s">
        <v>114</v>
      </c>
      <c r="G5" s="9"/>
      <c r="H5" s="9"/>
      <c r="I5" s="9"/>
      <c r="J5" s="9"/>
      <c r="K5" s="9"/>
      <c r="L5" s="9"/>
    </row>
    <row r="6" spans="1:12" x14ac:dyDescent="0.3">
      <c r="A6" s="423" t="s">
        <v>92</v>
      </c>
      <c r="B6" s="424"/>
      <c r="C6" s="424"/>
      <c r="D6" s="424"/>
      <c r="E6" s="424"/>
      <c r="F6" s="425"/>
      <c r="G6" s="289"/>
      <c r="H6" s="314" t="s">
        <v>362</v>
      </c>
      <c r="I6" s="314"/>
      <c r="J6" s="314"/>
      <c r="K6" s="314"/>
      <c r="L6" s="9"/>
    </row>
    <row r="7" spans="1:12" x14ac:dyDescent="0.3">
      <c r="A7" s="306">
        <v>1</v>
      </c>
      <c r="B7" s="307">
        <f>'Base Data'!Q38</f>
        <v>10</v>
      </c>
      <c r="C7" s="307">
        <f>F7-B7</f>
        <v>2099.5</v>
      </c>
      <c r="D7" s="306">
        <v>0</v>
      </c>
      <c r="E7" s="306">
        <v>0</v>
      </c>
      <c r="F7" s="307">
        <f>('Base Data'!D8+'Base Data'!D9+'Base Data'!D11+'Base Data'!D12)/2</f>
        <v>2109.5</v>
      </c>
      <c r="G7" s="289"/>
      <c r="H7" s="314" t="s">
        <v>201</v>
      </c>
      <c r="I7" s="314"/>
      <c r="J7" s="314"/>
      <c r="K7" s="314"/>
      <c r="L7" s="106"/>
    </row>
    <row r="8" spans="1:12" x14ac:dyDescent="0.3">
      <c r="A8" s="306">
        <v>2</v>
      </c>
      <c r="B8" s="307">
        <f>B7</f>
        <v>10</v>
      </c>
      <c r="C8" s="307">
        <f>F7</f>
        <v>2109.5</v>
      </c>
      <c r="D8" s="306">
        <v>0</v>
      </c>
      <c r="E8" s="306">
        <v>0</v>
      </c>
      <c r="F8" s="307">
        <f>B8+C8+D8-E8</f>
        <v>2119.5</v>
      </c>
      <c r="G8" s="106"/>
      <c r="H8" s="314">
        <f>C8*2</f>
        <v>4219</v>
      </c>
      <c r="I8" s="315">
        <f>C8</f>
        <v>2109.5</v>
      </c>
      <c r="J8" s="314">
        <f>F8*2</f>
        <v>4239</v>
      </c>
      <c r="K8" s="315">
        <f>F8</f>
        <v>2119.5</v>
      </c>
      <c r="L8" s="106"/>
    </row>
    <row r="9" spans="1:12" x14ac:dyDescent="0.3">
      <c r="A9" s="306">
        <v>3</v>
      </c>
      <c r="B9" s="307">
        <f>B8</f>
        <v>10</v>
      </c>
      <c r="C9" s="307">
        <f>F8</f>
        <v>2119.5</v>
      </c>
      <c r="D9" s="306">
        <v>0</v>
      </c>
      <c r="E9" s="306">
        <v>0</v>
      </c>
      <c r="F9" s="307">
        <f>B9+C9+D9-E9</f>
        <v>2129.5</v>
      </c>
      <c r="G9" s="106"/>
      <c r="H9" s="314"/>
      <c r="I9" s="314"/>
      <c r="J9" s="314"/>
      <c r="K9" s="314"/>
      <c r="L9" s="106"/>
    </row>
    <row r="10" spans="1:12" x14ac:dyDescent="0.3">
      <c r="A10" s="308" t="s">
        <v>113</v>
      </c>
      <c r="B10" s="309">
        <f>AVERAGE(B7:B9)</f>
        <v>10</v>
      </c>
      <c r="C10" s="309">
        <f>AVERAGE(C7:C9)</f>
        <v>2109.5</v>
      </c>
      <c r="D10" s="309">
        <f>AVERAGE(D7:D9)</f>
        <v>0</v>
      </c>
      <c r="E10" s="309">
        <f>AVERAGE(E7:E9)</f>
        <v>0</v>
      </c>
      <c r="F10" s="309">
        <f>AVERAGE(F7:F9)</f>
        <v>2119.5</v>
      </c>
      <c r="G10" s="106"/>
      <c r="H10" s="314"/>
      <c r="I10" s="314"/>
      <c r="J10" s="314"/>
      <c r="K10" s="314"/>
      <c r="L10" s="106"/>
    </row>
    <row r="11" spans="1:12" x14ac:dyDescent="0.3">
      <c r="A11" s="420" t="s">
        <v>93</v>
      </c>
      <c r="B11" s="421"/>
      <c r="C11" s="421"/>
      <c r="D11" s="421"/>
      <c r="E11" s="421"/>
      <c r="F11" s="422"/>
      <c r="G11" s="106"/>
      <c r="H11" s="314"/>
      <c r="I11" s="314"/>
      <c r="J11" s="314"/>
      <c r="K11" s="314"/>
      <c r="L11" s="106"/>
    </row>
    <row r="12" spans="1:12" x14ac:dyDescent="0.3">
      <c r="A12" s="306">
        <v>1</v>
      </c>
      <c r="B12" s="310">
        <f>'Base Data'!Q40</f>
        <v>-31.460966666666675</v>
      </c>
      <c r="C12" s="307">
        <f>F12-B12</f>
        <v>3177.5576333333338</v>
      </c>
      <c r="D12" s="306">
        <v>0</v>
      </c>
      <c r="E12" s="306">
        <v>0</v>
      </c>
      <c r="F12" s="307">
        <f>('Base Data'!D14+'Base Data'!D15)/2</f>
        <v>3146.0966666666673</v>
      </c>
      <c r="G12" s="106"/>
      <c r="H12" s="314"/>
      <c r="I12" s="314"/>
      <c r="J12" s="314"/>
      <c r="K12" s="314"/>
      <c r="L12" s="106"/>
    </row>
    <row r="13" spans="1:12" x14ac:dyDescent="0.3">
      <c r="A13" s="306">
        <v>2</v>
      </c>
      <c r="B13" s="310">
        <f>B12</f>
        <v>-31.460966666666675</v>
      </c>
      <c r="C13" s="307">
        <f>F12</f>
        <v>3146.0966666666673</v>
      </c>
      <c r="D13" s="306">
        <v>0</v>
      </c>
      <c r="E13" s="306">
        <v>0</v>
      </c>
      <c r="F13" s="307">
        <f>B13+C13+D13-E13</f>
        <v>3114.6357000000007</v>
      </c>
      <c r="G13" s="106"/>
      <c r="H13" s="316">
        <f>C13*2</f>
        <v>6292.1933333333345</v>
      </c>
      <c r="I13" s="315">
        <f>C13</f>
        <v>3146.0966666666673</v>
      </c>
      <c r="J13" s="316">
        <f>F13*2</f>
        <v>6229.2714000000014</v>
      </c>
      <c r="K13" s="316">
        <f>F13</f>
        <v>3114.6357000000007</v>
      </c>
      <c r="L13" s="106"/>
    </row>
    <row r="14" spans="1:12" x14ac:dyDescent="0.3">
      <c r="A14" s="306">
        <v>3</v>
      </c>
      <c r="B14" s="310">
        <f>B12</f>
        <v>-31.460966666666675</v>
      </c>
      <c r="C14" s="307">
        <f>F13</f>
        <v>3114.6357000000007</v>
      </c>
      <c r="D14" s="306">
        <v>0</v>
      </c>
      <c r="E14" s="306">
        <v>0</v>
      </c>
      <c r="F14" s="307">
        <f>B14+C14+D14-E14</f>
        <v>3083.1747333333342</v>
      </c>
      <c r="G14" s="106"/>
      <c r="H14" s="314"/>
      <c r="I14" s="315"/>
      <c r="J14" s="316"/>
      <c r="K14" s="316"/>
      <c r="L14" s="106"/>
    </row>
    <row r="15" spans="1:12" x14ac:dyDescent="0.3">
      <c r="A15" s="308" t="s">
        <v>113</v>
      </c>
      <c r="B15" s="311">
        <f>AVERAGE(B12:B14)</f>
        <v>-31.460966666666675</v>
      </c>
      <c r="C15" s="309">
        <f>AVERAGE(C12:C14)</f>
        <v>3146.0966666666668</v>
      </c>
      <c r="D15" s="309">
        <f>AVERAGE(D12:D14)</f>
        <v>0</v>
      </c>
      <c r="E15" s="309">
        <f>AVERAGE(E12:E14)</f>
        <v>0</v>
      </c>
      <c r="F15" s="309">
        <f>AVERAGE(F12:F14)</f>
        <v>3114.6357000000007</v>
      </c>
      <c r="G15" s="106"/>
      <c r="H15" s="314"/>
      <c r="I15" s="315"/>
      <c r="J15" s="316"/>
      <c r="K15" s="316"/>
      <c r="L15" s="106"/>
    </row>
    <row r="16" spans="1:12" x14ac:dyDescent="0.3">
      <c r="A16" s="420" t="s">
        <v>94</v>
      </c>
      <c r="B16" s="421"/>
      <c r="C16" s="421"/>
      <c r="D16" s="421"/>
      <c r="E16" s="421"/>
      <c r="F16" s="422"/>
      <c r="G16" s="106"/>
      <c r="H16" s="314"/>
      <c r="I16" s="315"/>
      <c r="J16" s="316"/>
      <c r="K16" s="316"/>
      <c r="L16" s="106"/>
    </row>
    <row r="17" spans="1:12" x14ac:dyDescent="0.3">
      <c r="A17" s="306">
        <v>1</v>
      </c>
      <c r="B17" s="307">
        <f>'Base Data'!Q37</f>
        <v>49.166666666666664</v>
      </c>
      <c r="C17" s="307">
        <f>F17-B17</f>
        <v>5707.833333333333</v>
      </c>
      <c r="D17" s="306">
        <v>0</v>
      </c>
      <c r="E17" s="306">
        <v>0</v>
      </c>
      <c r="F17" s="307">
        <f>('Base Data'!D7+'Base Data'!D10)/2</f>
        <v>5757</v>
      </c>
      <c r="G17" s="106"/>
      <c r="H17" s="314"/>
      <c r="I17" s="315"/>
      <c r="J17" s="316"/>
      <c r="K17" s="316"/>
      <c r="L17" s="106"/>
    </row>
    <row r="18" spans="1:12" x14ac:dyDescent="0.3">
      <c r="A18" s="306">
        <v>2</v>
      </c>
      <c r="B18" s="307">
        <f>B17</f>
        <v>49.166666666666664</v>
      </c>
      <c r="C18" s="307">
        <f>F17</f>
        <v>5757</v>
      </c>
      <c r="D18" s="306">
        <v>0</v>
      </c>
      <c r="E18" s="306">
        <v>0</v>
      </c>
      <c r="F18" s="307">
        <f>B18+C18+D18-E18</f>
        <v>5806.166666666667</v>
      </c>
      <c r="G18" s="106"/>
      <c r="H18" s="316">
        <f>C18*2</f>
        <v>11514</v>
      </c>
      <c r="I18" s="315">
        <f>C18</f>
        <v>5757</v>
      </c>
      <c r="J18" s="316">
        <f>F18*2</f>
        <v>11612.333333333334</v>
      </c>
      <c r="K18" s="316">
        <f>F18</f>
        <v>5806.166666666667</v>
      </c>
      <c r="L18" s="106"/>
    </row>
    <row r="19" spans="1:12" x14ac:dyDescent="0.3">
      <c r="A19" s="306">
        <v>3</v>
      </c>
      <c r="B19" s="307">
        <f>B17</f>
        <v>49.166666666666664</v>
      </c>
      <c r="C19" s="307">
        <f>F18</f>
        <v>5806.166666666667</v>
      </c>
      <c r="D19" s="306">
        <v>0</v>
      </c>
      <c r="E19" s="306">
        <v>0</v>
      </c>
      <c r="F19" s="307">
        <f>B19+C19+D19-E19</f>
        <v>5855.3333333333339</v>
      </c>
      <c r="G19" s="106"/>
      <c r="H19" s="314"/>
      <c r="I19" s="314"/>
      <c r="J19" s="314"/>
      <c r="K19" s="314"/>
      <c r="L19" s="106"/>
    </row>
    <row r="20" spans="1:12" x14ac:dyDescent="0.3">
      <c r="A20" s="308" t="s">
        <v>113</v>
      </c>
      <c r="B20" s="309">
        <f>AVERAGE(B17:B19)</f>
        <v>49.166666666666664</v>
      </c>
      <c r="C20" s="309">
        <f>AVERAGE(C17:C19)</f>
        <v>5757</v>
      </c>
      <c r="D20" s="309">
        <f>AVERAGE(D17:D19)</f>
        <v>0</v>
      </c>
      <c r="E20" s="309">
        <f>AVERAGE(E17:E19)</f>
        <v>0</v>
      </c>
      <c r="F20" s="309">
        <f>AVERAGE(F17:F19)</f>
        <v>5806.166666666667</v>
      </c>
      <c r="G20" s="106"/>
      <c r="H20" s="314"/>
      <c r="I20" s="314"/>
      <c r="J20" s="314"/>
      <c r="K20" s="314"/>
      <c r="L20" s="106"/>
    </row>
    <row r="21" spans="1:12" x14ac:dyDescent="0.3">
      <c r="A21" s="420" t="s">
        <v>95</v>
      </c>
      <c r="B21" s="421"/>
      <c r="C21" s="421"/>
      <c r="D21" s="421"/>
      <c r="E21" s="421"/>
      <c r="F21" s="422"/>
      <c r="G21" s="106"/>
      <c r="H21" s="314"/>
      <c r="I21" s="314"/>
      <c r="J21" s="314"/>
      <c r="K21" s="314"/>
      <c r="L21" s="106"/>
    </row>
    <row r="22" spans="1:12" x14ac:dyDescent="0.3">
      <c r="A22" s="306">
        <v>1</v>
      </c>
      <c r="B22" s="307">
        <f>'Base Data'!Q39</f>
        <v>-538.42205000000001</v>
      </c>
      <c r="C22" s="307">
        <f>F22-B22</f>
        <v>54380.627050000003</v>
      </c>
      <c r="D22" s="307">
        <v>0</v>
      </c>
      <c r="E22" s="306">
        <v>0</v>
      </c>
      <c r="F22" s="307">
        <f>'Base Data'!D13/2</f>
        <v>53842.205000000002</v>
      </c>
      <c r="G22" s="106"/>
      <c r="H22" s="314"/>
      <c r="I22" s="314"/>
      <c r="J22" s="314"/>
      <c r="K22" s="314"/>
      <c r="L22" s="106"/>
    </row>
    <row r="23" spans="1:12" x14ac:dyDescent="0.3">
      <c r="A23" s="81">
        <v>2</v>
      </c>
      <c r="B23" s="82">
        <f>B22</f>
        <v>-538.42205000000001</v>
      </c>
      <c r="C23" s="82">
        <f>F22</f>
        <v>53842.205000000002</v>
      </c>
      <c r="D23" s="82">
        <v>0</v>
      </c>
      <c r="E23" s="81">
        <v>0</v>
      </c>
      <c r="F23" s="82">
        <f>B23+C23+D23-E23</f>
        <v>53303.782950000001</v>
      </c>
      <c r="G23" s="106"/>
      <c r="H23" s="314">
        <f>C23*2</f>
        <v>107684.41</v>
      </c>
      <c r="I23" s="315">
        <f>C23</f>
        <v>53842.205000000002</v>
      </c>
      <c r="J23" s="316">
        <f>F23*2</f>
        <v>106607.5659</v>
      </c>
      <c r="K23" s="315">
        <f>F23</f>
        <v>53303.782950000001</v>
      </c>
      <c r="L23" s="106"/>
    </row>
    <row r="24" spans="1:12" x14ac:dyDescent="0.3">
      <c r="A24" s="81">
        <v>3</v>
      </c>
      <c r="B24" s="82">
        <f>B22</f>
        <v>-538.42205000000001</v>
      </c>
      <c r="C24" s="82">
        <f>F23</f>
        <v>53303.782950000001</v>
      </c>
      <c r="D24" s="82">
        <v>0</v>
      </c>
      <c r="E24" s="81">
        <v>0</v>
      </c>
      <c r="F24" s="82">
        <f>B24+C24+D24-E24</f>
        <v>52765.3609</v>
      </c>
      <c r="G24" s="106"/>
      <c r="H24" s="106"/>
      <c r="I24" s="106"/>
      <c r="J24" s="106"/>
      <c r="K24" s="106"/>
      <c r="L24" s="106"/>
    </row>
    <row r="25" spans="1:12" x14ac:dyDescent="0.3">
      <c r="A25" s="83" t="s">
        <v>113</v>
      </c>
      <c r="B25" s="84">
        <f>AVERAGE(B22:B24)</f>
        <v>-538.42205000000001</v>
      </c>
      <c r="C25" s="84">
        <f>AVERAGE(C22:C24)</f>
        <v>53842.204999999994</v>
      </c>
      <c r="D25" s="84">
        <f>AVERAGE(D22:D24)</f>
        <v>0</v>
      </c>
      <c r="E25" s="84">
        <f>AVERAGE(E22:E24)</f>
        <v>0</v>
      </c>
      <c r="F25" s="84">
        <f>AVERAGE(F22:F24)</f>
        <v>53303.782950000001</v>
      </c>
      <c r="G25" s="106"/>
      <c r="H25" s="106"/>
      <c r="I25" s="106"/>
      <c r="J25" s="106"/>
      <c r="K25" s="106"/>
      <c r="L25" s="106"/>
    </row>
    <row r="26" spans="1:12" x14ac:dyDescent="0.3">
      <c r="A26" s="85" t="s">
        <v>41</v>
      </c>
      <c r="B26" s="84">
        <f>B10+B15+B20+B25</f>
        <v>-510.71635000000003</v>
      </c>
      <c r="C26" s="84">
        <f>C10+C15+C20+C25</f>
        <v>64854.801666666659</v>
      </c>
      <c r="D26" s="84">
        <f>D10+D15+D20+D25</f>
        <v>0</v>
      </c>
      <c r="E26" s="84">
        <f>E10+E15+E20+E25</f>
        <v>0</v>
      </c>
      <c r="F26" s="84">
        <f>F10+F15+F20+F25</f>
        <v>64344.085316666664</v>
      </c>
      <c r="G26" s="106"/>
      <c r="H26" s="137">
        <f>C26*2</f>
        <v>129709.60333333332</v>
      </c>
      <c r="I26" s="106"/>
      <c r="J26" s="106"/>
      <c r="K26" s="106"/>
      <c r="L26" s="106"/>
    </row>
    <row r="27" spans="1:12" ht="51.75" customHeight="1" x14ac:dyDescent="0.3">
      <c r="A27" s="418" t="s">
        <v>332</v>
      </c>
      <c r="B27" s="415"/>
      <c r="C27" s="415"/>
      <c r="D27" s="415"/>
      <c r="E27" s="415"/>
      <c r="F27" s="415"/>
      <c r="G27" s="9"/>
      <c r="H27" s="9"/>
      <c r="I27" s="9"/>
      <c r="J27" s="9"/>
      <c r="K27" s="9"/>
      <c r="L27" s="9"/>
    </row>
    <row r="28" spans="1:12" x14ac:dyDescent="0.3">
      <c r="A28" s="9"/>
      <c r="B28" s="9"/>
      <c r="C28" s="9"/>
      <c r="D28" s="9"/>
      <c r="E28" s="9"/>
      <c r="F28" s="9"/>
      <c r="G28" s="9"/>
      <c r="H28" s="9"/>
      <c r="I28" s="9"/>
      <c r="J28" s="9"/>
      <c r="K28" s="9"/>
      <c r="L28" s="9"/>
    </row>
    <row r="29" spans="1:12" ht="15" x14ac:dyDescent="0.3">
      <c r="A29" s="401" t="s">
        <v>115</v>
      </c>
      <c r="B29" s="402"/>
      <c r="C29" s="402"/>
      <c r="D29" s="402"/>
      <c r="E29" s="403"/>
      <c r="F29" s="9"/>
      <c r="G29" s="9"/>
      <c r="H29" s="9"/>
      <c r="I29" s="9"/>
      <c r="J29" s="9"/>
      <c r="K29" s="9"/>
      <c r="L29" s="9"/>
    </row>
    <row r="30" spans="1:12" x14ac:dyDescent="0.3">
      <c r="A30" s="22" t="s">
        <v>7</v>
      </c>
      <c r="B30" s="22" t="s">
        <v>8</v>
      </c>
      <c r="C30" s="22" t="s">
        <v>9</v>
      </c>
      <c r="D30" s="22" t="s">
        <v>10</v>
      </c>
      <c r="E30" s="22" t="s">
        <v>11</v>
      </c>
      <c r="F30" s="9"/>
      <c r="G30" s="9"/>
      <c r="H30" s="9"/>
      <c r="I30" s="9"/>
      <c r="J30" s="9"/>
      <c r="K30" s="9"/>
      <c r="L30" s="9"/>
    </row>
    <row r="31" spans="1:12" ht="78" x14ac:dyDescent="0.3">
      <c r="A31" s="23" t="s">
        <v>116</v>
      </c>
      <c r="B31" s="23" t="s">
        <v>117</v>
      </c>
      <c r="C31" s="23" t="s">
        <v>5</v>
      </c>
      <c r="D31" s="24" t="s">
        <v>118</v>
      </c>
      <c r="E31" s="23" t="s">
        <v>120</v>
      </c>
      <c r="F31" s="9"/>
      <c r="G31" s="9"/>
      <c r="H31" s="9"/>
      <c r="I31" s="9"/>
      <c r="J31" s="9"/>
      <c r="K31" s="9"/>
      <c r="L31" s="9"/>
    </row>
    <row r="32" spans="1:12" x14ac:dyDescent="0.3">
      <c r="A32" s="406" t="s">
        <v>92</v>
      </c>
      <c r="B32" s="407"/>
      <c r="C32" s="407"/>
      <c r="D32" s="407"/>
      <c r="E32" s="408"/>
      <c r="F32" s="9"/>
      <c r="G32" s="9"/>
      <c r="H32" s="9"/>
      <c r="I32" s="9"/>
      <c r="J32" s="9"/>
      <c r="K32" s="9"/>
      <c r="L32" s="9"/>
    </row>
    <row r="33" spans="1:12" x14ac:dyDescent="0.3">
      <c r="A33" s="268" t="s">
        <v>121</v>
      </c>
      <c r="B33" s="269">
        <f>LrgSolid!H34</f>
        <v>10</v>
      </c>
      <c r="C33" s="270">
        <f>LrgSolid!F34</f>
        <v>1</v>
      </c>
      <c r="D33" s="270">
        <v>0</v>
      </c>
      <c r="E33" s="269">
        <f>B33*C33+D33</f>
        <v>10</v>
      </c>
      <c r="F33" s="9"/>
      <c r="G33" s="9"/>
      <c r="H33" s="9"/>
      <c r="I33" s="9"/>
      <c r="J33" s="9"/>
      <c r="K33" s="9"/>
      <c r="L33" s="9"/>
    </row>
    <row r="34" spans="1:12" x14ac:dyDescent="0.3">
      <c r="A34" s="268" t="s">
        <v>119</v>
      </c>
      <c r="B34" s="269">
        <f>LrgSolid!H35</f>
        <v>10</v>
      </c>
      <c r="C34" s="270">
        <f>LrgSolid!F35</f>
        <v>1</v>
      </c>
      <c r="D34" s="270">
        <v>0</v>
      </c>
      <c r="E34" s="269">
        <f>B34*C34+D34</f>
        <v>10</v>
      </c>
      <c r="F34" s="9"/>
      <c r="G34" s="9"/>
      <c r="H34" s="9"/>
      <c r="I34" s="9"/>
      <c r="J34" s="9"/>
      <c r="K34" s="9"/>
      <c r="L34" s="9"/>
    </row>
    <row r="35" spans="1:12" x14ac:dyDescent="0.3">
      <c r="A35" s="268" t="s">
        <v>123</v>
      </c>
      <c r="B35" s="269">
        <f>LrgSolid!H37</f>
        <v>2129.5</v>
      </c>
      <c r="C35" s="270">
        <f>LrgSolid!F37</f>
        <v>1</v>
      </c>
      <c r="D35" s="270">
        <v>0</v>
      </c>
      <c r="E35" s="269">
        <f>B35*C35+D35</f>
        <v>2129.5</v>
      </c>
      <c r="F35" s="9"/>
      <c r="G35" s="9"/>
      <c r="H35" s="9"/>
      <c r="I35" s="9"/>
      <c r="J35" s="9"/>
      <c r="K35" s="9"/>
      <c r="L35" s="9"/>
    </row>
    <row r="36" spans="1:12" x14ac:dyDescent="0.3">
      <c r="A36" s="268" t="s">
        <v>122</v>
      </c>
      <c r="B36" s="269">
        <f>LrgSolid!H38</f>
        <v>1843</v>
      </c>
      <c r="C36" s="270">
        <f>LrgSolid!F38</f>
        <v>0.5</v>
      </c>
      <c r="D36" s="270">
        <v>0</v>
      </c>
      <c r="E36" s="269">
        <f>B36*C36+D36</f>
        <v>921.5</v>
      </c>
      <c r="F36" s="9"/>
      <c r="G36" s="9"/>
      <c r="H36" s="9"/>
      <c r="I36" s="9"/>
      <c r="J36" s="9"/>
      <c r="K36" s="9"/>
      <c r="L36" s="9"/>
    </row>
    <row r="37" spans="1:12" x14ac:dyDescent="0.3">
      <c r="A37" s="271" t="s">
        <v>101</v>
      </c>
      <c r="B37" s="272"/>
      <c r="C37" s="272"/>
      <c r="D37" s="272"/>
      <c r="E37" s="273">
        <f>SUM(E33:E36)</f>
        <v>3071</v>
      </c>
      <c r="F37" s="9"/>
      <c r="G37" s="9"/>
      <c r="H37" s="9"/>
      <c r="I37" s="9"/>
      <c r="J37" s="9"/>
      <c r="K37" s="9"/>
      <c r="L37" s="9"/>
    </row>
    <row r="38" spans="1:12" x14ac:dyDescent="0.3">
      <c r="A38" s="409" t="s">
        <v>93</v>
      </c>
      <c r="B38" s="410"/>
      <c r="C38" s="410"/>
      <c r="D38" s="410"/>
      <c r="E38" s="411"/>
      <c r="F38" s="9"/>
      <c r="G38" s="9"/>
      <c r="H38" s="9"/>
      <c r="I38" s="9"/>
      <c r="J38" s="9"/>
      <c r="K38" s="9"/>
      <c r="L38" s="9"/>
    </row>
    <row r="39" spans="1:12" x14ac:dyDescent="0.3">
      <c r="A39" s="268" t="s">
        <v>121</v>
      </c>
      <c r="B39" s="269">
        <f>LrgLiquid!I28</f>
        <v>0</v>
      </c>
      <c r="C39" s="270">
        <f>LrgLiquid!G28</f>
        <v>1</v>
      </c>
      <c r="D39" s="270">
        <v>0</v>
      </c>
      <c r="E39" s="269">
        <f>B39*C39+D39</f>
        <v>0</v>
      </c>
      <c r="F39" s="9"/>
      <c r="G39" s="9"/>
      <c r="H39" s="9"/>
      <c r="I39" s="9"/>
      <c r="J39" s="9"/>
      <c r="K39" s="9"/>
      <c r="L39" s="9"/>
    </row>
    <row r="40" spans="1:12" x14ac:dyDescent="0.3">
      <c r="A40" s="268" t="s">
        <v>119</v>
      </c>
      <c r="B40" s="269">
        <f>LrgLiquid!I29</f>
        <v>0</v>
      </c>
      <c r="C40" s="270">
        <f>LrgLiquid!G29</f>
        <v>1</v>
      </c>
      <c r="D40" s="270">
        <v>0</v>
      </c>
      <c r="E40" s="269">
        <f>B40*C40+D40</f>
        <v>0</v>
      </c>
      <c r="F40" s="9"/>
      <c r="G40" s="9"/>
      <c r="H40" s="9"/>
      <c r="I40" s="9"/>
      <c r="J40" s="9"/>
      <c r="K40" s="9"/>
      <c r="L40" s="9"/>
    </row>
    <row r="41" spans="1:12" x14ac:dyDescent="0.3">
      <c r="A41" s="268" t="s">
        <v>123</v>
      </c>
      <c r="B41" s="269">
        <f>LrgLiquid!I31</f>
        <v>81.333333333333329</v>
      </c>
      <c r="C41" s="270">
        <f>LrgLiquid!G31</f>
        <v>1</v>
      </c>
      <c r="D41" s="270">
        <v>0</v>
      </c>
      <c r="E41" s="269">
        <f>B41*C41+D41</f>
        <v>81.333333333333329</v>
      </c>
      <c r="F41" s="9"/>
      <c r="G41" s="9"/>
      <c r="H41" s="9"/>
      <c r="I41" s="9"/>
      <c r="J41" s="9"/>
      <c r="K41" s="9"/>
      <c r="L41" s="9"/>
    </row>
    <row r="42" spans="1:12" x14ac:dyDescent="0.3">
      <c r="A42" s="268" t="s">
        <v>122</v>
      </c>
      <c r="B42" s="269">
        <f>LrgLiquid!I32</f>
        <v>3114.6357000000007</v>
      </c>
      <c r="C42" s="270">
        <f>LrgLiquid!G32</f>
        <v>0.5</v>
      </c>
      <c r="D42" s="270">
        <v>0</v>
      </c>
      <c r="E42" s="269">
        <f>B42*C42+D42</f>
        <v>1557.3178500000004</v>
      </c>
      <c r="F42" s="9"/>
      <c r="G42" s="9"/>
      <c r="H42" s="9"/>
      <c r="I42" s="9"/>
      <c r="J42" s="9"/>
      <c r="K42" s="9"/>
      <c r="L42" s="9"/>
    </row>
    <row r="43" spans="1:12" x14ac:dyDescent="0.3">
      <c r="A43" s="271" t="s">
        <v>101</v>
      </c>
      <c r="B43" s="272"/>
      <c r="C43" s="272"/>
      <c r="D43" s="272"/>
      <c r="E43" s="273">
        <f>SUM(E39:E42)</f>
        <v>1638.6511833333336</v>
      </c>
      <c r="F43" s="9"/>
      <c r="G43" s="9"/>
      <c r="H43" s="9"/>
      <c r="I43" s="9"/>
      <c r="J43" s="9"/>
      <c r="K43" s="9"/>
      <c r="L43" s="9"/>
    </row>
    <row r="44" spans="1:12" x14ac:dyDescent="0.3">
      <c r="A44" s="274" t="s">
        <v>94</v>
      </c>
      <c r="B44" s="275"/>
      <c r="C44" s="275"/>
      <c r="D44" s="275"/>
      <c r="E44" s="276"/>
      <c r="F44" s="9"/>
      <c r="G44" s="9"/>
      <c r="H44" s="9"/>
      <c r="I44" s="9"/>
      <c r="J44" s="9"/>
      <c r="K44" s="9"/>
      <c r="L44" s="9"/>
    </row>
    <row r="45" spans="1:12" x14ac:dyDescent="0.3">
      <c r="A45" s="277" t="s">
        <v>121</v>
      </c>
      <c r="B45" s="269">
        <f>SmlSolid!G15</f>
        <v>49.166666666666664</v>
      </c>
      <c r="C45" s="270">
        <f>SmlSolid!E15</f>
        <v>1</v>
      </c>
      <c r="D45" s="270">
        <v>0</v>
      </c>
      <c r="E45" s="269">
        <f>B45*C45+D45</f>
        <v>49.166666666666664</v>
      </c>
      <c r="F45" s="9"/>
      <c r="G45" s="9"/>
      <c r="H45" s="9"/>
      <c r="I45" s="9"/>
      <c r="J45" s="9"/>
      <c r="K45" s="9"/>
      <c r="L45" s="9"/>
    </row>
    <row r="46" spans="1:12" x14ac:dyDescent="0.3">
      <c r="A46" s="277" t="s">
        <v>119</v>
      </c>
      <c r="B46" s="269">
        <f>SmlSolid!G16</f>
        <v>49.166666666666664</v>
      </c>
      <c r="C46" s="270">
        <f>SmlSolid!E16</f>
        <v>1</v>
      </c>
      <c r="D46" s="270">
        <v>0</v>
      </c>
      <c r="E46" s="269">
        <f>B46*C46+D46</f>
        <v>49.166666666666664</v>
      </c>
      <c r="F46" s="9"/>
      <c r="G46" s="9"/>
      <c r="H46" s="9"/>
      <c r="I46" s="9"/>
      <c r="J46" s="9"/>
      <c r="K46" s="9"/>
      <c r="L46" s="9"/>
    </row>
    <row r="47" spans="1:12" x14ac:dyDescent="0.3">
      <c r="A47" s="278" t="s">
        <v>122</v>
      </c>
      <c r="B47" s="269">
        <f>SmlSolid!G17</f>
        <v>5806.166666666667</v>
      </c>
      <c r="C47" s="270">
        <f>SmlSolid!E17</f>
        <v>0.5</v>
      </c>
      <c r="D47" s="279">
        <v>0</v>
      </c>
      <c r="E47" s="280">
        <f>B47*C47+D47</f>
        <v>2903.0833333333335</v>
      </c>
      <c r="F47" s="9"/>
      <c r="G47" s="9"/>
      <c r="H47" s="9"/>
      <c r="I47" s="9"/>
      <c r="J47" s="9"/>
      <c r="K47" s="9"/>
      <c r="L47" s="9"/>
    </row>
    <row r="48" spans="1:12" x14ac:dyDescent="0.3">
      <c r="A48" s="271" t="s">
        <v>101</v>
      </c>
      <c r="B48" s="272"/>
      <c r="C48" s="272"/>
      <c r="D48" s="272"/>
      <c r="E48" s="273">
        <f>SUM(E45:E47)</f>
        <v>3001.416666666667</v>
      </c>
      <c r="F48" s="9"/>
      <c r="G48" s="9"/>
      <c r="H48" s="9"/>
      <c r="I48" s="9"/>
      <c r="J48" s="9"/>
      <c r="K48" s="9"/>
      <c r="L48" s="9"/>
    </row>
    <row r="49" spans="1:12" x14ac:dyDescent="0.3">
      <c r="A49" s="409" t="s">
        <v>95</v>
      </c>
      <c r="B49" s="410"/>
      <c r="C49" s="410"/>
      <c r="D49" s="410"/>
      <c r="E49" s="411"/>
      <c r="F49" s="9"/>
      <c r="G49" s="9"/>
      <c r="H49" s="9"/>
      <c r="I49" s="9"/>
      <c r="J49" s="9"/>
      <c r="K49" s="9"/>
      <c r="L49" s="9"/>
    </row>
    <row r="50" spans="1:12" x14ac:dyDescent="0.3">
      <c r="A50" s="277" t="s">
        <v>121</v>
      </c>
      <c r="B50" s="269">
        <f>SmlLiquid!G15</f>
        <v>0</v>
      </c>
      <c r="C50" s="270">
        <f>SmlLiquid!E15</f>
        <v>1</v>
      </c>
      <c r="D50" s="270">
        <v>0</v>
      </c>
      <c r="E50" s="269">
        <f>B50*C50+D50</f>
        <v>0</v>
      </c>
      <c r="F50" s="9"/>
      <c r="G50" s="9"/>
      <c r="H50" s="9"/>
      <c r="I50" s="9"/>
      <c r="J50" s="9"/>
      <c r="K50" s="9"/>
      <c r="L50" s="9"/>
    </row>
    <row r="51" spans="1:12" x14ac:dyDescent="0.3">
      <c r="A51" s="277" t="s">
        <v>119</v>
      </c>
      <c r="B51" s="269">
        <f>SmlLiquid!G16</f>
        <v>0</v>
      </c>
      <c r="C51" s="270">
        <f>SmlLiquid!E16</f>
        <v>1</v>
      </c>
      <c r="D51" s="270">
        <v>0</v>
      </c>
      <c r="E51" s="269">
        <f>B51*C51+D51</f>
        <v>0</v>
      </c>
      <c r="F51" s="9"/>
      <c r="G51" s="9"/>
      <c r="H51" s="9"/>
      <c r="I51" s="9"/>
      <c r="J51" s="9"/>
      <c r="K51" s="9"/>
      <c r="L51" s="9"/>
    </row>
    <row r="52" spans="1:12" x14ac:dyDescent="0.3">
      <c r="A52" s="278" t="s">
        <v>122</v>
      </c>
      <c r="B52" s="280">
        <f>SmlLiquid!G17</f>
        <v>53303.782950000001</v>
      </c>
      <c r="C52" s="279">
        <f>SmlLiquid!E17</f>
        <v>0.5</v>
      </c>
      <c r="D52" s="279">
        <v>0</v>
      </c>
      <c r="E52" s="280">
        <f>B52*C52+D52</f>
        <v>26651.891475</v>
      </c>
      <c r="F52" s="9"/>
      <c r="G52" s="9"/>
      <c r="H52" s="9"/>
      <c r="I52" s="9"/>
      <c r="J52" s="9"/>
      <c r="K52" s="9"/>
      <c r="L52" s="9"/>
    </row>
    <row r="53" spans="1:12" x14ac:dyDescent="0.3">
      <c r="A53" s="86" t="s">
        <v>101</v>
      </c>
      <c r="B53" s="87"/>
      <c r="C53" s="87"/>
      <c r="D53" s="87"/>
      <c r="E53" s="88">
        <f>SUM(E50:E52)</f>
        <v>26651.891475</v>
      </c>
      <c r="F53" s="9"/>
      <c r="G53" s="9"/>
      <c r="H53" s="9"/>
      <c r="I53" s="9"/>
      <c r="J53" s="9"/>
      <c r="K53" s="9"/>
      <c r="L53" s="9"/>
    </row>
    <row r="54" spans="1:12" x14ac:dyDescent="0.3">
      <c r="A54" s="404" t="s">
        <v>197</v>
      </c>
      <c r="B54" s="405"/>
      <c r="C54" s="405"/>
      <c r="D54" s="89"/>
      <c r="E54" s="90">
        <f>E37+E43+E48+E53</f>
        <v>34362.959325000003</v>
      </c>
      <c r="F54" s="9"/>
      <c r="G54" s="9"/>
      <c r="H54" s="9"/>
      <c r="I54" s="9"/>
      <c r="J54" s="9"/>
      <c r="K54" s="9"/>
      <c r="L54" s="9"/>
    </row>
    <row r="57" spans="1:12" s="52" customFormat="1" ht="15.75" customHeight="1" x14ac:dyDescent="0.3">
      <c r="A57" s="419"/>
      <c r="B57" s="419"/>
      <c r="C57" s="419"/>
      <c r="D57" s="419"/>
      <c r="E57" s="419"/>
      <c r="F57" s="419"/>
      <c r="G57" s="419"/>
      <c r="H57" s="51"/>
    </row>
    <row r="58" spans="1:12" s="52" customFormat="1" ht="15" x14ac:dyDescent="0.3">
      <c r="A58" s="412" t="s">
        <v>83</v>
      </c>
      <c r="B58" s="413"/>
      <c r="C58" s="413"/>
      <c r="D58" s="413"/>
      <c r="E58" s="413"/>
      <c r="F58" s="413"/>
      <c r="G58" s="414"/>
    </row>
    <row r="59" spans="1:12" x14ac:dyDescent="0.3">
      <c r="A59" s="18" t="s">
        <v>7</v>
      </c>
      <c r="B59" s="18" t="s">
        <v>8</v>
      </c>
      <c r="C59" s="18" t="s">
        <v>9</v>
      </c>
      <c r="D59" s="18" t="s">
        <v>10</v>
      </c>
      <c r="E59" s="18" t="s">
        <v>11</v>
      </c>
      <c r="F59" s="18" t="s">
        <v>88</v>
      </c>
      <c r="G59" s="18" t="s">
        <v>89</v>
      </c>
    </row>
    <row r="60" spans="1:12" ht="39" x14ac:dyDescent="0.3">
      <c r="A60" s="19" t="s">
        <v>84</v>
      </c>
      <c r="B60" s="19" t="s">
        <v>85</v>
      </c>
      <c r="C60" s="19" t="s">
        <v>86</v>
      </c>
      <c r="D60" s="19" t="s">
        <v>91</v>
      </c>
      <c r="E60" s="19" t="s">
        <v>87</v>
      </c>
      <c r="F60" s="19" t="s">
        <v>90</v>
      </c>
      <c r="G60" s="19" t="s">
        <v>100</v>
      </c>
    </row>
    <row r="61" spans="1:12" x14ac:dyDescent="0.3">
      <c r="A61" s="53" t="s">
        <v>92</v>
      </c>
      <c r="B61" s="54"/>
      <c r="C61" s="54"/>
      <c r="D61" s="54"/>
      <c r="E61" s="54"/>
      <c r="F61" s="54"/>
      <c r="G61" s="55"/>
    </row>
    <row r="62" spans="1:12" x14ac:dyDescent="0.3">
      <c r="A62" s="64" t="s">
        <v>102</v>
      </c>
      <c r="B62" s="65">
        <f>LrgSolid!D14</f>
        <v>5000</v>
      </c>
      <c r="C62" s="66">
        <f>LrgSolid!H14</f>
        <v>0</v>
      </c>
      <c r="D62" s="67">
        <f t="shared" ref="D62:D70" si="0">B62*C62</f>
        <v>0</v>
      </c>
      <c r="E62" s="67">
        <v>0</v>
      </c>
      <c r="F62" s="68">
        <f>C62</f>
        <v>0</v>
      </c>
      <c r="G62" s="67">
        <f t="shared" ref="G62:G64" si="1">E62*F62</f>
        <v>0</v>
      </c>
      <c r="I62" s="283"/>
    </row>
    <row r="63" spans="1:12" ht="15.5" x14ac:dyDescent="0.3">
      <c r="A63" s="64" t="s">
        <v>314</v>
      </c>
      <c r="B63" s="65">
        <v>0</v>
      </c>
      <c r="C63" s="108">
        <v>0</v>
      </c>
      <c r="D63" s="67">
        <f t="shared" si="0"/>
        <v>0</v>
      </c>
      <c r="E63" s="67">
        <f>LrgSolid!D17</f>
        <v>5000</v>
      </c>
      <c r="F63" s="109">
        <f>LrgSolid!H17</f>
        <v>95.5</v>
      </c>
      <c r="G63" s="67">
        <f t="shared" si="1"/>
        <v>477500</v>
      </c>
      <c r="I63" s="283"/>
    </row>
    <row r="64" spans="1:12" x14ac:dyDescent="0.3">
      <c r="A64" s="64" t="s">
        <v>103</v>
      </c>
      <c r="B64" s="65">
        <f>LrgSolid!D15</f>
        <v>6000</v>
      </c>
      <c r="C64" s="66">
        <f>LrgSolid!H15</f>
        <v>0</v>
      </c>
      <c r="D64" s="67">
        <f t="shared" si="0"/>
        <v>0</v>
      </c>
      <c r="E64" s="67">
        <v>0</v>
      </c>
      <c r="F64" s="68">
        <f>C64</f>
        <v>0</v>
      </c>
      <c r="G64" s="67">
        <f t="shared" si="1"/>
        <v>0</v>
      </c>
    </row>
    <row r="65" spans="1:9" ht="15.5" x14ac:dyDescent="0.3">
      <c r="A65" s="64" t="s">
        <v>315</v>
      </c>
      <c r="B65" s="65">
        <v>0</v>
      </c>
      <c r="C65" s="64">
        <v>0</v>
      </c>
      <c r="D65" s="67">
        <f t="shared" si="0"/>
        <v>0</v>
      </c>
      <c r="E65" s="67">
        <f>LrgSolid!D18</f>
        <v>6000</v>
      </c>
      <c r="F65" s="109">
        <f>LrgSolid!H18</f>
        <v>95.5</v>
      </c>
      <c r="G65" s="67">
        <f t="shared" ref="G65:G70" si="2">E65*F65</f>
        <v>573000</v>
      </c>
      <c r="I65" s="283"/>
    </row>
    <row r="66" spans="1:9" x14ac:dyDescent="0.3">
      <c r="A66" s="64" t="s">
        <v>99</v>
      </c>
      <c r="B66" s="65">
        <f>LrgSolid!D16</f>
        <v>8000</v>
      </c>
      <c r="C66" s="231">
        <f>LrgSolid!H16</f>
        <v>1.83</v>
      </c>
      <c r="D66" s="67">
        <f t="shared" si="0"/>
        <v>14640</v>
      </c>
      <c r="E66" s="67">
        <v>0</v>
      </c>
      <c r="F66" s="68">
        <v>0</v>
      </c>
      <c r="G66" s="67">
        <f t="shared" si="2"/>
        <v>0</v>
      </c>
    </row>
    <row r="67" spans="1:9" ht="15.5" x14ac:dyDescent="0.3">
      <c r="A67" s="64" t="s">
        <v>316</v>
      </c>
      <c r="B67" s="65">
        <v>0</v>
      </c>
      <c r="C67" s="66">
        <v>0</v>
      </c>
      <c r="D67" s="67">
        <f t="shared" si="0"/>
        <v>0</v>
      </c>
      <c r="E67" s="67">
        <f>LrgSolid!D19</f>
        <v>8000</v>
      </c>
      <c r="F67" s="232">
        <f>LrgSolid!H19</f>
        <v>5.5</v>
      </c>
      <c r="G67" s="67">
        <f t="shared" si="2"/>
        <v>44000</v>
      </c>
      <c r="I67" s="283"/>
    </row>
    <row r="68" spans="1:9" x14ac:dyDescent="0.3">
      <c r="A68" s="64" t="s">
        <v>97</v>
      </c>
      <c r="B68" s="65">
        <f>LrgSolid!E25</f>
        <v>43100</v>
      </c>
      <c r="C68" s="231">
        <f>LrgSolid!H25</f>
        <v>1.83</v>
      </c>
      <c r="D68" s="67">
        <f t="shared" si="0"/>
        <v>78873</v>
      </c>
      <c r="E68" s="67">
        <f>LrgSolid!E26</f>
        <v>14700</v>
      </c>
      <c r="F68" s="232">
        <f>LrgSolid!H26</f>
        <v>20.16</v>
      </c>
      <c r="G68" s="67">
        <f t="shared" si="2"/>
        <v>296352</v>
      </c>
    </row>
    <row r="69" spans="1:9" x14ac:dyDescent="0.3">
      <c r="A69" s="64" t="s">
        <v>96</v>
      </c>
      <c r="B69" s="65">
        <f>LrgSolid!E28</f>
        <v>25500</v>
      </c>
      <c r="C69" s="66">
        <f>LrgSolid!H28</f>
        <v>0</v>
      </c>
      <c r="D69" s="67">
        <f t="shared" si="0"/>
        <v>0</v>
      </c>
      <c r="E69" s="67">
        <f>LrgSolid!E29</f>
        <v>9700</v>
      </c>
      <c r="F69" s="264">
        <f>LrgSolid!H29</f>
        <v>286.5</v>
      </c>
      <c r="G69" s="67">
        <f t="shared" si="2"/>
        <v>2779050</v>
      </c>
    </row>
    <row r="70" spans="1:9" x14ac:dyDescent="0.3">
      <c r="A70" s="69" t="s">
        <v>98</v>
      </c>
      <c r="B70" s="65">
        <v>0</v>
      </c>
      <c r="C70" s="66">
        <v>0</v>
      </c>
      <c r="D70" s="67">
        <f t="shared" si="0"/>
        <v>0</v>
      </c>
      <c r="E70" s="70">
        <f>0.5*LrgSolid!D30</f>
        <v>1437.5</v>
      </c>
      <c r="F70" s="68">
        <f>LrgSolid!H30</f>
        <v>1843</v>
      </c>
      <c r="G70" s="67">
        <f t="shared" si="2"/>
        <v>2649312.5</v>
      </c>
    </row>
    <row r="71" spans="1:9" x14ac:dyDescent="0.3">
      <c r="A71" s="58" t="s">
        <v>101</v>
      </c>
      <c r="B71" s="56"/>
      <c r="C71" s="57"/>
      <c r="D71" s="282">
        <f>SUM(D62:D70)</f>
        <v>93513</v>
      </c>
      <c r="E71" s="98"/>
      <c r="F71" s="99"/>
      <c r="G71" s="282">
        <f>SUM(G62:G70)</f>
        <v>6819214.5</v>
      </c>
    </row>
    <row r="72" spans="1:9" x14ac:dyDescent="0.3">
      <c r="A72" s="53" t="s">
        <v>93</v>
      </c>
      <c r="B72" s="54"/>
      <c r="C72" s="54"/>
      <c r="D72" s="54"/>
      <c r="E72" s="281"/>
      <c r="F72" s="54"/>
      <c r="G72" s="55"/>
    </row>
    <row r="73" spans="1:9" x14ac:dyDescent="0.3">
      <c r="A73" s="64" t="s">
        <v>99</v>
      </c>
      <c r="B73" s="65">
        <f>LrgLiquid!D14</f>
        <v>8000</v>
      </c>
      <c r="C73" s="66">
        <f>LrgLiquid!I14</f>
        <v>0</v>
      </c>
      <c r="D73" s="65">
        <f>B73*C73</f>
        <v>0</v>
      </c>
      <c r="E73" s="67">
        <v>0</v>
      </c>
      <c r="F73" s="66">
        <f>C73</f>
        <v>0</v>
      </c>
      <c r="G73" s="65">
        <f>E73*F73</f>
        <v>0</v>
      </c>
    </row>
    <row r="74" spans="1:9" ht="15.5" x14ac:dyDescent="0.3">
      <c r="A74" s="64" t="s">
        <v>316</v>
      </c>
      <c r="B74" s="65">
        <v>0</v>
      </c>
      <c r="C74" s="66">
        <v>0</v>
      </c>
      <c r="D74" s="65">
        <f>B74*C74</f>
        <v>0</v>
      </c>
      <c r="E74" s="67">
        <f>LrgLiquid!D15</f>
        <v>8000</v>
      </c>
      <c r="F74" s="66">
        <f>LrgLiquid!I15</f>
        <v>27.111111111111111</v>
      </c>
      <c r="G74" s="65">
        <f>E74*F74</f>
        <v>216888.88888888888</v>
      </c>
      <c r="I74" s="283"/>
    </row>
    <row r="75" spans="1:9" x14ac:dyDescent="0.3">
      <c r="A75" s="64" t="s">
        <v>97</v>
      </c>
      <c r="B75" s="65">
        <f>LrgLiquid!F19</f>
        <v>43100</v>
      </c>
      <c r="C75" s="66">
        <f>LrgLiquid!I19</f>
        <v>0</v>
      </c>
      <c r="D75" s="65">
        <f>B75*C75</f>
        <v>0</v>
      </c>
      <c r="E75" s="65">
        <f>LrgLiquid!F20</f>
        <v>14700</v>
      </c>
      <c r="F75" s="66">
        <f>LrgLiquid!I20</f>
        <v>81.333333333333329</v>
      </c>
      <c r="G75" s="65">
        <f>E75*F75</f>
        <v>1195600</v>
      </c>
    </row>
    <row r="76" spans="1:9" x14ac:dyDescent="0.3">
      <c r="A76" s="64" t="s">
        <v>96</v>
      </c>
      <c r="B76" s="65">
        <f>LrgSolid!E28</f>
        <v>25500</v>
      </c>
      <c r="C76" s="66">
        <f>LrgLiquid!I22</f>
        <v>0</v>
      </c>
      <c r="D76" s="65">
        <f>B76*C76</f>
        <v>0</v>
      </c>
      <c r="E76" s="65">
        <f>LrgLiquid!F23</f>
        <v>9700</v>
      </c>
      <c r="F76" s="66">
        <f>LrgLiquid!I23</f>
        <v>0</v>
      </c>
      <c r="G76" s="65">
        <f>E76*F76</f>
        <v>0</v>
      </c>
    </row>
    <row r="77" spans="1:9" x14ac:dyDescent="0.3">
      <c r="A77" s="64" t="s">
        <v>98</v>
      </c>
      <c r="B77" s="65">
        <v>0</v>
      </c>
      <c r="C77" s="66">
        <v>0</v>
      </c>
      <c r="D77" s="65">
        <f>B77*C77</f>
        <v>0</v>
      </c>
      <c r="E77" s="65">
        <f>0.5*LrgLiquid!E24</f>
        <v>1437.5</v>
      </c>
      <c r="F77" s="66">
        <f>LrgLiquid!I24</f>
        <v>3114.6357000000007</v>
      </c>
      <c r="G77" s="65">
        <f>ROUND(E77*F77, 2)</f>
        <v>4477288.82</v>
      </c>
    </row>
    <row r="78" spans="1:9" x14ac:dyDescent="0.3">
      <c r="A78" s="58" t="s">
        <v>101</v>
      </c>
      <c r="B78" s="56"/>
      <c r="C78" s="57"/>
      <c r="D78" s="237">
        <f>SUM(D73:D77)</f>
        <v>0</v>
      </c>
      <c r="E78" s="100"/>
      <c r="F78" s="101"/>
      <c r="G78" s="237">
        <f>SUM(G73:G77)</f>
        <v>5889777.7088888893</v>
      </c>
    </row>
    <row r="79" spans="1:9" x14ac:dyDescent="0.3">
      <c r="A79" s="53" t="s">
        <v>94</v>
      </c>
      <c r="B79" s="54"/>
      <c r="C79" s="54"/>
      <c r="D79" s="54"/>
      <c r="E79" s="54"/>
      <c r="F79" s="54"/>
      <c r="G79" s="55"/>
    </row>
    <row r="80" spans="1:9" x14ac:dyDescent="0.3">
      <c r="A80" s="64" t="s">
        <v>98</v>
      </c>
      <c r="B80" s="65">
        <v>0</v>
      </c>
      <c r="C80" s="66">
        <v>0</v>
      </c>
      <c r="D80" s="65">
        <f>B80*C80</f>
        <v>0</v>
      </c>
      <c r="E80" s="65">
        <f>0.5*SmlSolid!C11</f>
        <v>1114</v>
      </c>
      <c r="F80" s="66">
        <f>SmlSolid!G11</f>
        <v>5806.166666666667</v>
      </c>
      <c r="G80" s="65">
        <f>E80*F80</f>
        <v>6468069.666666667</v>
      </c>
    </row>
    <row r="81" spans="1:9" x14ac:dyDescent="0.3">
      <c r="A81" s="58" t="s">
        <v>101</v>
      </c>
      <c r="B81" s="56"/>
      <c r="C81" s="57"/>
      <c r="D81" s="237">
        <f>D80</f>
        <v>0</v>
      </c>
      <c r="E81" s="100"/>
      <c r="F81" s="101"/>
      <c r="G81" s="237">
        <f>G80</f>
        <v>6468069.666666667</v>
      </c>
    </row>
    <row r="82" spans="1:9" x14ac:dyDescent="0.3">
      <c r="A82" s="59" t="s">
        <v>95</v>
      </c>
      <c r="B82" s="54"/>
      <c r="C82" s="54"/>
      <c r="D82" s="54"/>
      <c r="E82" s="54"/>
      <c r="F82" s="54"/>
      <c r="G82" s="55"/>
    </row>
    <row r="83" spans="1:9" x14ac:dyDescent="0.3">
      <c r="A83" s="64" t="s">
        <v>98</v>
      </c>
      <c r="B83" s="65">
        <v>0</v>
      </c>
      <c r="C83" s="66">
        <v>0</v>
      </c>
      <c r="D83" s="65">
        <f>B83*C83</f>
        <v>0</v>
      </c>
      <c r="E83" s="65">
        <f>0.5*SmlLiquid!C11</f>
        <v>1114</v>
      </c>
      <c r="F83" s="66">
        <f>SmlLiquid!G11</f>
        <v>53303.782950000001</v>
      </c>
      <c r="G83" s="65">
        <f>E83*F83</f>
        <v>59380414.206299998</v>
      </c>
    </row>
    <row r="84" spans="1:9" x14ac:dyDescent="0.3">
      <c r="A84" s="60" t="s">
        <v>101</v>
      </c>
      <c r="B84" s="61"/>
      <c r="C84" s="62"/>
      <c r="D84" s="237">
        <f>D83</f>
        <v>0</v>
      </c>
      <c r="E84" s="102"/>
      <c r="F84" s="103"/>
      <c r="G84" s="237">
        <f>G83</f>
        <v>59380414.206299998</v>
      </c>
    </row>
    <row r="85" spans="1:9" x14ac:dyDescent="0.3">
      <c r="A85" s="174" t="s">
        <v>276</v>
      </c>
      <c r="B85" s="63"/>
      <c r="C85" s="63"/>
      <c r="D85" s="237">
        <f>ROUND(D71+D78+D81+D84,-2)</f>
        <v>93500</v>
      </c>
      <c r="E85" s="63"/>
      <c r="F85" s="63"/>
      <c r="G85" s="237">
        <f>ROUND(G71+G78+G81+G84,-5)</f>
        <v>78600000</v>
      </c>
      <c r="I85" s="104">
        <f>ROUND(G85+D85,-5)</f>
        <v>78700000</v>
      </c>
    </row>
    <row r="86" spans="1:9" ht="15.5" x14ac:dyDescent="0.3">
      <c r="A86" s="415" t="s">
        <v>317</v>
      </c>
      <c r="B86" s="415"/>
      <c r="C86" s="415"/>
      <c r="D86" s="415"/>
      <c r="E86" s="415"/>
      <c r="F86" s="415"/>
      <c r="G86" s="415"/>
    </row>
    <row r="88" spans="1:9" x14ac:dyDescent="0.3">
      <c r="G88" s="104"/>
    </row>
  </sheetData>
  <mergeCells count="17">
    <mergeCell ref="A58:G58"/>
    <mergeCell ref="A86:G86"/>
    <mergeCell ref="A4:A5"/>
    <mergeCell ref="A27:F27"/>
    <mergeCell ref="A57:G57"/>
    <mergeCell ref="A21:F21"/>
    <mergeCell ref="A6:F6"/>
    <mergeCell ref="A11:F11"/>
    <mergeCell ref="A16:F16"/>
    <mergeCell ref="A2:F2"/>
    <mergeCell ref="B3:C3"/>
    <mergeCell ref="E3:F3"/>
    <mergeCell ref="A29:E29"/>
    <mergeCell ref="A54:C54"/>
    <mergeCell ref="A32:E32"/>
    <mergeCell ref="A49:E49"/>
    <mergeCell ref="A38:E38"/>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 Table 1 Summary</vt:lpstr>
      <vt:lpstr>Table 2 </vt:lpstr>
      <vt:lpstr>Base Data</vt:lpstr>
      <vt:lpstr>SmlSolid</vt:lpstr>
      <vt:lpstr>LrgSolid</vt:lpstr>
      <vt:lpstr>SmlLiquid</vt:lpstr>
      <vt:lpstr>LrgLiquid</vt:lpstr>
      <vt:lpstr>Capital vs. O&amp;M</vt:lpstr>
      <vt:lpstr>LrgLiquid!Print_Area</vt:lpstr>
      <vt:lpstr>SmlSolid!Print_Area</vt:lpstr>
      <vt:lpstr>'Table 2 '!Print_Area</vt:lpstr>
      <vt:lpstr>LrgLiquid!Print_Titles</vt:lpstr>
      <vt:lpstr>LrgSolid!Print_Titles</vt:lpstr>
      <vt:lpstr>SmlLiquid!Print_Titles</vt:lpstr>
      <vt:lpstr>SmlSolid!Print_Titles</vt:lpstr>
      <vt:lpstr>'Table 2 '!retest</vt:lpstr>
      <vt:lpstr>'Table 2 '!sperfac</vt:lpstr>
    </vt:vector>
  </TitlesOfParts>
  <Company>Eastern Research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 Morrisville</dc:creator>
  <cp:lastModifiedBy>Salahuddin, Diane</cp:lastModifiedBy>
  <cp:lastPrinted>2010-12-23T17:42:31Z</cp:lastPrinted>
  <dcterms:created xsi:type="dcterms:W3CDTF">2000-08-03T19:32:28Z</dcterms:created>
  <dcterms:modified xsi:type="dcterms:W3CDTF">2022-02-14T04:46:27Z</dcterms:modified>
</cp:coreProperties>
</file>