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VS\0313\2022\IMB\"/>
    </mc:Choice>
  </mc:AlternateContent>
  <xr:revisionPtr revIDLastSave="0" documentId="8_{49DCCF94-9A55-49E1-AF41-5B73D37EC539}" xr6:coauthVersionLast="47" xr6:coauthVersionMax="47" xr10:uidLastSave="{00000000-0000-0000-0000-000000000000}"/>
  <bookViews>
    <workbookView xWindow="-120" yWindow="-120" windowWidth="29040" windowHeight="17640" tabRatio="456" firstSheet="1" activeTab="1" xr2:uid="{F38D79EA-36B0-400D-84E7-32D0B3AB86E3}"/>
  </bookViews>
  <sheets>
    <sheet name="APHIS 71" sheetId="1" state="hidden" r:id="rId1"/>
    <sheet name="APHIS 79" sheetId="3" r:id="rId2"/>
    <sheet name="ROCIS Calculations" sheetId="4" state="hidden" r:id="rId3"/>
    <sheet name="ICR Compare" sheetId="8" state="hidden" r:id="rId4"/>
  </sheets>
  <definedNames>
    <definedName name="_xlnm.Print_Area" localSheetId="1">'APHIS 79'!$A$1:$G$11</definedName>
    <definedName name="_xlnm.Print_Area" localSheetId="2">'ROCIS Calculations'!$A$1:$I$41</definedName>
    <definedName name="_xlnm.Print_Titles" localSheetId="1">'APHIS 79'!$6:$6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3" l="1"/>
  <c r="G20" i="3" s="1"/>
  <c r="D21" i="3"/>
  <c r="G21" i="3" s="1"/>
  <c r="L30" i="8" l="1"/>
  <c r="L29" i="8"/>
  <c r="L28" i="8"/>
  <c r="L27" i="8"/>
  <c r="L26" i="8"/>
  <c r="L25" i="8"/>
  <c r="L24" i="8"/>
  <c r="L23" i="8"/>
  <c r="L22" i="8"/>
  <c r="L21" i="8"/>
  <c r="L20" i="8"/>
  <c r="L19" i="8"/>
  <c r="L18" i="8"/>
  <c r="L17" i="8"/>
  <c r="L16" i="8"/>
  <c r="L15" i="8"/>
  <c r="L14" i="8"/>
  <c r="D23" i="3" l="1"/>
  <c r="D22" i="3"/>
  <c r="D18" i="3"/>
  <c r="D17" i="3"/>
  <c r="D16" i="3"/>
  <c r="D15" i="3"/>
  <c r="D14" i="3"/>
  <c r="D13" i="3"/>
  <c r="D12" i="3"/>
  <c r="D11" i="3"/>
  <c r="D10" i="3"/>
  <c r="D9" i="3"/>
  <c r="D8" i="3"/>
  <c r="E2" i="4"/>
  <c r="M26" i="8"/>
  <c r="N26" i="8"/>
  <c r="O26" i="8"/>
  <c r="P26" i="8"/>
  <c r="P27" i="8"/>
  <c r="M27" i="8"/>
  <c r="N27" i="8"/>
  <c r="O27" i="8"/>
  <c r="M28" i="8"/>
  <c r="N28" i="8"/>
  <c r="O28" i="8"/>
  <c r="P28" i="8"/>
  <c r="P29" i="8"/>
  <c r="M29" i="8"/>
  <c r="N29" i="8"/>
  <c r="O29" i="8"/>
  <c r="P30" i="8"/>
  <c r="M30" i="8"/>
  <c r="N30" i="8"/>
  <c r="O30" i="8"/>
  <c r="L31" i="8"/>
  <c r="M31" i="8"/>
  <c r="N31" i="8"/>
  <c r="O31" i="8"/>
  <c r="P31" i="8"/>
  <c r="H14" i="4"/>
  <c r="B41" i="4"/>
  <c r="B40" i="4"/>
  <c r="B32" i="4"/>
  <c r="E15" i="4"/>
  <c r="D15" i="4"/>
  <c r="E23" i="4"/>
  <c r="D23" i="4"/>
  <c r="B24" i="4"/>
  <c r="D39" i="4"/>
  <c r="B38" i="4"/>
  <c r="E31" i="4"/>
  <c r="B30" i="4"/>
  <c r="B22" i="4"/>
  <c r="B17" i="4"/>
  <c r="B16" i="4"/>
  <c r="B14" i="4"/>
  <c r="E9" i="4" l="1"/>
  <c r="E8" i="4"/>
  <c r="E7" i="4"/>
  <c r="E6" i="4"/>
  <c r="E5" i="4"/>
  <c r="E4" i="4"/>
  <c r="E3" i="4"/>
  <c r="L6" i="1"/>
  <c r="L5" i="1"/>
  <c r="L8" i="1" l="1"/>
  <c r="G12" i="3"/>
  <c r="G13" i="3"/>
  <c r="G14" i="3"/>
  <c r="G15" i="3"/>
  <c r="G16" i="3"/>
  <c r="G17" i="3"/>
  <c r="G18" i="3"/>
  <c r="D19" i="3"/>
  <c r="G23" i="3"/>
  <c r="D24" i="3"/>
  <c r="G24" i="3" s="1"/>
  <c r="D25" i="3"/>
  <c r="G25" i="3" s="1"/>
  <c r="D26" i="3"/>
  <c r="G26" i="3" s="1"/>
  <c r="D27" i="3"/>
  <c r="G27" i="3" s="1"/>
  <c r="D28" i="3"/>
  <c r="G28" i="3" s="1"/>
  <c r="L35" i="8"/>
  <c r="M35" i="8"/>
  <c r="N35" i="8"/>
  <c r="O35" i="8"/>
  <c r="P35" i="8"/>
  <c r="L36" i="8"/>
  <c r="P36" i="8" s="1"/>
  <c r="M36" i="8"/>
  <c r="N36" i="8"/>
  <c r="O36" i="8"/>
  <c r="L37" i="8"/>
  <c r="P37" i="8" s="1"/>
  <c r="M37" i="8"/>
  <c r="N37" i="8"/>
  <c r="O37" i="8"/>
  <c r="L34" i="8"/>
  <c r="P34" i="8" s="1"/>
  <c r="M34" i="8"/>
  <c r="N34" i="8"/>
  <c r="O34" i="8"/>
  <c r="P15" i="8"/>
  <c r="M15" i="8"/>
  <c r="N15" i="8"/>
  <c r="O15" i="8"/>
  <c r="P16" i="8"/>
  <c r="M16" i="8"/>
  <c r="N16" i="8"/>
  <c r="O16" i="8"/>
  <c r="P17" i="8"/>
  <c r="M17" i="8"/>
  <c r="N17" i="8"/>
  <c r="O17" i="8"/>
  <c r="P18" i="8"/>
  <c r="M18" i="8"/>
  <c r="N18" i="8"/>
  <c r="O18" i="8"/>
  <c r="P19" i="8"/>
  <c r="M19" i="8"/>
  <c r="N19" i="8"/>
  <c r="O19" i="8"/>
  <c r="P20" i="8"/>
  <c r="M20" i="8"/>
  <c r="N20" i="8"/>
  <c r="O20" i="8"/>
  <c r="P21" i="8"/>
  <c r="M21" i="8"/>
  <c r="N21" i="8"/>
  <c r="O21" i="8"/>
  <c r="P22" i="8"/>
  <c r="M22" i="8"/>
  <c r="N22" i="8"/>
  <c r="O22" i="8"/>
  <c r="P23" i="8"/>
  <c r="M23" i="8"/>
  <c r="N23" i="8"/>
  <c r="O23" i="8"/>
  <c r="P24" i="8"/>
  <c r="M24" i="8"/>
  <c r="N24" i="8"/>
  <c r="O24" i="8"/>
  <c r="P25" i="8"/>
  <c r="M25" i="8"/>
  <c r="N25" i="8"/>
  <c r="O25" i="8"/>
  <c r="L32" i="8"/>
  <c r="M32" i="8"/>
  <c r="N32" i="8"/>
  <c r="O32" i="8"/>
  <c r="P32" i="8"/>
  <c r="L25" i="1"/>
  <c r="L26" i="1"/>
  <c r="L27" i="1"/>
  <c r="L28" i="1"/>
  <c r="D31" i="4" s="1"/>
  <c r="L29" i="1"/>
  <c r="L30" i="1"/>
  <c r="L31" i="1"/>
  <c r="L32" i="1"/>
  <c r="L33" i="1"/>
  <c r="L34" i="1"/>
  <c r="L35" i="1"/>
  <c r="L21" i="1"/>
  <c r="L22" i="1"/>
  <c r="L23" i="1"/>
  <c r="L24" i="1"/>
  <c r="L38" i="8"/>
  <c r="L33" i="8"/>
  <c r="G22" i="3" l="1"/>
  <c r="G19" i="3"/>
  <c r="C39" i="4"/>
  <c r="B39" i="4"/>
  <c r="C15" i="4"/>
  <c r="B15" i="4"/>
  <c r="E39" i="4"/>
  <c r="T39" i="8" l="1"/>
  <c r="R39" i="8"/>
  <c r="L39" i="8"/>
  <c r="J39" i="8"/>
  <c r="O38" i="8"/>
  <c r="N38" i="8"/>
  <c r="M38" i="8"/>
  <c r="O33" i="8"/>
  <c r="N33" i="8"/>
  <c r="M33" i="8"/>
  <c r="O14" i="8"/>
  <c r="N14" i="8"/>
  <c r="M14" i="8"/>
  <c r="L5" i="8"/>
  <c r="L8" i="8" s="1"/>
  <c r="L6" i="8"/>
  <c r="P38" i="8"/>
  <c r="P33" i="8"/>
  <c r="B36" i="4"/>
  <c r="B12" i="4"/>
  <c r="B13" i="4" s="1"/>
  <c r="N40" i="8" l="1"/>
  <c r="P40" i="8"/>
  <c r="B20" i="4"/>
  <c r="B28" i="4"/>
  <c r="N39" i="8"/>
  <c r="L9" i="8"/>
  <c r="L10" i="8" s="1"/>
  <c r="P14" i="8"/>
  <c r="P39" i="8" s="1"/>
  <c r="L15" i="1" l="1"/>
  <c r="L16" i="1"/>
  <c r="L17" i="1"/>
  <c r="L18" i="1"/>
  <c r="L19" i="1"/>
  <c r="L20" i="1"/>
  <c r="L14" i="1"/>
  <c r="B23" i="4" l="1"/>
  <c r="B25" i="4"/>
  <c r="C23" i="4"/>
  <c r="B33" i="4"/>
  <c r="C31" i="4"/>
  <c r="B31" i="4"/>
  <c r="L9" i="1"/>
  <c r="L10" i="1" s="1"/>
  <c r="B21" i="4" l="1"/>
  <c r="E10" i="4"/>
  <c r="B37" i="4"/>
  <c r="B29" i="4"/>
  <c r="G11" i="3" l="1"/>
  <c r="G10" i="3"/>
  <c r="G9" i="3"/>
  <c r="G8" i="3"/>
  <c r="D7" i="3"/>
  <c r="G7" i="3" l="1"/>
  <c r="G5" i="3" s="1"/>
  <c r="B8" i="4"/>
  <c r="B7" i="4"/>
  <c r="B5" i="4"/>
  <c r="B9" i="4" l="1"/>
  <c r="B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C4" authorId="0" shapeId="0" xr:uid="{9B2E0C29-171F-4211-8BB0-82C500B0C389}">
      <text>
        <r>
          <rPr>
            <sz val="9"/>
            <color indexed="81"/>
            <rFont val="Tahoma"/>
            <family val="2"/>
          </rPr>
          <t xml:space="preserve">09/2019
Benefits account for 38% of employee costs
and wages account for the remaining 62%.
W = .62 x TC
TC = 1.6129 x W
FB = .38 x TC
TC = 2.6316 x FB
2.6316 x FB = TC = 1.6129 x W
FB = (1.6129 / 2.6316) x W
FB = .613 x W
Fringe Benefits = Wages x .613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<sst xmlns="http://schemas.openxmlformats.org/spreadsheetml/2006/main" count="449" uniqueCount="144">
  <si>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</si>
  <si>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</si>
  <si>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</si>
  <si>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</si>
  <si>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</si>
  <si>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</si>
  <si>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</si>
  <si>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</si>
  <si>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</si>
  <si>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</si>
  <si>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</si>
  <si>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</si>
  <si>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</si>
  <si>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</si>
  <si>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</si>
  <si>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</si>
  <si>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</si>
  <si>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</si>
  <si>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</si>
  <si>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</si>
  <si>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</si>
  <si>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</si>
  <si>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</si>
  <si>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</si>
  <si>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</si>
  <si>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</si>
  <si>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Activity descriptions and calculations are below.</t>
  </si>
  <si>
    <t>TITLE OF INFORMATION COLLECTION REQUEST (ICR)</t>
  </si>
  <si>
    <t>Collection Number</t>
  </si>
  <si>
    <t>Expiration Date</t>
  </si>
  <si>
    <t>Formula Check for Information Collections</t>
  </si>
  <si>
    <t>Summary</t>
  </si>
  <si>
    <t>Respondents</t>
  </si>
  <si>
    <t>A = Respondents (given)</t>
  </si>
  <si>
    <t>SOCC</t>
  </si>
  <si>
    <t>AVG</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</si>
  <si>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</si>
  <si>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</si>
  <si>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</si>
  <si>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</si>
  <si>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</si>
  <si>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</si>
  <si>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</si>
  <si>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</si>
  <si>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</si>
  <si>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</si>
  <si>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</si>
  <si>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</si>
  <si>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</si>
  <si>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</si>
  <si>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</si>
  <si>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</si>
  <si>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PREVIOUS RENEWAL</t>
  </si>
  <si>
    <t>OMB CONTROL NO.</t>
  </si>
  <si>
    <t>DATA SUMMARY</t>
  </si>
  <si>
    <t>FRINGE BENEFITS FACTOR
(B)</t>
  </si>
  <si>
    <t>TOTAL ANNUAL RESPONSES
(D)</t>
  </si>
  <si>
    <t>TOTAL HOURS PER YEAR
(F)</t>
  </si>
  <si>
    <t>GRADE
(G)</t>
  </si>
  <si>
    <t>TOTAL COSTS
(1+B+C) x F x H</t>
  </si>
  <si>
    <t>AVG TIME PER RESPONSES
(E)</t>
  </si>
  <si>
    <t>TOTAL
FEDERAL GOVERNMENT COSTS</t>
  </si>
  <si>
    <t>ACTIVITY DESCRIPTION (incl form number)</t>
  </si>
  <si>
    <t>WAGE
(Step 4)
(H)</t>
  </si>
  <si>
    <t>Additional line for ICR Title if title is too long</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</si>
  <si>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</si>
  <si>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</si>
  <si>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</si>
  <si>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</si>
  <si>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</si>
  <si>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</si>
  <si>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</si>
  <si>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</si>
  <si>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</si>
  <si>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</si>
  <si>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</si>
  <si>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</si>
  <si>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</si>
  <si>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</si>
  <si>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OPM PAY TABLE
(A)</t>
  </si>
  <si>
    <t>OVERHEAD COST FACTOR
(C)</t>
  </si>
  <si>
    <t>3rd Party</t>
  </si>
  <si>
    <t>TOTAL RESPONDENTS</t>
  </si>
  <si>
    <t>0579-####</t>
  </si>
  <si>
    <t>mm/dd/yyyy</t>
  </si>
  <si>
    <t>Instructions: This sheet is utilized by IMB only.</t>
  </si>
  <si>
    <t>Instructions: If title is too long, continue entering in row 3.</t>
  </si>
  <si>
    <t>00-0000</t>
  </si>
  <si>
    <t>IMB utilizes this section.</t>
  </si>
  <si>
    <t>Additional line for ICR Title if title is too long.</t>
  </si>
  <si>
    <t>Instructions: Column L contains formulas and updates automatically as data is keyed starting in row 14.</t>
  </si>
  <si>
    <t>Instructions: Column G contains formulas and updates automatically as data is keyed starting in row 7.</t>
  </si>
  <si>
    <t>Instructions: Data populates automatically as it is keyed onto the APHIS 71 worksheet.</t>
  </si>
  <si>
    <t>PART I - ICR INFORMATION, POINT OF CONTACT, FEDERAL REGISTER NOTICE INFORMATION</t>
  </si>
  <si>
    <t>2022-DCB</t>
  </si>
  <si>
    <t>Average Hourly Salary Total for SS Q12 (Average will update once rows 3 thru 13 are updated.)</t>
  </si>
  <si>
    <t>3/23/22: fix formula b25 to compute past L20; now computes L14:L154.</t>
  </si>
  <si>
    <t>0579-0313</t>
  </si>
  <si>
    <t>Permanent, Privately Owned Horse Quarantine Facilities</t>
  </si>
  <si>
    <t>Renewal and revision</t>
  </si>
  <si>
    <t>Dr. Iwona Popowski</t>
  </si>
  <si>
    <t>(301) 851-3358</t>
  </si>
  <si>
    <t>APHIS–2021–0042</t>
  </si>
  <si>
    <t>Vol. 86, No. 223</t>
  </si>
  <si>
    <t>Envrionmental Certification</t>
  </si>
  <si>
    <t>Application for Facility Approval</t>
  </si>
  <si>
    <t>Service Agreement</t>
  </si>
  <si>
    <t>Letter Challenging Withdrawal of Facility Approval</t>
  </si>
  <si>
    <t>Letter Notifying APHIS of Facility Closure</t>
  </si>
  <si>
    <t>Memorandum of Understanding</t>
  </si>
  <si>
    <t>Security Instructions</t>
  </si>
  <si>
    <t>Alarm Notification</t>
  </si>
  <si>
    <t>Security Breach</t>
  </si>
  <si>
    <t>List of Personnel</t>
  </si>
  <si>
    <t>Signed Statements</t>
  </si>
  <si>
    <t>Authorized Access Affidavits</t>
  </si>
  <si>
    <t>Daily Log</t>
  </si>
  <si>
    <t>Request for Variance</t>
  </si>
  <si>
    <t>Standard Operating Procedures</t>
  </si>
  <si>
    <t>9 CFR 93.308(c)(5)</t>
  </si>
  <si>
    <t>9 CFR 93.308(c)(1)(i)</t>
  </si>
  <si>
    <t>9 CFR 93.308(c)(1)(i)(A)</t>
  </si>
  <si>
    <t>9 CFR 93.308(c)(1)(iv)(A)</t>
  </si>
  <si>
    <t>9 CFR 93.308(c)(1)(i)(B)</t>
  </si>
  <si>
    <t>9 CFR 93.308(c)(1)(iv)(C)(3); 93.308(c)(2)</t>
  </si>
  <si>
    <t>9 CFR 93.308(c)(3)(iv)(C)</t>
  </si>
  <si>
    <t>9 CFR 93.308(c)(4)(ii)(B)</t>
  </si>
  <si>
    <t>9 CFR 93.308(c)(4)(ii)(C)</t>
  </si>
  <si>
    <t>9 CFR 93.308(c)(4)(vi)</t>
  </si>
  <si>
    <t>9 CFR 93.308(c)(6)</t>
  </si>
  <si>
    <t>9 CFR 93.308(c)(4)</t>
  </si>
  <si>
    <t>none</t>
  </si>
  <si>
    <t>Paper</t>
  </si>
  <si>
    <t>E</t>
  </si>
  <si>
    <t>S2</t>
  </si>
  <si>
    <t>x</t>
  </si>
  <si>
    <t>I</t>
  </si>
  <si>
    <t>P1</t>
  </si>
  <si>
    <t>R</t>
  </si>
  <si>
    <t>13</t>
  </si>
  <si>
    <t>14</t>
  </si>
  <si>
    <t>06/2022</t>
  </si>
  <si>
    <t>D</t>
  </si>
  <si>
    <t>Memorandum of Understanding/Compliance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</si>
</sst>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quot;$&quot;#,##0"/>
    <numFmt numFmtId="166" formatCode="_(* #,##0_);_(* \(#,##0\);_(* &quot;-&quot;??_);_(@_)"/>
    <numFmt numFmtId="167" formatCode="_(* #,##0.00000_);_(* \(#,##0.00000\);_(* &quot;-&quot;??_);_(@_)"/>
    <numFmt numFmtId="168"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6"/>
      <name val="Times New Roman"/>
      <family val="1"/>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sz val="7"/>
      <name val="Calibri"/>
      <family val="2"/>
      <scheme val="minor"/>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sz val="8.5"/>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theme="0" tint="-0.499984740745262"/>
      </left>
      <right style="thick">
        <color theme="0" tint="-0.499984740745262"/>
      </right>
      <top style="medium">
        <color indexed="64"/>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style="thin">
        <color theme="0" tint="-0.499984740745262"/>
      </right>
      <top style="thin">
        <color theme="0" tint="-0.499984740745262"/>
      </top>
      <bottom style="thin">
        <color theme="0" tint="-0.499984740745262"/>
      </bottom>
      <diagonal/>
    </border>
    <border>
      <left style="thick">
        <color indexed="64"/>
      </left>
      <right style="thin">
        <color theme="0" tint="-0.499984740745262"/>
      </right>
      <top style="thin">
        <color theme="0" tint="-0.499984740745262"/>
      </top>
      <bottom style="thick">
        <color theme="0" tint="-0.499984740745262"/>
      </bottom>
      <diagonal/>
    </border>
    <border>
      <left style="thin">
        <color theme="0" tint="-0.499984740745262"/>
      </left>
      <right style="thick">
        <color indexed="64"/>
      </right>
      <top style="medium">
        <color indexed="64"/>
      </top>
      <bottom style="thin">
        <color theme="0" tint="-0.499984740745262"/>
      </bottom>
      <diagonal/>
    </border>
    <border>
      <left style="thin">
        <color theme="0" tint="-0.499984740745262"/>
      </left>
      <right style="thick">
        <color indexed="64"/>
      </right>
      <top style="thin">
        <color theme="0" tint="-0.499984740745262"/>
      </top>
      <bottom style="thin">
        <color theme="0" tint="-0.499984740745262"/>
      </bottom>
      <diagonal/>
    </border>
    <border>
      <left style="thin">
        <color theme="0" tint="-0.499984740745262"/>
      </left>
      <right style="thick">
        <color indexed="64"/>
      </right>
      <top style="thin">
        <color theme="0" tint="-0.499984740745262"/>
      </top>
      <bottom style="thick">
        <color theme="0" tint="-0.499984740745262"/>
      </bottom>
      <diagonal/>
    </border>
    <border>
      <left style="thick">
        <color indexed="64"/>
      </left>
      <right style="thin">
        <color theme="0" tint="-0.499984740745262"/>
      </right>
      <top style="thick">
        <color theme="0" tint="-0.499984740745262"/>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style="thick">
        <color indexed="64"/>
      </right>
      <top style="thick">
        <color theme="0" tint="-0.499984740745262"/>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ck">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4" fillId="0" borderId="0"/>
    <xf numFmtId="44" fontId="6" fillId="0" borderId="0" applyFont="0" applyFill="0" applyBorder="0" applyAlignment="0" applyProtection="0"/>
  </cellStyleXfs>
  <cellXfs count="295">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6" fillId="0" borderId="0" xfId="2" applyAlignment="1">
      <alignment horizontal="left" vertical="top"/>
    </xf>
    <xf numFmtId="0" fontId="4" fillId="0" borderId="0" xfId="2" applyFont="1" applyAlignment="1">
      <alignment horizontal="left" vertical="center"/>
    </xf>
    <xf numFmtId="0" fontId="8" fillId="0" borderId="0" xfId="2" applyFont="1" applyAlignment="1">
      <alignment horizontal="left" vertical="top"/>
    </xf>
    <xf numFmtId="164" fontId="8" fillId="0" borderId="0" xfId="2" applyNumberFormat="1" applyFont="1" applyAlignment="1">
      <alignment horizontal="left" vertical="top"/>
    </xf>
    <xf numFmtId="1" fontId="8" fillId="0" borderId="0" xfId="2" applyNumberFormat="1" applyFont="1" applyAlignment="1">
      <alignment horizontal="center" vertical="top"/>
    </xf>
    <xf numFmtId="2" fontId="8" fillId="0" borderId="0" xfId="2" applyNumberFormat="1" applyFont="1" applyAlignment="1">
      <alignment horizontal="left" vertical="top"/>
    </xf>
    <xf numFmtId="49" fontId="12" fillId="0" borderId="1" xfId="2" applyNumberFormat="1" applyFont="1" applyBorder="1" applyAlignment="1">
      <alignment horizontal="center" vertical="center"/>
    </xf>
    <xf numFmtId="164" fontId="12" fillId="0" borderId="1" xfId="2" applyNumberFormat="1" applyFont="1" applyBorder="1" applyAlignment="1">
      <alignment horizontal="center" vertical="center"/>
    </xf>
    <xf numFmtId="37" fontId="12" fillId="0" borderId="1" xfId="4" applyNumberFormat="1" applyFont="1" applyFill="1" applyBorder="1" applyAlignment="1">
      <alignment horizontal="center" vertical="center"/>
    </xf>
    <xf numFmtId="37" fontId="12" fillId="0" borderId="1" xfId="4" applyNumberFormat="1" applyFont="1" applyBorder="1" applyAlignment="1">
      <alignment horizontal="center" vertical="center"/>
    </xf>
    <xf numFmtId="0" fontId="15" fillId="0" borderId="0" xfId="6" applyFont="1" applyAlignment="1">
      <alignment vertical="center"/>
    </xf>
    <xf numFmtId="0" fontId="2" fillId="0" borderId="36" xfId="0" applyFont="1" applyBorder="1" applyAlignment="1">
      <alignment horizontal="center" wrapText="1"/>
    </xf>
    <xf numFmtId="0" fontId="2" fillId="0" borderId="37" xfId="0" applyFont="1" applyBorder="1" applyAlignment="1">
      <alignment horizontal="center" wrapText="1"/>
    </xf>
    <xf numFmtId="3" fontId="5" fillId="0" borderId="38" xfId="0" applyNumberFormat="1" applyFont="1" applyBorder="1" applyAlignment="1">
      <alignment horizontal="center" vertical="center"/>
    </xf>
    <xf numFmtId="3" fontId="5" fillId="0" borderId="39" xfId="0" applyNumberFormat="1" applyFont="1" applyBorder="1" applyAlignment="1">
      <alignment horizontal="center" vertical="center"/>
    </xf>
    <xf numFmtId="0" fontId="0" fillId="0" borderId="40" xfId="0" applyBorder="1" applyAlignment="1">
      <alignment horizontal="center"/>
    </xf>
    <xf numFmtId="0" fontId="2" fillId="0" borderId="41" xfId="0" applyFont="1" applyBorder="1" applyAlignment="1">
      <alignment horizontal="right"/>
    </xf>
    <xf numFmtId="3" fontId="0" fillId="0" borderId="42" xfId="0" applyNumberFormat="1" applyFont="1" applyBorder="1" applyAlignment="1">
      <alignment horizontal="center"/>
    </xf>
    <xf numFmtId="0" fontId="0" fillId="0" borderId="43" xfId="0" applyBorder="1" applyAlignment="1">
      <alignment horizontal="center"/>
    </xf>
    <xf numFmtId="0" fontId="2" fillId="0" borderId="44" xfId="0" applyFont="1" applyBorder="1" applyAlignment="1">
      <alignment horizontal="right"/>
    </xf>
    <xf numFmtId="3" fontId="0" fillId="0" borderId="45" xfId="0" applyNumberFormat="1" applyFont="1" applyBorder="1" applyAlignment="1">
      <alignment horizontal="center"/>
    </xf>
    <xf numFmtId="9" fontId="0" fillId="0" borderId="45" xfId="1" applyFont="1" applyBorder="1" applyAlignment="1">
      <alignment horizontal="center"/>
    </xf>
    <xf numFmtId="1" fontId="0" fillId="0" borderId="45" xfId="0" applyNumberFormat="1" applyFont="1" applyBorder="1" applyAlignment="1">
      <alignment horizontal="center"/>
    </xf>
    <xf numFmtId="164" fontId="0" fillId="0" borderId="45" xfId="0" applyNumberFormat="1" applyFont="1" applyBorder="1" applyAlignment="1">
      <alignment horizontal="center"/>
    </xf>
    <xf numFmtId="0" fontId="0" fillId="0" borderId="46" xfId="0" applyBorder="1" applyAlignment="1">
      <alignment horizontal="center"/>
    </xf>
    <xf numFmtId="0" fontId="2" fillId="0" borderId="47" xfId="0" applyFont="1" applyBorder="1" applyAlignment="1">
      <alignment horizontal="right"/>
    </xf>
    <xf numFmtId="9" fontId="0" fillId="0" borderId="48" xfId="1" applyFont="1" applyBorder="1" applyAlignment="1">
      <alignment horizontal="center"/>
    </xf>
    <xf numFmtId="0" fontId="0" fillId="0" borderId="41" xfId="0" applyFont="1" applyBorder="1"/>
    <xf numFmtId="0" fontId="0" fillId="0" borderId="44" xfId="0" applyFont="1" applyBorder="1"/>
    <xf numFmtId="0" fontId="0" fillId="0" borderId="47" xfId="0" applyFont="1" applyBorder="1"/>
    <xf numFmtId="0" fontId="0" fillId="0" borderId="44" xfId="0" applyFont="1" applyFill="1" applyBorder="1"/>
    <xf numFmtId="0" fontId="0" fillId="0" borderId="45" xfId="0" applyFont="1" applyFill="1" applyBorder="1"/>
    <xf numFmtId="0" fontId="0" fillId="0" borderId="47" xfId="0" applyFont="1" applyFill="1" applyBorder="1"/>
    <xf numFmtId="7" fontId="12" fillId="0" borderId="1" xfId="4" applyNumberFormat="1" applyFont="1" applyFill="1" applyBorder="1" applyAlignment="1">
      <alignment horizontal="center" vertical="center"/>
    </xf>
    <xf numFmtId="0" fontId="0" fillId="0" borderId="49" xfId="0" applyFont="1" applyFill="1" applyBorder="1"/>
    <xf numFmtId="0" fontId="0" fillId="0" borderId="50" xfId="0" applyFont="1" applyFill="1" applyBorder="1"/>
    <xf numFmtId="0" fontId="0" fillId="0" borderId="48" xfId="0" applyFont="1" applyFill="1" applyBorder="1" applyAlignment="1">
      <alignment horizontal="center"/>
    </xf>
    <xf numFmtId="0" fontId="17" fillId="0" borderId="13" xfId="0" applyFont="1" applyBorder="1"/>
    <xf numFmtId="0" fontId="17" fillId="0" borderId="13" xfId="0" applyFont="1" applyBorder="1" applyAlignment="1">
      <alignment horizontal="center"/>
    </xf>
    <xf numFmtId="0" fontId="2" fillId="0" borderId="43" xfId="0" applyFont="1" applyBorder="1" applyAlignment="1">
      <alignment horizontal="right"/>
    </xf>
    <xf numFmtId="0" fontId="2" fillId="0" borderId="40" xfId="0" applyFont="1" applyBorder="1" applyAlignment="1">
      <alignment horizontal="right"/>
    </xf>
    <xf numFmtId="0" fontId="2" fillId="0" borderId="46" xfId="0" applyFont="1" applyBorder="1" applyAlignment="1">
      <alignment horizontal="right"/>
    </xf>
    <xf numFmtId="0" fontId="17" fillId="0" borderId="3" xfId="0" applyFont="1" applyFill="1" applyBorder="1" applyAlignment="1">
      <alignment horizontal="left"/>
    </xf>
    <xf numFmtId="0" fontId="17" fillId="0" borderId="3" xfId="0" applyFont="1" applyFill="1" applyBorder="1" applyAlignment="1"/>
    <xf numFmtId="0" fontId="18" fillId="0" borderId="3" xfId="0" applyFont="1" applyFill="1" applyBorder="1" applyAlignment="1">
      <alignment horizontal="right"/>
    </xf>
    <xf numFmtId="0" fontId="17" fillId="0" borderId="4" xfId="0" applyFont="1" applyFill="1" applyBorder="1" applyAlignment="1">
      <alignment horizontal="left"/>
    </xf>
    <xf numFmtId="0" fontId="17" fillId="0" borderId="7" xfId="0" applyFont="1" applyFill="1" applyBorder="1" applyAlignment="1"/>
    <xf numFmtId="0" fontId="18" fillId="0" borderId="7" xfId="0" applyFont="1" applyFill="1" applyBorder="1" applyAlignment="1">
      <alignment horizontal="right"/>
    </xf>
    <xf numFmtId="0" fontId="17" fillId="0" borderId="7" xfId="0" applyFont="1" applyFill="1" applyBorder="1" applyAlignment="1">
      <alignment horizontal="center"/>
    </xf>
    <xf numFmtId="14" fontId="17" fillId="0" borderId="8" xfId="0" applyNumberFormat="1" applyFont="1" applyFill="1" applyBorder="1" applyAlignment="1">
      <alignment horizontal="left"/>
    </xf>
    <xf numFmtId="0" fontId="17" fillId="0" borderId="3" xfId="0" applyFont="1" applyFill="1" applyBorder="1" applyAlignment="1">
      <alignment horizontal="left" indent="2"/>
    </xf>
    <xf numFmtId="0" fontId="0" fillId="0" borderId="44" xfId="0" applyFont="1" applyBorder="1" applyAlignment="1">
      <alignment horizontal="left" indent="1"/>
    </xf>
    <xf numFmtId="14" fontId="0" fillId="0" borderId="44" xfId="0" applyNumberFormat="1" applyFont="1" applyBorder="1" applyAlignment="1">
      <alignment horizontal="left" indent="1"/>
    </xf>
    <xf numFmtId="0" fontId="0" fillId="0" borderId="47" xfId="0" applyFont="1" applyBorder="1" applyAlignment="1">
      <alignment horizontal="left" indent="1"/>
    </xf>
    <xf numFmtId="0" fontId="0" fillId="0" borderId="41" xfId="0" applyFont="1" applyBorder="1" applyAlignment="1">
      <alignment horizontal="left" indent="1"/>
    </xf>
    <xf numFmtId="0" fontId="18" fillId="2" borderId="6" xfId="0" applyFont="1" applyFill="1" applyBorder="1" applyAlignment="1">
      <alignment horizontal="left"/>
    </xf>
    <xf numFmtId="0" fontId="18" fillId="2" borderId="7" xfId="0" applyFont="1" applyFill="1" applyBorder="1" applyAlignment="1">
      <alignment horizontal="center"/>
    </xf>
    <xf numFmtId="0" fontId="18" fillId="2" borderId="7" xfId="0" applyFont="1" applyFill="1" applyBorder="1"/>
    <xf numFmtId="0" fontId="18" fillId="2" borderId="13" xfId="0" applyFont="1" applyFill="1" applyBorder="1"/>
    <xf numFmtId="0" fontId="17" fillId="2" borderId="12" xfId="0" applyFont="1" applyFill="1" applyBorder="1" applyAlignment="1">
      <alignment horizontal="center"/>
    </xf>
    <xf numFmtId="0" fontId="18" fillId="2" borderId="13" xfId="0" applyFont="1" applyFill="1" applyBorder="1" applyAlignment="1">
      <alignment horizontal="center"/>
    </xf>
    <xf numFmtId="0" fontId="17" fillId="2" borderId="15" xfId="0" applyFont="1" applyFill="1" applyBorder="1" applyAlignment="1">
      <alignment horizontal="center"/>
    </xf>
    <xf numFmtId="0" fontId="18" fillId="2" borderId="12" xfId="0" applyFont="1" applyFill="1" applyBorder="1"/>
    <xf numFmtId="0" fontId="17" fillId="2" borderId="13" xfId="0" applyFont="1" applyFill="1" applyBorder="1"/>
    <xf numFmtId="0" fontId="17" fillId="2" borderId="13" xfId="0" applyFont="1" applyFill="1" applyBorder="1" applyAlignment="1">
      <alignment horizontal="center"/>
    </xf>
    <xf numFmtId="0" fontId="17"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37" fontId="12" fillId="0" borderId="16" xfId="4" applyNumberFormat="1" applyFont="1" applyBorder="1" applyAlignment="1">
      <alignment horizontal="center" vertical="center"/>
    </xf>
    <xf numFmtId="7" fontId="12" fillId="0" borderId="16" xfId="4" applyNumberFormat="1" applyFont="1" applyFill="1" applyBorder="1" applyAlignment="1">
      <alignment horizontal="center" vertical="center"/>
    </xf>
    <xf numFmtId="0" fontId="10" fillId="0" borderId="12" xfId="2" applyFont="1" applyBorder="1" applyAlignment="1">
      <alignment vertical="top" wrapText="1"/>
    </xf>
    <xf numFmtId="0" fontId="11" fillId="0" borderId="52" xfId="2" applyFont="1" applyBorder="1" applyAlignment="1">
      <alignment horizontal="center" wrapText="1"/>
    </xf>
    <xf numFmtId="164" fontId="11" fillId="0" borderId="52" xfId="3" applyNumberFormat="1" applyFont="1" applyBorder="1" applyAlignment="1">
      <alignment horizontal="center" wrapText="1"/>
    </xf>
    <xf numFmtId="0" fontId="6" fillId="0" borderId="13" xfId="2" applyBorder="1" applyAlignment="1">
      <alignment horizontal="left"/>
    </xf>
    <xf numFmtId="1" fontId="11" fillId="0" borderId="53" xfId="2" applyNumberFormat="1" applyFont="1" applyBorder="1" applyAlignment="1">
      <alignment wrapText="1"/>
    </xf>
    <xf numFmtId="0" fontId="11" fillId="0" borderId="55" xfId="2" applyFont="1" applyBorder="1" applyAlignment="1">
      <alignment wrapText="1"/>
    </xf>
    <xf numFmtId="0" fontId="13" fillId="0" borderId="22" xfId="2" applyFont="1" applyBorder="1" applyAlignment="1">
      <alignment horizontal="center" wrapText="1"/>
    </xf>
    <xf numFmtId="164" fontId="13" fillId="0" borderId="22" xfId="2" applyNumberFormat="1" applyFont="1" applyBorder="1" applyAlignment="1">
      <alignment horizontal="center" wrapText="1"/>
    </xf>
    <xf numFmtId="1" fontId="13" fillId="0" borderId="22" xfId="2" applyNumberFormat="1" applyFont="1" applyBorder="1" applyAlignment="1">
      <alignment horizontal="center" wrapText="1"/>
    </xf>
    <xf numFmtId="2" fontId="13" fillId="0" borderId="22" xfId="2" applyNumberFormat="1" applyFont="1" applyBorder="1" applyAlignment="1">
      <alignment horizontal="center" wrapText="1"/>
    </xf>
    <xf numFmtId="0" fontId="13" fillId="0" borderId="51" xfId="2" applyFont="1" applyBorder="1" applyAlignment="1">
      <alignment horizontal="center" wrapText="1"/>
    </xf>
    <xf numFmtId="0" fontId="6" fillId="2" borderId="13" xfId="2" applyFill="1" applyBorder="1" applyAlignment="1">
      <alignment horizontal="left"/>
    </xf>
    <xf numFmtId="165" fontId="13" fillId="2" borderId="53" xfId="4" applyNumberFormat="1" applyFont="1" applyFill="1" applyBorder="1" applyAlignment="1">
      <alignment wrapText="1"/>
    </xf>
    <xf numFmtId="5" fontId="21" fillId="2" borderId="54" xfId="5" applyNumberFormat="1" applyFont="1" applyFill="1" applyBorder="1" applyAlignment="1">
      <alignment horizont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0" borderId="10" xfId="0" applyNumberFormat="1" applyFont="1" applyBorder="1" applyAlignment="1">
      <alignment horizontal="center" vertical="center"/>
    </xf>
    <xf numFmtId="0" fontId="5" fillId="0" borderId="9" xfId="0" applyNumberFormat="1" applyFont="1" applyBorder="1" applyAlignment="1">
      <alignment horizontal="center" vertical="center"/>
    </xf>
    <xf numFmtId="3" fontId="5" fillId="0" borderId="56" xfId="0" applyNumberFormat="1" applyFont="1" applyBorder="1" applyAlignment="1">
      <alignment horizontal="center" vertical="center"/>
    </xf>
    <xf numFmtId="3" fontId="5" fillId="0" borderId="57" xfId="0" applyNumberFormat="1" applyFont="1" applyBorder="1" applyAlignment="1">
      <alignment horizontal="center" vertical="center"/>
    </xf>
    <xf numFmtId="0" fontId="5" fillId="0" borderId="59" xfId="0" applyFont="1" applyBorder="1" applyAlignment="1">
      <alignment horizontal="center" vertical="center"/>
    </xf>
    <xf numFmtId="3" fontId="5" fillId="0" borderId="59" xfId="0" applyNumberFormat="1" applyFont="1" applyBorder="1" applyAlignment="1">
      <alignment horizontal="center" vertical="center"/>
    </xf>
    <xf numFmtId="3" fontId="5" fillId="0" borderId="60" xfId="0" applyNumberFormat="1" applyFont="1" applyBorder="1" applyAlignment="1">
      <alignment horizontal="center" vertical="center"/>
    </xf>
    <xf numFmtId="3" fontId="5" fillId="0" borderId="58" xfId="0" applyNumberFormat="1" applyFont="1" applyBorder="1" applyAlignment="1">
      <alignment horizontal="center" vertical="center"/>
    </xf>
    <xf numFmtId="0" fontId="2" fillId="3" borderId="61" xfId="0" applyFont="1" applyFill="1" applyBorder="1" applyAlignment="1">
      <alignment horizontal="center" wrapText="1"/>
    </xf>
    <xf numFmtId="0" fontId="2" fillId="3" borderId="11" xfId="0" applyFont="1" applyFill="1" applyBorder="1" applyAlignment="1">
      <alignment horizontal="center" wrapText="1"/>
    </xf>
    <xf numFmtId="0" fontId="2" fillId="3" borderId="36" xfId="0" applyFont="1" applyFill="1" applyBorder="1" applyAlignment="1">
      <alignment horizontal="center" wrapText="1"/>
    </xf>
    <xf numFmtId="3" fontId="12" fillId="3" borderId="62"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0" fontId="12" fillId="3" borderId="10" xfId="0" applyFont="1" applyFill="1" applyBorder="1" applyAlignment="1">
      <alignment horizontal="center" vertical="center"/>
    </xf>
    <xf numFmtId="3" fontId="12" fillId="3" borderId="65" xfId="0" applyNumberFormat="1" applyFont="1" applyFill="1" applyBorder="1" applyAlignment="1">
      <alignment horizontal="center" vertical="center"/>
    </xf>
    <xf numFmtId="3" fontId="12" fillId="3" borderId="63"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0" fontId="12" fillId="3" borderId="9" xfId="0" applyFont="1" applyFill="1" applyBorder="1" applyAlignment="1">
      <alignment horizontal="center" vertical="center"/>
    </xf>
    <xf numFmtId="3" fontId="12" fillId="3" borderId="66" xfId="0" applyNumberFormat="1" applyFont="1" applyFill="1" applyBorder="1" applyAlignment="1">
      <alignment horizontal="center" vertical="center"/>
    </xf>
    <xf numFmtId="3" fontId="12" fillId="3" borderId="64" xfId="0" applyNumberFormat="1" applyFont="1" applyFill="1" applyBorder="1" applyAlignment="1">
      <alignment horizontal="center" vertical="center"/>
    </xf>
    <xf numFmtId="3" fontId="12" fillId="3" borderId="59" xfId="0" applyNumberFormat="1" applyFont="1" applyFill="1" applyBorder="1" applyAlignment="1">
      <alignment horizontal="center" vertical="center"/>
    </xf>
    <xf numFmtId="3" fontId="12" fillId="3" borderId="67" xfId="0" applyNumberFormat="1" applyFont="1" applyFill="1" applyBorder="1" applyAlignment="1">
      <alignment horizontal="center" vertical="center"/>
    </xf>
    <xf numFmtId="0" fontId="0" fillId="3" borderId="0" xfId="0" applyFill="1"/>
    <xf numFmtId="0" fontId="0" fillId="5" borderId="0" xfId="0" applyFill="1"/>
    <xf numFmtId="0" fontId="0" fillId="5" borderId="0" xfId="0" applyFont="1" applyFill="1" applyAlignment="1">
      <alignment horizontal="right"/>
    </xf>
    <xf numFmtId="0" fontId="23" fillId="5" borderId="0" xfId="0" applyFont="1" applyFill="1"/>
    <xf numFmtId="0" fontId="2" fillId="3" borderId="71" xfId="0" applyFont="1" applyFill="1" applyBorder="1"/>
    <xf numFmtId="0" fontId="2" fillId="3" borderId="72" xfId="0" applyFont="1" applyFill="1" applyBorder="1"/>
    <xf numFmtId="0" fontId="2" fillId="3" borderId="73" xfId="0" applyFont="1" applyFill="1" applyBorder="1"/>
    <xf numFmtId="0" fontId="2" fillId="4" borderId="72" xfId="0" applyFont="1" applyFill="1" applyBorder="1"/>
    <xf numFmtId="0" fontId="2" fillId="4" borderId="73" xfId="0" applyFont="1" applyFill="1" applyBorder="1"/>
    <xf numFmtId="0" fontId="2" fillId="0" borderId="0" xfId="0" applyFont="1"/>
    <xf numFmtId="0" fontId="15" fillId="0" borderId="0" xfId="6" applyFont="1" applyBorder="1" applyAlignment="1">
      <alignment vertical="center"/>
    </xf>
    <xf numFmtId="0" fontId="15" fillId="0" borderId="0" xfId="6" applyFont="1" applyFill="1" applyAlignment="1">
      <alignment vertical="center"/>
    </xf>
    <xf numFmtId="0" fontId="15" fillId="0" borderId="0" xfId="6" applyFont="1" applyFill="1" applyBorder="1" applyAlignment="1">
      <alignment vertical="center"/>
    </xf>
    <xf numFmtId="0" fontId="3" fillId="0" borderId="0" xfId="6" applyFont="1" applyAlignment="1">
      <alignment horizontal="center" vertical="center"/>
    </xf>
    <xf numFmtId="0" fontId="2" fillId="0" borderId="17" xfId="6" applyFont="1" applyBorder="1" applyAlignment="1">
      <alignment vertical="center"/>
    </xf>
    <xf numFmtId="49" fontId="24" fillId="0" borderId="18" xfId="6" applyNumberFormat="1" applyFont="1" applyBorder="1" applyAlignment="1">
      <alignment vertical="center"/>
    </xf>
    <xf numFmtId="0" fontId="26" fillId="0" borderId="0" xfId="6" applyFont="1" applyAlignment="1">
      <alignment horizontal="left" vertical="center"/>
    </xf>
    <xf numFmtId="0" fontId="10" fillId="0" borderId="19" xfId="6" applyFont="1" applyBorder="1" applyAlignment="1">
      <alignment vertical="center"/>
    </xf>
    <xf numFmtId="166" fontId="10" fillId="6" borderId="20" xfId="4" applyNumberFormat="1" applyFont="1" applyFill="1" applyBorder="1" applyAlignment="1">
      <alignment vertical="center"/>
    </xf>
    <xf numFmtId="0" fontId="3" fillId="0" borderId="0" xfId="6" applyFont="1" applyAlignment="1">
      <alignment vertical="center"/>
    </xf>
    <xf numFmtId="0" fontId="10" fillId="0" borderId="28" xfId="6" applyFont="1" applyBorder="1" applyAlignment="1">
      <alignment vertical="center"/>
    </xf>
    <xf numFmtId="167" fontId="10" fillId="0" borderId="29" xfId="4" applyNumberFormat="1" applyFont="1" applyBorder="1" applyAlignment="1">
      <alignment vertical="center"/>
    </xf>
    <xf numFmtId="0" fontId="25" fillId="7" borderId="17" xfId="6" applyFont="1" applyFill="1" applyBorder="1" applyAlignment="1">
      <alignment vertical="center"/>
    </xf>
    <xf numFmtId="0" fontId="25" fillId="7" borderId="25" xfId="6" applyFont="1" applyFill="1" applyBorder="1" applyAlignment="1">
      <alignment horizontal="center" vertical="center"/>
    </xf>
    <xf numFmtId="0" fontId="25" fillId="7" borderId="74" xfId="6" applyFont="1" applyFill="1" applyBorder="1" applyAlignment="1">
      <alignment horizontal="center" vertical="center" wrapText="1"/>
    </xf>
    <xf numFmtId="0" fontId="25" fillId="7" borderId="24" xfId="6" applyFont="1" applyFill="1" applyBorder="1" applyAlignment="1">
      <alignment horizontal="center" vertical="center" wrapText="1"/>
    </xf>
    <xf numFmtId="0" fontId="25" fillId="7" borderId="25" xfId="6" applyFont="1" applyFill="1" applyBorder="1" applyAlignment="1">
      <alignment horizontal="center" vertical="center" wrapText="1"/>
    </xf>
    <xf numFmtId="37" fontId="10" fillId="6" borderId="20" xfId="6" applyNumberFormat="1" applyFont="1" applyFill="1" applyBorder="1" applyAlignment="1">
      <alignment vertical="center"/>
    </xf>
    <xf numFmtId="0" fontId="10" fillId="0" borderId="26" xfId="6" applyFont="1" applyBorder="1" applyAlignment="1">
      <alignment vertical="center"/>
    </xf>
    <xf numFmtId="0" fontId="10" fillId="0" borderId="1" xfId="6" applyFont="1" applyBorder="1" applyAlignment="1">
      <alignment vertical="center"/>
    </xf>
    <xf numFmtId="0" fontId="10" fillId="0" borderId="27" xfId="6" applyFont="1" applyBorder="1" applyAlignment="1">
      <alignment vertical="center"/>
    </xf>
    <xf numFmtId="167" fontId="10" fillId="0" borderId="20" xfId="6" applyNumberFormat="1" applyFont="1" applyBorder="1" applyAlignment="1">
      <alignment vertical="center"/>
    </xf>
    <xf numFmtId="166" fontId="10" fillId="6" borderId="20" xfId="6" applyNumberFormat="1" applyFont="1" applyFill="1" applyBorder="1" applyAlignment="1">
      <alignment vertical="center"/>
    </xf>
    <xf numFmtId="166" fontId="10" fillId="6" borderId="29" xfId="6" applyNumberFormat="1" applyFont="1" applyFill="1" applyBorder="1" applyAlignment="1">
      <alignment vertical="center"/>
    </xf>
    <xf numFmtId="166" fontId="10" fillId="6" borderId="30" xfId="6" applyNumberFormat="1" applyFont="1" applyFill="1" applyBorder="1" applyAlignment="1">
      <alignment vertical="center"/>
    </xf>
    <xf numFmtId="166" fontId="10" fillId="6" borderId="31" xfId="6" applyNumberFormat="1" applyFont="1" applyFill="1" applyBorder="1" applyAlignment="1">
      <alignment vertical="center"/>
    </xf>
    <xf numFmtId="166" fontId="10" fillId="6" borderId="32" xfId="6" applyNumberFormat="1" applyFont="1" applyFill="1" applyBorder="1" applyAlignment="1">
      <alignment vertical="center"/>
    </xf>
    <xf numFmtId="0" fontId="10" fillId="0" borderId="17" xfId="6" applyFont="1" applyBorder="1" applyAlignment="1">
      <alignment vertical="center"/>
    </xf>
    <xf numFmtId="166" fontId="10" fillId="6" borderId="18" xfId="6" applyNumberFormat="1" applyFont="1" applyFill="1" applyBorder="1" applyAlignment="1">
      <alignment vertical="center"/>
    </xf>
    <xf numFmtId="166" fontId="10" fillId="0" borderId="34" xfId="6" applyNumberFormat="1" applyFont="1" applyFill="1" applyBorder="1" applyAlignment="1">
      <alignment vertical="center"/>
    </xf>
    <xf numFmtId="166" fontId="10" fillId="0" borderId="16" xfId="6" applyNumberFormat="1" applyFont="1" applyFill="1" applyBorder="1" applyAlignment="1">
      <alignment vertical="center"/>
    </xf>
    <xf numFmtId="166" fontId="10" fillId="0" borderId="35" xfId="6" applyNumberFormat="1" applyFont="1" applyFill="1" applyBorder="1" applyAlignment="1">
      <alignment vertical="center"/>
    </xf>
    <xf numFmtId="166" fontId="10" fillId="0" borderId="30" xfId="6" applyNumberFormat="1" applyFont="1" applyBorder="1" applyAlignment="1">
      <alignment vertical="center"/>
    </xf>
    <xf numFmtId="166" fontId="10" fillId="0" borderId="31" xfId="6" applyNumberFormat="1" applyFont="1" applyBorder="1" applyAlignment="1">
      <alignment vertical="center"/>
    </xf>
    <xf numFmtId="166" fontId="10" fillId="0" borderId="32" xfId="6" applyNumberFormat="1" applyFont="1" applyBorder="1" applyAlignment="1">
      <alignment vertical="center"/>
    </xf>
    <xf numFmtId="0" fontId="10" fillId="0" borderId="13" xfId="6" applyFont="1" applyBorder="1" applyAlignment="1">
      <alignment vertical="center"/>
    </xf>
    <xf numFmtId="166" fontId="10" fillId="0" borderId="3" xfId="6" applyNumberFormat="1" applyFont="1" applyBorder="1" applyAlignment="1">
      <alignment vertical="center"/>
    </xf>
    <xf numFmtId="0" fontId="4" fillId="0" borderId="13" xfId="6" applyFont="1" applyBorder="1" applyAlignment="1">
      <alignment vertical="center"/>
    </xf>
    <xf numFmtId="166" fontId="4" fillId="0" borderId="3" xfId="6" applyNumberFormat="1" applyFont="1" applyBorder="1" applyAlignment="1">
      <alignment vertical="center"/>
    </xf>
    <xf numFmtId="0" fontId="28" fillId="0" borderId="5" xfId="6" applyFont="1" applyBorder="1" applyAlignment="1">
      <alignment horizontal="left" vertical="center"/>
    </xf>
    <xf numFmtId="0" fontId="28" fillId="0" borderId="33" xfId="6" applyFont="1" applyBorder="1" applyAlignment="1">
      <alignment vertical="center"/>
    </xf>
    <xf numFmtId="0" fontId="22" fillId="0" borderId="0" xfId="6" applyFont="1" applyFill="1" applyAlignment="1">
      <alignment vertical="center"/>
    </xf>
    <xf numFmtId="0" fontId="13" fillId="0" borderId="6" xfId="6" applyFont="1" applyBorder="1" applyAlignment="1">
      <alignment vertical="center"/>
    </xf>
    <xf numFmtId="3" fontId="15" fillId="0" borderId="0" xfId="6" applyNumberFormat="1" applyFont="1" applyFill="1" applyAlignment="1">
      <alignment vertical="center"/>
    </xf>
    <xf numFmtId="49" fontId="15" fillId="0" borderId="0" xfId="6" applyNumberFormat="1" applyFont="1" applyFill="1" applyAlignment="1">
      <alignment vertical="center"/>
    </xf>
    <xf numFmtId="0" fontId="4" fillId="0" borderId="0" xfId="6" applyFont="1" applyBorder="1" applyAlignment="1">
      <alignment vertical="center"/>
    </xf>
    <xf numFmtId="166" fontId="4" fillId="0" borderId="0" xfId="6" applyNumberFormat="1" applyFont="1" applyBorder="1" applyAlignment="1">
      <alignment vertical="center"/>
    </xf>
    <xf numFmtId="0" fontId="17" fillId="2" borderId="75" xfId="0" applyFont="1" applyFill="1" applyBorder="1" applyAlignment="1">
      <alignment horizontal="center"/>
    </xf>
    <xf numFmtId="0" fontId="27" fillId="8" borderId="23" xfId="6" applyFont="1" applyFill="1" applyBorder="1" applyAlignment="1">
      <alignment horizontal="center" vertical="center"/>
    </xf>
    <xf numFmtId="0" fontId="27" fillId="8" borderId="24" xfId="6" applyFont="1" applyFill="1" applyBorder="1" applyAlignment="1">
      <alignment horizontal="center" vertical="center"/>
    </xf>
    <xf numFmtId="0" fontId="27" fillId="8" borderId="25" xfId="6" applyFont="1" applyFill="1" applyBorder="1" applyAlignment="1">
      <alignment horizontal="center" vertical="center"/>
    </xf>
    <xf numFmtId="49" fontId="15" fillId="8" borderId="26" xfId="6" applyNumberFormat="1" applyFont="1" applyFill="1" applyBorder="1" applyAlignment="1">
      <alignment vertical="center"/>
    </xf>
    <xf numFmtId="0" fontId="15" fillId="8" borderId="27" xfId="6" applyFont="1" applyFill="1" applyBorder="1" applyAlignment="1">
      <alignment vertical="center"/>
    </xf>
    <xf numFmtId="0" fontId="15" fillId="8" borderId="26" xfId="6" applyFont="1" applyFill="1" applyBorder="1" applyAlignment="1">
      <alignment vertical="center"/>
    </xf>
    <xf numFmtId="0" fontId="15" fillId="8" borderId="30" xfId="6" applyFont="1" applyFill="1" applyBorder="1" applyAlignment="1">
      <alignment vertical="center"/>
    </xf>
    <xf numFmtId="0" fontId="16" fillId="8" borderId="32" xfId="6" applyFont="1" applyFill="1" applyBorder="1" applyAlignment="1">
      <alignment vertical="center"/>
    </xf>
    <xf numFmtId="0" fontId="5" fillId="0" borderId="0" xfId="0" applyFont="1"/>
    <xf numFmtId="0" fontId="5" fillId="0" borderId="0" xfId="0" applyFont="1" applyAlignment="1">
      <alignment horizontal="center"/>
    </xf>
    <xf numFmtId="0" fontId="13" fillId="8" borderId="2" xfId="6" applyFont="1" applyFill="1" applyBorder="1" applyAlignment="1">
      <alignment horizontal="right" vertical="center"/>
    </xf>
    <xf numFmtId="0" fontId="13" fillId="8" borderId="6" xfId="6" applyFont="1" applyFill="1" applyBorder="1" applyAlignment="1">
      <alignment horizontal="right" vertical="center"/>
    </xf>
    <xf numFmtId="0" fontId="13" fillId="8" borderId="2" xfId="6" applyFont="1" applyFill="1" applyBorder="1" applyAlignment="1">
      <alignment horizontal="center" vertical="center"/>
    </xf>
    <xf numFmtId="0" fontId="13" fillId="8" borderId="4" xfId="6" applyFont="1" applyFill="1" applyBorder="1" applyAlignment="1">
      <alignment horizontal="center" vertical="center"/>
    </xf>
    <xf numFmtId="0" fontId="30" fillId="8" borderId="19" xfId="6" applyFont="1" applyFill="1" applyBorder="1" applyAlignment="1">
      <alignment vertical="center"/>
    </xf>
    <xf numFmtId="0" fontId="30" fillId="8" borderId="20" xfId="6" applyFont="1" applyFill="1" applyBorder="1" applyAlignment="1">
      <alignment horizontal="center" vertical="center"/>
    </xf>
    <xf numFmtId="3" fontId="0" fillId="3" borderId="0" xfId="0" applyNumberFormat="1" applyFont="1" applyFill="1" applyAlignment="1">
      <alignment horizontal="center"/>
    </xf>
    <xf numFmtId="0" fontId="29" fillId="0" borderId="0" xfId="6" applyFont="1" applyFill="1" applyAlignment="1">
      <alignment vertical="center"/>
    </xf>
    <xf numFmtId="0" fontId="16" fillId="0" borderId="0" xfId="6" applyFont="1" applyFill="1" applyAlignment="1">
      <alignment vertical="center"/>
    </xf>
    <xf numFmtId="1" fontId="11" fillId="0" borderId="54" xfId="2" applyNumberFormat="1" applyFont="1" applyBorder="1" applyAlignment="1">
      <alignment horizontal="center" vertical="center" wrapText="1"/>
    </xf>
    <xf numFmtId="3" fontId="23" fillId="3" borderId="69" xfId="0" applyNumberFormat="1" applyFont="1" applyFill="1" applyBorder="1" applyAlignment="1">
      <alignment horizontal="center" vertical="center"/>
    </xf>
    <xf numFmtId="3" fontId="23" fillId="3" borderId="70" xfId="0" applyNumberFormat="1" applyFont="1" applyFill="1" applyBorder="1" applyAlignment="1">
      <alignment horizontal="center" vertical="center"/>
    </xf>
    <xf numFmtId="3" fontId="23" fillId="3" borderId="68" xfId="0" applyNumberFormat="1" applyFont="1" applyFill="1" applyBorder="1" applyAlignment="1">
      <alignment horizontal="center" vertical="center"/>
    </xf>
    <xf numFmtId="0" fontId="0" fillId="3" borderId="0" xfId="0" applyFont="1" applyFill="1"/>
    <xf numFmtId="3" fontId="0" fillId="5" borderId="0" xfId="0" applyNumberFormat="1" applyFont="1" applyFill="1" applyAlignment="1">
      <alignment horizontal="center"/>
    </xf>
    <xf numFmtId="0" fontId="0" fillId="5" borderId="0" xfId="0" applyFont="1" applyFill="1"/>
    <xf numFmtId="0" fontId="0" fillId="3" borderId="0" xfId="0" applyFont="1" applyFill="1" applyAlignment="1">
      <alignment horizontal="center"/>
    </xf>
    <xf numFmtId="0" fontId="0" fillId="5" borderId="0" xfId="0" applyFont="1" applyFill="1" applyAlignment="1">
      <alignment horizontal="center"/>
    </xf>
    <xf numFmtId="3" fontId="13" fillId="0" borderId="29" xfId="4" applyNumberFormat="1" applyFont="1" applyBorder="1" applyAlignment="1">
      <alignment horizontal="center" vertical="center"/>
    </xf>
    <xf numFmtId="0" fontId="0" fillId="6" borderId="41" xfId="0" applyFont="1" applyFill="1" applyBorder="1" applyAlignment="1">
      <alignment horizontal="left" indent="1"/>
    </xf>
    <xf numFmtId="0" fontId="0" fillId="6" borderId="44" xfId="0" applyFont="1" applyFill="1" applyBorder="1" applyAlignment="1">
      <alignment horizontal="left" indent="1"/>
    </xf>
    <xf numFmtId="14" fontId="0" fillId="6" borderId="44" xfId="0" applyNumberFormat="1" applyFont="1" applyFill="1" applyBorder="1" applyAlignment="1">
      <alignment horizontal="left" indent="1"/>
    </xf>
    <xf numFmtId="0" fontId="31" fillId="0" borderId="0" xfId="0" applyFont="1"/>
    <xf numFmtId="0" fontId="17" fillId="6" borderId="3" xfId="0" applyFont="1" applyFill="1" applyBorder="1" applyAlignment="1">
      <alignment horizontal="left" vertical="center"/>
    </xf>
    <xf numFmtId="0" fontId="17" fillId="6" borderId="3" xfId="0" applyFont="1" applyFill="1" applyBorder="1" applyAlignment="1"/>
    <xf numFmtId="0" fontId="18" fillId="6" borderId="3" xfId="0" applyFont="1" applyFill="1" applyBorder="1" applyAlignment="1">
      <alignment horizontal="right"/>
    </xf>
    <xf numFmtId="0" fontId="17" fillId="6" borderId="3" xfId="0" applyFont="1" applyFill="1" applyBorder="1" applyAlignment="1">
      <alignment horizontal="left"/>
    </xf>
    <xf numFmtId="0" fontId="17" fillId="6" borderId="4" xfId="0" applyFont="1" applyFill="1" applyBorder="1" applyAlignment="1">
      <alignment horizontal="left"/>
    </xf>
    <xf numFmtId="0" fontId="17" fillId="6" borderId="7" xfId="0" applyFont="1" applyFill="1" applyBorder="1" applyAlignment="1">
      <alignment vertical="center"/>
    </xf>
    <xf numFmtId="0" fontId="17" fillId="6" borderId="7" xfId="0" applyFont="1" applyFill="1" applyBorder="1" applyAlignment="1"/>
    <xf numFmtId="0" fontId="18" fillId="6" borderId="7" xfId="0" applyFont="1" applyFill="1" applyBorder="1" applyAlignment="1">
      <alignment horizontal="right"/>
    </xf>
    <xf numFmtId="0" fontId="17" fillId="6" borderId="7" xfId="0" applyFont="1" applyFill="1" applyBorder="1" applyAlignment="1">
      <alignment horizontal="center"/>
    </xf>
    <xf numFmtId="14" fontId="17" fillId="6" borderId="8" xfId="0" applyNumberFormat="1" applyFont="1" applyFill="1" applyBorder="1" applyAlignment="1">
      <alignment horizontal="left"/>
    </xf>
    <xf numFmtId="0" fontId="5" fillId="6" borderId="3" xfId="0" applyFont="1" applyFill="1" applyBorder="1" applyAlignment="1">
      <alignment vertical="center"/>
    </xf>
    <xf numFmtId="0" fontId="5" fillId="6" borderId="4" xfId="0" applyFont="1" applyFill="1" applyBorder="1" applyAlignment="1">
      <alignment vertical="center"/>
    </xf>
    <xf numFmtId="0" fontId="5" fillId="6" borderId="7" xfId="0" applyFont="1" applyFill="1" applyBorder="1" applyAlignment="1">
      <alignment vertical="center"/>
    </xf>
    <xf numFmtId="0" fontId="5" fillId="6" borderId="8" xfId="0" applyFont="1" applyFill="1" applyBorder="1" applyAlignment="1">
      <alignment vertical="center"/>
    </xf>
    <xf numFmtId="1" fontId="13" fillId="6" borderId="4" xfId="6" applyNumberFormat="1" applyFont="1" applyFill="1" applyBorder="1" applyAlignment="1">
      <alignment horizontal="center" vertical="center"/>
    </xf>
    <xf numFmtId="49" fontId="13" fillId="6" borderId="8" xfId="6" applyNumberFormat="1" applyFont="1" applyFill="1" applyBorder="1" applyAlignment="1">
      <alignment horizontal="center" vertical="center"/>
    </xf>
    <xf numFmtId="9" fontId="0" fillId="6" borderId="48" xfId="1" applyFont="1" applyFill="1" applyBorder="1" applyAlignment="1">
      <alignment horizontal="center"/>
    </xf>
    <xf numFmtId="3" fontId="5" fillId="0" borderId="76" xfId="0" applyNumberFormat="1" applyFont="1" applyBorder="1" applyAlignment="1">
      <alignment horizontal="center" vertical="center"/>
    </xf>
    <xf numFmtId="0" fontId="23" fillId="3" borderId="77" xfId="0" applyFont="1" applyFill="1" applyBorder="1" applyAlignment="1">
      <alignment horizontal="center" vertical="center"/>
    </xf>
    <xf numFmtId="0" fontId="12" fillId="3" borderId="59" xfId="0" applyFont="1" applyFill="1" applyBorder="1" applyAlignment="1">
      <alignment horizontal="center" vertical="center"/>
    </xf>
    <xf numFmtId="0" fontId="18" fillId="3" borderId="72" xfId="0" applyFont="1" applyFill="1" applyBorder="1" applyAlignment="1">
      <alignment horizontal="center"/>
    </xf>
    <xf numFmtId="0" fontId="18" fillId="4" borderId="72" xfId="0" applyFont="1" applyFill="1" applyBorder="1"/>
    <xf numFmtId="9" fontId="0" fillId="6" borderId="45" xfId="1" applyFont="1" applyFill="1" applyBorder="1" applyAlignment="1">
      <alignment horizontal="center"/>
    </xf>
    <xf numFmtId="0" fontId="5" fillId="6" borderId="0" xfId="0" applyFont="1" applyFill="1"/>
    <xf numFmtId="0" fontId="18" fillId="0" borderId="2"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3" fillId="0" borderId="0" xfId="6" applyFont="1" applyAlignment="1">
      <alignment vertical="center"/>
    </xf>
    <xf numFmtId="49" fontId="34" fillId="8" borderId="34" xfId="6" applyNumberFormat="1" applyFont="1" applyFill="1" applyBorder="1" applyAlignment="1">
      <alignment vertical="center"/>
    </xf>
    <xf numFmtId="8" fontId="34" fillId="8" borderId="16" xfId="7" applyNumberFormat="1" applyFont="1" applyFill="1" applyBorder="1" applyAlignment="1">
      <alignment vertical="center"/>
    </xf>
    <xf numFmtId="0" fontId="17" fillId="6" borderId="7" xfId="0" applyFont="1" applyFill="1" applyBorder="1" applyAlignment="1">
      <alignment horizontal="left" vertical="center"/>
    </xf>
    <xf numFmtId="0" fontId="35" fillId="0" borderId="0" xfId="0" applyFont="1" applyAlignment="1">
      <alignment vertical="center"/>
    </xf>
    <xf numFmtId="0" fontId="18" fillId="0" borderId="12" xfId="0" applyFont="1" applyBorder="1" applyAlignment="1">
      <alignment horizontal="right" vertical="center"/>
    </xf>
    <xf numFmtId="0" fontId="18" fillId="0" borderId="13" xfId="0" applyFont="1" applyBorder="1" applyAlignment="1">
      <alignment horizontal="right" vertical="center"/>
    </xf>
    <xf numFmtId="0" fontId="5" fillId="0" borderId="0" xfId="0" applyFont="1" applyAlignment="1">
      <alignment wrapText="1"/>
    </xf>
    <xf numFmtId="0" fontId="36" fillId="0" borderId="11" xfId="0" applyFont="1" applyBorder="1" applyAlignment="1">
      <alignment horizontal="center" wrapText="1"/>
    </xf>
    <xf numFmtId="0" fontId="0" fillId="3" borderId="0" xfId="0" applyFill="1" applyAlignment="1">
      <alignment wrapText="1"/>
    </xf>
    <xf numFmtId="0" fontId="2" fillId="3" borderId="0" xfId="0" applyFont="1" applyFill="1" applyAlignment="1">
      <alignment horizontal="right" wrapText="1"/>
    </xf>
    <xf numFmtId="0" fontId="0" fillId="5" borderId="0" xfId="0" applyFill="1" applyAlignment="1">
      <alignment wrapText="1"/>
    </xf>
    <xf numFmtId="0" fontId="2" fillId="5" borderId="0" xfId="0" applyFont="1" applyFill="1" applyAlignment="1">
      <alignment horizontal="right" wrapText="1"/>
    </xf>
    <xf numFmtId="0" fontId="0" fillId="0" borderId="0" xfId="0" applyAlignment="1">
      <alignment wrapText="1"/>
    </xf>
    <xf numFmtId="0" fontId="0" fillId="0" borderId="13" xfId="0" applyBorder="1"/>
    <xf numFmtId="14" fontId="17" fillId="0" borderId="14" xfId="0" applyNumberFormat="1" applyFont="1" applyFill="1" applyBorder="1" applyAlignment="1">
      <alignment horizontal="center" vertical="center"/>
    </xf>
    <xf numFmtId="0" fontId="17" fillId="0" borderId="3" xfId="0" applyFont="1" applyFill="1" applyBorder="1" applyAlignment="1">
      <alignment horizontal="left" vertical="center"/>
    </xf>
    <xf numFmtId="0" fontId="17" fillId="0" borderId="13" xfId="0" applyFont="1" applyBorder="1" applyAlignment="1">
      <alignment horizontal="left" vertical="center" indent="1"/>
    </xf>
    <xf numFmtId="0" fontId="20" fillId="6" borderId="13" xfId="2" quotePrefix="1" applyFont="1" applyFill="1" applyBorder="1" applyAlignment="1">
      <alignment horizontal="center" vertical="center"/>
    </xf>
    <xf numFmtId="0" fontId="18" fillId="0" borderId="2" xfId="0" applyFont="1" applyFill="1" applyBorder="1" applyAlignment="1">
      <alignment horizontal="left"/>
    </xf>
    <xf numFmtId="0" fontId="12" fillId="0" borderId="1" xfId="2" applyFont="1" applyBorder="1" applyAlignment="1">
      <alignment horizontal="left" vertical="center" wrapText="1"/>
    </xf>
    <xf numFmtId="0" fontId="8" fillId="0" borderId="0" xfId="2" applyFont="1" applyAlignment="1">
      <alignment horizontal="left" vertical="top" wrapText="1"/>
    </xf>
    <xf numFmtId="0" fontId="19" fillId="0" borderId="7" xfId="0" applyFont="1" applyFill="1" applyBorder="1" applyAlignment="1">
      <alignment horizontal="left" vertical="center" indent="1"/>
    </xf>
    <xf numFmtId="0" fontId="32" fillId="0" borderId="6" xfId="0" applyFont="1" applyFill="1" applyBorder="1" applyAlignment="1">
      <alignment horizontal="left" wrapText="1"/>
    </xf>
    <xf numFmtId="0" fontId="35" fillId="0" borderId="0" xfId="0" applyFont="1"/>
    <xf numFmtId="5" fontId="12" fillId="0" borderId="16" xfId="4" applyNumberFormat="1" applyFont="1" applyBorder="1" applyAlignment="1">
      <alignment horizontal="right" vertical="center" wrapText="1"/>
    </xf>
    <xf numFmtId="5" fontId="12" fillId="0" borderId="1" xfId="4" applyNumberFormat="1" applyFont="1" applyBorder="1" applyAlignment="1">
      <alignment horizontal="right" vertical="center" wrapText="1"/>
    </xf>
    <xf numFmtId="0" fontId="11" fillId="2" borderId="52" xfId="2" applyFont="1" applyFill="1" applyBorder="1" applyAlignment="1">
      <alignment horizontal="center" vertical="center" wrapText="1"/>
    </xf>
    <xf numFmtId="164" fontId="11" fillId="2" borderId="52" xfId="2" applyNumberFormat="1" applyFont="1" applyFill="1" applyBorder="1" applyAlignment="1">
      <alignment horizontal="center" vertical="center" wrapText="1"/>
    </xf>
    <xf numFmtId="0" fontId="11" fillId="2" borderId="12" xfId="2" applyFont="1" applyFill="1" applyBorder="1" applyAlignment="1">
      <alignment vertical="center"/>
    </xf>
    <xf numFmtId="0" fontId="17" fillId="0" borderId="13" xfId="0" applyFont="1" applyFill="1" applyBorder="1" applyAlignment="1">
      <alignment horizontal="left" vertical="center" indent="1"/>
    </xf>
    <xf numFmtId="0" fontId="17" fillId="0" borderId="13" xfId="0" applyFont="1" applyFill="1" applyBorder="1"/>
    <xf numFmtId="0" fontId="5" fillId="0" borderId="0" xfId="0" applyFont="1" applyFill="1"/>
    <xf numFmtId="0" fontId="17" fillId="0" borderId="13" xfId="0" applyFont="1" applyFill="1" applyBorder="1" applyAlignment="1">
      <alignment horizontal="center"/>
    </xf>
    <xf numFmtId="0" fontId="18" fillId="0" borderId="13" xfId="0" applyFont="1" applyFill="1" applyBorder="1" applyAlignment="1">
      <alignment horizontal="right" vertical="center"/>
    </xf>
    <xf numFmtId="164" fontId="8" fillId="0" borderId="13" xfId="2" applyNumberFormat="1" applyFont="1" applyFill="1" applyBorder="1" applyAlignment="1">
      <alignment horizontal="left" vertical="top"/>
    </xf>
    <xf numFmtId="0" fontId="8" fillId="0" borderId="13" xfId="2" applyFont="1" applyFill="1" applyBorder="1" applyAlignment="1">
      <alignment horizontal="left" vertical="top"/>
    </xf>
    <xf numFmtId="1" fontId="8" fillId="0" borderId="13" xfId="2" applyNumberFormat="1" applyFont="1" applyFill="1" applyBorder="1" applyAlignment="1">
      <alignment horizontal="center" vertical="top"/>
    </xf>
    <xf numFmtId="0" fontId="15"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1" xfId="4" applyNumberFormat="1" applyFont="1" applyBorder="1" applyAlignment="1">
      <alignment horizontal="center" vertical="center"/>
    </xf>
    <xf numFmtId="0" fontId="17" fillId="6" borderId="7" xfId="0" applyFont="1" applyFill="1" applyBorder="1" applyAlignment="1">
      <alignment horizontal="left" vertical="center" indent="1"/>
    </xf>
    <xf numFmtId="44" fontId="15" fillId="8" borderId="1" xfId="5" applyFont="1" applyFill="1" applyBorder="1" applyAlignment="1">
      <alignment vertical="center"/>
    </xf>
    <xf numFmtId="44" fontId="16" fillId="8" borderId="31" xfId="5" applyFont="1" applyFill="1" applyBorder="1" applyAlignment="1">
      <alignment vertical="center"/>
    </xf>
    <xf numFmtId="14" fontId="0" fillId="0" borderId="47" xfId="0" applyNumberFormat="1" applyFont="1" applyBorder="1" applyAlignment="1">
      <alignment horizontal="left" indent="1"/>
    </xf>
    <xf numFmtId="49" fontId="37" fillId="0" borderId="78" xfId="0" applyNumberFormat="1" applyFont="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0" xfId="0" applyFont="1" applyBorder="1" applyAlignment="1">
      <alignment horizontal="left" vertical="center" wrapText="1"/>
    </xf>
    <xf numFmtId="0" fontId="15" fillId="0" borderId="78" xfId="0" applyFont="1" applyBorder="1" applyAlignment="1">
      <alignment horizontal="left" vertical="center" wrapText="1"/>
    </xf>
    <xf numFmtId="0" fontId="4" fillId="0" borderId="7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4" fillId="0" borderId="78"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1" fontId="4" fillId="0" borderId="1" xfId="4" applyNumberFormat="1" applyFont="1" applyBorder="1" applyAlignment="1">
      <alignment horizontal="center" vertical="center"/>
    </xf>
  </cellXfs>
  <cellStyles count="8">
    <cellStyle name="Comma 2" xfId="4" xr:uid="{99993171-F6D7-494B-9306-21B02AFE41FC}"/>
    <cellStyle name="Currency" xfId="5" builtinId="4"/>
    <cellStyle name="Currency 2" xfId="7" xr:uid="{BB513834-C309-41E7-8F3F-A13576E8A5FF}"/>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380998</xdr:colOff>
      <xdr:row>2</xdr:row>
      <xdr:rowOff>306917</xdr:rowOff>
    </xdr:from>
    <xdr:to>
      <xdr:col>13</xdr:col>
      <xdr:colOff>42333</xdr:colOff>
      <xdr:row>4</xdr:row>
      <xdr:rowOff>84668</xdr:rowOff>
    </xdr:to>
    <xdr:sp macro="" textlink="">
      <xdr:nvSpPr>
        <xdr:cNvPr id="2" name="Left Brace 1">
          <a:extLst>
            <a:ext uri="{FF2B5EF4-FFF2-40B4-BE49-F238E27FC236}">
              <a16:creationId xmlns:a16="http://schemas.microsoft.com/office/drawing/2014/main" id="{17B972F8-CACB-4AB0-9485-991539A98EE1}"/>
            </a:ext>
            <a:ext uri="{C183D7F6-B498-43B3-948B-1728B52AA6E4}">
              <adec:decorative xmlns:adec="http://schemas.microsoft.com/office/drawing/2017/decorative" val="1"/>
            </a:ext>
          </a:extLst>
        </xdr:cNvPr>
        <xdr:cNvSpPr/>
      </xdr:nvSpPr>
      <xdr:spPr>
        <a:xfrm>
          <a:off x="12488331" y="96308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395819</xdr:colOff>
      <xdr:row>1</xdr:row>
      <xdr:rowOff>4247</xdr:rowOff>
    </xdr:from>
    <xdr:to>
      <xdr:col>13</xdr:col>
      <xdr:colOff>57154</xdr:colOff>
      <xdr:row>2</xdr:row>
      <xdr:rowOff>46581</xdr:rowOff>
    </xdr:to>
    <xdr:sp macro="" textlink="">
      <xdr:nvSpPr>
        <xdr:cNvPr id="3" name="Left Brace 2">
          <a:extLst>
            <a:ext uri="{FF2B5EF4-FFF2-40B4-BE49-F238E27FC236}">
              <a16:creationId xmlns:a16="http://schemas.microsoft.com/office/drawing/2014/main" id="{339CD9F0-D2E8-4610-B2C6-CED0AC820A8E}"/>
            </a:ext>
            <a:ext uri="{C183D7F6-B498-43B3-948B-1728B52AA6E4}">
              <adec:decorative xmlns:adec="http://schemas.microsoft.com/office/drawing/2017/decorative" val="1"/>
            </a:ext>
          </a:extLst>
        </xdr:cNvPr>
        <xdr:cNvSpPr/>
      </xdr:nvSpPr>
      <xdr:spPr>
        <a:xfrm>
          <a:off x="12503152" y="311164"/>
          <a:ext cx="275169" cy="391584"/>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352425</xdr:colOff>
      <xdr:row>3</xdr:row>
      <xdr:rowOff>952500</xdr:rowOff>
    </xdr:from>
    <xdr:to>
      <xdr:col>7</xdr:col>
      <xdr:colOff>571501</xdr:colOff>
      <xdr:row>5</xdr:row>
      <xdr:rowOff>85725</xdr:rowOff>
    </xdr:to>
    <xdr:sp macro="" textlink="">
      <xdr:nvSpPr>
        <xdr:cNvPr id="2" name="Left Brace 1">
          <a:extLst>
            <a:ext uri="{FF2B5EF4-FFF2-40B4-BE49-F238E27FC236}">
              <a16:creationId xmlns:a16="http://schemas.microsoft.com/office/drawing/2014/main" id="{328B6533-9995-405E-B5C4-05FBC39CCE41}"/>
            </a:ext>
            <a:ext uri="{C183D7F6-B498-43B3-948B-1728B52AA6E4}">
              <adec:decorative xmlns:adec="http://schemas.microsoft.com/office/drawing/2017/decorative" val="1"/>
            </a:ext>
          </a:extLst>
        </xdr:cNvPr>
        <xdr:cNvSpPr/>
      </xdr:nvSpPr>
      <xdr:spPr>
        <a:xfrm>
          <a:off x="8705850" y="1885950"/>
          <a:ext cx="219076" cy="3810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361950</xdr:colOff>
      <xdr:row>1</xdr:row>
      <xdr:rowOff>19050</xdr:rowOff>
    </xdr:from>
    <xdr:to>
      <xdr:col>7</xdr:col>
      <xdr:colOff>542925</xdr:colOff>
      <xdr:row>2</xdr:row>
      <xdr:rowOff>47625</xdr:rowOff>
    </xdr:to>
    <xdr:sp macro="" textlink="">
      <xdr:nvSpPr>
        <xdr:cNvPr id="3" name="Left Brace 2">
          <a:extLst>
            <a:ext uri="{FF2B5EF4-FFF2-40B4-BE49-F238E27FC236}">
              <a16:creationId xmlns:a16="http://schemas.microsoft.com/office/drawing/2014/main" id="{3E14FAA5-EAD1-46F9-855C-65641DED0F21}"/>
            </a:ext>
            <a:ext uri="{C183D7F6-B498-43B3-948B-1728B52AA6E4}">
              <adec:decorative xmlns:adec="http://schemas.microsoft.com/office/drawing/2017/decorative" val="1"/>
            </a:ext>
          </a:extLst>
        </xdr:cNvPr>
        <xdr:cNvSpPr/>
      </xdr:nvSpPr>
      <xdr:spPr>
        <a:xfrm>
          <a:off x="8715375" y="323850"/>
          <a:ext cx="180975" cy="3429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317499</xdr:colOff>
      <xdr:row>16</xdr:row>
      <xdr:rowOff>52918</xdr:rowOff>
    </xdr:from>
    <xdr:to>
      <xdr:col>6</xdr:col>
      <xdr:colOff>581024</xdr:colOff>
      <xdr:row>19</xdr:row>
      <xdr:rowOff>9526</xdr:rowOff>
    </xdr:to>
    <xdr:sp macro="" textlink="">
      <xdr:nvSpPr>
        <xdr:cNvPr id="2" name="Left Brace 1">
          <a:extLst>
            <a:ext uri="{FF2B5EF4-FFF2-40B4-BE49-F238E27FC236}">
              <a16:creationId xmlns:a16="http://schemas.microsoft.com/office/drawing/2014/main" id="{47952A37-D68D-46D6-8118-17112DA7749F}"/>
            </a:ext>
            <a:ext uri="{C183D7F6-B498-43B3-948B-1728B52AA6E4}">
              <adec:decorative xmlns:adec="http://schemas.microsoft.com/office/drawing/2017/decorative" val="1"/>
            </a:ext>
          </a:extLst>
        </xdr:cNvPr>
        <xdr:cNvSpPr/>
      </xdr:nvSpPr>
      <xdr:spPr>
        <a:xfrm>
          <a:off x="7661274" y="3100918"/>
          <a:ext cx="263525" cy="566208"/>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349244</xdr:colOff>
      <xdr:row>2</xdr:row>
      <xdr:rowOff>21167</xdr:rowOff>
    </xdr:from>
    <xdr:to>
      <xdr:col>9</xdr:col>
      <xdr:colOff>592667</xdr:colOff>
      <xdr:row>5</xdr:row>
      <xdr:rowOff>21167</xdr:rowOff>
    </xdr:to>
    <xdr:sp macro="" textlink="">
      <xdr:nvSpPr>
        <xdr:cNvPr id="3" name="Left Brace 2">
          <a:extLst>
            <a:ext uri="{FF2B5EF4-FFF2-40B4-BE49-F238E27FC236}">
              <a16:creationId xmlns:a16="http://schemas.microsoft.com/office/drawing/2014/main" id="{258C087E-70D1-4744-9D82-F886E42B31A2}"/>
            </a:ext>
            <a:ext uri="{C183D7F6-B498-43B3-948B-1728B52AA6E4}">
              <adec:decorative xmlns:adec="http://schemas.microsoft.com/office/drawing/2017/decorative" val="1"/>
            </a:ext>
          </a:extLst>
        </xdr:cNvPr>
        <xdr:cNvSpPr/>
      </xdr:nvSpPr>
      <xdr:spPr>
        <a:xfrm>
          <a:off x="12191994" y="402167"/>
          <a:ext cx="243423" cy="5715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ls.gov/news.release/pdf/ecec.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W35"/>
  <sheetViews>
    <sheetView zoomScaleNormal="100" zoomScaleSheetLayoutView="100" workbookViewId="0">
      <selection activeCell="N13" sqref="N13"/>
    </sheetView>
  </sheetViews>
  <sheetFormatPr defaultRowHeight="15" x14ac:dyDescent="0.25"/>
  <cols>
    <col min="1" max="1" width="40.7109375" style="185" customWidth="1"/>
    <col min="2" max="2" width="21.7109375" style="185" customWidth="1"/>
    <col min="3" max="4" width="12.7109375" style="243" customWidth="1"/>
    <col min="5" max="8" width="5.7109375" style="185" customWidth="1"/>
    <col min="9" max="12" width="15.7109375" style="186" customWidth="1"/>
  </cols>
  <sheetData>
    <row r="1" spans="1:23" ht="24" customHeight="1" thickBot="1" x14ac:dyDescent="0.3">
      <c r="A1" s="241" t="s">
        <v>53</v>
      </c>
      <c r="B1" s="266" t="s">
        <v>97</v>
      </c>
      <c r="C1" s="267"/>
      <c r="D1" s="267"/>
      <c r="E1" s="267"/>
      <c r="F1" s="267"/>
      <c r="G1" s="268"/>
      <c r="H1" s="268"/>
      <c r="I1" s="269"/>
      <c r="J1" s="269"/>
      <c r="K1" s="270" t="s">
        <v>3</v>
      </c>
      <c r="L1" s="208">
        <v>44341</v>
      </c>
    </row>
    <row r="2" spans="1:23" ht="45" customHeight="1" x14ac:dyDescent="0.25">
      <c r="A2" s="234" t="s">
        <v>27</v>
      </c>
      <c r="B2" s="210" t="s">
        <v>98</v>
      </c>
      <c r="C2" s="233"/>
      <c r="D2" s="211"/>
      <c r="E2" s="211"/>
      <c r="F2" s="211"/>
      <c r="G2" s="211"/>
      <c r="H2" s="211"/>
      <c r="I2" s="212"/>
      <c r="J2" s="213"/>
      <c r="K2" s="212"/>
      <c r="L2" s="214"/>
      <c r="N2" s="240" t="s">
        <v>86</v>
      </c>
    </row>
    <row r="3" spans="1:23" ht="36" customHeight="1" thickBot="1" x14ac:dyDescent="0.3">
      <c r="A3" s="235" t="s">
        <v>89</v>
      </c>
      <c r="B3" s="239"/>
      <c r="C3" s="215"/>
      <c r="D3" s="216"/>
      <c r="E3" s="216"/>
      <c r="F3" s="216"/>
      <c r="G3" s="216"/>
      <c r="H3" s="216"/>
      <c r="I3" s="217"/>
      <c r="J3" s="218"/>
      <c r="K3" s="217"/>
      <c r="L3" s="219"/>
    </row>
    <row r="4" spans="1:23" ht="21" customHeight="1" thickBot="1" x14ac:dyDescent="0.3">
      <c r="A4" s="64" t="s">
        <v>93</v>
      </c>
      <c r="B4" s="65"/>
      <c r="C4" s="66"/>
      <c r="D4" s="66"/>
      <c r="E4" s="67"/>
      <c r="F4" s="67"/>
      <c r="G4" s="67"/>
      <c r="H4" s="67"/>
      <c r="I4" s="67"/>
      <c r="J4" s="68"/>
      <c r="K4" s="69" t="s">
        <v>54</v>
      </c>
      <c r="L4" s="70"/>
      <c r="N4" s="240" t="s">
        <v>90</v>
      </c>
    </row>
    <row r="5" spans="1:23" x14ac:dyDescent="0.25">
      <c r="A5" s="49" t="s">
        <v>0</v>
      </c>
      <c r="B5" s="206" t="s">
        <v>99</v>
      </c>
      <c r="C5" s="36"/>
      <c r="D5" s="36"/>
      <c r="E5" s="36"/>
      <c r="F5" s="43"/>
      <c r="G5" s="43"/>
      <c r="H5" s="43"/>
      <c r="I5" s="44"/>
      <c r="J5" s="24"/>
      <c r="K5" s="25" t="s">
        <v>82</v>
      </c>
      <c r="L5" s="26">
        <f>SUMIF(G14:G35,"*X*",I14:I35)</f>
        <v>17</v>
      </c>
      <c r="N5" s="128"/>
    </row>
    <row r="6" spans="1:23" x14ac:dyDescent="0.25">
      <c r="A6" s="48" t="s">
        <v>1</v>
      </c>
      <c r="B6" s="207" t="s">
        <v>100</v>
      </c>
      <c r="C6" s="37"/>
      <c r="D6" s="37"/>
      <c r="E6" s="37"/>
      <c r="F6" s="39"/>
      <c r="G6" s="39"/>
      <c r="H6" s="39"/>
      <c r="I6" s="40"/>
      <c r="J6" s="27"/>
      <c r="K6" s="28" t="s">
        <v>15</v>
      </c>
      <c r="L6" s="29">
        <f>SUM(J14:J35)</f>
        <v>231</v>
      </c>
    </row>
    <row r="7" spans="1:23" x14ac:dyDescent="0.25">
      <c r="A7" s="48" t="s">
        <v>2</v>
      </c>
      <c r="B7" s="207" t="s">
        <v>101</v>
      </c>
      <c r="C7" s="37"/>
      <c r="D7" s="37"/>
      <c r="E7" s="37"/>
      <c r="F7" s="39"/>
      <c r="G7" s="39"/>
      <c r="H7" s="39"/>
      <c r="I7" s="40"/>
      <c r="J7" s="27"/>
      <c r="K7" s="28" t="s">
        <v>16</v>
      </c>
      <c r="L7" s="232">
        <v>0.75</v>
      </c>
    </row>
    <row r="8" spans="1:23" x14ac:dyDescent="0.25">
      <c r="A8" s="48" t="s">
        <v>3</v>
      </c>
      <c r="B8" s="208">
        <v>44341</v>
      </c>
      <c r="C8" s="37"/>
      <c r="D8" s="37"/>
      <c r="E8" s="37"/>
      <c r="F8" s="39"/>
      <c r="G8" s="39"/>
      <c r="H8" s="39"/>
      <c r="I8" s="40"/>
      <c r="J8" s="27"/>
      <c r="K8" s="28" t="s">
        <v>17</v>
      </c>
      <c r="L8" s="31">
        <f>L6/L5</f>
        <v>13.588235294117647</v>
      </c>
    </row>
    <row r="9" spans="1:23" x14ac:dyDescent="0.25">
      <c r="A9" s="48" t="s">
        <v>4</v>
      </c>
      <c r="B9" s="60" t="s">
        <v>102</v>
      </c>
      <c r="C9" s="37"/>
      <c r="D9" s="37"/>
      <c r="E9" s="37"/>
      <c r="F9" s="39"/>
      <c r="G9" s="39"/>
      <c r="H9" s="39"/>
      <c r="I9" s="40"/>
      <c r="J9" s="27"/>
      <c r="K9" s="28" t="s">
        <v>18</v>
      </c>
      <c r="L9" s="29">
        <f>SUM(L14:L35)</f>
        <v>158</v>
      </c>
    </row>
    <row r="10" spans="1:23" x14ac:dyDescent="0.25">
      <c r="A10" s="48" t="s">
        <v>5</v>
      </c>
      <c r="B10" s="60" t="s">
        <v>103</v>
      </c>
      <c r="C10" s="37"/>
      <c r="D10" s="37"/>
      <c r="E10" s="37"/>
      <c r="F10" s="39"/>
      <c r="G10" s="39"/>
      <c r="H10" s="39"/>
      <c r="I10" s="40"/>
      <c r="J10" s="27"/>
      <c r="K10" s="28" t="s">
        <v>19</v>
      </c>
      <c r="L10" s="32">
        <f>L9/L6</f>
        <v>0.68398268398268403</v>
      </c>
    </row>
    <row r="11" spans="1:23" ht="15.75" thickBot="1" x14ac:dyDescent="0.3">
      <c r="A11" s="50" t="s">
        <v>6</v>
      </c>
      <c r="B11" s="280">
        <v>44523</v>
      </c>
      <c r="C11" s="38"/>
      <c r="D11" s="38"/>
      <c r="E11" s="38"/>
      <c r="F11" s="41"/>
      <c r="G11" s="41"/>
      <c r="H11" s="41"/>
      <c r="I11" s="45"/>
      <c r="J11" s="33"/>
      <c r="K11" s="34" t="s">
        <v>20</v>
      </c>
      <c r="L11" s="226">
        <v>1</v>
      </c>
    </row>
    <row r="12" spans="1:23" ht="21" customHeight="1" thickBot="1" x14ac:dyDescent="0.3">
      <c r="A12" s="71" t="s">
        <v>25</v>
      </c>
      <c r="B12" s="72"/>
      <c r="C12" s="72"/>
      <c r="D12" s="72"/>
      <c r="E12" s="72"/>
      <c r="F12" s="72"/>
      <c r="G12" s="72"/>
      <c r="H12" s="72"/>
      <c r="I12" s="73"/>
      <c r="J12" s="73"/>
      <c r="K12" s="73"/>
      <c r="L12" s="74"/>
    </row>
    <row r="13" spans="1:23" ht="107.25" customHeight="1" thickBot="1" x14ac:dyDescent="0.3">
      <c r="A13" s="7" t="s">
        <v>7</v>
      </c>
      <c r="B13" s="7" t="s">
        <v>8</v>
      </c>
      <c r="C13" s="7" t="s">
        <v>13</v>
      </c>
      <c r="D13" s="7" t="s">
        <v>14</v>
      </c>
      <c r="E13" s="8" t="s">
        <v>9</v>
      </c>
      <c r="F13" s="8" t="s">
        <v>12</v>
      </c>
      <c r="G13" s="8" t="s">
        <v>11</v>
      </c>
      <c r="H13" s="8" t="s">
        <v>10</v>
      </c>
      <c r="I13" s="244" t="s">
        <v>24</v>
      </c>
      <c r="J13" s="7" t="s">
        <v>21</v>
      </c>
      <c r="K13" s="244" t="s">
        <v>22</v>
      </c>
      <c r="L13" s="7" t="s">
        <v>23</v>
      </c>
      <c r="M13" s="2"/>
      <c r="P13" s="282"/>
      <c r="Q13" s="283"/>
      <c r="R13" s="283"/>
      <c r="S13" s="283"/>
      <c r="T13" s="283"/>
      <c r="U13" s="283"/>
      <c r="V13" s="283"/>
      <c r="W13" s="283"/>
    </row>
    <row r="14" spans="1:23" ht="39.950000000000003" customHeight="1" x14ac:dyDescent="0.25">
      <c r="A14" s="281" t="s">
        <v>104</v>
      </c>
      <c r="B14" s="284" t="s">
        <v>119</v>
      </c>
      <c r="C14" s="285" t="s">
        <v>131</v>
      </c>
      <c r="D14" s="286" t="s">
        <v>132</v>
      </c>
      <c r="E14" s="287" t="s">
        <v>133</v>
      </c>
      <c r="F14" s="287" t="s">
        <v>134</v>
      </c>
      <c r="G14" s="287" t="s">
        <v>135</v>
      </c>
      <c r="H14" s="287" t="s">
        <v>136</v>
      </c>
      <c r="I14" s="288">
        <v>3</v>
      </c>
      <c r="J14" s="288">
        <v>3</v>
      </c>
      <c r="K14" s="289">
        <v>2</v>
      </c>
      <c r="L14" s="6">
        <f>ROUNDUP(J14*K14,0)</f>
        <v>6</v>
      </c>
      <c r="P14" s="282"/>
      <c r="Q14" s="283"/>
      <c r="R14" s="283"/>
      <c r="S14" s="283"/>
      <c r="T14" s="283"/>
      <c r="U14" s="283"/>
      <c r="V14" s="283"/>
      <c r="W14" s="283"/>
    </row>
    <row r="15" spans="1:23" ht="39.950000000000003" customHeight="1" x14ac:dyDescent="0.25">
      <c r="A15" s="281" t="s">
        <v>104</v>
      </c>
      <c r="B15" s="284" t="s">
        <v>119</v>
      </c>
      <c r="C15" s="285" t="s">
        <v>131</v>
      </c>
      <c r="D15" s="286" t="s">
        <v>132</v>
      </c>
      <c r="E15" s="287" t="s">
        <v>133</v>
      </c>
      <c r="F15" s="287" t="s">
        <v>137</v>
      </c>
      <c r="G15" s="287"/>
      <c r="H15" s="287" t="s">
        <v>136</v>
      </c>
      <c r="I15" s="288">
        <v>3</v>
      </c>
      <c r="J15" s="288">
        <v>3</v>
      </c>
      <c r="K15" s="289">
        <v>2</v>
      </c>
      <c r="L15" s="6">
        <f t="shared" ref="L15:L20" si="0">ROUNDUP(J15*K15,0)</f>
        <v>6</v>
      </c>
      <c r="P15" s="282"/>
      <c r="Q15" s="283"/>
      <c r="R15" s="283"/>
      <c r="S15" s="283"/>
      <c r="T15" s="283"/>
      <c r="U15" s="283"/>
      <c r="V15" s="283"/>
      <c r="W15" s="283"/>
    </row>
    <row r="16" spans="1:23" ht="39.950000000000003" customHeight="1" x14ac:dyDescent="0.25">
      <c r="A16" s="281" t="s">
        <v>105</v>
      </c>
      <c r="B16" s="284" t="s">
        <v>120</v>
      </c>
      <c r="C16" s="285" t="s">
        <v>131</v>
      </c>
      <c r="D16" s="286" t="s">
        <v>132</v>
      </c>
      <c r="E16" s="287" t="s">
        <v>133</v>
      </c>
      <c r="F16" s="287" t="s">
        <v>137</v>
      </c>
      <c r="G16" s="287"/>
      <c r="H16" s="287" t="s">
        <v>136</v>
      </c>
      <c r="I16" s="288">
        <v>3</v>
      </c>
      <c r="J16" s="288">
        <v>3</v>
      </c>
      <c r="K16" s="289">
        <v>4</v>
      </c>
      <c r="L16" s="6">
        <f t="shared" si="0"/>
        <v>12</v>
      </c>
      <c r="P16" s="282"/>
      <c r="Q16" s="283"/>
      <c r="R16" s="283"/>
      <c r="S16" s="283"/>
      <c r="T16" s="283"/>
      <c r="U16" s="283"/>
      <c r="V16" s="283"/>
      <c r="W16" s="283"/>
    </row>
    <row r="17" spans="1:23" ht="39.950000000000003" customHeight="1" x14ac:dyDescent="0.25">
      <c r="A17" s="281" t="s">
        <v>106</v>
      </c>
      <c r="B17" s="284" t="s">
        <v>121</v>
      </c>
      <c r="C17" s="285" t="s">
        <v>131</v>
      </c>
      <c r="D17" s="286" t="s">
        <v>132</v>
      </c>
      <c r="E17" s="287" t="s">
        <v>133</v>
      </c>
      <c r="F17" s="287" t="s">
        <v>137</v>
      </c>
      <c r="G17" s="287"/>
      <c r="H17" s="287" t="s">
        <v>136</v>
      </c>
      <c r="I17" s="288">
        <v>3</v>
      </c>
      <c r="J17" s="288">
        <v>3</v>
      </c>
      <c r="K17" s="289">
        <v>1</v>
      </c>
      <c r="L17" s="6">
        <f t="shared" si="0"/>
        <v>3</v>
      </c>
      <c r="P17" s="282"/>
      <c r="Q17" s="283"/>
      <c r="R17" s="283"/>
      <c r="S17" s="283"/>
      <c r="T17" s="283"/>
      <c r="U17" s="283"/>
      <c r="V17" s="283"/>
      <c r="W17" s="283"/>
    </row>
    <row r="18" spans="1:23" ht="39.950000000000003" customHeight="1" x14ac:dyDescent="0.25">
      <c r="A18" s="281" t="s">
        <v>107</v>
      </c>
      <c r="B18" s="284" t="s">
        <v>122</v>
      </c>
      <c r="C18" s="285" t="s">
        <v>131</v>
      </c>
      <c r="D18" s="286" t="s">
        <v>132</v>
      </c>
      <c r="E18" s="287" t="s">
        <v>133</v>
      </c>
      <c r="F18" s="287" t="s">
        <v>137</v>
      </c>
      <c r="G18" s="287"/>
      <c r="H18" s="287" t="s">
        <v>136</v>
      </c>
      <c r="I18" s="288">
        <v>1</v>
      </c>
      <c r="J18" s="288">
        <v>1</v>
      </c>
      <c r="K18" s="289">
        <v>0.5</v>
      </c>
      <c r="L18" s="6">
        <f t="shared" si="0"/>
        <v>1</v>
      </c>
      <c r="P18" s="282"/>
      <c r="Q18" s="283"/>
      <c r="R18" s="283"/>
      <c r="S18" s="283"/>
      <c r="T18" s="283"/>
      <c r="U18" s="283"/>
      <c r="V18" s="283"/>
      <c r="W18" s="283"/>
    </row>
    <row r="19" spans="1:23" ht="39.950000000000003" customHeight="1" x14ac:dyDescent="0.25">
      <c r="A19" s="281" t="s">
        <v>108</v>
      </c>
      <c r="B19" s="284" t="s">
        <v>123</v>
      </c>
      <c r="C19" s="285" t="s">
        <v>131</v>
      </c>
      <c r="D19" s="286" t="s">
        <v>132</v>
      </c>
      <c r="E19" s="287" t="s">
        <v>133</v>
      </c>
      <c r="F19" s="287" t="s">
        <v>137</v>
      </c>
      <c r="G19" s="287"/>
      <c r="H19" s="287" t="s">
        <v>136</v>
      </c>
      <c r="I19" s="288">
        <v>1</v>
      </c>
      <c r="J19" s="288">
        <v>1</v>
      </c>
      <c r="K19" s="289">
        <v>0.5</v>
      </c>
      <c r="L19" s="6">
        <f t="shared" si="0"/>
        <v>1</v>
      </c>
      <c r="P19" s="282"/>
      <c r="Q19" s="283"/>
      <c r="R19" s="283"/>
      <c r="S19" s="283"/>
      <c r="T19" s="283"/>
      <c r="U19" s="283"/>
      <c r="V19" s="283"/>
      <c r="W19" s="283"/>
    </row>
    <row r="20" spans="1:23" ht="39.950000000000003" customHeight="1" x14ac:dyDescent="0.25">
      <c r="A20" s="281" t="s">
        <v>109</v>
      </c>
      <c r="B20" s="284" t="s">
        <v>124</v>
      </c>
      <c r="C20" s="285" t="s">
        <v>131</v>
      </c>
      <c r="D20" s="287" t="s">
        <v>132</v>
      </c>
      <c r="E20" s="287" t="s">
        <v>133</v>
      </c>
      <c r="F20" s="287" t="s">
        <v>137</v>
      </c>
      <c r="G20" s="287" t="s">
        <v>135</v>
      </c>
      <c r="H20" s="287" t="s">
        <v>136</v>
      </c>
      <c r="I20" s="288">
        <v>7</v>
      </c>
      <c r="J20" s="288">
        <v>14</v>
      </c>
      <c r="K20" s="289">
        <v>1</v>
      </c>
      <c r="L20" s="6">
        <f t="shared" si="0"/>
        <v>14</v>
      </c>
      <c r="P20" s="282"/>
      <c r="Q20" s="283"/>
      <c r="R20" s="283"/>
      <c r="S20" s="283"/>
      <c r="T20" s="283"/>
      <c r="U20" s="283"/>
      <c r="V20" s="283"/>
      <c r="W20" s="283"/>
    </row>
    <row r="21" spans="1:23" ht="39.950000000000003" customHeight="1" x14ac:dyDescent="0.25">
      <c r="A21" s="281" t="s">
        <v>110</v>
      </c>
      <c r="B21" s="284" t="s">
        <v>125</v>
      </c>
      <c r="C21" s="285" t="s">
        <v>131</v>
      </c>
      <c r="D21" s="287" t="s">
        <v>132</v>
      </c>
      <c r="E21" s="287" t="s">
        <v>133</v>
      </c>
      <c r="F21" s="287" t="s">
        <v>137</v>
      </c>
      <c r="G21" s="287"/>
      <c r="H21" s="287" t="s">
        <v>136</v>
      </c>
      <c r="I21" s="288">
        <v>1</v>
      </c>
      <c r="J21" s="288">
        <v>1</v>
      </c>
      <c r="K21" s="290">
        <v>0.08</v>
      </c>
      <c r="L21" s="6">
        <f t="shared" ref="L21:L26" si="1">ROUNDUP(J21*K21,0)</f>
        <v>1</v>
      </c>
      <c r="P21" s="282"/>
      <c r="Q21" s="283"/>
      <c r="R21" s="283"/>
      <c r="S21" s="283"/>
      <c r="T21" s="283"/>
      <c r="U21" s="283"/>
      <c r="V21" s="283"/>
      <c r="W21" s="283"/>
    </row>
    <row r="22" spans="1:23" ht="39.950000000000003" customHeight="1" x14ac:dyDescent="0.25">
      <c r="A22" s="281" t="s">
        <v>111</v>
      </c>
      <c r="B22" s="284" t="s">
        <v>125</v>
      </c>
      <c r="C22" s="285" t="s">
        <v>131</v>
      </c>
      <c r="D22" s="286" t="s">
        <v>132</v>
      </c>
      <c r="E22" s="287" t="s">
        <v>133</v>
      </c>
      <c r="F22" s="287" t="s">
        <v>137</v>
      </c>
      <c r="G22" s="287"/>
      <c r="H22" s="287" t="s">
        <v>136</v>
      </c>
      <c r="I22" s="288">
        <v>1</v>
      </c>
      <c r="J22" s="288">
        <v>1</v>
      </c>
      <c r="K22" s="290">
        <v>0.08</v>
      </c>
      <c r="L22" s="6">
        <f t="shared" si="1"/>
        <v>1</v>
      </c>
      <c r="P22" s="282"/>
      <c r="Q22" s="283"/>
      <c r="R22" s="283"/>
      <c r="S22" s="283"/>
      <c r="T22" s="283"/>
      <c r="U22" s="283"/>
      <c r="V22" s="283"/>
      <c r="W22" s="283"/>
    </row>
    <row r="23" spans="1:23" ht="39.950000000000003" customHeight="1" x14ac:dyDescent="0.25">
      <c r="A23" s="281" t="s">
        <v>112</v>
      </c>
      <c r="B23" s="284" t="s">
        <v>125</v>
      </c>
      <c r="C23" s="285" t="s">
        <v>131</v>
      </c>
      <c r="D23" s="286" t="s">
        <v>132</v>
      </c>
      <c r="E23" s="287" t="s">
        <v>133</v>
      </c>
      <c r="F23" s="287" t="s">
        <v>137</v>
      </c>
      <c r="G23" s="287"/>
      <c r="H23" s="287" t="s">
        <v>136</v>
      </c>
      <c r="I23" s="288">
        <v>1</v>
      </c>
      <c r="J23" s="288">
        <v>1</v>
      </c>
      <c r="K23" s="289">
        <v>0.08</v>
      </c>
      <c r="L23" s="6">
        <f t="shared" si="1"/>
        <v>1</v>
      </c>
      <c r="P23" s="282"/>
      <c r="Q23" s="283"/>
      <c r="R23" s="283"/>
      <c r="S23" s="283"/>
      <c r="T23" s="283"/>
      <c r="U23" s="283"/>
      <c r="V23" s="283"/>
      <c r="W23" s="283"/>
    </row>
    <row r="24" spans="1:23" ht="39.950000000000003" customHeight="1" x14ac:dyDescent="0.25">
      <c r="A24" s="281" t="s">
        <v>113</v>
      </c>
      <c r="B24" s="284" t="s">
        <v>126</v>
      </c>
      <c r="C24" s="285" t="s">
        <v>131</v>
      </c>
      <c r="D24" s="286" t="s">
        <v>132</v>
      </c>
      <c r="E24" s="287" t="s">
        <v>133</v>
      </c>
      <c r="F24" s="287" t="s">
        <v>137</v>
      </c>
      <c r="G24" s="287"/>
      <c r="H24" s="287" t="s">
        <v>136</v>
      </c>
      <c r="I24" s="288">
        <v>3</v>
      </c>
      <c r="J24" s="288">
        <v>3</v>
      </c>
      <c r="K24" s="289">
        <v>1</v>
      </c>
      <c r="L24" s="6">
        <f t="shared" si="1"/>
        <v>3</v>
      </c>
      <c r="P24" s="282"/>
      <c r="Q24" s="283"/>
      <c r="R24" s="283"/>
      <c r="S24" s="283"/>
      <c r="T24" s="283"/>
      <c r="U24" s="283"/>
      <c r="V24" s="283"/>
      <c r="W24" s="283"/>
    </row>
    <row r="25" spans="1:23" ht="39.950000000000003" customHeight="1" x14ac:dyDescent="0.25">
      <c r="A25" s="281" t="s">
        <v>114</v>
      </c>
      <c r="B25" s="284" t="s">
        <v>127</v>
      </c>
      <c r="C25" s="285" t="s">
        <v>131</v>
      </c>
      <c r="D25" s="286" t="s">
        <v>132</v>
      </c>
      <c r="E25" s="287" t="s">
        <v>133</v>
      </c>
      <c r="F25" s="287" t="s">
        <v>137</v>
      </c>
      <c r="G25" s="287"/>
      <c r="H25" s="287" t="s">
        <v>136</v>
      </c>
      <c r="I25" s="288">
        <v>3</v>
      </c>
      <c r="J25" s="288">
        <v>3</v>
      </c>
      <c r="K25" s="289">
        <v>0.5</v>
      </c>
      <c r="L25" s="6">
        <f t="shared" si="1"/>
        <v>2</v>
      </c>
      <c r="P25" s="282"/>
      <c r="Q25" s="283"/>
      <c r="R25" s="283"/>
      <c r="S25" s="283"/>
      <c r="T25" s="283"/>
      <c r="U25" s="283"/>
      <c r="V25" s="283"/>
      <c r="W25" s="283"/>
    </row>
    <row r="26" spans="1:23" ht="39.950000000000003" customHeight="1" x14ac:dyDescent="0.25">
      <c r="A26" s="281" t="s">
        <v>115</v>
      </c>
      <c r="B26" s="284" t="s">
        <v>127</v>
      </c>
      <c r="C26" s="285" t="s">
        <v>131</v>
      </c>
      <c r="D26" s="286" t="s">
        <v>132</v>
      </c>
      <c r="E26" s="287" t="s">
        <v>142</v>
      </c>
      <c r="F26" s="287" t="s">
        <v>137</v>
      </c>
      <c r="G26" s="287"/>
      <c r="H26" s="287" t="s">
        <v>136</v>
      </c>
      <c r="I26" s="288">
        <v>3</v>
      </c>
      <c r="J26" s="288">
        <v>3</v>
      </c>
      <c r="K26" s="289">
        <v>1</v>
      </c>
      <c r="L26" s="6">
        <f t="shared" si="1"/>
        <v>3</v>
      </c>
      <c r="P26" s="282"/>
      <c r="Q26" s="283"/>
      <c r="R26" s="283"/>
      <c r="S26" s="283"/>
      <c r="T26" s="283"/>
      <c r="U26" s="283"/>
      <c r="V26" s="283"/>
      <c r="W26" s="283"/>
    </row>
    <row r="27" spans="1:23" ht="39.950000000000003" customHeight="1" x14ac:dyDescent="0.25">
      <c r="A27" s="281" t="s">
        <v>116</v>
      </c>
      <c r="B27" s="284" t="s">
        <v>128</v>
      </c>
      <c r="C27" s="285" t="s">
        <v>131</v>
      </c>
      <c r="D27" s="287" t="s">
        <v>132</v>
      </c>
      <c r="E27" s="287" t="s">
        <v>133</v>
      </c>
      <c r="F27" s="287" t="s">
        <v>137</v>
      </c>
      <c r="G27" s="287"/>
      <c r="H27" s="287" t="s">
        <v>136</v>
      </c>
      <c r="I27" s="288">
        <v>7</v>
      </c>
      <c r="J27" s="288">
        <v>175</v>
      </c>
      <c r="K27" s="289">
        <v>0.5</v>
      </c>
      <c r="L27" s="6">
        <f t="shared" ref="L27:L35" si="2">ROUNDUP(J27*K27,0)</f>
        <v>88</v>
      </c>
      <c r="P27" s="282"/>
      <c r="Q27" s="283"/>
      <c r="R27" s="283"/>
      <c r="S27" s="283"/>
      <c r="T27" s="283"/>
      <c r="U27" s="283"/>
      <c r="V27" s="283"/>
      <c r="W27" s="283"/>
    </row>
    <row r="28" spans="1:23" ht="39.950000000000003" customHeight="1" x14ac:dyDescent="0.25">
      <c r="A28" s="281" t="s">
        <v>116</v>
      </c>
      <c r="B28" s="284" t="s">
        <v>128</v>
      </c>
      <c r="C28" s="285" t="s">
        <v>131</v>
      </c>
      <c r="D28" s="287" t="s">
        <v>132</v>
      </c>
      <c r="E28" s="287" t="s">
        <v>133</v>
      </c>
      <c r="F28" s="287" t="s">
        <v>137</v>
      </c>
      <c r="G28" s="287" t="s">
        <v>135</v>
      </c>
      <c r="H28" s="287" t="s">
        <v>138</v>
      </c>
      <c r="I28" s="288">
        <v>7</v>
      </c>
      <c r="J28" s="288">
        <v>7</v>
      </c>
      <c r="K28" s="289">
        <v>1</v>
      </c>
      <c r="L28" s="6">
        <f t="shared" si="2"/>
        <v>7</v>
      </c>
      <c r="P28" s="282"/>
      <c r="Q28" s="283"/>
      <c r="R28" s="283"/>
      <c r="S28" s="283"/>
      <c r="T28" s="283"/>
      <c r="U28" s="283"/>
      <c r="V28" s="283"/>
      <c r="W28" s="283"/>
    </row>
    <row r="29" spans="1:23" ht="39.950000000000003" customHeight="1" x14ac:dyDescent="0.25">
      <c r="A29" s="281" t="s">
        <v>117</v>
      </c>
      <c r="B29" s="284" t="s">
        <v>129</v>
      </c>
      <c r="C29" s="285" t="s">
        <v>131</v>
      </c>
      <c r="D29" s="286" t="s">
        <v>132</v>
      </c>
      <c r="E29" s="287" t="s">
        <v>133</v>
      </c>
      <c r="F29" s="287" t="s">
        <v>137</v>
      </c>
      <c r="G29" s="287"/>
      <c r="H29" s="287" t="s">
        <v>136</v>
      </c>
      <c r="I29" s="288">
        <v>2</v>
      </c>
      <c r="J29" s="288">
        <v>2</v>
      </c>
      <c r="K29" s="289">
        <v>1</v>
      </c>
      <c r="L29" s="6">
        <f t="shared" si="2"/>
        <v>2</v>
      </c>
      <c r="P29" s="282"/>
      <c r="Q29" s="283"/>
      <c r="R29" s="283"/>
      <c r="S29" s="283"/>
      <c r="T29" s="283"/>
      <c r="U29" s="283"/>
      <c r="V29" s="283"/>
      <c r="W29" s="283"/>
    </row>
    <row r="30" spans="1:23" ht="39.950000000000003" customHeight="1" x14ac:dyDescent="0.25">
      <c r="A30" s="281" t="s">
        <v>118</v>
      </c>
      <c r="B30" s="284" t="s">
        <v>130</v>
      </c>
      <c r="C30" s="285" t="s">
        <v>131</v>
      </c>
      <c r="D30" s="286" t="s">
        <v>132</v>
      </c>
      <c r="E30" s="287" t="s">
        <v>133</v>
      </c>
      <c r="F30" s="287" t="s">
        <v>137</v>
      </c>
      <c r="G30" s="287"/>
      <c r="H30" s="287" t="s">
        <v>136</v>
      </c>
      <c r="I30" s="288">
        <v>7</v>
      </c>
      <c r="J30" s="288">
        <v>7</v>
      </c>
      <c r="K30" s="289">
        <v>1</v>
      </c>
      <c r="L30" s="6">
        <f t="shared" si="2"/>
        <v>7</v>
      </c>
    </row>
    <row r="31" spans="1:23" ht="39.950000000000003" customHeight="1" x14ac:dyDescent="0.25">
      <c r="A31" s="77"/>
      <c r="B31" s="78"/>
      <c r="C31" s="78"/>
      <c r="D31" s="78"/>
      <c r="E31" s="3"/>
      <c r="F31" s="98"/>
      <c r="G31" s="3"/>
      <c r="H31" s="3"/>
      <c r="I31" s="4"/>
      <c r="J31" s="4"/>
      <c r="K31" s="96"/>
      <c r="L31" s="6">
        <f t="shared" si="2"/>
        <v>0</v>
      </c>
    </row>
    <row r="32" spans="1:23" ht="39.950000000000003" customHeight="1" x14ac:dyDescent="0.25">
      <c r="A32" s="77"/>
      <c r="B32" s="78"/>
      <c r="C32" s="78"/>
      <c r="D32" s="78"/>
      <c r="E32" s="3"/>
      <c r="F32" s="98"/>
      <c r="G32" s="3"/>
      <c r="H32" s="3"/>
      <c r="I32" s="4"/>
      <c r="J32" s="4"/>
      <c r="K32" s="96"/>
      <c r="L32" s="6">
        <f t="shared" si="2"/>
        <v>0</v>
      </c>
    </row>
    <row r="33" spans="1:12" ht="39.950000000000003" customHeight="1" x14ac:dyDescent="0.25">
      <c r="A33" s="77"/>
      <c r="B33" s="78"/>
      <c r="C33" s="78"/>
      <c r="D33" s="78"/>
      <c r="E33" s="3"/>
      <c r="F33" s="98"/>
      <c r="G33" s="3"/>
      <c r="H33" s="3"/>
      <c r="I33" s="4"/>
      <c r="J33" s="4"/>
      <c r="K33" s="96"/>
      <c r="L33" s="6">
        <f t="shared" si="2"/>
        <v>0</v>
      </c>
    </row>
    <row r="34" spans="1:12" ht="39.950000000000003" customHeight="1" x14ac:dyDescent="0.25">
      <c r="A34" s="77"/>
      <c r="B34" s="78"/>
      <c r="C34" s="78"/>
      <c r="D34" s="78"/>
      <c r="E34" s="3"/>
      <c r="F34" s="98"/>
      <c r="G34" s="3"/>
      <c r="H34" s="3"/>
      <c r="I34" s="4"/>
      <c r="J34" s="4"/>
      <c r="K34" s="96"/>
      <c r="L34" s="6">
        <f t="shared" si="2"/>
        <v>0</v>
      </c>
    </row>
    <row r="35" spans="1:12" ht="39.950000000000003" customHeight="1" x14ac:dyDescent="0.25">
      <c r="A35" s="77"/>
      <c r="B35" s="78"/>
      <c r="C35" s="78"/>
      <c r="D35" s="78"/>
      <c r="E35" s="3"/>
      <c r="F35" s="98"/>
      <c r="G35" s="3"/>
      <c r="H35" s="3"/>
      <c r="I35" s="4"/>
      <c r="J35" s="4"/>
      <c r="K35" s="96"/>
      <c r="L35"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2DDC-85C3-4333-BC08-8D9E3797C794}">
  <dimension ref="A1:I105"/>
  <sheetViews>
    <sheetView tabSelected="1" zoomScale="160" zoomScaleNormal="160" zoomScaleSheetLayoutView="100" workbookViewId="0">
      <selection activeCell="D13" sqref="D13"/>
    </sheetView>
  </sheetViews>
  <sheetFormatPr defaultColWidth="9.140625" defaultRowHeight="8.25" x14ac:dyDescent="0.25"/>
  <cols>
    <col min="1" max="1" width="52.28515625" style="11" bestFit="1" customWidth="1"/>
    <col min="2" max="2" width="13.7109375" style="11" customWidth="1"/>
    <col min="3" max="3" width="14.5703125" style="12" customWidth="1"/>
    <col min="4" max="4" width="13" style="11" customWidth="1"/>
    <col min="5" max="5" width="6.5703125" style="13" customWidth="1"/>
    <col min="6" max="6" width="9.7109375" style="14" customWidth="1"/>
    <col min="7" max="7" width="15.7109375" style="11" customWidth="1"/>
    <col min="8" max="16384" width="9.140625" style="11"/>
  </cols>
  <sheetData>
    <row r="1" spans="1:9" ht="24" customHeight="1" thickBot="1" x14ac:dyDescent="0.3">
      <c r="A1" s="241" t="s">
        <v>53</v>
      </c>
      <c r="B1" s="254" t="s">
        <v>97</v>
      </c>
      <c r="C1" s="271"/>
      <c r="D1" s="272"/>
      <c r="E1" s="273"/>
      <c r="F1" s="270" t="s">
        <v>3</v>
      </c>
      <c r="G1" s="208">
        <v>44341</v>
      </c>
    </row>
    <row r="2" spans="1:9" ht="24.95" customHeight="1" x14ac:dyDescent="0.25">
      <c r="A2" s="255" t="s">
        <v>27</v>
      </c>
      <c r="B2" s="210" t="s">
        <v>98</v>
      </c>
      <c r="C2" s="211"/>
      <c r="D2" s="220"/>
      <c r="E2" s="220"/>
      <c r="F2" s="220"/>
      <c r="G2" s="221"/>
      <c r="I2" s="240" t="s">
        <v>86</v>
      </c>
    </row>
    <row r="3" spans="1:9" ht="24.95" customHeight="1" thickBot="1" x14ac:dyDescent="0.25">
      <c r="A3" s="259" t="s">
        <v>64</v>
      </c>
      <c r="B3" s="277"/>
      <c r="C3" s="222"/>
      <c r="D3" s="222"/>
      <c r="E3" s="222"/>
      <c r="F3" s="222"/>
      <c r="G3" s="223"/>
    </row>
    <row r="4" spans="1:9" s="9" customFormat="1" ht="75.75" customHeight="1" thickBot="1" x14ac:dyDescent="0.3">
      <c r="A4" s="81"/>
      <c r="B4" s="82" t="s">
        <v>79</v>
      </c>
      <c r="C4" s="83" t="s">
        <v>55</v>
      </c>
      <c r="D4" s="82" t="s">
        <v>80</v>
      </c>
      <c r="E4" s="84"/>
      <c r="F4" s="85"/>
      <c r="G4" s="196" t="s">
        <v>61</v>
      </c>
    </row>
    <row r="5" spans="1:9" s="9" customFormat="1" ht="22.5" customHeight="1" thickBot="1" x14ac:dyDescent="0.3">
      <c r="A5" s="265" t="s">
        <v>26</v>
      </c>
      <c r="B5" s="263" t="s">
        <v>94</v>
      </c>
      <c r="C5" s="264">
        <v>0.61299999999999999</v>
      </c>
      <c r="D5" s="263">
        <v>0.13900000000000001</v>
      </c>
      <c r="E5" s="92"/>
      <c r="F5" s="93"/>
      <c r="G5" s="94">
        <f>SUM(G7:G28)</f>
        <v>41741.505119999994</v>
      </c>
      <c r="I5" s="240" t="s">
        <v>91</v>
      </c>
    </row>
    <row r="6" spans="1:9" s="9" customFormat="1" ht="57.75" customHeight="1" thickBot="1" x14ac:dyDescent="0.3">
      <c r="A6" s="86" t="s">
        <v>62</v>
      </c>
      <c r="B6" s="87" t="s">
        <v>56</v>
      </c>
      <c r="C6" s="88" t="s">
        <v>60</v>
      </c>
      <c r="D6" s="87" t="s">
        <v>57</v>
      </c>
      <c r="E6" s="89" t="s">
        <v>58</v>
      </c>
      <c r="F6" s="90" t="s">
        <v>63</v>
      </c>
      <c r="G6" s="91" t="s">
        <v>59</v>
      </c>
    </row>
    <row r="7" spans="1:9" s="10" customFormat="1" ht="44.1" customHeight="1" x14ac:dyDescent="0.25">
      <c r="A7" s="281" t="s">
        <v>104</v>
      </c>
      <c r="B7" s="288">
        <v>3</v>
      </c>
      <c r="C7" s="289">
        <v>2</v>
      </c>
      <c r="D7" s="79">
        <f>ROUNDUP(B7*C7,0)</f>
        <v>6</v>
      </c>
      <c r="E7" s="291" t="s">
        <v>139</v>
      </c>
      <c r="F7" s="80">
        <v>56.3</v>
      </c>
      <c r="G7" s="261">
        <f>(D7*F7)*(1+$C$5+$D$5)</f>
        <v>591.82559999999989</v>
      </c>
    </row>
    <row r="8" spans="1:9" s="10" customFormat="1" ht="44.1" customHeight="1" x14ac:dyDescent="0.25">
      <c r="A8" s="281" t="s">
        <v>105</v>
      </c>
      <c r="B8" s="288">
        <v>3</v>
      </c>
      <c r="C8" s="289">
        <v>4</v>
      </c>
      <c r="D8" s="18">
        <f t="shared" ref="D8:D18" si="0">ROUNDUP(B8*C8,0)</f>
        <v>12</v>
      </c>
      <c r="E8" s="291" t="s">
        <v>140</v>
      </c>
      <c r="F8" s="42">
        <v>66.53</v>
      </c>
      <c r="G8" s="262">
        <f t="shared" ref="G8:G11" si="1">(D8*F8)*(1+$C$5+$D$5)</f>
        <v>1398.7267200000001</v>
      </c>
    </row>
    <row r="9" spans="1:9" s="10" customFormat="1" ht="44.1" customHeight="1" x14ac:dyDescent="0.25">
      <c r="A9" s="281" t="s">
        <v>106</v>
      </c>
      <c r="B9" s="288">
        <v>3</v>
      </c>
      <c r="C9" s="289">
        <v>1</v>
      </c>
      <c r="D9" s="18">
        <f t="shared" si="0"/>
        <v>3</v>
      </c>
      <c r="E9" s="291" t="s">
        <v>139</v>
      </c>
      <c r="F9" s="80">
        <v>56.3</v>
      </c>
      <c r="G9" s="262">
        <f t="shared" si="1"/>
        <v>295.91279999999995</v>
      </c>
    </row>
    <row r="10" spans="1:9" s="10" customFormat="1" ht="44.1" customHeight="1" x14ac:dyDescent="0.25">
      <c r="A10" s="281" t="s">
        <v>107</v>
      </c>
      <c r="B10" s="288">
        <v>1</v>
      </c>
      <c r="C10" s="289">
        <v>0.5</v>
      </c>
      <c r="D10" s="18">
        <f t="shared" si="0"/>
        <v>1</v>
      </c>
      <c r="E10" s="291" t="s">
        <v>139</v>
      </c>
      <c r="F10" s="80">
        <v>56.3</v>
      </c>
      <c r="G10" s="262">
        <f t="shared" si="1"/>
        <v>98.637599999999992</v>
      </c>
    </row>
    <row r="11" spans="1:9" s="10" customFormat="1" ht="44.1" customHeight="1" x14ac:dyDescent="0.25">
      <c r="A11" s="281" t="s">
        <v>108</v>
      </c>
      <c r="B11" s="288">
        <v>1</v>
      </c>
      <c r="C11" s="289">
        <v>0.5</v>
      </c>
      <c r="D11" s="18">
        <f t="shared" si="0"/>
        <v>1</v>
      </c>
      <c r="E11" s="291" t="s">
        <v>139</v>
      </c>
      <c r="F11" s="80">
        <v>56.3</v>
      </c>
      <c r="G11" s="262">
        <f t="shared" si="1"/>
        <v>98.637599999999992</v>
      </c>
    </row>
    <row r="12" spans="1:9" ht="44.1" customHeight="1" x14ac:dyDescent="0.25">
      <c r="A12" s="281" t="s">
        <v>143</v>
      </c>
      <c r="B12" s="288">
        <v>14</v>
      </c>
      <c r="C12" s="289">
        <v>1</v>
      </c>
      <c r="D12" s="18">
        <f t="shared" si="0"/>
        <v>14</v>
      </c>
      <c r="E12" s="292">
        <v>13</v>
      </c>
      <c r="F12" s="80">
        <v>56.3</v>
      </c>
      <c r="G12" s="262">
        <f t="shared" ref="G12:G28" si="2">(D12*F12)*(1+$C$5+$D$5)</f>
        <v>1380.9263999999998</v>
      </c>
    </row>
    <row r="13" spans="1:9" ht="44.1" customHeight="1" x14ac:dyDescent="0.25">
      <c r="A13" s="281" t="s">
        <v>110</v>
      </c>
      <c r="B13" s="288">
        <v>1</v>
      </c>
      <c r="C13" s="290">
        <v>0.08</v>
      </c>
      <c r="D13" s="18">
        <f t="shared" si="0"/>
        <v>1</v>
      </c>
      <c r="E13" s="292">
        <v>13</v>
      </c>
      <c r="F13" s="80">
        <v>56.3</v>
      </c>
      <c r="G13" s="262">
        <f t="shared" si="2"/>
        <v>98.637599999999992</v>
      </c>
    </row>
    <row r="14" spans="1:9" ht="44.1" customHeight="1" x14ac:dyDescent="0.25">
      <c r="A14" s="281" t="s">
        <v>111</v>
      </c>
      <c r="B14" s="288">
        <v>1</v>
      </c>
      <c r="C14" s="290">
        <v>0.08</v>
      </c>
      <c r="D14" s="18">
        <f t="shared" si="0"/>
        <v>1</v>
      </c>
      <c r="E14" s="293">
        <v>13</v>
      </c>
      <c r="F14" s="80">
        <v>56.3</v>
      </c>
      <c r="G14" s="262">
        <f t="shared" si="2"/>
        <v>98.637599999999992</v>
      </c>
    </row>
    <row r="15" spans="1:9" ht="44.1" customHeight="1" x14ac:dyDescent="0.25">
      <c r="A15" s="281" t="s">
        <v>112</v>
      </c>
      <c r="B15" s="288">
        <v>1</v>
      </c>
      <c r="C15" s="289">
        <v>0.08</v>
      </c>
      <c r="D15" s="18">
        <f t="shared" si="0"/>
        <v>1</v>
      </c>
      <c r="E15" s="293">
        <v>13</v>
      </c>
      <c r="F15" s="80">
        <v>56.3</v>
      </c>
      <c r="G15" s="262">
        <f t="shared" si="2"/>
        <v>98.637599999999992</v>
      </c>
    </row>
    <row r="16" spans="1:9" ht="44.1" customHeight="1" x14ac:dyDescent="0.25">
      <c r="A16" s="281" t="s">
        <v>113</v>
      </c>
      <c r="B16" s="288">
        <v>3</v>
      </c>
      <c r="C16" s="289">
        <v>1</v>
      </c>
      <c r="D16" s="18">
        <f t="shared" si="0"/>
        <v>3</v>
      </c>
      <c r="E16" s="293">
        <v>13</v>
      </c>
      <c r="F16" s="80">
        <v>56.3</v>
      </c>
      <c r="G16" s="262">
        <f t="shared" si="2"/>
        <v>295.91279999999995</v>
      </c>
    </row>
    <row r="17" spans="1:7" ht="44.1" customHeight="1" x14ac:dyDescent="0.25">
      <c r="A17" s="281" t="s">
        <v>114</v>
      </c>
      <c r="B17" s="288">
        <v>3</v>
      </c>
      <c r="C17" s="289">
        <v>0.5</v>
      </c>
      <c r="D17" s="18">
        <f t="shared" si="0"/>
        <v>2</v>
      </c>
      <c r="E17" s="294">
        <v>13</v>
      </c>
      <c r="F17" s="80">
        <v>56.3</v>
      </c>
      <c r="G17" s="262">
        <f t="shared" si="2"/>
        <v>197.27519999999998</v>
      </c>
    </row>
    <row r="18" spans="1:7" ht="44.1" customHeight="1" x14ac:dyDescent="0.25">
      <c r="A18" s="281" t="s">
        <v>115</v>
      </c>
      <c r="B18" s="288">
        <v>3</v>
      </c>
      <c r="C18" s="289">
        <v>1</v>
      </c>
      <c r="D18" s="18">
        <f t="shared" si="0"/>
        <v>3</v>
      </c>
      <c r="E18" s="294">
        <v>13</v>
      </c>
      <c r="F18" s="80">
        <v>56.3</v>
      </c>
      <c r="G18" s="262">
        <f t="shared" si="2"/>
        <v>295.91279999999995</v>
      </c>
    </row>
    <row r="19" spans="1:7" ht="44.1" customHeight="1" x14ac:dyDescent="0.25">
      <c r="A19" s="281" t="s">
        <v>116</v>
      </c>
      <c r="B19" s="288">
        <v>182</v>
      </c>
      <c r="C19" s="289">
        <v>2</v>
      </c>
      <c r="D19" s="18">
        <f>ROUNDUP(B19*C19,0)</f>
        <v>364</v>
      </c>
      <c r="E19" s="294">
        <v>13</v>
      </c>
      <c r="F19" s="80">
        <v>56.3</v>
      </c>
      <c r="G19" s="262">
        <f t="shared" si="2"/>
        <v>35904.0864</v>
      </c>
    </row>
    <row r="20" spans="1:7" ht="44.1" customHeight="1" x14ac:dyDescent="0.25">
      <c r="A20" s="281" t="s">
        <v>117</v>
      </c>
      <c r="B20" s="288">
        <v>2</v>
      </c>
      <c r="C20" s="289">
        <v>1</v>
      </c>
      <c r="D20" s="18">
        <f>ROUNDUP(B20*C20,0)</f>
        <v>2</v>
      </c>
      <c r="E20" s="294">
        <v>13</v>
      </c>
      <c r="F20" s="80">
        <v>56.3</v>
      </c>
      <c r="G20" s="262">
        <f t="shared" ref="G20:G21" si="3">(D20*F20)*(1+$C$5+$D$5)</f>
        <v>197.27519999999998</v>
      </c>
    </row>
    <row r="21" spans="1:7" ht="44.1" customHeight="1" x14ac:dyDescent="0.25">
      <c r="A21" s="281" t="s">
        <v>118</v>
      </c>
      <c r="B21" s="288">
        <v>7</v>
      </c>
      <c r="C21" s="289">
        <v>1</v>
      </c>
      <c r="D21" s="18">
        <f>ROUNDUP(B21*C21,0)</f>
        <v>7</v>
      </c>
      <c r="E21" s="294">
        <v>13</v>
      </c>
      <c r="F21" s="80">
        <v>56.3</v>
      </c>
      <c r="G21" s="262">
        <f t="shared" si="3"/>
        <v>690.46319999999992</v>
      </c>
    </row>
    <row r="22" spans="1:7" ht="44.1" customHeight="1" x14ac:dyDescent="0.25">
      <c r="A22" s="281"/>
      <c r="B22" s="288"/>
      <c r="C22" s="289"/>
      <c r="D22" s="18">
        <f t="shared" ref="D21:D28" si="4">ROUNDUP(B22*C22,0)</f>
        <v>0</v>
      </c>
      <c r="E22" s="15"/>
      <c r="F22" s="42"/>
      <c r="G22" s="262">
        <f>(D19*F22)*(1+$C$5+$D$5)</f>
        <v>0</v>
      </c>
    </row>
    <row r="23" spans="1:7" ht="44.1" customHeight="1" x14ac:dyDescent="0.25">
      <c r="A23" s="281"/>
      <c r="B23" s="288"/>
      <c r="C23" s="289"/>
      <c r="D23" s="18">
        <f t="shared" si="4"/>
        <v>0</v>
      </c>
      <c r="E23" s="15"/>
      <c r="F23" s="42"/>
      <c r="G23" s="262">
        <f>(D20*F23)*(1+$C$5+$D$5)</f>
        <v>0</v>
      </c>
    </row>
    <row r="24" spans="1:7" ht="44.1" customHeight="1" x14ac:dyDescent="0.25">
      <c r="A24" s="256"/>
      <c r="B24" s="17"/>
      <c r="C24" s="16"/>
      <c r="D24" s="18">
        <f t="shared" si="4"/>
        <v>0</v>
      </c>
      <c r="E24" s="15"/>
      <c r="F24" s="42"/>
      <c r="G24" s="262">
        <f t="shared" si="2"/>
        <v>0</v>
      </c>
    </row>
    <row r="25" spans="1:7" ht="44.1" customHeight="1" x14ac:dyDescent="0.25">
      <c r="A25" s="256"/>
      <c r="B25" s="17"/>
      <c r="C25" s="16"/>
      <c r="D25" s="18">
        <f t="shared" si="4"/>
        <v>0</v>
      </c>
      <c r="E25" s="15"/>
      <c r="F25" s="42"/>
      <c r="G25" s="262">
        <f t="shared" si="2"/>
        <v>0</v>
      </c>
    </row>
    <row r="26" spans="1:7" ht="44.1" customHeight="1" x14ac:dyDescent="0.25">
      <c r="A26" s="256"/>
      <c r="B26" s="17"/>
      <c r="C26" s="16"/>
      <c r="D26" s="18">
        <f t="shared" si="4"/>
        <v>0</v>
      </c>
      <c r="E26" s="15"/>
      <c r="F26" s="42"/>
      <c r="G26" s="262">
        <f t="shared" si="2"/>
        <v>0</v>
      </c>
    </row>
    <row r="27" spans="1:7" ht="44.1" customHeight="1" x14ac:dyDescent="0.25">
      <c r="A27" s="256"/>
      <c r="B27" s="17"/>
      <c r="C27" s="16"/>
      <c r="D27" s="18">
        <f t="shared" si="4"/>
        <v>0</v>
      </c>
      <c r="E27" s="15"/>
      <c r="F27" s="42"/>
      <c r="G27" s="262">
        <f t="shared" si="2"/>
        <v>0</v>
      </c>
    </row>
    <row r="28" spans="1:7" ht="44.1" customHeight="1" x14ac:dyDescent="0.25">
      <c r="A28" s="256"/>
      <c r="B28" s="17"/>
      <c r="C28" s="16"/>
      <c r="D28" s="18">
        <f t="shared" si="4"/>
        <v>0</v>
      </c>
      <c r="E28" s="15"/>
      <c r="F28" s="42"/>
      <c r="G28" s="262">
        <f t="shared" si="2"/>
        <v>0</v>
      </c>
    </row>
    <row r="29" spans="1:7" x14ac:dyDescent="0.25">
      <c r="A29" s="257"/>
    </row>
    <row r="30" spans="1:7" x14ac:dyDescent="0.25">
      <c r="A30" s="257"/>
    </row>
    <row r="31" spans="1:7" x14ac:dyDescent="0.25">
      <c r="A31" s="257"/>
    </row>
    <row r="32" spans="1:7" x14ac:dyDescent="0.25">
      <c r="A32" s="257"/>
    </row>
    <row r="33" spans="1:1" x14ac:dyDescent="0.25">
      <c r="A33" s="257"/>
    </row>
    <row r="34" spans="1:1" x14ac:dyDescent="0.25">
      <c r="A34" s="257"/>
    </row>
    <row r="35" spans="1:1" x14ac:dyDescent="0.25">
      <c r="A35" s="257"/>
    </row>
    <row r="36" spans="1:1" x14ac:dyDescent="0.25">
      <c r="A36" s="257"/>
    </row>
    <row r="37" spans="1:1" x14ac:dyDescent="0.25">
      <c r="A37" s="257"/>
    </row>
    <row r="38" spans="1:1" x14ac:dyDescent="0.25">
      <c r="A38" s="257"/>
    </row>
    <row r="39" spans="1:1" x14ac:dyDescent="0.25">
      <c r="A39" s="257"/>
    </row>
    <row r="40" spans="1:1" x14ac:dyDescent="0.25">
      <c r="A40" s="257"/>
    </row>
    <row r="41" spans="1:1" x14ac:dyDescent="0.25">
      <c r="A41" s="257"/>
    </row>
    <row r="42" spans="1:1" x14ac:dyDescent="0.25">
      <c r="A42" s="257"/>
    </row>
    <row r="43" spans="1:1" x14ac:dyDescent="0.25">
      <c r="A43" s="257"/>
    </row>
    <row r="44" spans="1:1" x14ac:dyDescent="0.25">
      <c r="A44" s="257"/>
    </row>
    <row r="45" spans="1:1" x14ac:dyDescent="0.25">
      <c r="A45" s="257"/>
    </row>
    <row r="46" spans="1:1" x14ac:dyDescent="0.25">
      <c r="A46" s="257"/>
    </row>
    <row r="47" spans="1:1" x14ac:dyDescent="0.25">
      <c r="A47" s="257"/>
    </row>
    <row r="48" spans="1:1" x14ac:dyDescent="0.25">
      <c r="A48" s="257"/>
    </row>
    <row r="49" spans="1:1" x14ac:dyDescent="0.25">
      <c r="A49" s="257"/>
    </row>
    <row r="50" spans="1:1" x14ac:dyDescent="0.25">
      <c r="A50" s="257"/>
    </row>
    <row r="51" spans="1:1" x14ac:dyDescent="0.25">
      <c r="A51" s="257"/>
    </row>
    <row r="52" spans="1:1" x14ac:dyDescent="0.25">
      <c r="A52" s="257"/>
    </row>
    <row r="53" spans="1:1" x14ac:dyDescent="0.25">
      <c r="A53" s="257"/>
    </row>
    <row r="54" spans="1:1" x14ac:dyDescent="0.25">
      <c r="A54" s="257"/>
    </row>
    <row r="55" spans="1:1" x14ac:dyDescent="0.25">
      <c r="A55" s="257"/>
    </row>
    <row r="56" spans="1:1" x14ac:dyDescent="0.25">
      <c r="A56" s="257"/>
    </row>
    <row r="57" spans="1:1" x14ac:dyDescent="0.25">
      <c r="A57" s="257"/>
    </row>
    <row r="58" spans="1:1" x14ac:dyDescent="0.25">
      <c r="A58" s="257"/>
    </row>
    <row r="59" spans="1:1" x14ac:dyDescent="0.25">
      <c r="A59" s="257"/>
    </row>
    <row r="60" spans="1:1" x14ac:dyDescent="0.25">
      <c r="A60" s="257"/>
    </row>
    <row r="61" spans="1:1" x14ac:dyDescent="0.25">
      <c r="A61" s="257"/>
    </row>
    <row r="62" spans="1:1" x14ac:dyDescent="0.25">
      <c r="A62" s="257"/>
    </row>
    <row r="63" spans="1:1" x14ac:dyDescent="0.25">
      <c r="A63" s="257"/>
    </row>
    <row r="64" spans="1:1" x14ac:dyDescent="0.25">
      <c r="A64" s="257"/>
    </row>
    <row r="65" spans="1:1" x14ac:dyDescent="0.25">
      <c r="A65" s="257"/>
    </row>
    <row r="66" spans="1:1" x14ac:dyDescent="0.25">
      <c r="A66" s="257"/>
    </row>
    <row r="67" spans="1:1" x14ac:dyDescent="0.25">
      <c r="A67" s="257"/>
    </row>
    <row r="68" spans="1:1" x14ac:dyDescent="0.25">
      <c r="A68" s="257"/>
    </row>
    <row r="69" spans="1:1" x14ac:dyDescent="0.25">
      <c r="A69" s="257"/>
    </row>
    <row r="70" spans="1:1" x14ac:dyDescent="0.25">
      <c r="A70" s="257"/>
    </row>
    <row r="71" spans="1:1" x14ac:dyDescent="0.25">
      <c r="A71" s="257"/>
    </row>
    <row r="72" spans="1:1" x14ac:dyDescent="0.25">
      <c r="A72" s="257"/>
    </row>
    <row r="73" spans="1:1" x14ac:dyDescent="0.25">
      <c r="A73" s="257"/>
    </row>
    <row r="74" spans="1:1" x14ac:dyDescent="0.25">
      <c r="A74" s="257"/>
    </row>
    <row r="75" spans="1:1" x14ac:dyDescent="0.25">
      <c r="A75" s="257"/>
    </row>
    <row r="76" spans="1:1" x14ac:dyDescent="0.25">
      <c r="A76" s="257"/>
    </row>
    <row r="77" spans="1:1" x14ac:dyDescent="0.25">
      <c r="A77" s="257"/>
    </row>
    <row r="78" spans="1:1" x14ac:dyDescent="0.25">
      <c r="A78" s="257"/>
    </row>
    <row r="79" spans="1:1" x14ac:dyDescent="0.25">
      <c r="A79" s="257"/>
    </row>
    <row r="80" spans="1:1" x14ac:dyDescent="0.25">
      <c r="A80" s="257"/>
    </row>
    <row r="81" spans="1:1" x14ac:dyDescent="0.25">
      <c r="A81" s="257"/>
    </row>
    <row r="82" spans="1:1" x14ac:dyDescent="0.25">
      <c r="A82" s="257"/>
    </row>
    <row r="83" spans="1:1" x14ac:dyDescent="0.25">
      <c r="A83" s="257"/>
    </row>
    <row r="84" spans="1:1" x14ac:dyDescent="0.25">
      <c r="A84" s="257"/>
    </row>
    <row r="85" spans="1:1" x14ac:dyDescent="0.25">
      <c r="A85" s="257"/>
    </row>
    <row r="86" spans="1:1" x14ac:dyDescent="0.25">
      <c r="A86" s="257"/>
    </row>
    <row r="87" spans="1:1" x14ac:dyDescent="0.25">
      <c r="A87" s="257"/>
    </row>
    <row r="88" spans="1:1" x14ac:dyDescent="0.25">
      <c r="A88" s="257"/>
    </row>
    <row r="89" spans="1:1" x14ac:dyDescent="0.25">
      <c r="A89" s="257"/>
    </row>
    <row r="90" spans="1:1" x14ac:dyDescent="0.25">
      <c r="A90" s="257"/>
    </row>
    <row r="91" spans="1:1" x14ac:dyDescent="0.25">
      <c r="A91" s="257"/>
    </row>
    <row r="92" spans="1:1" x14ac:dyDescent="0.25">
      <c r="A92" s="257"/>
    </row>
    <row r="93" spans="1:1" x14ac:dyDescent="0.25">
      <c r="A93" s="257"/>
    </row>
    <row r="94" spans="1:1" x14ac:dyDescent="0.25">
      <c r="A94" s="257"/>
    </row>
    <row r="95" spans="1:1" x14ac:dyDescent="0.25">
      <c r="A95" s="257"/>
    </row>
    <row r="96" spans="1:1" x14ac:dyDescent="0.25">
      <c r="A96" s="257"/>
    </row>
    <row r="97" spans="1:1" x14ac:dyDescent="0.25">
      <c r="A97" s="257"/>
    </row>
    <row r="98" spans="1:1" x14ac:dyDescent="0.25">
      <c r="A98" s="257"/>
    </row>
    <row r="99" spans="1:1" x14ac:dyDescent="0.25">
      <c r="A99" s="257"/>
    </row>
    <row r="100" spans="1:1" x14ac:dyDescent="0.25">
      <c r="A100" s="257"/>
    </row>
    <row r="101" spans="1:1" x14ac:dyDescent="0.25">
      <c r="A101" s="257"/>
    </row>
    <row r="102" spans="1:1" x14ac:dyDescent="0.25">
      <c r="A102" s="257"/>
    </row>
    <row r="103" spans="1:1" x14ac:dyDescent="0.25">
      <c r="A103" s="257"/>
    </row>
    <row r="104" spans="1:1" x14ac:dyDescent="0.25">
      <c r="A104" s="257"/>
    </row>
    <row r="105" spans="1:1" x14ac:dyDescent="0.25">
      <c r="A105" s="257"/>
    </row>
  </sheetData>
  <hyperlinks>
    <hyperlink ref="C4" r:id="rId1" display="FRINGE BENEFITS FACTOR" xr:uid="{1C297510-B5E8-4D48-A530-40B44C866CF2}"/>
  </hyperlinks>
  <pageMargins left="0.5" right="0.5" top="0.5" bottom="0.75" header="0.3" footer="0.3"/>
  <pageSetup scale="76" orientation="portrait" r:id="rId2"/>
  <headerFooter>
    <oddFooter>&amp;LAPHIS 79, Federal Government Costs for Information Collection Worksheet&amp;RPage &amp;P of &amp;N</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N41"/>
  <sheetViews>
    <sheetView topLeftCell="A11" zoomScale="120" zoomScaleNormal="120" zoomScaleSheetLayoutView="115" workbookViewId="0">
      <selection activeCell="B12" sqref="B12"/>
    </sheetView>
  </sheetViews>
  <sheetFormatPr defaultColWidth="9.140625" defaultRowHeight="9" customHeight="1" x14ac:dyDescent="0.25"/>
  <cols>
    <col min="1" max="1" width="40.42578125" style="19" customWidth="1"/>
    <col min="2" max="2" width="18.7109375" style="19" bestFit="1" customWidth="1"/>
    <col min="3" max="5" width="15.7109375" style="19" customWidth="1"/>
    <col min="6" max="6" width="3.85546875" style="130" customWidth="1"/>
    <col min="7" max="7" width="9.7109375" style="19" bestFit="1" customWidth="1"/>
    <col min="8" max="8" width="9.85546875" style="19" customWidth="1"/>
    <col min="9" max="9" width="90.7109375" style="19" customWidth="1"/>
    <col min="10" max="16384" width="9.140625" style="19"/>
  </cols>
  <sheetData>
    <row r="1" spans="1:14" ht="15" customHeight="1" x14ac:dyDescent="0.25">
      <c r="A1" s="187" t="s">
        <v>28</v>
      </c>
      <c r="B1" s="224" t="s">
        <v>97</v>
      </c>
      <c r="C1" s="132"/>
      <c r="D1" s="189" t="s">
        <v>32</v>
      </c>
      <c r="E1" s="190" t="s">
        <v>72</v>
      </c>
      <c r="G1" s="177" t="s">
        <v>34</v>
      </c>
      <c r="H1" s="178" t="s">
        <v>35</v>
      </c>
      <c r="I1" s="179" t="s">
        <v>36</v>
      </c>
    </row>
    <row r="2" spans="1:14" ht="15" customHeight="1" thickBot="1" x14ac:dyDescent="0.3">
      <c r="A2" s="188" t="s">
        <v>29</v>
      </c>
      <c r="B2" s="225" t="s">
        <v>141</v>
      </c>
      <c r="C2" s="132"/>
      <c r="D2" s="168" t="s">
        <v>73</v>
      </c>
      <c r="E2" s="275">
        <f>SUMIFS('APHIS 71'!I14:I50,'APHIS 71'!F14:F50,"FG",'APHIS 71'!G14:G50,"=?")</f>
        <v>0</v>
      </c>
      <c r="G2" s="237" t="s">
        <v>87</v>
      </c>
      <c r="H2" s="238">
        <v>29.37</v>
      </c>
      <c r="I2" s="181" t="s">
        <v>38</v>
      </c>
      <c r="J2" s="170"/>
      <c r="K2" s="130"/>
      <c r="L2" s="130"/>
      <c r="M2" s="130"/>
      <c r="N2" s="130"/>
    </row>
    <row r="3" spans="1:14" ht="15" customHeight="1" x14ac:dyDescent="0.25">
      <c r="A3" s="133"/>
      <c r="B3" s="134"/>
      <c r="C3" s="132"/>
      <c r="D3" s="168" t="s">
        <v>74</v>
      </c>
      <c r="E3" s="275">
        <f>SUMIFS('APHIS 71'!I14:I50,'APHIS 71'!F14:F50,"=S1",'APHIS 71'!G14:G50,"=?")</f>
        <v>0</v>
      </c>
      <c r="G3" s="180"/>
      <c r="H3" s="278"/>
      <c r="I3" s="181"/>
      <c r="J3" s="130"/>
      <c r="K3" s="130"/>
      <c r="L3" s="130"/>
      <c r="M3" s="130"/>
      <c r="N3" s="130"/>
    </row>
    <row r="4" spans="1:14" ht="15" customHeight="1" x14ac:dyDescent="0.25">
      <c r="A4" s="191" t="s">
        <v>30</v>
      </c>
      <c r="B4" s="192" t="s">
        <v>31</v>
      </c>
      <c r="C4" s="135"/>
      <c r="D4" s="168" t="s">
        <v>75</v>
      </c>
      <c r="E4" s="275">
        <f>SUMIFS('APHIS 71'!I14:I50,'APHIS 71'!F14:F50,"=S2",'APHIS 71'!G14:G50,"=?")</f>
        <v>3</v>
      </c>
      <c r="F4" s="172"/>
      <c r="G4" s="180"/>
      <c r="H4" s="278"/>
      <c r="I4" s="181"/>
      <c r="K4" s="236" t="s">
        <v>88</v>
      </c>
    </row>
    <row r="5" spans="1:14" ht="15" customHeight="1" x14ac:dyDescent="0.25">
      <c r="A5" s="136" t="s">
        <v>33</v>
      </c>
      <c r="B5" s="137">
        <f>'APHIS 71'!L5</f>
        <v>17</v>
      </c>
      <c r="C5" s="138"/>
      <c r="D5" s="168" t="s">
        <v>76</v>
      </c>
      <c r="E5" s="275">
        <f>SUMIFS('APHIS 71'!I14:I50,'APHIS 71'!F14:F50,"=S3",'APHIS 71'!G14:G50,"=?")</f>
        <v>0</v>
      </c>
      <c r="G5" s="180"/>
      <c r="H5" s="278"/>
      <c r="I5" s="181"/>
    </row>
    <row r="6" spans="1:14" ht="15" customHeight="1" x14ac:dyDescent="0.25">
      <c r="A6" s="136" t="s">
        <v>37</v>
      </c>
      <c r="B6" s="137">
        <f>B7/B5</f>
        <v>13.588235294117647</v>
      </c>
      <c r="C6" s="138"/>
      <c r="D6" s="168" t="s">
        <v>40</v>
      </c>
      <c r="E6" s="275">
        <f>SUMIFS('APHIS 71'!I14:I50,'APHIS 71'!F14:F50,"=P1",'APHIS 71'!G14:G50,"=?")</f>
        <v>14</v>
      </c>
      <c r="G6" s="182"/>
      <c r="H6" s="278"/>
      <c r="I6" s="181"/>
    </row>
    <row r="7" spans="1:14" ht="15" customHeight="1" x14ac:dyDescent="0.25">
      <c r="A7" s="136" t="s">
        <v>39</v>
      </c>
      <c r="B7" s="137">
        <f>'APHIS 71'!L6</f>
        <v>231</v>
      </c>
      <c r="C7" s="138"/>
      <c r="D7" s="168" t="s">
        <v>42</v>
      </c>
      <c r="E7" s="275">
        <f>SUMIFS('APHIS 71'!I14:I50,'APHIS 71'!F14:F50,"=P2",'APHIS 71'!G14:G50,"=?")</f>
        <v>0</v>
      </c>
      <c r="G7" s="182"/>
      <c r="H7" s="278"/>
      <c r="I7" s="181"/>
    </row>
    <row r="8" spans="1:14" ht="15" customHeight="1" x14ac:dyDescent="0.25">
      <c r="A8" s="136" t="s">
        <v>41</v>
      </c>
      <c r="B8" s="137">
        <f>'APHIS 71'!L9</f>
        <v>158</v>
      </c>
      <c r="C8" s="138"/>
      <c r="D8" s="168" t="s">
        <v>43</v>
      </c>
      <c r="E8" s="275">
        <f>SUMIFS('APHIS 71'!I14:I50,'APHIS 71'!F14:F50,"=P3",'APHIS 71'!G14:G50,"=?")</f>
        <v>0</v>
      </c>
      <c r="G8" s="182"/>
      <c r="H8" s="278"/>
      <c r="I8" s="181"/>
    </row>
    <row r="9" spans="1:14" ht="15" customHeight="1" thickBot="1" x14ac:dyDescent="0.3">
      <c r="A9" s="139" t="s">
        <v>44</v>
      </c>
      <c r="B9" s="140">
        <f>B8/B7</f>
        <v>0.68398268398268403</v>
      </c>
      <c r="C9" s="138"/>
      <c r="D9" s="169" t="s">
        <v>77</v>
      </c>
      <c r="E9" s="276">
        <f>SUMIFS('APHIS 71'!I14:I50,'APHIS 71'!F14:F50,"=I",'APHIS 71'!G14:G50,"=?")</f>
        <v>0</v>
      </c>
      <c r="G9" s="182"/>
      <c r="H9" s="278"/>
      <c r="I9" s="181"/>
    </row>
    <row r="10" spans="1:14" ht="15" customHeight="1" thickBot="1" x14ac:dyDescent="0.3">
      <c r="A10" s="138"/>
      <c r="B10" s="138"/>
      <c r="C10" s="138"/>
      <c r="D10" s="171"/>
      <c r="E10" s="205">
        <f>SUM(E2:E9)</f>
        <v>17</v>
      </c>
      <c r="G10" s="182"/>
      <c r="H10" s="278"/>
      <c r="I10" s="181"/>
    </row>
    <row r="11" spans="1:14" ht="15" customHeight="1" x14ac:dyDescent="0.25">
      <c r="A11" s="141" t="s">
        <v>30</v>
      </c>
      <c r="B11" s="142" t="s">
        <v>78</v>
      </c>
      <c r="C11" s="143" t="s">
        <v>45</v>
      </c>
      <c r="D11" s="144" t="s">
        <v>46</v>
      </c>
      <c r="E11" s="145" t="s">
        <v>81</v>
      </c>
      <c r="F11" s="173"/>
      <c r="G11" s="182"/>
      <c r="H11" s="278"/>
      <c r="I11" s="181"/>
      <c r="M11" s="274"/>
    </row>
    <row r="12" spans="1:14" ht="15" customHeight="1" x14ac:dyDescent="0.25">
      <c r="A12" s="136" t="s">
        <v>33</v>
      </c>
      <c r="B12" s="146">
        <f>E2</f>
        <v>0</v>
      </c>
      <c r="C12" s="147"/>
      <c r="D12" s="148"/>
      <c r="E12" s="149"/>
      <c r="F12" s="173"/>
      <c r="G12" s="182"/>
      <c r="H12" s="278"/>
      <c r="I12" s="181"/>
    </row>
    <row r="13" spans="1:14" ht="15" customHeight="1" x14ac:dyDescent="0.25">
      <c r="A13" s="136" t="s">
        <v>37</v>
      </c>
      <c r="B13" s="150" t="e">
        <f>B14/B12</f>
        <v>#DIV/0!</v>
      </c>
      <c r="C13" s="147"/>
      <c r="D13" s="148"/>
      <c r="E13" s="149"/>
      <c r="F13" s="173"/>
      <c r="G13" s="182"/>
      <c r="H13" s="278"/>
      <c r="I13" s="181"/>
      <c r="M13" s="274"/>
    </row>
    <row r="14" spans="1:14" ht="15" customHeight="1" thickBot="1" x14ac:dyDescent="0.3">
      <c r="A14" s="136" t="s">
        <v>39</v>
      </c>
      <c r="B14" s="151">
        <f>SUMIF('APHIS 71'!$F$14:$F$154,"=FG",'APHIS 71'!$J$14:$J$154)</f>
        <v>0</v>
      </c>
      <c r="C14" s="147"/>
      <c r="D14" s="148"/>
      <c r="E14" s="149"/>
      <c r="G14" s="183"/>
      <c r="H14" s="279" t="e">
        <f>AVERAGE(H3:H13)</f>
        <v>#DIV/0!</v>
      </c>
      <c r="I14" s="184" t="s">
        <v>95</v>
      </c>
    </row>
    <row r="15" spans="1:14" ht="15" customHeight="1" thickBot="1" x14ac:dyDescent="0.3">
      <c r="A15" s="139" t="s">
        <v>41</v>
      </c>
      <c r="B15" s="152">
        <f>SUMIF('APHIS 71'!$F$14:$F$154,"=FG",'APHIS 71'!$L$14:$L$154)</f>
        <v>0</v>
      </c>
      <c r="C15" s="153">
        <f>SUMIFS('APHIS 71'!$L$14:$L$154,'APHIS 71'!$F$14:$F$154,"=FG",'APHIS 71'!$H$14:$H$154,"=I")</f>
        <v>0</v>
      </c>
      <c r="D15" s="154">
        <f>SUMIFS('APHIS 71'!$L$14:$L$154,'APHIS 71'!$F$14:$F$154,"=FG",'APHIS 71'!$H$14:$H$154,"=R")</f>
        <v>0</v>
      </c>
      <c r="E15" s="155">
        <f>SUMIFS('APHIS 71'!$L$14:$L$154,'APHIS 71'!$F$14:$F$154,"=FG",'APHIS 71'!$H$14:$H$154,"=TP")</f>
        <v>0</v>
      </c>
    </row>
    <row r="16" spans="1:14" ht="15" customHeight="1" x14ac:dyDescent="0.25">
      <c r="A16" s="156" t="s">
        <v>47</v>
      </c>
      <c r="B16" s="157">
        <f>SUMIFS('APHIS 71'!$J$14:$J$154,'APHIS 71'!$F$14:$F$154,"=FG",'APHIS 71'!$E$14:$E$154,"=E")</f>
        <v>0</v>
      </c>
      <c r="C16" s="158"/>
      <c r="D16" s="159"/>
      <c r="E16" s="160"/>
    </row>
    <row r="17" spans="1:9" ht="15" customHeight="1" thickBot="1" x14ac:dyDescent="0.3">
      <c r="A17" s="139" t="s">
        <v>48</v>
      </c>
      <c r="B17" s="152">
        <f>SUMIFS('APHIS 71'!$L$14:$L$154,'APHIS 71'!$F$14:$F$154,"=FG",'APHIS 71'!$E$14:$E$154,"=E")</f>
        <v>0</v>
      </c>
      <c r="C17" s="161"/>
      <c r="D17" s="162"/>
      <c r="E17" s="163"/>
    </row>
    <row r="18" spans="1:9" ht="17.100000000000001" customHeight="1" thickBot="1" x14ac:dyDescent="0.3">
      <c r="A18" s="164"/>
      <c r="B18" s="164"/>
      <c r="C18" s="165"/>
      <c r="D18" s="165"/>
      <c r="E18" s="165"/>
      <c r="H18" s="260" t="s">
        <v>92</v>
      </c>
    </row>
    <row r="19" spans="1:9" ht="17.100000000000001" customHeight="1" x14ac:dyDescent="0.25">
      <c r="A19" s="141" t="s">
        <v>30</v>
      </c>
      <c r="B19" s="142" t="s">
        <v>49</v>
      </c>
      <c r="C19" s="143" t="s">
        <v>45</v>
      </c>
      <c r="D19" s="144" t="s">
        <v>46</v>
      </c>
      <c r="E19" s="145" t="s">
        <v>81</v>
      </c>
    </row>
    <row r="20" spans="1:9" ht="15" customHeight="1" x14ac:dyDescent="0.25">
      <c r="A20" s="136" t="s">
        <v>33</v>
      </c>
      <c r="B20" s="146">
        <f>SUM(E3:E5)</f>
        <v>3</v>
      </c>
      <c r="C20" s="147"/>
      <c r="D20" s="148"/>
      <c r="E20" s="149"/>
      <c r="I20" s="19" t="s">
        <v>96</v>
      </c>
    </row>
    <row r="21" spans="1:9" ht="15" customHeight="1" x14ac:dyDescent="0.25">
      <c r="A21" s="136" t="s">
        <v>37</v>
      </c>
      <c r="B21" s="150">
        <f>B22/B20</f>
        <v>1</v>
      </c>
      <c r="C21" s="147"/>
      <c r="D21" s="148"/>
      <c r="E21" s="149"/>
    </row>
    <row r="22" spans="1:9" ht="15" customHeight="1" x14ac:dyDescent="0.25">
      <c r="A22" s="136" t="s">
        <v>39</v>
      </c>
      <c r="B22" s="151">
        <f>SUMIF('APHIS 71'!$F$14:$F$154,"=S?",'APHIS 71'!$J$14:$J$154)</f>
        <v>3</v>
      </c>
      <c r="C22" s="147"/>
      <c r="D22" s="148"/>
      <c r="E22" s="149"/>
    </row>
    <row r="23" spans="1:9" ht="15" customHeight="1" thickBot="1" x14ac:dyDescent="0.3">
      <c r="A23" s="139" t="s">
        <v>41</v>
      </c>
      <c r="B23" s="152">
        <f>SUMIF('APHIS 71'!$F$14:$F$154,"=S?",'APHIS 71'!$L$14:$L$154)</f>
        <v>6</v>
      </c>
      <c r="C23" s="153">
        <f>SUMIFS('APHIS 71'!$L$14:$L$154,'APHIS 71'!$F$14:$F$154,"=S?",'APHIS 71'!$H$14:$H$154,"=I")</f>
        <v>6</v>
      </c>
      <c r="D23" s="154">
        <f>SUMIFS('APHIS 71'!$L$14:$L$154,'APHIS 71'!$F$14:$F$154,"=S?",'APHIS 71'!$H$14:$H$154,"=R")</f>
        <v>0</v>
      </c>
      <c r="E23" s="155">
        <f>SUMIFS('APHIS 71'!$L$14:$L$154,'APHIS 71'!$F$14:$F$154,"=S?",'APHIS 71'!$H$14:$H$154,"=TP")</f>
        <v>0</v>
      </c>
    </row>
    <row r="24" spans="1:9" ht="15" customHeight="1" x14ac:dyDescent="0.25">
      <c r="A24" s="156" t="s">
        <v>47</v>
      </c>
      <c r="B24" s="157">
        <f>SUMIFS('APHIS 71'!$J$14:$J$154,'APHIS 71'!$F$14:$F$154,"=S?",'APHIS 71'!$E$14:$E$154,"=E")</f>
        <v>3</v>
      </c>
      <c r="C24" s="158"/>
      <c r="D24" s="159"/>
      <c r="E24" s="160"/>
    </row>
    <row r="25" spans="1:9" ht="15" customHeight="1" thickBot="1" x14ac:dyDescent="0.3">
      <c r="A25" s="139" t="s">
        <v>48</v>
      </c>
      <c r="B25" s="152">
        <f>SUMIFS('APHIS 71'!$L$14:$L$154,'APHIS 71'!$F$14:$F$154,"=S?",'APHIS 71'!$E$14:$E$154,"=E")</f>
        <v>6</v>
      </c>
      <c r="C25" s="161"/>
      <c r="D25" s="162"/>
      <c r="E25" s="163"/>
    </row>
    <row r="26" spans="1:9" ht="17.100000000000001" customHeight="1" thickBot="1" x14ac:dyDescent="0.3">
      <c r="A26" s="166"/>
      <c r="B26" s="166"/>
      <c r="C26" s="167"/>
      <c r="D26" s="167"/>
      <c r="E26" s="167"/>
    </row>
    <row r="27" spans="1:9" ht="17.100000000000001" customHeight="1" x14ac:dyDescent="0.25">
      <c r="A27" s="141" t="s">
        <v>30</v>
      </c>
      <c r="B27" s="142" t="s">
        <v>50</v>
      </c>
      <c r="C27" s="143" t="s">
        <v>45</v>
      </c>
      <c r="D27" s="144" t="s">
        <v>46</v>
      </c>
      <c r="E27" s="145" t="s">
        <v>81</v>
      </c>
    </row>
    <row r="28" spans="1:9" ht="15" customHeight="1" x14ac:dyDescent="0.25">
      <c r="A28" s="136" t="s">
        <v>33</v>
      </c>
      <c r="B28" s="146">
        <f>SUM(E6:E8)</f>
        <v>14</v>
      </c>
      <c r="C28" s="147"/>
      <c r="D28" s="148"/>
      <c r="E28" s="149"/>
    </row>
    <row r="29" spans="1:9" ht="15" customHeight="1" x14ac:dyDescent="0.25">
      <c r="A29" s="136" t="s">
        <v>37</v>
      </c>
      <c r="B29" s="150">
        <f>B30/B28</f>
        <v>16.285714285714285</v>
      </c>
      <c r="C29" s="147"/>
      <c r="D29" s="148"/>
      <c r="E29" s="149"/>
    </row>
    <row r="30" spans="1:9" ht="15" customHeight="1" x14ac:dyDescent="0.25">
      <c r="A30" s="136" t="s">
        <v>39</v>
      </c>
      <c r="B30" s="151">
        <f>SUMIF('APHIS 71'!$F$14:$F$154,"=P?",'APHIS 71'!$J$14:$J$154)</f>
        <v>228</v>
      </c>
      <c r="C30" s="147"/>
      <c r="D30" s="148"/>
      <c r="E30" s="149"/>
    </row>
    <row r="31" spans="1:9" ht="15" customHeight="1" thickBot="1" x14ac:dyDescent="0.3">
      <c r="A31" s="139" t="s">
        <v>41</v>
      </c>
      <c r="B31" s="152">
        <f>SUMIF('APHIS 71'!$F$14:$F$154,"=P?",'APHIS 71'!$L$14:$L$154)</f>
        <v>152</v>
      </c>
      <c r="C31" s="153">
        <f>SUMIFS('APHIS 71'!$L$14:$L$154,'APHIS 71'!$F$14:$F$154,"=P?",'APHIS 71'!$H$14:$H$154,"=I")</f>
        <v>145</v>
      </c>
      <c r="D31" s="154">
        <f>SUMIFS('APHIS 71'!$L$14:$L$154,'APHIS 71'!$F$14:$F$154,"=P?",'APHIS 71'!$H$14:$H$154,"=R")</f>
        <v>7</v>
      </c>
      <c r="E31" s="155">
        <f>SUMIFS('APHIS 71'!$L$14:$L$154,'APHIS 71'!$F$14:$F$154,"=P?",'APHIS 71'!$H$14:$H$154,"=TP")</f>
        <v>0</v>
      </c>
    </row>
    <row r="32" spans="1:9" ht="15" customHeight="1" x14ac:dyDescent="0.25">
      <c r="A32" s="156" t="s">
        <v>47</v>
      </c>
      <c r="B32" s="157">
        <f>SUMIFS('APHIS 71'!$J$14:$J$154,'APHIS 71'!$F$14:$F$154,"=P?",'APHIS 71'!$E$14:$E$154,"=E")</f>
        <v>225</v>
      </c>
      <c r="C32" s="158"/>
      <c r="D32" s="159"/>
      <c r="E32" s="160"/>
      <c r="G32" s="194"/>
      <c r="H32" s="195"/>
      <c r="I32" s="195"/>
    </row>
    <row r="33" spans="1:9" ht="15" customHeight="1" thickBot="1" x14ac:dyDescent="0.3">
      <c r="A33" s="139" t="s">
        <v>48</v>
      </c>
      <c r="B33" s="152">
        <f>SUMIFS('APHIS 71'!$L$14:$L$154,'APHIS 71'!$F$14:$F$154,"=P?",'APHIS 71'!$E$14:$E$154,"=E")</f>
        <v>149</v>
      </c>
      <c r="C33" s="161"/>
      <c r="D33" s="162"/>
      <c r="E33" s="163"/>
      <c r="G33" s="129"/>
      <c r="H33" s="129"/>
      <c r="I33" s="129"/>
    </row>
    <row r="34" spans="1:9" ht="17.100000000000001" customHeight="1" thickBot="1" x14ac:dyDescent="0.3">
      <c r="A34" s="174"/>
      <c r="B34" s="174"/>
      <c r="C34" s="175"/>
      <c r="D34" s="175"/>
      <c r="E34" s="175"/>
      <c r="F34" s="131"/>
    </row>
    <row r="35" spans="1:9" ht="17.100000000000001" customHeight="1" x14ac:dyDescent="0.25">
      <c r="A35" s="141" t="s">
        <v>30</v>
      </c>
      <c r="B35" s="142" t="s">
        <v>51</v>
      </c>
      <c r="C35" s="143" t="s">
        <v>45</v>
      </c>
      <c r="D35" s="144" t="s">
        <v>46</v>
      </c>
      <c r="E35" s="145" t="s">
        <v>81</v>
      </c>
    </row>
    <row r="36" spans="1:9" ht="15" customHeight="1" x14ac:dyDescent="0.25">
      <c r="A36" s="136" t="s">
        <v>33</v>
      </c>
      <c r="B36" s="146">
        <f>E9</f>
        <v>0</v>
      </c>
      <c r="C36" s="147"/>
      <c r="D36" s="148"/>
      <c r="E36" s="149"/>
    </row>
    <row r="37" spans="1:9" ht="15" customHeight="1" x14ac:dyDescent="0.25">
      <c r="A37" s="136" t="s">
        <v>37</v>
      </c>
      <c r="B37" s="150" t="e">
        <f>B38/B36</f>
        <v>#DIV/0!</v>
      </c>
      <c r="C37" s="147"/>
      <c r="D37" s="148"/>
      <c r="E37" s="149"/>
    </row>
    <row r="38" spans="1:9" ht="15" customHeight="1" x14ac:dyDescent="0.25">
      <c r="A38" s="136" t="s">
        <v>39</v>
      </c>
      <c r="B38" s="151">
        <f>SUMIF('APHIS 71'!$F$14:$F$154,"=I",'APHIS 71'!$J$14:$J$154)</f>
        <v>0</v>
      </c>
      <c r="C38" s="147"/>
      <c r="D38" s="148"/>
      <c r="E38" s="149"/>
    </row>
    <row r="39" spans="1:9" ht="15" customHeight="1" thickBot="1" x14ac:dyDescent="0.3">
      <c r="A39" s="139" t="s">
        <v>41</v>
      </c>
      <c r="B39" s="152">
        <f>SUMIF('APHIS 71'!$F$14:$F$154,"=I",'APHIS 71'!$L$14:$L$154)</f>
        <v>0</v>
      </c>
      <c r="C39" s="153">
        <f>SUMIFS('APHIS 71'!$L$14:$L$154,'APHIS 71'!$F$14:$F$154,"=I",'APHIS 71'!$H$14:$H$154,"=I")</f>
        <v>0</v>
      </c>
      <c r="D39" s="154">
        <f>SUMIFS('APHIS 71'!$L$14:$L$154,'APHIS 71'!$F$14:$F$154,"=I",'APHIS 71'!$H$14:$H$154,"=R")</f>
        <v>0</v>
      </c>
      <c r="E39" s="155">
        <f>SUMIFS('APHIS 71'!$L$14:$L$20,'APHIS 71'!$F$14:$F$20,"=I",'APHIS 71'!$H$14:$H$20,"=TP")</f>
        <v>0</v>
      </c>
    </row>
    <row r="40" spans="1:9" ht="15" customHeight="1" x14ac:dyDescent="0.25">
      <c r="A40" s="156" t="s">
        <v>47</v>
      </c>
      <c r="B40" s="157">
        <f>SUMIFS('APHIS 71'!$J$14:$J$154,'APHIS 71'!$F$14:$F$154,"=I",'APHIS 71'!$E$14:$E$154,"=E")</f>
        <v>0</v>
      </c>
      <c r="C40" s="158"/>
      <c r="D40" s="159"/>
      <c r="E40" s="160"/>
    </row>
    <row r="41" spans="1:9" ht="15" customHeight="1" thickBot="1" x14ac:dyDescent="0.3">
      <c r="A41" s="139" t="s">
        <v>48</v>
      </c>
      <c r="B41" s="152">
        <f>SUMIFS('APHIS 71'!$L$14:$L$154,'APHIS 71'!$F$14:$F$154,"=I",'APHIS 71'!$E$14:$E$154,"=E")</f>
        <v>0</v>
      </c>
      <c r="C41" s="161"/>
      <c r="D41" s="162"/>
      <c r="E41" s="163"/>
    </row>
  </sheetData>
  <pageMargins left="0.7" right="0.7" top="0.75" bottom="0.75" header="0.3" footer="0.3"/>
  <pageSetup scale="95" orientation="landscape" r:id="rId1"/>
  <rowBreaks count="1" manualBreakCount="1">
    <brk id="34" max="8" man="1"/>
  </rowBreaks>
  <colBreaks count="1" manualBreakCount="1">
    <brk id="6" max="4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0"/>
  <sheetViews>
    <sheetView topLeftCell="A13" zoomScale="80" zoomScaleNormal="80" zoomScaleSheetLayoutView="100" workbookViewId="0">
      <selection activeCell="Q26" sqref="Q26"/>
    </sheetView>
  </sheetViews>
  <sheetFormatPr defaultRowHeight="15" x14ac:dyDescent="0.25"/>
  <cols>
    <col min="1" max="1" width="40.7109375" customWidth="1"/>
    <col min="2" max="2" width="21.7109375" customWidth="1"/>
    <col min="3" max="4" width="12.7109375" style="249" customWidth="1"/>
    <col min="5" max="8" width="7.7109375" customWidth="1"/>
    <col min="9" max="9" width="16.42578125" style="1" customWidth="1"/>
    <col min="10" max="12" width="15.7109375" style="1" customWidth="1"/>
    <col min="13" max="20" width="15.7109375" customWidth="1"/>
  </cols>
  <sheetData>
    <row r="1" spans="1:20" ht="24" customHeight="1" thickBot="1" x14ac:dyDescent="0.3">
      <c r="A1" s="241" t="s">
        <v>53</v>
      </c>
      <c r="B1" s="253" t="s">
        <v>83</v>
      </c>
      <c r="C1" s="46"/>
      <c r="D1" s="46"/>
      <c r="E1" s="46"/>
      <c r="F1" s="46"/>
      <c r="G1" s="250"/>
      <c r="H1" s="250"/>
      <c r="I1" s="47"/>
      <c r="J1" s="47"/>
      <c r="K1" s="242" t="s">
        <v>3</v>
      </c>
      <c r="L1" s="251" t="s">
        <v>84</v>
      </c>
    </row>
    <row r="2" spans="1:20" ht="45" customHeight="1" x14ac:dyDescent="0.25">
      <c r="A2" s="234" t="s">
        <v>27</v>
      </c>
      <c r="B2" s="252"/>
      <c r="C2" s="59"/>
      <c r="D2" s="52"/>
      <c r="E2" s="52"/>
      <c r="F2" s="52"/>
      <c r="G2" s="52"/>
      <c r="H2" s="52"/>
      <c r="I2" s="53"/>
      <c r="J2" s="51"/>
      <c r="K2" s="53"/>
      <c r="L2" s="54"/>
    </row>
    <row r="3" spans="1:20" ht="36" customHeight="1" thickBot="1" x14ac:dyDescent="0.4">
      <c r="A3" s="235" t="s">
        <v>89</v>
      </c>
      <c r="B3" s="258"/>
      <c r="C3" s="55"/>
      <c r="D3" s="55"/>
      <c r="E3" s="55"/>
      <c r="F3" s="55"/>
      <c r="G3" s="55"/>
      <c r="H3" s="55"/>
      <c r="I3" s="56"/>
      <c r="J3" s="57"/>
      <c r="K3" s="56"/>
      <c r="L3" s="58"/>
      <c r="N3" s="209" t="s">
        <v>85</v>
      </c>
    </row>
    <row r="4" spans="1:20" ht="21" customHeight="1" thickBot="1" x14ac:dyDescent="0.3">
      <c r="A4" s="64" t="s">
        <v>93</v>
      </c>
      <c r="B4" s="65"/>
      <c r="C4" s="66"/>
      <c r="D4" s="66"/>
      <c r="E4" s="67"/>
      <c r="F4" s="67"/>
      <c r="G4" s="67"/>
      <c r="H4" s="67"/>
      <c r="I4" s="67"/>
      <c r="J4" s="68"/>
      <c r="K4" s="69" t="s">
        <v>54</v>
      </c>
      <c r="L4" s="70"/>
    </row>
    <row r="5" spans="1:20" x14ac:dyDescent="0.25">
      <c r="A5" s="49" t="s">
        <v>0</v>
      </c>
      <c r="B5" s="63"/>
      <c r="C5" s="36"/>
      <c r="D5" s="36"/>
      <c r="E5" s="36"/>
      <c r="F5" s="43"/>
      <c r="G5" s="43"/>
      <c r="H5" s="43"/>
      <c r="I5" s="44"/>
      <c r="J5" s="24"/>
      <c r="K5" s="25" t="s">
        <v>82</v>
      </c>
      <c r="L5" s="26">
        <f>SUMIF(G14:G38,"*X*",I14:I38)</f>
        <v>17</v>
      </c>
    </row>
    <row r="6" spans="1:20" x14ac:dyDescent="0.25">
      <c r="A6" s="48" t="s">
        <v>1</v>
      </c>
      <c r="B6" s="60"/>
      <c r="C6" s="37"/>
      <c r="D6" s="37"/>
      <c r="E6" s="37"/>
      <c r="F6" s="39"/>
      <c r="G6" s="39"/>
      <c r="H6" s="39"/>
      <c r="I6" s="40"/>
      <c r="J6" s="27"/>
      <c r="K6" s="28" t="s">
        <v>15</v>
      </c>
      <c r="L6" s="29">
        <f>SUM(J14:J38)</f>
        <v>231</v>
      </c>
    </row>
    <row r="7" spans="1:20" x14ac:dyDescent="0.25">
      <c r="A7" s="48" t="s">
        <v>2</v>
      </c>
      <c r="B7" s="60"/>
      <c r="C7" s="37"/>
      <c r="D7" s="37"/>
      <c r="E7" s="37"/>
      <c r="F7" s="39"/>
      <c r="G7" s="39"/>
      <c r="H7" s="39"/>
      <c r="I7" s="40"/>
      <c r="J7" s="27"/>
      <c r="K7" s="28" t="s">
        <v>16</v>
      </c>
      <c r="L7" s="30">
        <v>0</v>
      </c>
    </row>
    <row r="8" spans="1:20" x14ac:dyDescent="0.25">
      <c r="A8" s="48" t="s">
        <v>3</v>
      </c>
      <c r="B8" s="61"/>
      <c r="C8" s="37"/>
      <c r="D8" s="37"/>
      <c r="E8" s="37"/>
      <c r="F8" s="39"/>
      <c r="G8" s="39"/>
      <c r="H8" s="39"/>
      <c r="I8" s="40"/>
      <c r="J8" s="27"/>
      <c r="K8" s="28" t="s">
        <v>17</v>
      </c>
      <c r="L8" s="31">
        <f>L6/L5</f>
        <v>13.588235294117647</v>
      </c>
    </row>
    <row r="9" spans="1:20" x14ac:dyDescent="0.25">
      <c r="A9" s="48" t="s">
        <v>4</v>
      </c>
      <c r="B9" s="60"/>
      <c r="C9" s="37"/>
      <c r="D9" s="37"/>
      <c r="E9" s="37"/>
      <c r="F9" s="39"/>
      <c r="G9" s="39"/>
      <c r="H9" s="39"/>
      <c r="I9" s="40"/>
      <c r="J9" s="27"/>
      <c r="K9" s="28" t="s">
        <v>18</v>
      </c>
      <c r="L9" s="29">
        <f>SUM(L14:L38)</f>
        <v>158</v>
      </c>
    </row>
    <row r="10" spans="1:20" x14ac:dyDescent="0.25">
      <c r="A10" s="48" t="s">
        <v>5</v>
      </c>
      <c r="B10" s="60"/>
      <c r="C10" s="37"/>
      <c r="D10" s="37"/>
      <c r="E10" s="37"/>
      <c r="F10" s="39"/>
      <c r="G10" s="39"/>
      <c r="H10" s="39"/>
      <c r="I10" s="40"/>
      <c r="J10" s="27"/>
      <c r="K10" s="28" t="s">
        <v>19</v>
      </c>
      <c r="L10" s="32">
        <f>L9/L6</f>
        <v>0.68398268398268403</v>
      </c>
    </row>
    <row r="11" spans="1:20" ht="15.75" thickBot="1" x14ac:dyDescent="0.3">
      <c r="A11" s="50" t="s">
        <v>6</v>
      </c>
      <c r="B11" s="62"/>
      <c r="C11" s="38"/>
      <c r="D11" s="38"/>
      <c r="E11" s="38"/>
      <c r="F11" s="41"/>
      <c r="G11" s="41"/>
      <c r="H11" s="41"/>
      <c r="I11" s="45"/>
      <c r="J11" s="33"/>
      <c r="K11" s="34" t="s">
        <v>20</v>
      </c>
      <c r="L11" s="35">
        <v>0.98</v>
      </c>
    </row>
    <row r="12" spans="1:20" ht="21" customHeight="1" thickTop="1" thickBot="1" x14ac:dyDescent="0.3">
      <c r="A12" s="71" t="s">
        <v>25</v>
      </c>
      <c r="B12" s="72"/>
      <c r="C12" s="72"/>
      <c r="D12" s="72"/>
      <c r="E12" s="72"/>
      <c r="F12" s="72"/>
      <c r="G12" s="72"/>
      <c r="H12" s="72"/>
      <c r="I12" s="73"/>
      <c r="J12" s="73"/>
      <c r="K12" s="73"/>
      <c r="L12" s="176"/>
      <c r="M12" s="123"/>
      <c r="N12" s="230" t="s">
        <v>65</v>
      </c>
      <c r="O12" s="124"/>
      <c r="P12" s="125"/>
      <c r="Q12" s="126"/>
      <c r="R12" s="231" t="s">
        <v>52</v>
      </c>
      <c r="S12" s="126"/>
      <c r="T12" s="127"/>
    </row>
    <row r="13" spans="1:20" ht="107.25" customHeight="1" thickBot="1" x14ac:dyDescent="0.3">
      <c r="A13" s="7" t="s">
        <v>7</v>
      </c>
      <c r="B13" s="7" t="s">
        <v>8</v>
      </c>
      <c r="C13" s="7" t="s">
        <v>13</v>
      </c>
      <c r="D13" s="7" t="s">
        <v>14</v>
      </c>
      <c r="E13" s="8" t="s">
        <v>9</v>
      </c>
      <c r="F13" s="8" t="s">
        <v>12</v>
      </c>
      <c r="G13" s="8" t="s">
        <v>11</v>
      </c>
      <c r="H13" s="8" t="s">
        <v>10</v>
      </c>
      <c r="I13" s="244" t="s">
        <v>24</v>
      </c>
      <c r="J13" s="7" t="s">
        <v>21</v>
      </c>
      <c r="K13" s="244" t="s">
        <v>22</v>
      </c>
      <c r="L13" s="7" t="s">
        <v>23</v>
      </c>
      <c r="M13" s="105" t="s">
        <v>66</v>
      </c>
      <c r="N13" s="106" t="s">
        <v>67</v>
      </c>
      <c r="O13" s="106" t="s">
        <v>68</v>
      </c>
      <c r="P13" s="107" t="s">
        <v>69</v>
      </c>
      <c r="Q13" s="21" t="s">
        <v>66</v>
      </c>
      <c r="R13" s="7" t="s">
        <v>67</v>
      </c>
      <c r="S13" s="7" t="s">
        <v>68</v>
      </c>
      <c r="T13" s="20" t="s">
        <v>69</v>
      </c>
    </row>
    <row r="14" spans="1:20" ht="30" customHeight="1" x14ac:dyDescent="0.25">
      <c r="A14" s="281" t="s">
        <v>104</v>
      </c>
      <c r="B14" s="284" t="s">
        <v>119</v>
      </c>
      <c r="C14" s="285" t="s">
        <v>131</v>
      </c>
      <c r="D14" s="286" t="s">
        <v>132</v>
      </c>
      <c r="E14" s="287" t="s">
        <v>133</v>
      </c>
      <c r="F14" s="287" t="s">
        <v>134</v>
      </c>
      <c r="G14" s="287" t="s">
        <v>135</v>
      </c>
      <c r="H14" s="287" t="s">
        <v>136</v>
      </c>
      <c r="I14" s="288">
        <v>3</v>
      </c>
      <c r="J14" s="288">
        <v>3</v>
      </c>
      <c r="K14" s="289">
        <v>2</v>
      </c>
      <c r="L14" s="6">
        <f>ROUNDUP(J14*K14,0)</f>
        <v>6</v>
      </c>
      <c r="M14" s="108">
        <f>I14-Q14</f>
        <v>1</v>
      </c>
      <c r="N14" s="109">
        <f>J14-R14</f>
        <v>1</v>
      </c>
      <c r="O14" s="110">
        <f>K14-S14</f>
        <v>1</v>
      </c>
      <c r="P14" s="111">
        <f>L14-T14</f>
        <v>4</v>
      </c>
      <c r="Q14" s="22">
        <v>2</v>
      </c>
      <c r="R14" s="6">
        <v>2</v>
      </c>
      <c r="S14" s="5">
        <v>1</v>
      </c>
      <c r="T14" s="99">
        <v>2</v>
      </c>
    </row>
    <row r="15" spans="1:20" ht="30" customHeight="1" x14ac:dyDescent="0.25">
      <c r="A15" s="281" t="s">
        <v>104</v>
      </c>
      <c r="B15" s="284" t="s">
        <v>119</v>
      </c>
      <c r="C15" s="285" t="s">
        <v>131</v>
      </c>
      <c r="D15" s="286" t="s">
        <v>132</v>
      </c>
      <c r="E15" s="287" t="s">
        <v>133</v>
      </c>
      <c r="F15" s="287" t="s">
        <v>137</v>
      </c>
      <c r="G15" s="287"/>
      <c r="H15" s="287" t="s">
        <v>136</v>
      </c>
      <c r="I15" s="288">
        <v>3</v>
      </c>
      <c r="J15" s="288">
        <v>3</v>
      </c>
      <c r="K15" s="289">
        <v>2</v>
      </c>
      <c r="L15" s="6">
        <f t="shared" ref="L15:L30" si="0">ROUNDUP(J15*K15,0)</f>
        <v>6</v>
      </c>
      <c r="M15" s="108">
        <f t="shared" ref="M15:M32" si="1">I15-Q15</f>
        <v>1</v>
      </c>
      <c r="N15" s="109">
        <f t="shared" ref="N15:N32" si="2">J15-R15</f>
        <v>1</v>
      </c>
      <c r="O15" s="110">
        <f t="shared" ref="O15:O32" si="3">K15-S15</f>
        <v>1</v>
      </c>
      <c r="P15" s="115">
        <f t="shared" ref="P15:P32" si="4">L15-T15</f>
        <v>4</v>
      </c>
      <c r="Q15" s="22">
        <v>2</v>
      </c>
      <c r="R15" s="6">
        <v>2</v>
      </c>
      <c r="S15" s="5">
        <v>1</v>
      </c>
      <c r="T15" s="227">
        <v>2</v>
      </c>
    </row>
    <row r="16" spans="1:20" ht="30" customHeight="1" x14ac:dyDescent="0.25">
      <c r="A16" s="281" t="s">
        <v>105</v>
      </c>
      <c r="B16" s="284" t="s">
        <v>120</v>
      </c>
      <c r="C16" s="285" t="s">
        <v>131</v>
      </c>
      <c r="D16" s="286" t="s">
        <v>132</v>
      </c>
      <c r="E16" s="287" t="s">
        <v>133</v>
      </c>
      <c r="F16" s="287" t="s">
        <v>137</v>
      </c>
      <c r="G16" s="287"/>
      <c r="H16" s="287" t="s">
        <v>136</v>
      </c>
      <c r="I16" s="288">
        <v>3</v>
      </c>
      <c r="J16" s="288">
        <v>3</v>
      </c>
      <c r="K16" s="289">
        <v>4</v>
      </c>
      <c r="L16" s="6">
        <f t="shared" si="0"/>
        <v>12</v>
      </c>
      <c r="M16" s="108">
        <f t="shared" si="1"/>
        <v>1</v>
      </c>
      <c r="N16" s="109">
        <f t="shared" si="2"/>
        <v>1</v>
      </c>
      <c r="O16" s="110">
        <f t="shared" si="3"/>
        <v>3</v>
      </c>
      <c r="P16" s="115">
        <f t="shared" si="4"/>
        <v>10</v>
      </c>
      <c r="Q16" s="22">
        <v>2</v>
      </c>
      <c r="R16" s="6">
        <v>2</v>
      </c>
      <c r="S16" s="5">
        <v>1</v>
      </c>
      <c r="T16" s="227">
        <v>2</v>
      </c>
    </row>
    <row r="17" spans="1:20" ht="30" customHeight="1" x14ac:dyDescent="0.25">
      <c r="A17" s="281" t="s">
        <v>106</v>
      </c>
      <c r="B17" s="284" t="s">
        <v>121</v>
      </c>
      <c r="C17" s="285" t="s">
        <v>131</v>
      </c>
      <c r="D17" s="286" t="s">
        <v>132</v>
      </c>
      <c r="E17" s="287" t="s">
        <v>133</v>
      </c>
      <c r="F17" s="287" t="s">
        <v>137</v>
      </c>
      <c r="G17" s="287"/>
      <c r="H17" s="287" t="s">
        <v>136</v>
      </c>
      <c r="I17" s="288">
        <v>3</v>
      </c>
      <c r="J17" s="288">
        <v>3</v>
      </c>
      <c r="K17" s="289">
        <v>1</v>
      </c>
      <c r="L17" s="6">
        <f t="shared" si="0"/>
        <v>3</v>
      </c>
      <c r="M17" s="108">
        <f t="shared" si="1"/>
        <v>1</v>
      </c>
      <c r="N17" s="109">
        <f t="shared" si="2"/>
        <v>1</v>
      </c>
      <c r="O17" s="110">
        <f t="shared" si="3"/>
        <v>0.5</v>
      </c>
      <c r="P17" s="115">
        <f t="shared" si="4"/>
        <v>2</v>
      </c>
      <c r="Q17" s="22">
        <v>2</v>
      </c>
      <c r="R17" s="6">
        <v>2</v>
      </c>
      <c r="S17" s="5">
        <v>0.5</v>
      </c>
      <c r="T17" s="227">
        <v>1</v>
      </c>
    </row>
    <row r="18" spans="1:20" ht="30" customHeight="1" x14ac:dyDescent="0.25">
      <c r="A18" s="281" t="s">
        <v>107</v>
      </c>
      <c r="B18" s="284" t="s">
        <v>122</v>
      </c>
      <c r="C18" s="285" t="s">
        <v>131</v>
      </c>
      <c r="D18" s="286" t="s">
        <v>132</v>
      </c>
      <c r="E18" s="287" t="s">
        <v>133</v>
      </c>
      <c r="F18" s="287" t="s">
        <v>137</v>
      </c>
      <c r="G18" s="287"/>
      <c r="H18" s="287" t="s">
        <v>136</v>
      </c>
      <c r="I18" s="288">
        <v>1</v>
      </c>
      <c r="J18" s="288">
        <v>1</v>
      </c>
      <c r="K18" s="289">
        <v>0.5</v>
      </c>
      <c r="L18" s="6">
        <f t="shared" si="0"/>
        <v>1</v>
      </c>
      <c r="M18" s="108">
        <f t="shared" si="1"/>
        <v>0</v>
      </c>
      <c r="N18" s="109">
        <f t="shared" si="2"/>
        <v>0</v>
      </c>
      <c r="O18" s="110">
        <f t="shared" si="3"/>
        <v>0</v>
      </c>
      <c r="P18" s="115">
        <f t="shared" si="4"/>
        <v>0</v>
      </c>
      <c r="Q18" s="22">
        <v>1</v>
      </c>
      <c r="R18" s="6">
        <v>1</v>
      </c>
      <c r="S18" s="5">
        <v>0.5</v>
      </c>
      <c r="T18" s="227">
        <v>1</v>
      </c>
    </row>
    <row r="19" spans="1:20" ht="30" customHeight="1" x14ac:dyDescent="0.25">
      <c r="A19" s="281" t="s">
        <v>108</v>
      </c>
      <c r="B19" s="284" t="s">
        <v>123</v>
      </c>
      <c r="C19" s="285" t="s">
        <v>131</v>
      </c>
      <c r="D19" s="286" t="s">
        <v>132</v>
      </c>
      <c r="E19" s="287" t="s">
        <v>133</v>
      </c>
      <c r="F19" s="287" t="s">
        <v>137</v>
      </c>
      <c r="G19" s="287"/>
      <c r="H19" s="287" t="s">
        <v>136</v>
      </c>
      <c r="I19" s="288">
        <v>1</v>
      </c>
      <c r="J19" s="288">
        <v>1</v>
      </c>
      <c r="K19" s="289">
        <v>0.5</v>
      </c>
      <c r="L19" s="6">
        <f t="shared" si="0"/>
        <v>1</v>
      </c>
      <c r="M19" s="108">
        <f t="shared" si="1"/>
        <v>0</v>
      </c>
      <c r="N19" s="109">
        <f t="shared" si="2"/>
        <v>0</v>
      </c>
      <c r="O19" s="110">
        <f t="shared" si="3"/>
        <v>0</v>
      </c>
      <c r="P19" s="115">
        <f t="shared" si="4"/>
        <v>0</v>
      </c>
      <c r="Q19" s="22">
        <v>1</v>
      </c>
      <c r="R19" s="6">
        <v>1</v>
      </c>
      <c r="S19" s="5">
        <v>0.5</v>
      </c>
      <c r="T19" s="227">
        <v>1</v>
      </c>
    </row>
    <row r="20" spans="1:20" ht="30" customHeight="1" x14ac:dyDescent="0.25">
      <c r="A20" s="281" t="s">
        <v>109</v>
      </c>
      <c r="B20" s="284" t="s">
        <v>124</v>
      </c>
      <c r="C20" s="285" t="s">
        <v>131</v>
      </c>
      <c r="D20" s="287" t="s">
        <v>132</v>
      </c>
      <c r="E20" s="287" t="s">
        <v>142</v>
      </c>
      <c r="F20" s="287" t="s">
        <v>137</v>
      </c>
      <c r="G20" s="287" t="s">
        <v>135</v>
      </c>
      <c r="H20" s="287" t="s">
        <v>136</v>
      </c>
      <c r="I20" s="288">
        <v>7</v>
      </c>
      <c r="J20" s="288">
        <v>14</v>
      </c>
      <c r="K20" s="289">
        <v>1</v>
      </c>
      <c r="L20" s="6">
        <f t="shared" si="0"/>
        <v>14</v>
      </c>
      <c r="M20" s="108">
        <f t="shared" si="1"/>
        <v>6</v>
      </c>
      <c r="N20" s="109">
        <f t="shared" si="2"/>
        <v>12</v>
      </c>
      <c r="O20" s="110">
        <f t="shared" si="3"/>
        <v>0.5</v>
      </c>
      <c r="P20" s="115">
        <f t="shared" si="4"/>
        <v>13</v>
      </c>
      <c r="Q20" s="22">
        <v>1</v>
      </c>
      <c r="R20" s="6">
        <v>2</v>
      </c>
      <c r="S20" s="5">
        <v>0.5</v>
      </c>
      <c r="T20" s="227">
        <v>1</v>
      </c>
    </row>
    <row r="21" spans="1:20" ht="30" customHeight="1" x14ac:dyDescent="0.25">
      <c r="A21" s="281" t="s">
        <v>110</v>
      </c>
      <c r="B21" s="284" t="s">
        <v>125</v>
      </c>
      <c r="C21" s="285" t="s">
        <v>131</v>
      </c>
      <c r="D21" s="287" t="s">
        <v>132</v>
      </c>
      <c r="E21" s="287" t="s">
        <v>133</v>
      </c>
      <c r="F21" s="287" t="s">
        <v>137</v>
      </c>
      <c r="G21" s="287"/>
      <c r="H21" s="287" t="s">
        <v>136</v>
      </c>
      <c r="I21" s="288">
        <v>1</v>
      </c>
      <c r="J21" s="288">
        <v>1</v>
      </c>
      <c r="K21" s="290">
        <v>0.08</v>
      </c>
      <c r="L21" s="6">
        <f t="shared" si="0"/>
        <v>1</v>
      </c>
      <c r="M21" s="108">
        <f t="shared" si="1"/>
        <v>0</v>
      </c>
      <c r="N21" s="109">
        <f t="shared" si="2"/>
        <v>0</v>
      </c>
      <c r="O21" s="110">
        <f t="shared" si="3"/>
        <v>0</v>
      </c>
      <c r="P21" s="115">
        <f t="shared" si="4"/>
        <v>0</v>
      </c>
      <c r="Q21" s="22">
        <v>1</v>
      </c>
      <c r="R21" s="6">
        <v>1</v>
      </c>
      <c r="S21" s="5">
        <v>0.08</v>
      </c>
      <c r="T21" s="227">
        <v>1</v>
      </c>
    </row>
    <row r="22" spans="1:20" ht="30" customHeight="1" x14ac:dyDescent="0.25">
      <c r="A22" s="281" t="s">
        <v>111</v>
      </c>
      <c r="B22" s="284" t="s">
        <v>125</v>
      </c>
      <c r="C22" s="285" t="s">
        <v>131</v>
      </c>
      <c r="D22" s="286" t="s">
        <v>132</v>
      </c>
      <c r="E22" s="287" t="s">
        <v>133</v>
      </c>
      <c r="F22" s="287" t="s">
        <v>137</v>
      </c>
      <c r="G22" s="287"/>
      <c r="H22" s="287" t="s">
        <v>136</v>
      </c>
      <c r="I22" s="288">
        <v>1</v>
      </c>
      <c r="J22" s="288">
        <v>1</v>
      </c>
      <c r="K22" s="290">
        <v>0.08</v>
      </c>
      <c r="L22" s="6">
        <f t="shared" si="0"/>
        <v>1</v>
      </c>
      <c r="M22" s="108">
        <f t="shared" si="1"/>
        <v>0</v>
      </c>
      <c r="N22" s="109">
        <f t="shared" si="2"/>
        <v>0</v>
      </c>
      <c r="O22" s="110">
        <f t="shared" si="3"/>
        <v>0</v>
      </c>
      <c r="P22" s="115">
        <f t="shared" si="4"/>
        <v>0</v>
      </c>
      <c r="Q22" s="22">
        <v>1</v>
      </c>
      <c r="R22" s="6">
        <v>1</v>
      </c>
      <c r="S22" s="5">
        <v>0.08</v>
      </c>
      <c r="T22" s="227">
        <v>1</v>
      </c>
    </row>
    <row r="23" spans="1:20" ht="30" customHeight="1" x14ac:dyDescent="0.25">
      <c r="A23" s="281" t="s">
        <v>112</v>
      </c>
      <c r="B23" s="284" t="s">
        <v>125</v>
      </c>
      <c r="C23" s="285" t="s">
        <v>131</v>
      </c>
      <c r="D23" s="286" t="s">
        <v>132</v>
      </c>
      <c r="E23" s="287" t="s">
        <v>133</v>
      </c>
      <c r="F23" s="287" t="s">
        <v>137</v>
      </c>
      <c r="G23" s="287"/>
      <c r="H23" s="287" t="s">
        <v>136</v>
      </c>
      <c r="I23" s="288">
        <v>1</v>
      </c>
      <c r="J23" s="288">
        <v>1</v>
      </c>
      <c r="K23" s="289">
        <v>0.08</v>
      </c>
      <c r="L23" s="6">
        <f t="shared" si="0"/>
        <v>1</v>
      </c>
      <c r="M23" s="108">
        <f t="shared" si="1"/>
        <v>0</v>
      </c>
      <c r="N23" s="109">
        <f t="shared" si="2"/>
        <v>0</v>
      </c>
      <c r="O23" s="110">
        <f t="shared" si="3"/>
        <v>0</v>
      </c>
      <c r="P23" s="115">
        <f t="shared" si="4"/>
        <v>0</v>
      </c>
      <c r="Q23" s="22">
        <v>1</v>
      </c>
      <c r="R23" s="6">
        <v>1</v>
      </c>
      <c r="S23" s="5">
        <v>0.08</v>
      </c>
      <c r="T23" s="227">
        <v>1</v>
      </c>
    </row>
    <row r="24" spans="1:20" ht="30" customHeight="1" x14ac:dyDescent="0.25">
      <c r="A24" s="281" t="s">
        <v>113</v>
      </c>
      <c r="B24" s="284" t="s">
        <v>126</v>
      </c>
      <c r="C24" s="285" t="s">
        <v>131</v>
      </c>
      <c r="D24" s="286" t="s">
        <v>132</v>
      </c>
      <c r="E24" s="287" t="s">
        <v>133</v>
      </c>
      <c r="F24" s="287" t="s">
        <v>137</v>
      </c>
      <c r="G24" s="287"/>
      <c r="H24" s="287" t="s">
        <v>136</v>
      </c>
      <c r="I24" s="288">
        <v>3</v>
      </c>
      <c r="J24" s="288">
        <v>3</v>
      </c>
      <c r="K24" s="289">
        <v>1</v>
      </c>
      <c r="L24" s="6">
        <f t="shared" si="0"/>
        <v>3</v>
      </c>
      <c r="M24" s="108">
        <f t="shared" si="1"/>
        <v>2</v>
      </c>
      <c r="N24" s="109">
        <f t="shared" si="2"/>
        <v>2</v>
      </c>
      <c r="O24" s="110">
        <f t="shared" si="3"/>
        <v>0.95</v>
      </c>
      <c r="P24" s="115">
        <f t="shared" si="4"/>
        <v>2</v>
      </c>
      <c r="Q24" s="22">
        <v>1</v>
      </c>
      <c r="R24" s="6">
        <v>1</v>
      </c>
      <c r="S24" s="5">
        <v>0.05</v>
      </c>
      <c r="T24" s="227">
        <v>1</v>
      </c>
    </row>
    <row r="25" spans="1:20" ht="30" customHeight="1" x14ac:dyDescent="0.25">
      <c r="A25" s="281" t="s">
        <v>114</v>
      </c>
      <c r="B25" s="284" t="s">
        <v>127</v>
      </c>
      <c r="C25" s="285" t="s">
        <v>131</v>
      </c>
      <c r="D25" s="286" t="s">
        <v>132</v>
      </c>
      <c r="E25" s="287" t="s">
        <v>133</v>
      </c>
      <c r="F25" s="287" t="s">
        <v>137</v>
      </c>
      <c r="G25" s="287"/>
      <c r="H25" s="287" t="s">
        <v>136</v>
      </c>
      <c r="I25" s="288">
        <v>3</v>
      </c>
      <c r="J25" s="288">
        <v>3</v>
      </c>
      <c r="K25" s="289">
        <v>0.5</v>
      </c>
      <c r="L25" s="6">
        <f t="shared" si="0"/>
        <v>2</v>
      </c>
      <c r="M25" s="108">
        <f t="shared" si="1"/>
        <v>2</v>
      </c>
      <c r="N25" s="109">
        <f t="shared" si="2"/>
        <v>-1</v>
      </c>
      <c r="O25" s="110">
        <f t="shared" si="3"/>
        <v>0.33999999999999997</v>
      </c>
      <c r="P25" s="115">
        <f t="shared" si="4"/>
        <v>1</v>
      </c>
      <c r="Q25" s="22">
        <v>1</v>
      </c>
      <c r="R25" s="6">
        <v>4</v>
      </c>
      <c r="S25" s="5">
        <v>0.16</v>
      </c>
      <c r="T25" s="227">
        <v>1</v>
      </c>
    </row>
    <row r="26" spans="1:20" ht="30" customHeight="1" x14ac:dyDescent="0.25">
      <c r="A26" s="281" t="s">
        <v>115</v>
      </c>
      <c r="B26" s="284" t="s">
        <v>127</v>
      </c>
      <c r="C26" s="285" t="s">
        <v>131</v>
      </c>
      <c r="D26" s="286" t="s">
        <v>132</v>
      </c>
      <c r="E26" s="287" t="s">
        <v>142</v>
      </c>
      <c r="F26" s="287" t="s">
        <v>137</v>
      </c>
      <c r="G26" s="287"/>
      <c r="H26" s="287" t="s">
        <v>136</v>
      </c>
      <c r="I26" s="288">
        <v>3</v>
      </c>
      <c r="J26" s="288">
        <v>3</v>
      </c>
      <c r="K26" s="289">
        <v>1</v>
      </c>
      <c r="L26" s="6">
        <f t="shared" si="0"/>
        <v>3</v>
      </c>
      <c r="M26" s="108">
        <f t="shared" ref="M26:M31" si="5">I26-Q26</f>
        <v>3</v>
      </c>
      <c r="N26" s="109">
        <f t="shared" ref="N26:N31" si="6">J26-R26</f>
        <v>3</v>
      </c>
      <c r="O26" s="110">
        <f t="shared" ref="O26:O31" si="7">K26-S26</f>
        <v>1</v>
      </c>
      <c r="P26" s="115">
        <f t="shared" ref="P26:P31" si="8">L26-T26</f>
        <v>3</v>
      </c>
      <c r="Q26" s="22"/>
      <c r="R26" s="6"/>
      <c r="S26" s="5"/>
      <c r="T26" s="227"/>
    </row>
    <row r="27" spans="1:20" ht="30" customHeight="1" x14ac:dyDescent="0.25">
      <c r="A27" s="281" t="s">
        <v>116</v>
      </c>
      <c r="B27" s="284" t="s">
        <v>128</v>
      </c>
      <c r="C27" s="285" t="s">
        <v>131</v>
      </c>
      <c r="D27" s="287" t="s">
        <v>132</v>
      </c>
      <c r="E27" s="287" t="s">
        <v>133</v>
      </c>
      <c r="F27" s="287" t="s">
        <v>137</v>
      </c>
      <c r="G27" s="287"/>
      <c r="H27" s="287" t="s">
        <v>136</v>
      </c>
      <c r="I27" s="288">
        <v>7</v>
      </c>
      <c r="J27" s="288">
        <v>175</v>
      </c>
      <c r="K27" s="289">
        <v>0.5</v>
      </c>
      <c r="L27" s="6">
        <f t="shared" si="0"/>
        <v>88</v>
      </c>
      <c r="M27" s="108">
        <f t="shared" si="5"/>
        <v>3</v>
      </c>
      <c r="N27" s="109">
        <f t="shared" si="6"/>
        <v>75</v>
      </c>
      <c r="O27" s="110">
        <f t="shared" si="7"/>
        <v>0.48499999999999999</v>
      </c>
      <c r="P27" s="115">
        <f t="shared" si="8"/>
        <v>87</v>
      </c>
      <c r="Q27" s="22">
        <v>4</v>
      </c>
      <c r="R27" s="6">
        <v>100</v>
      </c>
      <c r="S27" s="5">
        <v>1.4999999999999999E-2</v>
      </c>
      <c r="T27" s="227">
        <v>1</v>
      </c>
    </row>
    <row r="28" spans="1:20" ht="30" customHeight="1" x14ac:dyDescent="0.25">
      <c r="A28" s="281" t="s">
        <v>116</v>
      </c>
      <c r="B28" s="284" t="s">
        <v>128</v>
      </c>
      <c r="C28" s="285" t="s">
        <v>131</v>
      </c>
      <c r="D28" s="287" t="s">
        <v>132</v>
      </c>
      <c r="E28" s="287" t="s">
        <v>133</v>
      </c>
      <c r="F28" s="287" t="s">
        <v>137</v>
      </c>
      <c r="G28" s="287" t="s">
        <v>135</v>
      </c>
      <c r="H28" s="287" t="s">
        <v>138</v>
      </c>
      <c r="I28" s="288">
        <v>7</v>
      </c>
      <c r="J28" s="288">
        <v>7</v>
      </c>
      <c r="K28" s="289">
        <v>1</v>
      </c>
      <c r="L28" s="6">
        <f t="shared" si="0"/>
        <v>7</v>
      </c>
      <c r="M28" s="108">
        <f t="shared" si="5"/>
        <v>7</v>
      </c>
      <c r="N28" s="109">
        <f t="shared" si="6"/>
        <v>6</v>
      </c>
      <c r="O28" s="110">
        <f t="shared" si="7"/>
        <v>0</v>
      </c>
      <c r="P28" s="115">
        <f t="shared" si="8"/>
        <v>5</v>
      </c>
      <c r="Q28" s="22"/>
      <c r="R28" s="6">
        <v>1</v>
      </c>
      <c r="S28" s="5">
        <v>1</v>
      </c>
      <c r="T28" s="227">
        <v>2</v>
      </c>
    </row>
    <row r="29" spans="1:20" ht="30" customHeight="1" x14ac:dyDescent="0.25">
      <c r="A29" s="281" t="s">
        <v>117</v>
      </c>
      <c r="B29" s="284" t="s">
        <v>129</v>
      </c>
      <c r="C29" s="285" t="s">
        <v>131</v>
      </c>
      <c r="D29" s="286" t="s">
        <v>132</v>
      </c>
      <c r="E29" s="287" t="s">
        <v>133</v>
      </c>
      <c r="F29" s="287" t="s">
        <v>137</v>
      </c>
      <c r="G29" s="287"/>
      <c r="H29" s="287" t="s">
        <v>136</v>
      </c>
      <c r="I29" s="288">
        <v>2</v>
      </c>
      <c r="J29" s="288">
        <v>2</v>
      </c>
      <c r="K29" s="289">
        <v>1</v>
      </c>
      <c r="L29" s="6">
        <f t="shared" si="0"/>
        <v>2</v>
      </c>
      <c r="M29" s="108">
        <f t="shared" si="5"/>
        <v>1</v>
      </c>
      <c r="N29" s="109">
        <f t="shared" si="6"/>
        <v>1</v>
      </c>
      <c r="O29" s="110">
        <f t="shared" si="7"/>
        <v>0</v>
      </c>
      <c r="P29" s="115">
        <f t="shared" si="8"/>
        <v>0</v>
      </c>
      <c r="Q29" s="22">
        <v>1</v>
      </c>
      <c r="R29" s="6">
        <v>1</v>
      </c>
      <c r="S29" s="5">
        <v>1</v>
      </c>
      <c r="T29" s="227">
        <v>2</v>
      </c>
    </row>
    <row r="30" spans="1:20" ht="30" customHeight="1" x14ac:dyDescent="0.25">
      <c r="A30" s="281" t="s">
        <v>118</v>
      </c>
      <c r="B30" s="284" t="s">
        <v>130</v>
      </c>
      <c r="C30" s="285" t="s">
        <v>131</v>
      </c>
      <c r="D30" s="286" t="s">
        <v>132</v>
      </c>
      <c r="E30" s="287" t="s">
        <v>133</v>
      </c>
      <c r="F30" s="287" t="s">
        <v>137</v>
      </c>
      <c r="G30" s="287"/>
      <c r="H30" s="287" t="s">
        <v>136</v>
      </c>
      <c r="I30" s="288">
        <v>7</v>
      </c>
      <c r="J30" s="288">
        <v>7</v>
      </c>
      <c r="K30" s="289">
        <v>1</v>
      </c>
      <c r="L30" s="6">
        <f t="shared" si="0"/>
        <v>7</v>
      </c>
      <c r="M30" s="108">
        <f t="shared" si="5"/>
        <v>7</v>
      </c>
      <c r="N30" s="109">
        <f t="shared" si="6"/>
        <v>7</v>
      </c>
      <c r="O30" s="110">
        <f t="shared" si="7"/>
        <v>1</v>
      </c>
      <c r="P30" s="115">
        <f t="shared" si="8"/>
        <v>7</v>
      </c>
      <c r="Q30" s="22"/>
      <c r="R30" s="6"/>
      <c r="S30" s="5"/>
      <c r="T30" s="227"/>
    </row>
    <row r="31" spans="1:20" ht="30" customHeight="1" x14ac:dyDescent="0.25">
      <c r="A31" s="75"/>
      <c r="B31" s="284"/>
      <c r="C31" s="76"/>
      <c r="D31" s="76"/>
      <c r="E31" s="5"/>
      <c r="F31" s="97"/>
      <c r="G31" s="5"/>
      <c r="H31" s="5"/>
      <c r="I31" s="6"/>
      <c r="J31" s="6"/>
      <c r="K31" s="95"/>
      <c r="L31" s="6">
        <f t="shared" ref="L31" si="9">ROUNDUP(J31*K31,0)</f>
        <v>0</v>
      </c>
      <c r="M31" s="108">
        <f t="shared" si="5"/>
        <v>0</v>
      </c>
      <c r="N31" s="109">
        <f t="shared" si="6"/>
        <v>0</v>
      </c>
      <c r="O31" s="110">
        <f t="shared" si="7"/>
        <v>0</v>
      </c>
      <c r="P31" s="115">
        <f t="shared" si="8"/>
        <v>0</v>
      </c>
      <c r="Q31" s="22"/>
      <c r="R31" s="6"/>
      <c r="S31" s="5"/>
      <c r="T31" s="227"/>
    </row>
    <row r="32" spans="1:20" ht="30" customHeight="1" x14ac:dyDescent="0.25">
      <c r="A32" s="75"/>
      <c r="B32" s="76"/>
      <c r="C32" s="76"/>
      <c r="D32" s="76"/>
      <c r="E32" s="5"/>
      <c r="F32" s="97"/>
      <c r="G32" s="5"/>
      <c r="H32" s="5"/>
      <c r="I32" s="6"/>
      <c r="J32" s="6"/>
      <c r="K32" s="95"/>
      <c r="L32" s="6">
        <f t="shared" ref="L32" si="10">ROUNDUP(J32*K32,0)</f>
        <v>0</v>
      </c>
      <c r="M32" s="108">
        <f t="shared" si="1"/>
        <v>0</v>
      </c>
      <c r="N32" s="109">
        <f t="shared" si="2"/>
        <v>0</v>
      </c>
      <c r="O32" s="110">
        <f t="shared" si="3"/>
        <v>0</v>
      </c>
      <c r="P32" s="115">
        <f t="shared" si="4"/>
        <v>0</v>
      </c>
      <c r="Q32" s="22"/>
      <c r="R32" s="6"/>
      <c r="S32" s="5"/>
      <c r="T32" s="227"/>
    </row>
    <row r="33" spans="1:20" ht="30" customHeight="1" x14ac:dyDescent="0.25">
      <c r="A33" s="77"/>
      <c r="B33" s="78"/>
      <c r="C33" s="78"/>
      <c r="D33" s="78"/>
      <c r="E33" s="3"/>
      <c r="F33" s="98"/>
      <c r="G33" s="3"/>
      <c r="H33" s="3"/>
      <c r="I33" s="4"/>
      <c r="J33" s="4"/>
      <c r="K33" s="96"/>
      <c r="L33" s="6">
        <f t="shared" ref="L33:L38" si="11">ROUNDUP(J33*K33,0)</f>
        <v>0</v>
      </c>
      <c r="M33" s="112">
        <f t="shared" ref="M33:P38" si="12">I33-Q33</f>
        <v>0</v>
      </c>
      <c r="N33" s="113">
        <f t="shared" si="12"/>
        <v>0</v>
      </c>
      <c r="O33" s="114">
        <f t="shared" si="12"/>
        <v>0</v>
      </c>
      <c r="P33" s="115">
        <f t="shared" si="12"/>
        <v>0</v>
      </c>
      <c r="Q33" s="23"/>
      <c r="R33" s="4"/>
      <c r="S33" s="3"/>
      <c r="T33" s="100"/>
    </row>
    <row r="34" spans="1:20" ht="30" customHeight="1" x14ac:dyDescent="0.25">
      <c r="A34" s="77"/>
      <c r="B34" s="78"/>
      <c r="C34" s="78"/>
      <c r="D34" s="78"/>
      <c r="E34" s="3"/>
      <c r="F34" s="98"/>
      <c r="G34" s="3"/>
      <c r="H34" s="3"/>
      <c r="I34" s="4"/>
      <c r="J34" s="4"/>
      <c r="K34" s="96"/>
      <c r="L34" s="6">
        <f t="shared" ref="L34:L35" si="13">ROUNDUP(J34*K34,0)</f>
        <v>0</v>
      </c>
      <c r="M34" s="112">
        <f t="shared" ref="M34:M35" si="14">I34-Q34</f>
        <v>0</v>
      </c>
      <c r="N34" s="113">
        <f t="shared" ref="N34:N35" si="15">J34-R34</f>
        <v>0</v>
      </c>
      <c r="O34" s="114">
        <f t="shared" ref="O34:O35" si="16">K34-S34</f>
        <v>0</v>
      </c>
      <c r="P34" s="115">
        <f t="shared" ref="P34:P35" si="17">L34-T34</f>
        <v>0</v>
      </c>
      <c r="Q34" s="23"/>
      <c r="R34" s="4"/>
      <c r="S34" s="3"/>
      <c r="T34" s="100"/>
    </row>
    <row r="35" spans="1:20" ht="30" customHeight="1" x14ac:dyDescent="0.25">
      <c r="A35" s="77"/>
      <c r="B35" s="78"/>
      <c r="C35" s="78"/>
      <c r="D35" s="78"/>
      <c r="E35" s="3"/>
      <c r="F35" s="98"/>
      <c r="G35" s="3"/>
      <c r="H35" s="3"/>
      <c r="I35" s="4"/>
      <c r="J35" s="4"/>
      <c r="K35" s="96"/>
      <c r="L35" s="6">
        <f t="shared" si="13"/>
        <v>0</v>
      </c>
      <c r="M35" s="112">
        <f t="shared" si="14"/>
        <v>0</v>
      </c>
      <c r="N35" s="113">
        <f t="shared" si="15"/>
        <v>0</v>
      </c>
      <c r="O35" s="114">
        <f t="shared" si="16"/>
        <v>0</v>
      </c>
      <c r="P35" s="115">
        <f t="shared" si="17"/>
        <v>0</v>
      </c>
      <c r="Q35" s="23"/>
      <c r="R35" s="4"/>
      <c r="S35" s="3"/>
      <c r="T35" s="100"/>
    </row>
    <row r="36" spans="1:20" ht="30" customHeight="1" x14ac:dyDescent="0.25">
      <c r="A36" s="77"/>
      <c r="B36" s="78"/>
      <c r="C36" s="78"/>
      <c r="D36" s="78"/>
      <c r="E36" s="3"/>
      <c r="F36" s="98"/>
      <c r="G36" s="3"/>
      <c r="H36" s="3"/>
      <c r="I36" s="4"/>
      <c r="J36" s="4"/>
      <c r="K36" s="96"/>
      <c r="L36" s="6">
        <f t="shared" ref="L36:L37" si="18">ROUNDUP(J36*K36,0)</f>
        <v>0</v>
      </c>
      <c r="M36" s="112">
        <f t="shared" ref="M36:M37" si="19">I36-Q36</f>
        <v>0</v>
      </c>
      <c r="N36" s="113">
        <f t="shared" ref="N36:N37" si="20">J36-R36</f>
        <v>0</v>
      </c>
      <c r="O36" s="114">
        <f t="shared" ref="O36:O37" si="21">K36-S36</f>
        <v>0</v>
      </c>
      <c r="P36" s="115">
        <f t="shared" ref="P36:P37" si="22">L36-T36</f>
        <v>0</v>
      </c>
      <c r="Q36" s="23"/>
      <c r="R36" s="4"/>
      <c r="S36" s="3"/>
      <c r="T36" s="100"/>
    </row>
    <row r="37" spans="1:20" ht="30" customHeight="1" x14ac:dyDescent="0.25">
      <c r="A37" s="77"/>
      <c r="B37" s="78"/>
      <c r="C37" s="78"/>
      <c r="D37" s="78"/>
      <c r="E37" s="3"/>
      <c r="F37" s="98"/>
      <c r="G37" s="3"/>
      <c r="H37" s="3"/>
      <c r="I37" s="4"/>
      <c r="J37" s="4"/>
      <c r="K37" s="96"/>
      <c r="L37" s="6">
        <f t="shared" si="18"/>
        <v>0</v>
      </c>
      <c r="M37" s="112">
        <f t="shared" si="19"/>
        <v>0</v>
      </c>
      <c r="N37" s="113">
        <f t="shared" si="20"/>
        <v>0</v>
      </c>
      <c r="O37" s="114">
        <f t="shared" si="21"/>
        <v>0</v>
      </c>
      <c r="P37" s="115">
        <f t="shared" si="22"/>
        <v>0</v>
      </c>
      <c r="Q37" s="23"/>
      <c r="R37" s="4"/>
      <c r="S37" s="3"/>
      <c r="T37" s="100"/>
    </row>
    <row r="38" spans="1:20" ht="30" customHeight="1" thickBot="1" x14ac:dyDescent="0.3">
      <c r="A38" s="77"/>
      <c r="B38" s="78"/>
      <c r="C38" s="78"/>
      <c r="D38" s="78"/>
      <c r="E38" s="3"/>
      <c r="F38" s="98"/>
      <c r="G38" s="3"/>
      <c r="H38" s="3"/>
      <c r="I38" s="4"/>
      <c r="J38" s="4"/>
      <c r="K38" s="96"/>
      <c r="L38" s="6">
        <f t="shared" si="11"/>
        <v>0</v>
      </c>
      <c r="M38" s="116">
        <f t="shared" si="12"/>
        <v>0</v>
      </c>
      <c r="N38" s="117">
        <f t="shared" si="12"/>
        <v>0</v>
      </c>
      <c r="O38" s="229">
        <f t="shared" si="12"/>
        <v>0</v>
      </c>
      <c r="P38" s="118">
        <f t="shared" si="12"/>
        <v>0</v>
      </c>
      <c r="Q38" s="103"/>
      <c r="R38" s="102"/>
      <c r="S38" s="101"/>
      <c r="T38" s="104"/>
    </row>
    <row r="39" spans="1:20" ht="15.75" thickTop="1" x14ac:dyDescent="0.25">
      <c r="B39" s="119"/>
      <c r="C39" s="245"/>
      <c r="D39" s="246" t="s">
        <v>70</v>
      </c>
      <c r="E39" s="119"/>
      <c r="F39" s="119"/>
      <c r="G39" s="119"/>
      <c r="H39" s="119"/>
      <c r="I39" s="203"/>
      <c r="J39" s="193">
        <f>SUM(J14:J38)</f>
        <v>231</v>
      </c>
      <c r="K39" s="203"/>
      <c r="L39" s="193">
        <f>SUM(L14:L38)</f>
        <v>158</v>
      </c>
      <c r="M39" s="199"/>
      <c r="N39" s="197">
        <f t="shared" ref="N39:P39" si="23">SUM(N14:N38)</f>
        <v>109</v>
      </c>
      <c r="O39" s="228"/>
      <c r="P39" s="198">
        <f t="shared" si="23"/>
        <v>138</v>
      </c>
      <c r="Q39" s="200"/>
      <c r="R39" s="193">
        <f>SUM(R14:R38)</f>
        <v>122</v>
      </c>
      <c r="S39" s="200"/>
      <c r="T39" s="193">
        <f>SUM(T14:T38)</f>
        <v>20</v>
      </c>
    </row>
    <row r="40" spans="1:20" ht="30" x14ac:dyDescent="0.25">
      <c r="B40" s="120"/>
      <c r="C40" s="247"/>
      <c r="D40" s="248" t="s">
        <v>71</v>
      </c>
      <c r="E40" s="120"/>
      <c r="F40" s="120"/>
      <c r="G40" s="120"/>
      <c r="H40" s="120"/>
      <c r="I40" s="204"/>
      <c r="J40" s="204"/>
      <c r="K40" s="204"/>
      <c r="L40" s="121"/>
      <c r="M40" s="122"/>
      <c r="N40" s="201">
        <f>J39-R39</f>
        <v>109</v>
      </c>
      <c r="O40" s="122"/>
      <c r="P40" s="201">
        <f>L39-T39</f>
        <v>138</v>
      </c>
      <c r="Q40" s="202"/>
      <c r="R40" s="202"/>
      <c r="S40" s="202"/>
      <c r="T40" s="202"/>
    </row>
  </sheetData>
  <conditionalFormatting sqref="M14:P39">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APHIS 71</vt:lpstr>
      <vt:lpstr>APHIS 79</vt:lpstr>
      <vt:lpstr>ROCIS Calculations</vt:lpstr>
      <vt:lpstr>ICR Compare</vt:lpstr>
      <vt:lpstr>'APHIS 79'!Print_Area</vt:lpstr>
      <vt:lpstr>'ROCIS Calculations'!Print_Area</vt:lpstr>
      <vt:lpstr>'APHIS 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M - APHIS</cp:lastModifiedBy>
  <cp:lastPrinted>2022-02-28T20:07:45Z</cp:lastPrinted>
  <dcterms:created xsi:type="dcterms:W3CDTF">2021-07-01T18:06:57Z</dcterms:created>
  <dcterms:modified xsi:type="dcterms:W3CDTF">2022-05-04T15:06:25Z</dcterms:modified>
</cp:coreProperties>
</file>