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N:\Project\50923_SNACS2\NJ1\Task 4 - Prepare OMB Package\4.5 Final OMB\Responses to PRAO 6.16.21\"/>
    </mc:Choice>
  </mc:AlternateContent>
  <xr:revisionPtr revIDLastSave="0" documentId="13_ncr:1_{45E13775-48A7-4316-88CC-4463F28614D2}" xr6:coauthVersionLast="45" xr6:coauthVersionMax="45" xr10:uidLastSave="{00000000-0000-0000-0000-000000000000}"/>
  <bookViews>
    <workbookView xWindow="-108" yWindow="-108" windowWidth="23256" windowHeight="12720" xr2:uid="{ED06D850-C15B-4316-868C-7E6DDC022CA1}"/>
  </bookViews>
  <sheets>
    <sheet name="SNACS-II burden table " sheetId="8" r:id="rId1"/>
    <sheet name="recruitment website burden" sheetId="5" r:id="rId2"/>
    <sheet name="infant sample" sheetId="6" r:id="rId3"/>
    <sheet name="Table A.12.1 Calculation" sheetId="9" r:id="rId4"/>
  </sheets>
  <definedNames>
    <definedName name="_xlnm._FilterDatabase" localSheetId="0" hidden="1">'SNACS-II burden table '!$B$4:$S$87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4" i="8" l="1"/>
  <c r="R43" i="8"/>
  <c r="R42" i="8"/>
  <c r="R41" i="8"/>
  <c r="R81" i="8" l="1"/>
  <c r="R80" i="8"/>
  <c r="R79" i="8"/>
  <c r="R55" i="8"/>
  <c r="R54" i="8"/>
  <c r="R53" i="8"/>
  <c r="R52" i="8"/>
  <c r="R51" i="8"/>
  <c r="R50" i="8"/>
  <c r="R49" i="8"/>
  <c r="R48" i="8"/>
  <c r="R47" i="8"/>
  <c r="R46" i="8"/>
  <c r="R36" i="8"/>
  <c r="R35" i="8"/>
  <c r="R34" i="8"/>
  <c r="R33" i="8"/>
  <c r="R32" i="8"/>
  <c r="R31" i="8"/>
  <c r="R30" i="8"/>
  <c r="R29" i="8"/>
  <c r="R28" i="8"/>
  <c r="R27" i="8"/>
  <c r="R26" i="8"/>
  <c r="R25" i="8"/>
  <c r="R24" i="8"/>
  <c r="R23" i="8"/>
  <c r="R22" i="8"/>
  <c r="R21" i="8"/>
  <c r="R20" i="8"/>
  <c r="R19" i="8"/>
  <c r="R18" i="8"/>
  <c r="R17" i="8"/>
  <c r="R16" i="8"/>
  <c r="R15" i="8"/>
  <c r="R14" i="8"/>
  <c r="R13" i="8"/>
  <c r="R12" i="8"/>
  <c r="R11" i="8"/>
  <c r="R10" i="8"/>
  <c r="R9" i="8"/>
  <c r="R8" i="8"/>
  <c r="R7" i="8"/>
  <c r="R6" i="8"/>
  <c r="R5" i="8"/>
  <c r="R84" i="8"/>
  <c r="R82" i="8"/>
  <c r="R70" i="8"/>
  <c r="R69" i="8"/>
  <c r="R68" i="8"/>
  <c r="R67" i="8"/>
  <c r="R66" i="8"/>
  <c r="R65" i="8"/>
  <c r="R64" i="8"/>
  <c r="R63" i="8"/>
  <c r="R62" i="8"/>
  <c r="R61" i="8"/>
  <c r="R60" i="8"/>
  <c r="R59" i="8"/>
  <c r="R58" i="8"/>
  <c r="R57" i="8"/>
  <c r="R56" i="8"/>
  <c r="R83" i="8"/>
  <c r="R77" i="8"/>
  <c r="R76" i="8"/>
  <c r="R75" i="8"/>
  <c r="R74" i="8"/>
  <c r="R73" i="8"/>
  <c r="R72" i="8"/>
  <c r="R71" i="8"/>
  <c r="R85" i="8"/>
  <c r="R78" i="8"/>
  <c r="C10" i="9" l="1"/>
  <c r="C9" i="9"/>
  <c r="C8" i="9"/>
  <c r="C7" i="9"/>
  <c r="C6" i="9"/>
  <c r="C5" i="9"/>
  <c r="G45" i="8"/>
  <c r="F45" i="8"/>
  <c r="G86" i="8"/>
  <c r="F86" i="8"/>
  <c r="N85" i="8" l="1"/>
  <c r="P85" i="8" s="1"/>
  <c r="I85" i="8"/>
  <c r="K85" i="8" s="1"/>
  <c r="Q85" i="8" l="1"/>
  <c r="S85" i="8" s="1"/>
  <c r="G29" i="8"/>
  <c r="G55" i="8" l="1"/>
  <c r="H20" i="9" l="1"/>
  <c r="G20" i="9"/>
  <c r="F20" i="9"/>
  <c r="D10" i="9"/>
  <c r="D9" i="9"/>
  <c r="D8" i="9"/>
  <c r="D7" i="9"/>
  <c r="D6" i="9"/>
  <c r="D5" i="9"/>
  <c r="L44" i="8" l="1"/>
  <c r="N44" i="8" s="1"/>
  <c r="P44" i="8" s="1"/>
  <c r="I44" i="8"/>
  <c r="K44" i="8" s="1"/>
  <c r="Q44" i="8" l="1"/>
  <c r="S44" i="8" s="1"/>
  <c r="H103" i="5"/>
  <c r="H95" i="5"/>
  <c r="H84" i="5"/>
  <c r="H74" i="5"/>
  <c r="F40" i="8" l="1"/>
  <c r="F87" i="8" s="1"/>
  <c r="N22" i="8" l="1"/>
  <c r="N23" i="8"/>
  <c r="N24" i="8"/>
  <c r="N25" i="8"/>
  <c r="N26" i="8"/>
  <c r="N27" i="8"/>
  <c r="G40" i="8" l="1"/>
  <c r="L84" i="8"/>
  <c r="N84" i="8" s="1"/>
  <c r="P84" i="8" s="1"/>
  <c r="I84" i="8"/>
  <c r="K84" i="8" s="1"/>
  <c r="L83" i="8"/>
  <c r="N83" i="8" s="1"/>
  <c r="P83" i="8" s="1"/>
  <c r="I83" i="8"/>
  <c r="K83" i="8" s="1"/>
  <c r="L82" i="8"/>
  <c r="N82" i="8" s="1"/>
  <c r="P82" i="8" s="1"/>
  <c r="I82" i="8"/>
  <c r="K82" i="8" s="1"/>
  <c r="L81" i="8"/>
  <c r="N81" i="8" s="1"/>
  <c r="P81" i="8" s="1"/>
  <c r="I81" i="8"/>
  <c r="K81" i="8" s="1"/>
  <c r="L80" i="8"/>
  <c r="N80" i="8" s="1"/>
  <c r="P80" i="8" s="1"/>
  <c r="I80" i="8"/>
  <c r="K80" i="8" s="1"/>
  <c r="L79" i="8"/>
  <c r="N79" i="8" s="1"/>
  <c r="P79" i="8" s="1"/>
  <c r="I79" i="8"/>
  <c r="K79" i="8" s="1"/>
  <c r="L78" i="8"/>
  <c r="N78" i="8" s="1"/>
  <c r="P78" i="8" s="1"/>
  <c r="I78" i="8"/>
  <c r="K78" i="8" s="1"/>
  <c r="L77" i="8"/>
  <c r="N77" i="8" s="1"/>
  <c r="P77" i="8" s="1"/>
  <c r="I77" i="8"/>
  <c r="K77" i="8" s="1"/>
  <c r="L76" i="8"/>
  <c r="N76" i="8" s="1"/>
  <c r="P76" i="8" s="1"/>
  <c r="I76" i="8"/>
  <c r="K76" i="8" s="1"/>
  <c r="L75" i="8"/>
  <c r="N75" i="8" s="1"/>
  <c r="P75" i="8" s="1"/>
  <c r="I75" i="8"/>
  <c r="K75" i="8" s="1"/>
  <c r="L74" i="8"/>
  <c r="N74" i="8" s="1"/>
  <c r="P74" i="8" s="1"/>
  <c r="I74" i="8"/>
  <c r="K74" i="8" s="1"/>
  <c r="L73" i="8"/>
  <c r="N73" i="8" s="1"/>
  <c r="P73" i="8" s="1"/>
  <c r="I73" i="8"/>
  <c r="K73" i="8" s="1"/>
  <c r="L72" i="8"/>
  <c r="N72" i="8" s="1"/>
  <c r="P71" i="8" s="1"/>
  <c r="I72" i="8"/>
  <c r="K72" i="8" s="1"/>
  <c r="L71" i="8"/>
  <c r="N71" i="8" s="1"/>
  <c r="I71" i="8"/>
  <c r="K71" i="8" s="1"/>
  <c r="L70" i="8"/>
  <c r="N70" i="8" s="1"/>
  <c r="P70" i="8" s="1"/>
  <c r="I70" i="8"/>
  <c r="K70" i="8" s="1"/>
  <c r="I69" i="8"/>
  <c r="K69" i="8" s="1"/>
  <c r="F69" i="8"/>
  <c r="L69" i="8" s="1"/>
  <c r="N69" i="8" s="1"/>
  <c r="P69" i="8" s="1"/>
  <c r="L68" i="8"/>
  <c r="N68" i="8" s="1"/>
  <c r="P68" i="8" s="1"/>
  <c r="I68" i="8"/>
  <c r="K68" i="8" s="1"/>
  <c r="L67" i="8"/>
  <c r="N67" i="8" s="1"/>
  <c r="P67" i="8" s="1"/>
  <c r="I67" i="8"/>
  <c r="K67" i="8" s="1"/>
  <c r="G66" i="8"/>
  <c r="L66" i="8" s="1"/>
  <c r="N66" i="8" s="1"/>
  <c r="P66" i="8" s="1"/>
  <c r="L65" i="8"/>
  <c r="N65" i="8" s="1"/>
  <c r="P65" i="8" s="1"/>
  <c r="I65" i="8"/>
  <c r="K65" i="8" s="1"/>
  <c r="L64" i="8"/>
  <c r="N64" i="8" s="1"/>
  <c r="P64" i="8" s="1"/>
  <c r="I64" i="8"/>
  <c r="K64" i="8" s="1"/>
  <c r="L63" i="8"/>
  <c r="N63" i="8" s="1"/>
  <c r="P63" i="8" s="1"/>
  <c r="I63" i="8"/>
  <c r="K63" i="8" s="1"/>
  <c r="L62" i="8"/>
  <c r="N62" i="8" s="1"/>
  <c r="P62" i="8" s="1"/>
  <c r="I62" i="8"/>
  <c r="K62" i="8" s="1"/>
  <c r="L61" i="8"/>
  <c r="N61" i="8" s="1"/>
  <c r="P61" i="8" s="1"/>
  <c r="I61" i="8"/>
  <c r="K61" i="8" s="1"/>
  <c r="O60" i="8"/>
  <c r="L60" i="8"/>
  <c r="N60" i="8" s="1"/>
  <c r="I60" i="8"/>
  <c r="K60" i="8" s="1"/>
  <c r="L59" i="8"/>
  <c r="N59" i="8" s="1"/>
  <c r="P59" i="8" s="1"/>
  <c r="I59" i="8"/>
  <c r="K59" i="8" s="1"/>
  <c r="L58" i="8"/>
  <c r="N58" i="8" s="1"/>
  <c r="P58" i="8" s="1"/>
  <c r="I58" i="8"/>
  <c r="K58" i="8" s="1"/>
  <c r="L57" i="8"/>
  <c r="N57" i="8" s="1"/>
  <c r="P57" i="8" s="1"/>
  <c r="I57" i="8"/>
  <c r="K57" i="8" s="1"/>
  <c r="L56" i="8"/>
  <c r="N56" i="8" s="1"/>
  <c r="P56" i="8" s="1"/>
  <c r="I56" i="8"/>
  <c r="K56" i="8" s="1"/>
  <c r="I55" i="8"/>
  <c r="K55" i="8" s="1"/>
  <c r="L54" i="8"/>
  <c r="N54" i="8" s="1"/>
  <c r="P54" i="8" s="1"/>
  <c r="I54" i="8"/>
  <c r="K54" i="8" s="1"/>
  <c r="L53" i="8"/>
  <c r="N53" i="8" s="1"/>
  <c r="P53" i="8" s="1"/>
  <c r="I53" i="8"/>
  <c r="K53" i="8" s="1"/>
  <c r="L52" i="8"/>
  <c r="N52" i="8" s="1"/>
  <c r="P52" i="8" s="1"/>
  <c r="I52" i="8"/>
  <c r="K52" i="8" s="1"/>
  <c r="L51" i="8"/>
  <c r="N51" i="8" s="1"/>
  <c r="P51" i="8" s="1"/>
  <c r="I51" i="8"/>
  <c r="K51" i="8" s="1"/>
  <c r="L50" i="8"/>
  <c r="N50" i="8" s="1"/>
  <c r="P50" i="8" s="1"/>
  <c r="I50" i="8"/>
  <c r="K50" i="8" s="1"/>
  <c r="L49" i="8"/>
  <c r="N49" i="8" s="1"/>
  <c r="P49" i="8" s="1"/>
  <c r="I49" i="8"/>
  <c r="K49" i="8" s="1"/>
  <c r="O48" i="8"/>
  <c r="L48" i="8"/>
  <c r="N48" i="8" s="1"/>
  <c r="I48" i="8"/>
  <c r="K48" i="8" s="1"/>
  <c r="L47" i="8"/>
  <c r="N47" i="8" s="1"/>
  <c r="P47" i="8" s="1"/>
  <c r="I47" i="8"/>
  <c r="K47" i="8" s="1"/>
  <c r="L46" i="8"/>
  <c r="N46" i="8" s="1"/>
  <c r="P46" i="8" s="1"/>
  <c r="I46" i="8"/>
  <c r="L43" i="8"/>
  <c r="N43" i="8" s="1"/>
  <c r="P43" i="8" s="1"/>
  <c r="I43" i="8"/>
  <c r="K43" i="8" s="1"/>
  <c r="L42" i="8"/>
  <c r="N42" i="8" s="1"/>
  <c r="P42" i="8" s="1"/>
  <c r="I42" i="8"/>
  <c r="K42" i="8" s="1"/>
  <c r="L41" i="8"/>
  <c r="I41" i="8"/>
  <c r="G39" i="8"/>
  <c r="I39" i="8" s="1"/>
  <c r="K39" i="8" s="1"/>
  <c r="L38" i="8"/>
  <c r="N38" i="8" s="1"/>
  <c r="P38" i="8" s="1"/>
  <c r="I38" i="8"/>
  <c r="K38" i="8" s="1"/>
  <c r="L37" i="8"/>
  <c r="N37" i="8" s="1"/>
  <c r="P37" i="8" s="1"/>
  <c r="I37" i="8"/>
  <c r="K37" i="8" s="1"/>
  <c r="G36" i="8"/>
  <c r="I36" i="8" s="1"/>
  <c r="K36" i="8" s="1"/>
  <c r="N35" i="8"/>
  <c r="P35" i="8" s="1"/>
  <c r="I35" i="8"/>
  <c r="K35" i="8" s="1"/>
  <c r="N34" i="8"/>
  <c r="P34" i="8" s="1"/>
  <c r="I34" i="8"/>
  <c r="K34" i="8" s="1"/>
  <c r="N33" i="8"/>
  <c r="P33" i="8" s="1"/>
  <c r="I33" i="8"/>
  <c r="K33" i="8" s="1"/>
  <c r="N32" i="8"/>
  <c r="P32" i="8" s="1"/>
  <c r="I32" i="8"/>
  <c r="K32" i="8" s="1"/>
  <c r="N31" i="8"/>
  <c r="P31" i="8" s="1"/>
  <c r="I31" i="8"/>
  <c r="K31" i="8" s="1"/>
  <c r="N30" i="8"/>
  <c r="P30" i="8" s="1"/>
  <c r="I30" i="8"/>
  <c r="K30" i="8" s="1"/>
  <c r="I29" i="8"/>
  <c r="K29" i="8" s="1"/>
  <c r="L28" i="8"/>
  <c r="N28" i="8" s="1"/>
  <c r="P28" i="8" s="1"/>
  <c r="J28" i="8"/>
  <c r="I28" i="8"/>
  <c r="P27" i="8"/>
  <c r="I27" i="8"/>
  <c r="K27" i="8" s="1"/>
  <c r="P26" i="8"/>
  <c r="I26" i="8"/>
  <c r="K26" i="8" s="1"/>
  <c r="P25" i="8"/>
  <c r="I25" i="8"/>
  <c r="K25" i="8" s="1"/>
  <c r="P24" i="8"/>
  <c r="I24" i="8"/>
  <c r="K24" i="8" s="1"/>
  <c r="P23" i="8"/>
  <c r="I23" i="8"/>
  <c r="K23" i="8" s="1"/>
  <c r="P22" i="8"/>
  <c r="I22" i="8"/>
  <c r="K22" i="8" s="1"/>
  <c r="G21" i="8"/>
  <c r="I21" i="8" s="1"/>
  <c r="K21" i="8" s="1"/>
  <c r="L20" i="8"/>
  <c r="N20" i="8" s="1"/>
  <c r="P20" i="8" s="1"/>
  <c r="I20" i="8"/>
  <c r="K20" i="8" s="1"/>
  <c r="L19" i="8"/>
  <c r="N19" i="8" s="1"/>
  <c r="P19" i="8" s="1"/>
  <c r="I19" i="8"/>
  <c r="K19" i="8" s="1"/>
  <c r="N18" i="8"/>
  <c r="P18" i="8" s="1"/>
  <c r="I18" i="8"/>
  <c r="K18" i="8" s="1"/>
  <c r="N17" i="8"/>
  <c r="P17" i="8" s="1"/>
  <c r="I17" i="8"/>
  <c r="K17" i="8" s="1"/>
  <c r="N16" i="8"/>
  <c r="P16" i="8" s="1"/>
  <c r="I16" i="8"/>
  <c r="K16" i="8" s="1"/>
  <c r="L15" i="8"/>
  <c r="N15" i="8" s="1"/>
  <c r="P15" i="8" s="1"/>
  <c r="I15" i="8"/>
  <c r="K15" i="8" s="1"/>
  <c r="L14" i="8"/>
  <c r="N14" i="8" s="1"/>
  <c r="P14" i="8" s="1"/>
  <c r="I14" i="8"/>
  <c r="K14" i="8" s="1"/>
  <c r="L13" i="8"/>
  <c r="N13" i="8" s="1"/>
  <c r="P13" i="8" s="1"/>
  <c r="I13" i="8"/>
  <c r="K13" i="8" s="1"/>
  <c r="L12" i="8"/>
  <c r="N12" i="8" s="1"/>
  <c r="P12" i="8" s="1"/>
  <c r="I12" i="8"/>
  <c r="K12" i="8" s="1"/>
  <c r="L11" i="8"/>
  <c r="N11" i="8" s="1"/>
  <c r="P11" i="8" s="1"/>
  <c r="I11" i="8"/>
  <c r="K11" i="8" s="1"/>
  <c r="N10" i="8"/>
  <c r="P10" i="8" s="1"/>
  <c r="K10" i="8"/>
  <c r="L9" i="8"/>
  <c r="N9" i="8" s="1"/>
  <c r="P9" i="8" s="1"/>
  <c r="K9" i="8"/>
  <c r="L8" i="8"/>
  <c r="N8" i="8" s="1"/>
  <c r="P8" i="8" s="1"/>
  <c r="K8" i="8"/>
  <c r="L7" i="8"/>
  <c r="N7" i="8" s="1"/>
  <c r="P7" i="8" s="1"/>
  <c r="K7" i="8"/>
  <c r="L6" i="8"/>
  <c r="N6" i="8" s="1"/>
  <c r="P6" i="8" s="1"/>
  <c r="K6" i="8"/>
  <c r="L5" i="8"/>
  <c r="K5" i="8"/>
  <c r="K41" i="8" l="1"/>
  <c r="K45" i="8" s="1"/>
  <c r="I45" i="8"/>
  <c r="H45" i="8" s="1"/>
  <c r="K46" i="8"/>
  <c r="Q46" i="8" s="1"/>
  <c r="N41" i="8"/>
  <c r="L45" i="8"/>
  <c r="N5" i="8"/>
  <c r="P5" i="8" s="1"/>
  <c r="Q5" i="8" s="1"/>
  <c r="L40" i="8"/>
  <c r="G87" i="8"/>
  <c r="L86" i="8"/>
  <c r="Q71" i="8"/>
  <c r="P72" i="8"/>
  <c r="I40" i="8"/>
  <c r="H40" i="8" s="1"/>
  <c r="Q67" i="8"/>
  <c r="S67" i="8" s="1"/>
  <c r="Q37" i="8"/>
  <c r="Q23" i="8"/>
  <c r="S23" i="8" s="1"/>
  <c r="Q24" i="8"/>
  <c r="S24" i="8" s="1"/>
  <c r="Q11" i="8"/>
  <c r="S11" i="8" s="1"/>
  <c r="K28" i="8"/>
  <c r="Q28" i="8" s="1"/>
  <c r="S28" i="8" s="1"/>
  <c r="Q32" i="8"/>
  <c r="S32" i="8" s="1"/>
  <c r="L36" i="8"/>
  <c r="N36" i="8" s="1"/>
  <c r="P36" i="8" s="1"/>
  <c r="Q36" i="8" s="1"/>
  <c r="S36" i="8" s="1"/>
  <c r="Q27" i="8"/>
  <c r="S27" i="8" s="1"/>
  <c r="Q43" i="8"/>
  <c r="S43" i="8" s="1"/>
  <c r="L55" i="8"/>
  <c r="N55" i="8" s="1"/>
  <c r="P55" i="8" s="1"/>
  <c r="Q55" i="8" s="1"/>
  <c r="S55" i="8" s="1"/>
  <c r="Q10" i="8"/>
  <c r="S10" i="8" s="1"/>
  <c r="L39" i="8"/>
  <c r="N39" i="8" s="1"/>
  <c r="P39" i="8" s="1"/>
  <c r="Q39" i="8" s="1"/>
  <c r="Q53" i="8"/>
  <c r="S53" i="8" s="1"/>
  <c r="Q8" i="8"/>
  <c r="S8" i="8" s="1"/>
  <c r="Q70" i="8"/>
  <c r="S70" i="8" s="1"/>
  <c r="Q49" i="8"/>
  <c r="S49" i="8" s="1"/>
  <c r="Q7" i="8"/>
  <c r="S7" i="8" s="1"/>
  <c r="Q77" i="8"/>
  <c r="S77" i="8" s="1"/>
  <c r="Q51" i="8"/>
  <c r="S51" i="8" s="1"/>
  <c r="Q62" i="8"/>
  <c r="S62" i="8" s="1"/>
  <c r="Q75" i="8"/>
  <c r="S75" i="8" s="1"/>
  <c r="P60" i="8"/>
  <c r="Q60" i="8" s="1"/>
  <c r="S60" i="8" s="1"/>
  <c r="Q69" i="8"/>
  <c r="S69" i="8" s="1"/>
  <c r="Q19" i="8"/>
  <c r="S19" i="8" s="1"/>
  <c r="Q18" i="8"/>
  <c r="S18" i="8" s="1"/>
  <c r="Q14" i="8"/>
  <c r="S14" i="8" s="1"/>
  <c r="Q20" i="8"/>
  <c r="S20" i="8" s="1"/>
  <c r="Q64" i="8"/>
  <c r="S64" i="8" s="1"/>
  <c r="L21" i="8"/>
  <c r="N21" i="8" s="1"/>
  <c r="P21" i="8" s="1"/>
  <c r="Q21" i="8" s="1"/>
  <c r="S21" i="8" s="1"/>
  <c r="Q58" i="8"/>
  <c r="S58" i="8" s="1"/>
  <c r="Q63" i="8"/>
  <c r="S63" i="8" s="1"/>
  <c r="Q30" i="8"/>
  <c r="S30" i="8" s="1"/>
  <c r="Q56" i="8"/>
  <c r="I66" i="8"/>
  <c r="K66" i="8" s="1"/>
  <c r="Q66" i="8" s="1"/>
  <c r="S66" i="8" s="1"/>
  <c r="Q61" i="8"/>
  <c r="S61" i="8" s="1"/>
  <c r="Q74" i="8"/>
  <c r="S74" i="8" s="1"/>
  <c r="Q76" i="8"/>
  <c r="S76" i="8" s="1"/>
  <c r="Q26" i="8"/>
  <c r="S26" i="8" s="1"/>
  <c r="Q38" i="8"/>
  <c r="Q50" i="8"/>
  <c r="S50" i="8" s="1"/>
  <c r="Q52" i="8"/>
  <c r="S52" i="8" s="1"/>
  <c r="Q54" i="8"/>
  <c r="S54" i="8" s="1"/>
  <c r="Q57" i="8"/>
  <c r="S57" i="8" s="1"/>
  <c r="Q34" i="8"/>
  <c r="S34" i="8" s="1"/>
  <c r="Q16" i="8"/>
  <c r="S16" i="8" s="1"/>
  <c r="Q22" i="8"/>
  <c r="S22" i="8" s="1"/>
  <c r="Q31" i="8"/>
  <c r="S31" i="8" s="1"/>
  <c r="Q25" i="8"/>
  <c r="S25" i="8" s="1"/>
  <c r="L29" i="8"/>
  <c r="N29" i="8" s="1"/>
  <c r="P29" i="8" s="1"/>
  <c r="Q29" i="8" s="1"/>
  <c r="S29" i="8" s="1"/>
  <c r="P48" i="8"/>
  <c r="Q48" i="8" s="1"/>
  <c r="S48" i="8" s="1"/>
  <c r="Q65" i="8"/>
  <c r="S65" i="8" s="1"/>
  <c r="Q47" i="8"/>
  <c r="S47" i="8" s="1"/>
  <c r="Q13" i="8"/>
  <c r="S13" i="8" s="1"/>
  <c r="Q42" i="8"/>
  <c r="S42" i="8" s="1"/>
  <c r="Q17" i="8"/>
  <c r="S17" i="8" s="1"/>
  <c r="Q9" i="8"/>
  <c r="S9" i="8" s="1"/>
  <c r="Q12" i="8"/>
  <c r="S12" i="8" s="1"/>
  <c r="Q59" i="8"/>
  <c r="S59" i="8" s="1"/>
  <c r="Q78" i="8"/>
  <c r="Q80" i="8"/>
  <c r="S80" i="8" s="1"/>
  <c r="Q82" i="8"/>
  <c r="S82" i="8" s="1"/>
  <c r="Q84" i="8"/>
  <c r="S84" i="8" s="1"/>
  <c r="Q15" i="8"/>
  <c r="S15" i="8" s="1"/>
  <c r="Q33" i="8"/>
  <c r="S33" i="8" s="1"/>
  <c r="Q35" i="8"/>
  <c r="S35" i="8" s="1"/>
  <c r="Q68" i="8"/>
  <c r="S68" i="8" s="1"/>
  <c r="Q72" i="8"/>
  <c r="S72" i="8" s="1"/>
  <c r="Q6" i="8"/>
  <c r="S6" i="8" s="1"/>
  <c r="Q73" i="8"/>
  <c r="S73" i="8" s="1"/>
  <c r="Q79" i="8"/>
  <c r="S79" i="8" s="1"/>
  <c r="Q81" i="8"/>
  <c r="S81" i="8" s="1"/>
  <c r="Q83" i="8"/>
  <c r="S83" i="8" s="1"/>
  <c r="J45" i="8" l="1"/>
  <c r="P41" i="8"/>
  <c r="N45" i="8"/>
  <c r="I86" i="8"/>
  <c r="H86" i="8" s="1"/>
  <c r="S78" i="8"/>
  <c r="E7" i="9"/>
  <c r="F7" i="9" s="1"/>
  <c r="G7" i="9" s="1"/>
  <c r="H7" i="9" s="1"/>
  <c r="K86" i="8"/>
  <c r="S56" i="8"/>
  <c r="E5" i="9"/>
  <c r="F5" i="9" s="1"/>
  <c r="G5" i="9" s="1"/>
  <c r="H5" i="9" s="1"/>
  <c r="S46" i="8"/>
  <c r="E8" i="9"/>
  <c r="F8" i="9" s="1"/>
  <c r="G8" i="9" s="1"/>
  <c r="H8" i="9" s="1"/>
  <c r="S71" i="8"/>
  <c r="E6" i="9"/>
  <c r="F6" i="9" s="1"/>
  <c r="G6" i="9" s="1"/>
  <c r="H6" i="9" s="1"/>
  <c r="S5" i="8"/>
  <c r="S40" i="8" s="1"/>
  <c r="E9" i="9"/>
  <c r="F9" i="9" s="1"/>
  <c r="G9" i="9" s="1"/>
  <c r="H9" i="9" s="1"/>
  <c r="P86" i="8"/>
  <c r="N86" i="8"/>
  <c r="M86" i="8" s="1"/>
  <c r="N40" i="8"/>
  <c r="P40" i="8"/>
  <c r="K40" i="8"/>
  <c r="J40" i="8" s="1"/>
  <c r="L87" i="8"/>
  <c r="S86" i="8" l="1"/>
  <c r="P45" i="8"/>
  <c r="Q45" i="8" s="1"/>
  <c r="Q41" i="8"/>
  <c r="M40" i="8"/>
  <c r="N87" i="8"/>
  <c r="Q40" i="8"/>
  <c r="O40" i="8"/>
  <c r="I87" i="8"/>
  <c r="H87" i="8" s="1"/>
  <c r="K87" i="8"/>
  <c r="J86" i="8"/>
  <c r="Q86" i="8"/>
  <c r="O86" i="8"/>
  <c r="I103" i="5"/>
  <c r="I95" i="5"/>
  <c r="I84" i="5"/>
  <c r="I74" i="5"/>
  <c r="F3" i="6"/>
  <c r="G7" i="6"/>
  <c r="E7" i="6"/>
  <c r="D7" i="6"/>
  <c r="H6" i="6"/>
  <c r="F6" i="6"/>
  <c r="H5" i="6"/>
  <c r="F5" i="6"/>
  <c r="H4" i="6"/>
  <c r="F4" i="6"/>
  <c r="H3" i="6"/>
  <c r="H7" i="6"/>
  <c r="F7" i="6"/>
  <c r="F103" i="5"/>
  <c r="G102" i="5"/>
  <c r="G101" i="5"/>
  <c r="G100" i="5"/>
  <c r="G99" i="5"/>
  <c r="G98" i="5"/>
  <c r="G97" i="5"/>
  <c r="F95" i="5"/>
  <c r="G94" i="5"/>
  <c r="G93" i="5"/>
  <c r="G92" i="5"/>
  <c r="G91" i="5"/>
  <c r="G90" i="5"/>
  <c r="G89" i="5"/>
  <c r="G88" i="5"/>
  <c r="G87" i="5"/>
  <c r="G86" i="5"/>
  <c r="F84" i="5"/>
  <c r="G83" i="5"/>
  <c r="G82" i="5"/>
  <c r="G81" i="5"/>
  <c r="G80" i="5"/>
  <c r="G79" i="5"/>
  <c r="G78" i="5"/>
  <c r="G77" i="5"/>
  <c r="G76" i="5"/>
  <c r="F74" i="5"/>
  <c r="G73" i="5"/>
  <c r="G72" i="5"/>
  <c r="G71" i="5"/>
  <c r="G70" i="5"/>
  <c r="G69" i="5"/>
  <c r="G68" i="5"/>
  <c r="G67" i="5"/>
  <c r="G66" i="5"/>
  <c r="I64" i="5"/>
  <c r="F64" i="5"/>
  <c r="G63" i="5"/>
  <c r="G62" i="5"/>
  <c r="G61" i="5"/>
  <c r="G60" i="5"/>
  <c r="G59" i="5"/>
  <c r="G58" i="5"/>
  <c r="G57" i="5"/>
  <c r="G56" i="5"/>
  <c r="I54" i="5"/>
  <c r="F54" i="5"/>
  <c r="G53" i="5"/>
  <c r="G52" i="5"/>
  <c r="G51" i="5"/>
  <c r="G50" i="5"/>
  <c r="G49" i="5"/>
  <c r="G48" i="5"/>
  <c r="G47" i="5"/>
  <c r="G46" i="5"/>
  <c r="G45" i="5"/>
  <c r="G43" i="5"/>
  <c r="G44" i="5"/>
  <c r="I41" i="5"/>
  <c r="N31" i="5" s="1"/>
  <c r="F41" i="5"/>
  <c r="G40" i="5"/>
  <c r="G39" i="5"/>
  <c r="G38" i="5"/>
  <c r="G37" i="5"/>
  <c r="G36" i="5"/>
  <c r="G35" i="5"/>
  <c r="G34" i="5"/>
  <c r="G33" i="5"/>
  <c r="G32" i="5"/>
  <c r="G31" i="5"/>
  <c r="G30" i="5"/>
  <c r="F28" i="5"/>
  <c r="I28" i="5"/>
  <c r="G27" i="5"/>
  <c r="G26" i="5"/>
  <c r="G25" i="5"/>
  <c r="G24" i="5"/>
  <c r="G23" i="5"/>
  <c r="G22" i="5"/>
  <c r="G21" i="5"/>
  <c r="G20" i="5"/>
  <c r="G19" i="5"/>
  <c r="G18" i="5"/>
  <c r="G17" i="5"/>
  <c r="G16" i="5"/>
  <c r="F14" i="5"/>
  <c r="I14" i="5"/>
  <c r="G13" i="5"/>
  <c r="G12" i="5"/>
  <c r="G11" i="5"/>
  <c r="G10" i="5"/>
  <c r="G9" i="5"/>
  <c r="G8" i="5"/>
  <c r="G7" i="5"/>
  <c r="G6" i="5"/>
  <c r="G5" i="5"/>
  <c r="P87" i="8" l="1"/>
  <c r="S41" i="8"/>
  <c r="S45" i="8" s="1"/>
  <c r="S87" i="8" s="1"/>
  <c r="E10" i="9"/>
  <c r="F10" i="9" s="1"/>
  <c r="G10" i="9" s="1"/>
  <c r="H10" i="9" s="1"/>
  <c r="O87" i="8"/>
  <c r="J28" i="5"/>
  <c r="K28" i="5" s="1"/>
  <c r="J41" i="5"/>
  <c r="J54" i="5"/>
  <c r="K54" i="5" s="1"/>
  <c r="J64" i="5"/>
  <c r="K64" i="5" s="1"/>
  <c r="J14" i="5"/>
  <c r="K14" i="5" s="1"/>
  <c r="G74" i="5"/>
  <c r="G54" i="5"/>
  <c r="G64" i="5"/>
  <c r="G28" i="5"/>
  <c r="G14" i="5"/>
  <c r="G103" i="5"/>
  <c r="G95" i="5"/>
  <c r="G84" i="5"/>
  <c r="J84" i="5"/>
  <c r="K84" i="5" s="1"/>
  <c r="G41" i="5"/>
  <c r="J103" i="5"/>
  <c r="K103" i="5" s="1"/>
  <c r="J95" i="5"/>
  <c r="K95" i="5" s="1"/>
  <c r="K41" i="5"/>
  <c r="N30" i="5"/>
  <c r="N33" i="5" s="1"/>
  <c r="N35" i="5" s="1"/>
  <c r="Q87" i="8"/>
  <c r="J87" i="8"/>
  <c r="J74" i="5"/>
  <c r="N5" i="5"/>
  <c r="N4" i="5" l="1"/>
  <c r="N7" i="5" s="1"/>
  <c r="N9" i="5" s="1"/>
  <c r="K74" i="5"/>
  <c r="M87" i="8" l="1"/>
</calcChain>
</file>

<file path=xl/sharedStrings.xml><?xml version="1.0" encoding="utf-8"?>
<sst xmlns="http://schemas.openxmlformats.org/spreadsheetml/2006/main" count="442" uniqueCount="260">
  <si>
    <t>TOTAL</t>
  </si>
  <si>
    <t>Appendix</t>
  </si>
  <si>
    <t>Responsive</t>
  </si>
  <si>
    <t>Non-Responsive</t>
  </si>
  <si>
    <t>Type of respondents</t>
  </si>
  <si>
    <t>Sample Size</t>
  </si>
  <si>
    <t>Number of respondents</t>
  </si>
  <si>
    <t>Frequency of response</t>
  </si>
  <si>
    <t>Total Annual responses</t>
  </si>
  <si>
    <t>Hours per response</t>
  </si>
  <si>
    <t>Annual burden (hours)</t>
  </si>
  <si>
    <t>Number of 
Non-respondents</t>
  </si>
  <si>
    <t>Respondent Category</t>
  </si>
  <si>
    <t>Grand Total Annual Burden Estimate (hours)</t>
  </si>
  <si>
    <t>Hourly Wage Rate</t>
  </si>
  <si>
    <t>Total Annualized Cost of Respondent Burden</t>
  </si>
  <si>
    <t>Instruments</t>
  </si>
  <si>
    <t>-</t>
  </si>
  <si>
    <t>Individuals/ Household Sub-Total</t>
  </si>
  <si>
    <t>State / Local Government Sub-Total</t>
  </si>
  <si>
    <t>Business</t>
  </si>
  <si>
    <t>Business Sub-Total</t>
  </si>
  <si>
    <t>Directors</t>
  </si>
  <si>
    <t>Food preparers</t>
  </si>
  <si>
    <t>Provider staff</t>
  </si>
  <si>
    <t>Pre-Visit Cost Form</t>
  </si>
  <si>
    <t>Child</t>
  </si>
  <si>
    <t>Sponsor Program Staff</t>
  </si>
  <si>
    <t>Meal Observation Booklet</t>
  </si>
  <si>
    <t>Self-Administered Cost Questionnaire</t>
  </si>
  <si>
    <t>Parents/Guardians of Children</t>
  </si>
  <si>
    <t>Parents/Guardians of Teens</t>
  </si>
  <si>
    <t>Parent ASA24 for Out-Of-Care Day &amp; Child Food Diary</t>
  </si>
  <si>
    <t>Parents/Guardians of Infants</t>
  </si>
  <si>
    <t>SNACS-II Recruitment Website Burden Estimates</t>
  </si>
  <si>
    <t>Respondent category</t>
  </si>
  <si>
    <t>Type of respondent</t>
  </si>
  <si>
    <t>Pathway</t>
  </si>
  <si>
    <t>Individual website pages</t>
  </si>
  <si>
    <t>Estimated  burden per respondent (minutes)</t>
  </si>
  <si>
    <t>Estimated burden per respondent (hours)</t>
  </si>
  <si>
    <t>Starting sample</t>
  </si>
  <si>
    <t>Total burden (minutes)</t>
  </si>
  <si>
    <t>Total burden (hours)</t>
  </si>
  <si>
    <t>State / Local</t>
  </si>
  <si>
    <t>State CN Agency</t>
  </si>
  <si>
    <t>Government</t>
  </si>
  <si>
    <t xml:space="preserve">A (Home) </t>
  </si>
  <si>
    <t>B (All Pages)</t>
  </si>
  <si>
    <t>Average minutes per respondent</t>
  </si>
  <si>
    <t>Average hours per respondent</t>
  </si>
  <si>
    <t>C (State Page)</t>
  </si>
  <si>
    <t>Likely Path Total Burden Estimate</t>
  </si>
  <si>
    <t>Sponsor</t>
  </si>
  <si>
    <t>D (Sponsor Page)</t>
  </si>
  <si>
    <t>I (About Provider Survey)</t>
  </si>
  <si>
    <t>J (About Menu Survey)</t>
  </si>
  <si>
    <t>K (About Cost Interviews)</t>
  </si>
  <si>
    <t>Center-Based Provider</t>
  </si>
  <si>
    <t>Weighted average burden for centers and FCCHs</t>
  </si>
  <si>
    <t>E (Provider Page)</t>
  </si>
  <si>
    <t>FCCH Provider</t>
  </si>
  <si>
    <t>F (FCCH Provider Pages)</t>
  </si>
  <si>
    <t>L (Onsite Liaison)</t>
  </si>
  <si>
    <t xml:space="preserve">Individuals / </t>
  </si>
  <si>
    <t>Parent/Infant</t>
  </si>
  <si>
    <t>Household</t>
  </si>
  <si>
    <t>G (Parent Page)</t>
  </si>
  <si>
    <t>Parent/Child</t>
  </si>
  <si>
    <t>Parent/Youth</t>
  </si>
  <si>
    <t>H (Teen Page)</t>
  </si>
  <si>
    <t>Likely  Path Total Burden Estimate</t>
  </si>
  <si>
    <t xml:space="preserve">Youth </t>
  </si>
  <si>
    <t>CACFP provider type</t>
  </si>
  <si>
    <t>% serving infants (Exhibit 2.11 from the CACFP Sponsor and Provider Characteristics Study)</t>
  </si>
  <si>
    <t>Recruited providers (all)</t>
  </si>
  <si>
    <t>Menu Survey completed providers</t>
  </si>
  <si>
    <t>Infant Menu Survey completed providers</t>
  </si>
  <si>
    <t>Visited providers (child-only and child-and-cost samples)</t>
  </si>
  <si>
    <t>Infant Intake Form completed providers</t>
  </si>
  <si>
    <t>Independent center</t>
  </si>
  <si>
    <t>Sponsored center</t>
  </si>
  <si>
    <t>Head Start center</t>
  </si>
  <si>
    <t>FCCH</t>
  </si>
  <si>
    <t>Total</t>
  </si>
  <si>
    <t>Center Food Service Cost Interview (c)</t>
  </si>
  <si>
    <t>Additional notes:</t>
  </si>
  <si>
    <t>Weighted average burden across all affected public</t>
  </si>
  <si>
    <t>Teen</t>
  </si>
  <si>
    <t xml:space="preserve">Food preparers, non-FDCHs, usual intake subsample </t>
  </si>
  <si>
    <t xml:space="preserve">Food preparers, non-FDCHs </t>
  </si>
  <si>
    <t>Food preparers, FDCHs, usual intake subsample</t>
  </si>
  <si>
    <t xml:space="preserve">Food preparers, FDCHs </t>
  </si>
  <si>
    <t xml:space="preserve">Parent ASA24 Usual Intake for In-Care Day &amp; Child Food Diary (c) </t>
  </si>
  <si>
    <t xml:space="preserve">Parent ASA24 Usual Intake for Out-Of-Care Day &amp; Child Food Diary (c) </t>
  </si>
  <si>
    <t xml:space="preserve">Sponsor/Center Cost Interview </t>
  </si>
  <si>
    <t xml:space="preserve">Center Director Cost Interview </t>
  </si>
  <si>
    <t>Individuals / Household (a)</t>
  </si>
  <si>
    <t>Provider Recruitment (b)(c)(m)(n)</t>
  </si>
  <si>
    <t xml:space="preserve">Parents/Guardians of Infants Recruitment (b)(c)(d)(f) </t>
  </si>
  <si>
    <t>Sponsor Recruitment (b)(c)(f)(k)(l)</t>
  </si>
  <si>
    <t>Provider Survey (c)(f)</t>
  </si>
  <si>
    <t>(n) The total number of recruited providers includes some that we expect will later be found ineligible. We estimate that 10% of recruited at-risk afterschool centers will be determined ineligible; these providers are counted as nonrespondents at the instrument level.</t>
  </si>
  <si>
    <t>(k) All providers that are not independent will have sponsors.</t>
  </si>
  <si>
    <t>(j) It is expected that more children will complete their height and weight measurements than their respective parents will complete the ASA24 dietary recall.</t>
  </si>
  <si>
    <t>Appendix N. Sample Sizes, Estimated Burden, and Estimated Cost of Respondent Burden for SNACS-II</t>
  </si>
  <si>
    <t>(d) We assume that parent nonrespondents will not provide information requested in the Parent Consent and Permission Form, will not review the Parent Consent Talking Points, and will subsequently not receive and review the Parent Confirmation of Enrollment.</t>
  </si>
  <si>
    <t>(m) The burden for provider recruitment nonrespondents includes time to review the study materials and website and participate in a recruitment phone call. It assumes that the nonrespondent sponsors will not participate in the Pre-Visit Planning Interview or provide information requested in the provider enrollment confirmation email.</t>
  </si>
  <si>
    <t>(l) The burden for sponsor recruitment nonrespondents includes time to review the study materials and website and participate in a recruitment phone call. It assumes that the nonrespondent sponsors will not provide information requested in the sponsor enrollment confirmation email.</t>
  </si>
  <si>
    <t>Onsite POC (not in burden table)</t>
  </si>
  <si>
    <t>G3/G4 Parent Brochure</t>
  </si>
  <si>
    <t>G7/G8 Description of Study for Provider Newsletter</t>
  </si>
  <si>
    <t>G15/G16 Parent Consent and Permission Form (Children)</t>
  </si>
  <si>
    <t>G17/G18 Parent Consent Talking Points (Children)</t>
  </si>
  <si>
    <t>H1/H2 Reminder for Parent Interview</t>
  </si>
  <si>
    <t>H3/H4 Parent Interview for In-Care Day</t>
  </si>
  <si>
    <t>H7/H8 Child Food Diary</t>
  </si>
  <si>
    <t>H5/H6 Child Food Diary Cover Letter</t>
  </si>
  <si>
    <t>D1/D2 Recruitment Website</t>
  </si>
  <si>
    <t>H11/H12 Parent Interview for ASA24 Only</t>
  </si>
  <si>
    <t>G1/G2 Parent Recruitment Letter (Infants)</t>
  </si>
  <si>
    <t>G5/G6 Parent Consent and Permission Form (Infants)</t>
  </si>
  <si>
    <t>G9/G10 Parent Consent Talking Points (Infants)</t>
  </si>
  <si>
    <t>G11/G12 Parent Confirmation of Enrollment (Infants)</t>
  </si>
  <si>
    <t>C3 State Agency Recruitment Email</t>
  </si>
  <si>
    <t>C4 State Agency Recruitment Call Script</t>
  </si>
  <si>
    <t>25</t>
  </si>
  <si>
    <t>C5/C6 Study FAQs</t>
  </si>
  <si>
    <t>C7/C8 USDA Endorsement Letter</t>
  </si>
  <si>
    <t>C9/C10 Generic Endorsement Letter</t>
  </si>
  <si>
    <t>C11 Sponsor Recruitment Letter</t>
  </si>
  <si>
    <t>C13 Sponsor Recruitment Call Script</t>
  </si>
  <si>
    <t>C12 Sponsor Recruitment Follow-up Email</t>
  </si>
  <si>
    <t>C14 Sponsor Enrollment Confirmation Email</t>
  </si>
  <si>
    <t>C15/C16 Endorsement Email to Encourage Provider Participation</t>
  </si>
  <si>
    <t>C17/C18 Study Brochure</t>
  </si>
  <si>
    <t>1</t>
  </si>
  <si>
    <t>C19/C20 Provider Recruitment Letter</t>
  </si>
  <si>
    <t>C21/C22 Provider Recruitment Follow-up Email</t>
  </si>
  <si>
    <t>C23/C24 Provider Recruitment Call Script</t>
  </si>
  <si>
    <t>C25/C26 Provider Post-Recruitment Incentive Letter</t>
  </si>
  <si>
    <t>C27/C28 Pre-Visit Planning Interview Script</t>
  </si>
  <si>
    <t>C29/C30 Provider Enrollment Confirmation Email</t>
  </si>
  <si>
    <t>F1/F2 Provider Survey Invitation Email</t>
  </si>
  <si>
    <t>F3/F4 Provider Survey Reminder Email</t>
  </si>
  <si>
    <t>F7/F8 Provider Survey</t>
  </si>
  <si>
    <t>F11/F12 Menu Survey</t>
  </si>
  <si>
    <t>F13/F14 Food Description Guide</t>
  </si>
  <si>
    <t>H15 Child Height and Weight Form</t>
  </si>
  <si>
    <t>F21/F22 Food and Physical Activity Experiences Survey</t>
  </si>
  <si>
    <t>F15/ F16 Infant Menu Survey</t>
  </si>
  <si>
    <t>F20 Meal Observation Booklet</t>
  </si>
  <si>
    <t>F17/F18 Infant Intake Form</t>
  </si>
  <si>
    <t>E1 Pre-Visit Cost Telephone Interview</t>
  </si>
  <si>
    <t>E2 Pre-Visit Cost Form</t>
  </si>
  <si>
    <t>E4 Sponsor-Center Cost Interview</t>
  </si>
  <si>
    <t>E5 Center Director Cost Interview</t>
  </si>
  <si>
    <t>E6 Center Food Service Cost Interview</t>
  </si>
  <si>
    <t>E3 Self-Administered Cost Questionnaire</t>
  </si>
  <si>
    <t>G21/G22 Parent Recruitment Letter (Youth)</t>
  </si>
  <si>
    <t>G23/G24 Parent Consent and Permission Form (Youth)</t>
  </si>
  <si>
    <t>G25/G26 Parent Consent Talking Points (Youth)</t>
  </si>
  <si>
    <t>G27/G28 Parent Confirmation of Enrollment (Youth)</t>
  </si>
  <si>
    <t>G19/G20 Parent Confirmation of Enrollment (Children) (d)</t>
  </si>
  <si>
    <t xml:space="preserve">Parents/Guardians of Children Recruitment (b)(c) </t>
  </si>
  <si>
    <t>H13/H14 Parent Interview for Teen Sample</t>
  </si>
  <si>
    <t>C2 Regional Office Email Notification to States</t>
  </si>
  <si>
    <t>G13/G14 Parent Recruitment Letter</t>
  </si>
  <si>
    <t xml:space="preserve">Parent ASA24 for In-Care Day &amp; Parent Interview for In-Care Day (e) &amp; Child Food Diary (c)(f)(g) </t>
  </si>
  <si>
    <t>Recruitment Website (h)</t>
  </si>
  <si>
    <t>Parent Interview for Teen Sample (c)(f)(g)</t>
  </si>
  <si>
    <t>Child Height and Weight Form (b)(c)(f)(g)(j)</t>
  </si>
  <si>
    <t>Food and Physical Activity Experiences Survey (b)(c)(f)(g)</t>
  </si>
  <si>
    <t>Recruitment Website (b)(c)(h)</t>
  </si>
  <si>
    <t>F5/F6 Provider Survey Reminder Call Script (o)</t>
  </si>
  <si>
    <t>Menu Survey (b)(c)(f)(p)</t>
  </si>
  <si>
    <t>Infant Menu Survey (p)</t>
  </si>
  <si>
    <t>Infant Intake Form (b)(c)(f)(q)</t>
  </si>
  <si>
    <t>Sponsors or Directors (r)</t>
  </si>
  <si>
    <t>(e) Parents are more likely to complete the Parent Interview than the ASA24 dietary recall for the in-care day. The Parent Interview may be completed up to two weeks after observation whereas the ASA24 must be completed within 72 hours.</t>
  </si>
  <si>
    <t>(g) The sample size is determined by sampling from the completed eligible consents.</t>
  </si>
  <si>
    <t>(h) The estimated weighted average burden for all respondents visiting the recruitment website is 0.56 hours. We calculated burden estimates for each type of respondent based on the web pages they may visit and included those estimates in the burden table. See the "recruitment website burden" tab for those calculations.</t>
  </si>
  <si>
    <t xml:space="preserve">(i) Some parents/guardians included in the parents/guardians of children recruitment will have children ages 10-12. These parents/guardians are also a part of the study sample for the parents/guardians of teen recruitment but are not included in the sample size, respondents, and nonrespondents numbers for the parents/guardians of teen recruitment so as not to double count. The number of parents/guardians unique to the parents/guardians of teen recruitment is an estimate based on the number of expected parents/guardians sampled in at-risk afterschool centers and outside school hour centers with children ages 6-12 and assumes there are equal proportions of each year of age in those centers. </t>
  </si>
  <si>
    <t xml:space="preserve">(o) We assume 40 percent of Directors will participate in the Provider Survey Reminder Call Script. </t>
  </si>
  <si>
    <t>(p) The Menu Survey and Infant Menu Survey burden estimates include the time required for training and technical assistance (20 minutes for the Menu Survey and 10 minutes for the Infant Menu Survey).</t>
  </si>
  <si>
    <t>(q) Provider staff will complete one Infant Intake Form for each sampled infant. Each form will take 10 minutes to complete. On average, each provider will complete 4 forms, so the total estimated burden per provider is 40 minutes.</t>
  </si>
  <si>
    <t>(r) Either the sponsor or center director will complete these interviews/forms. The sample size is the number of unique respondents. To be conservative, we used the higher applicable hourly wage rate to estimate the burden cost.</t>
  </si>
  <si>
    <t>1,869</t>
  </si>
  <si>
    <t>1,178</t>
  </si>
  <si>
    <t>(f) Not all individuals who agree to participate in the study will ultimately complete a data collection activity, and some individuals will complete more than one activity. Activities marked with (f) identify those that contribute to the total number of unique individuals who complete at least one data collection activity. The estimated number of individuals who complete at least one data collection activity is 10,310: 2,160 parents/guardians of children, 411 parents/guardians of teens, 597 parents/guardians of infants, 2,160 children, 960 teens, 25 CACFP State agency managers, 1,178 sponsor program staff, 1,340 directors, 1,340 food preparers, and 139 provider staff.</t>
  </si>
  <si>
    <t>Parents/Guardians of Teens Recruitment (b)(c)(d)(i)</t>
  </si>
  <si>
    <t>A. Home Page</t>
  </si>
  <si>
    <t>B1. SNACS-II Data Collection</t>
  </si>
  <si>
    <t>B2. Letters of Support/Endorsement</t>
  </si>
  <si>
    <t>B3. Contacts and Technical Support</t>
  </si>
  <si>
    <t>B4. Frequently Asked Questions</t>
  </si>
  <si>
    <t>C1. State Landing Page</t>
  </si>
  <si>
    <t>C2. Reference Guide for Sample Frame Data Files</t>
  </si>
  <si>
    <t>C3. Summary of other participation for States</t>
  </si>
  <si>
    <t>C4. State FAQs</t>
  </si>
  <si>
    <t>D1. Sponsor Landing Page</t>
  </si>
  <si>
    <t>D2. Summary of Provider and Family Participation</t>
  </si>
  <si>
    <t>D3. Sponsor Confirmation of Enrollment</t>
  </si>
  <si>
    <t>D4. Sponsor FAQs</t>
  </si>
  <si>
    <t>I1. About the Provider Survey</t>
  </si>
  <si>
    <t>J1. About the Menu Survey</t>
  </si>
  <si>
    <t>K1. About the Cost Interviews and Forms</t>
  </si>
  <si>
    <t>E1. Center Landing Page</t>
  </si>
  <si>
    <t>E2. Center FAQs</t>
  </si>
  <si>
    <t>E3. Center Confirmation of Enrollment</t>
  </si>
  <si>
    <t>F1. FCCH Landing Page</t>
  </si>
  <si>
    <t>F2. Additional Assistance for FCCHs</t>
  </si>
  <si>
    <t>F3. FCCH Confirmation of Enrollment</t>
  </si>
  <si>
    <t>F4. FCCH FAQs</t>
  </si>
  <si>
    <t>L1. Onsite POC Page</t>
  </si>
  <si>
    <t>L2. Onsite POC Roles and Responsibilities Guide</t>
  </si>
  <si>
    <t>G1. Parent/Guardian Page</t>
  </si>
  <si>
    <t>G2. About the Parent Interview</t>
  </si>
  <si>
    <t>G3. Parent of an Infant Participant</t>
  </si>
  <si>
    <t>G4. Parent of a Child Participant</t>
  </si>
  <si>
    <t>G5. Parent of a Youth Participant</t>
  </si>
  <si>
    <t>H1. Youth Page</t>
  </si>
  <si>
    <t>unloaded rate</t>
  </si>
  <si>
    <t>loaded</t>
  </si>
  <si>
    <t>Total hours</t>
  </si>
  <si>
    <t>total without fringe</t>
  </si>
  <si>
    <t>total with fringe</t>
  </si>
  <si>
    <t xml:space="preserve">difference </t>
  </si>
  <si>
    <t xml:space="preserve">Directors </t>
  </si>
  <si>
    <t xml:space="preserve">Food Preparers </t>
  </si>
  <si>
    <t xml:space="preserve">Provider Staff </t>
  </si>
  <si>
    <t xml:space="preserve">Sponsors </t>
  </si>
  <si>
    <t xml:space="preserve">Parents </t>
  </si>
  <si>
    <t xml:space="preserve">State Agency Managers </t>
  </si>
  <si>
    <t>Occupations Code and Title</t>
  </si>
  <si>
    <t>Estimated cost (without fringe)</t>
  </si>
  <si>
    <t>Estimated cost (with 33% fringe)</t>
  </si>
  <si>
    <t>Difference (total fringe)</t>
  </si>
  <si>
    <t>21-2021, Directors, Religious Activities and Education</t>
  </si>
  <si>
    <t>35-9099, Food Preparation and Serving Related Occupations</t>
  </si>
  <si>
    <t>39-9011, Childcare Workers</t>
  </si>
  <si>
    <t>11-9031, Education and Childcare Administrators, Preschool and Daycare</t>
  </si>
  <si>
    <t>00-0000, All occupations</t>
  </si>
  <si>
    <t>11-3010, Administrative Services and Facilities Managers</t>
  </si>
  <si>
    <t>L3. Onsite POC How-To Steps</t>
  </si>
  <si>
    <t>C31/C32 Onsite Point-of-Contact Letter</t>
  </si>
  <si>
    <t>420</t>
  </si>
  <si>
    <t xml:space="preserve">Onsite Point-of-Contact Letter (b)(c) </t>
  </si>
  <si>
    <r>
      <t>(b) Activities marked with (b) identify those that contribute to the total number of individuals who will be contacted to participate in the study, the number of individuals who will respond to at least one activity, and the number who will not respond to any of the activities. The estimated number of individuals who will be contacted to participate is 18,234: 5,880 parents/guardians of children, 774 parents/guardians of teens, 695 parents/guardians of infants,</t>
    </r>
    <r>
      <rPr>
        <sz val="10"/>
        <color rgb="FFFF0000"/>
        <rFont val="Calibri"/>
        <family val="2"/>
        <scheme val="minor"/>
      </rPr>
      <t xml:space="preserve"> </t>
    </r>
    <r>
      <rPr>
        <sz val="10"/>
        <rFont val="Calibri"/>
        <family val="2"/>
        <scheme val="minor"/>
      </rPr>
      <t>2,880 children, 1,680 teens, 25 CACFP State agency managers, 1,869 sponsor program staff, 2,126 directors, 1,704 food preparers, and 601 provider staff. The estimated number of individuals who will respond to at least one activity is 12,827: 4,175 parents/guardians of children, 549 parents/guardians of teens, 597 parents/guardians of infants, 2,160 children, 960 teens, 25 CACFP State agency managers, 1,178 sponsor program staff, 1,704 directors, 1,340 food preparers, and 139 provider staff. The estimated number of individuals who will not respond to any of the activities is 5,359: 1,705 parents/guardians of children, 225 parents/guardians of teens, 98 parents/guardians of infants, 720 children, 1,092 teens, 0 CACFP State agency managers, 691 sponsor program staff, 422 directors, 364 food preparers and 42 provider staff.</t>
    </r>
  </si>
  <si>
    <t>(c) In addition to the estimated 5,359 individuals who will not respond to any of the activities, some individuals will respond to an initial activity but not a subsequent activity. Activities marked with (c) identify those that contribute to the cumulative number of non-respondents, including non-respondents who had responded to a preceding activity. The estimated cumulative number of non-respondents is 7,260: 2,572 parents/guardians of children, 363 parents/guardians of teens, 98 parents/guardians of infants, 720 children, 1,412 teens, 0 CACFP State agency managers, 691 sponsor program staff, 786 directors, 106 sponsor program staff or directors, 470 food preparers and 42 provider staff.</t>
  </si>
  <si>
    <t xml:space="preserve">(a) We will select a subsample of programs to participate in individual/household-level data collection. Among the sampled classrooms within the subsample of programs, we will attempt to obtain consent from all parents of the children, teens, and infants in those sampled classrooms. We will then sample children, teens, infants, and the parents of those groups from among the eligible consents. </t>
  </si>
  <si>
    <t>Appendix C1 (FNS Email Notification to Regional Offices) is directed to Federal employees. Because no public burden is associated with the form, it is not reported in this table.</t>
  </si>
  <si>
    <t xml:space="preserve">Appendix F19 (Environmental Observation Form) will be completed by field interviewers. Because no public burden is associated with the form, it is not reported in this table. </t>
  </si>
  <si>
    <t xml:space="preserve">Pre-Visit Cost Interview (c) </t>
  </si>
  <si>
    <t>Appendices H9/H10 (Food Model Booklet) will be used as part of Appendices H3/H4 and H11/H12 (Parent Interview for In-Care Day and Parent Interview for ASA24 Only, respectively) and the burden is reported in the relevant rows in the table. No separate burden is associated with Appendices H9/H10.</t>
  </si>
  <si>
    <t xml:space="preserve">Mean hourly wage </t>
  </si>
  <si>
    <t>Average hourly wage rates used included Directors (Directors, Religious Activities and Education) - $25.32, Food Preparers (Food Preparation and Serving Related Occupations) - $13.41, Provider Staff (Childcare Workers) - $12.88, Sponsors (Education and Childcare Administrators, Preschool and Daycare) - $26.41, Parents (All Occupations) - $27.07, State Agency Managers (Administrative Services and Facilities Managers) - $51.98. Children and teens are assumed to not have an hourly wage rate. Average hourly rates are taken from: Bureau of Labor Statistics, Wages by Occupation, May 2020. All average wage rates are multiplied by 1.33 in the table to represent fully loaded wages.</t>
  </si>
  <si>
    <t>State / Local Government</t>
  </si>
  <si>
    <t>State Agency Manager</t>
  </si>
  <si>
    <t>CACFP State Agency Recruitment (b)(c)(f)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</si>
</sst>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0.0"/>
    <numFmt numFmtId="166" formatCode="0.0"/>
    <numFmt numFmtId="167" formatCode="0.0000"/>
    <numFmt numFmtId="168" formatCode="#,##0.0000"/>
    <numFmt numFmtId="169" formatCode="0.00000"/>
    <numFmt numFmtId="170" formatCode="0.000000000"/>
  </numFmts>
  <fonts count="13" x14ac:knownFonts="1">
    <font>
      <sz val="11"/>
      <color theme="1"/>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sz val="12"/>
      <name val="Times New Roman"/>
      <family val="1"/>
    </font>
    <font>
      <b/>
      <sz val="11"/>
      <name val="Calibri"/>
      <family val="2"/>
      <scheme val="minor"/>
    </font>
    <font>
      <b/>
      <sz val="10"/>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rgb="FF0070C0"/>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style="double">
        <color rgb="FF0070C0"/>
      </right>
      <top/>
      <bottom style="double">
        <color rgb="FF0070C0"/>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xf numFmtId="43" fontId="4" fillId="0" borderId="0" applyFont="0" applyFill="0" applyBorder="0" applyAlignment="0" applyProtection="0"/>
  </cellStyleXfs>
  <cellXfs count="309">
    <xf numFmtId="0" fontId="0" fillId="0" borderId="0" xfId="0"/>
    <xf numFmtId="0" fontId="2" fillId="0" borderId="3" xfId="0" applyFont="1" applyFill="1" applyBorder="1" applyAlignment="1">
      <alignment textRotation="90" wrapText="1"/>
    </xf>
    <xf numFmtId="0" fontId="0" fillId="0" borderId="5" xfId="0" applyFont="1" applyFill="1" applyBorder="1" applyAlignment="1"/>
    <xf numFmtId="0" fontId="2" fillId="0" borderId="8" xfId="0" applyFont="1" applyFill="1" applyBorder="1" applyAlignment="1">
      <alignment wrapText="1" readingOrder="1"/>
    </xf>
    <xf numFmtId="0" fontId="2" fillId="0" borderId="9" xfId="0" applyFont="1" applyFill="1" applyBorder="1" applyAlignment="1">
      <alignment horizontal="center" wrapText="1" readingOrder="1"/>
    </xf>
    <xf numFmtId="0" fontId="2" fillId="0" borderId="10" xfId="0" applyFont="1" applyBorder="1" applyAlignment="1">
      <alignment horizontal="center" wrapText="1"/>
    </xf>
    <xf numFmtId="0" fontId="2" fillId="0" borderId="15" xfId="0" applyFont="1" applyFill="1" applyBorder="1" applyAlignment="1">
      <alignment horizontal="center" wrapText="1" readingOrder="1"/>
    </xf>
    <xf numFmtId="0" fontId="2" fillId="0" borderId="8" xfId="0" applyFont="1" applyFill="1" applyBorder="1" applyAlignment="1">
      <alignment horizontal="center" wrapText="1" readingOrder="1"/>
    </xf>
    <xf numFmtId="0" fontId="2" fillId="0" borderId="10" xfId="0" applyFont="1" applyFill="1" applyBorder="1" applyAlignment="1">
      <alignment horizontal="center" wrapText="1" readingOrder="1"/>
    </xf>
    <xf numFmtId="0" fontId="2" fillId="0" borderId="21" xfId="0" applyFont="1" applyFill="1" applyBorder="1" applyAlignment="1">
      <alignment horizontal="center" wrapText="1" readingOrder="1"/>
    </xf>
    <xf numFmtId="0" fontId="2" fillId="0" borderId="24" xfId="0" applyFont="1" applyFill="1" applyBorder="1" applyAlignment="1">
      <alignment horizontal="center" wrapText="1"/>
    </xf>
    <xf numFmtId="0" fontId="2" fillId="0" borderId="25" xfId="0" applyFont="1" applyBorder="1" applyAlignment="1">
      <alignment horizontal="center" wrapText="1"/>
    </xf>
    <xf numFmtId="0" fontId="2" fillId="0" borderId="28" xfId="0" applyFont="1" applyFill="1" applyBorder="1" applyAlignment="1">
      <alignment textRotation="90" wrapText="1"/>
    </xf>
    <xf numFmtId="0" fontId="2" fillId="0" borderId="29" xfId="0" applyFont="1" applyFill="1" applyBorder="1" applyAlignment="1">
      <alignment wrapText="1"/>
    </xf>
    <xf numFmtId="0" fontId="2" fillId="0" borderId="29" xfId="0" applyFont="1" applyFill="1" applyBorder="1" applyAlignment="1">
      <alignment horizontal="left" wrapText="1"/>
    </xf>
    <xf numFmtId="0" fontId="2" fillId="0" borderId="31" xfId="0" applyFont="1" applyFill="1" applyBorder="1" applyAlignment="1">
      <alignment wrapText="1"/>
    </xf>
    <xf numFmtId="0" fontId="2" fillId="0" borderId="0" xfId="0" applyFont="1" applyFill="1" applyBorder="1" applyAlignment="1">
      <alignment textRotation="90" wrapText="1"/>
    </xf>
    <xf numFmtId="0" fontId="2" fillId="0" borderId="0" xfId="0" applyFont="1" applyFill="1" applyBorder="1" applyAlignment="1">
      <alignment wrapText="1"/>
    </xf>
    <xf numFmtId="0" fontId="2" fillId="0" borderId="0" xfId="0" applyFont="1" applyFill="1" applyBorder="1" applyAlignment="1">
      <alignment horizontal="left" wrapText="1"/>
    </xf>
    <xf numFmtId="3" fontId="2" fillId="0" borderId="0" xfId="0" applyNumberFormat="1" applyFont="1" applyFill="1" applyBorder="1" applyAlignment="1">
      <alignment wrapText="1"/>
    </xf>
    <xf numFmtId="164" fontId="2" fillId="0" borderId="0" xfId="0" applyNumberFormat="1" applyFont="1" applyFill="1" applyBorder="1" applyAlignment="1">
      <alignment horizontal="center" wrapText="1"/>
    </xf>
    <xf numFmtId="44" fontId="2" fillId="0" borderId="0" xfId="1" applyFont="1" applyFill="1" applyBorder="1" applyAlignment="1">
      <alignment wrapText="1"/>
    </xf>
    <xf numFmtId="0" fontId="0" fillId="0" borderId="0" xfId="0" applyFont="1" applyFill="1" applyAlignment="1"/>
    <xf numFmtId="0" fontId="3" fillId="0" borderId="45" xfId="0" applyFont="1" applyBorder="1" applyAlignment="1">
      <alignment horizontal="left" vertical="top" wrapText="1"/>
    </xf>
    <xf numFmtId="0" fontId="2" fillId="0" borderId="0" xfId="0" applyFont="1"/>
    <xf numFmtId="0" fontId="3" fillId="0" borderId="0" xfId="0" applyFont="1"/>
    <xf numFmtId="0" fontId="3" fillId="0" borderId="0" xfId="0" applyFont="1" applyAlignment="1">
      <alignment horizontal="center"/>
    </xf>
    <xf numFmtId="0" fontId="2" fillId="3" borderId="1" xfId="0" applyFont="1" applyFill="1" applyBorder="1" applyAlignment="1">
      <alignment wrapText="1"/>
    </xf>
    <xf numFmtId="0" fontId="2" fillId="3" borderId="50" xfId="0" applyFont="1" applyFill="1" applyBorder="1" applyAlignment="1">
      <alignment wrapText="1"/>
    </xf>
    <xf numFmtId="0" fontId="2" fillId="3" borderId="17" xfId="0" applyFont="1" applyFill="1" applyBorder="1" applyAlignment="1">
      <alignment wrapText="1"/>
    </xf>
    <xf numFmtId="0" fontId="2" fillId="0" borderId="0" xfId="0" applyFont="1" applyAlignment="1">
      <alignment wrapText="1"/>
    </xf>
    <xf numFmtId="0" fontId="2" fillId="4" borderId="1" xfId="0" applyFont="1" applyFill="1" applyBorder="1"/>
    <xf numFmtId="0" fontId="2" fillId="4" borderId="1" xfId="0" applyFont="1" applyFill="1" applyBorder="1" applyAlignment="1">
      <alignment wrapText="1"/>
    </xf>
    <xf numFmtId="0" fontId="2" fillId="4" borderId="23" xfId="0" applyFont="1" applyFill="1" applyBorder="1" applyAlignment="1">
      <alignment wrapText="1"/>
    </xf>
    <xf numFmtId="0" fontId="2" fillId="4" borderId="51" xfId="0" applyFont="1" applyFill="1" applyBorder="1" applyAlignment="1">
      <alignment wrapText="1"/>
    </xf>
    <xf numFmtId="0" fontId="2" fillId="4" borderId="17" xfId="0" applyFont="1" applyFill="1" applyBorder="1" applyAlignment="1">
      <alignment wrapText="1"/>
    </xf>
    <xf numFmtId="0" fontId="3" fillId="0" borderId="44" xfId="0" applyFont="1" applyBorder="1"/>
    <xf numFmtId="0" fontId="3" fillId="0" borderId="1" xfId="0" applyFont="1" applyBorder="1"/>
    <xf numFmtId="2" fontId="3" fillId="0" borderId="23" xfId="0" applyNumberFormat="1" applyFont="1" applyBorder="1"/>
    <xf numFmtId="0" fontId="3" fillId="0" borderId="51" xfId="0" applyFont="1" applyBorder="1"/>
    <xf numFmtId="0" fontId="3" fillId="0" borderId="17" xfId="0" applyFont="1" applyBorder="1"/>
    <xf numFmtId="0" fontId="2" fillId="0" borderId="52" xfId="0" applyFont="1" applyBorder="1"/>
    <xf numFmtId="0" fontId="2" fillId="0" borderId="54" xfId="0" applyFont="1" applyBorder="1"/>
    <xf numFmtId="0" fontId="2" fillId="0" borderId="56" xfId="0" applyFont="1" applyBorder="1"/>
    <xf numFmtId="0" fontId="3" fillId="0" borderId="12" xfId="0" applyFont="1" applyBorder="1"/>
    <xf numFmtId="2" fontId="3" fillId="0" borderId="1" xfId="0" applyNumberFormat="1" applyFont="1" applyBorder="1"/>
    <xf numFmtId="0" fontId="3" fillId="0" borderId="45" xfId="0" applyFont="1" applyBorder="1"/>
    <xf numFmtId="164" fontId="2" fillId="4" borderId="23" xfId="0" applyNumberFormat="1" applyFont="1" applyFill="1" applyBorder="1"/>
    <xf numFmtId="0" fontId="3" fillId="4" borderId="1" xfId="0" applyFont="1" applyFill="1" applyBorder="1"/>
    <xf numFmtId="164" fontId="2" fillId="4" borderId="51" xfId="0" applyNumberFormat="1" applyFont="1" applyFill="1" applyBorder="1"/>
    <xf numFmtId="164" fontId="2" fillId="4" borderId="17" xfId="0" applyNumberFormat="1" applyFont="1" applyFill="1" applyBorder="1"/>
    <xf numFmtId="164" fontId="2" fillId="4" borderId="1" xfId="0" applyNumberFormat="1" applyFont="1" applyFill="1" applyBorder="1"/>
    <xf numFmtId="0" fontId="2" fillId="0" borderId="51" xfId="0" applyFont="1" applyBorder="1"/>
    <xf numFmtId="0" fontId="2" fillId="0" borderId="17" xfId="0" applyFont="1" applyBorder="1"/>
    <xf numFmtId="0" fontId="3" fillId="0" borderId="0" xfId="0" applyFont="1" applyAlignment="1">
      <alignment wrapText="1"/>
    </xf>
    <xf numFmtId="9" fontId="3" fillId="0" borderId="1" xfId="2" applyFont="1" applyBorder="1"/>
    <xf numFmtId="1" fontId="3" fillId="0" borderId="1" xfId="0" applyNumberFormat="1" applyFont="1" applyBorder="1"/>
    <xf numFmtId="1" fontId="3" fillId="0" borderId="17" xfId="0" applyNumberFormat="1" applyFont="1" applyBorder="1"/>
    <xf numFmtId="167" fontId="3" fillId="0" borderId="0" xfId="0" applyNumberFormat="1" applyFont="1"/>
    <xf numFmtId="0" fontId="3" fillId="0" borderId="1" xfId="0" applyFont="1" applyFill="1" applyBorder="1"/>
    <xf numFmtId="0" fontId="3" fillId="0" borderId="51" xfId="0" applyFont="1" applyFill="1" applyBorder="1"/>
    <xf numFmtId="0" fontId="3" fillId="0" borderId="17" xfId="0" applyFont="1" applyFill="1" applyBorder="1"/>
    <xf numFmtId="0" fontId="3" fillId="0" borderId="0" xfId="0" applyFont="1" applyFill="1"/>
    <xf numFmtId="3" fontId="3" fillId="0" borderId="51" xfId="0" applyNumberFormat="1" applyFont="1" applyFill="1" applyBorder="1"/>
    <xf numFmtId="2" fontId="3" fillId="0" borderId="1" xfId="0" applyNumberFormat="1" applyFont="1" applyFill="1" applyBorder="1"/>
    <xf numFmtId="0" fontId="2" fillId="0" borderId="0" xfId="0" applyFont="1" applyFill="1" applyAlignment="1">
      <alignment wrapText="1"/>
    </xf>
    <xf numFmtId="1" fontId="3" fillId="0" borderId="0" xfId="0" applyNumberFormat="1" applyFont="1" applyFill="1"/>
    <xf numFmtId="1" fontId="2" fillId="0" borderId="53" xfId="0" applyNumberFormat="1" applyFont="1" applyFill="1" applyBorder="1"/>
    <xf numFmtId="2" fontId="2" fillId="0" borderId="55" xfId="0" applyNumberFormat="1" applyFont="1" applyFill="1" applyBorder="1"/>
    <xf numFmtId="167" fontId="2" fillId="0" borderId="57" xfId="0" applyNumberFormat="1" applyFont="1" applyFill="1" applyBorder="1"/>
    <xf numFmtId="2" fontId="2" fillId="0" borderId="57" xfId="0" applyNumberFormat="1" applyFont="1" applyFill="1" applyBorder="1"/>
    <xf numFmtId="44" fontId="0" fillId="0" borderId="0" xfId="1" applyFont="1" applyFill="1" applyAlignment="1"/>
    <xf numFmtId="44" fontId="0" fillId="0" borderId="3" xfId="1" applyFont="1" applyFill="1" applyBorder="1" applyAlignment="1"/>
    <xf numFmtId="44" fontId="2" fillId="0" borderId="8" xfId="1" applyFont="1" applyBorder="1" applyAlignment="1">
      <alignment horizontal="center" wrapText="1"/>
    </xf>
    <xf numFmtId="44" fontId="0" fillId="0" borderId="0" xfId="1" applyFont="1" applyFill="1" applyBorder="1" applyAlignment="1"/>
    <xf numFmtId="0" fontId="5" fillId="0" borderId="0" xfId="0" applyFont="1" applyFill="1" applyAlignment="1"/>
    <xf numFmtId="0" fontId="7" fillId="0" borderId="0" xfId="0" applyFont="1" applyFill="1" applyAlignment="1"/>
    <xf numFmtId="0" fontId="2" fillId="0" borderId="4" xfId="0" applyFont="1" applyFill="1" applyBorder="1" applyAlignment="1">
      <alignment horizontal="center" wrapText="1"/>
    </xf>
    <xf numFmtId="49" fontId="1" fillId="0" borderId="12" xfId="0" applyNumberFormat="1" applyFont="1" applyFill="1" applyBorder="1" applyAlignment="1">
      <alignment horizontal="right" vertical="top" wrapText="1"/>
    </xf>
    <xf numFmtId="49" fontId="1" fillId="0" borderId="1" xfId="0" applyNumberFormat="1" applyFont="1" applyFill="1" applyBorder="1" applyAlignment="1">
      <alignment horizontal="right" vertical="top" wrapText="1"/>
    </xf>
    <xf numFmtId="0" fontId="6" fillId="0" borderId="0" xfId="0" applyFont="1" applyFill="1" applyAlignment="1">
      <alignment horizontal="left" vertical="top" wrapText="1"/>
    </xf>
    <xf numFmtId="0" fontId="6" fillId="0" borderId="12"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0" xfId="0" applyFont="1" applyFill="1" applyAlignment="1">
      <alignment horizontal="left" vertical="top"/>
    </xf>
    <xf numFmtId="0" fontId="6" fillId="0" borderId="0" xfId="0" applyFont="1" applyFill="1" applyAlignment="1"/>
    <xf numFmtId="0" fontId="6" fillId="0" borderId="1"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8" xfId="0" applyFont="1" applyFill="1" applyBorder="1" applyAlignment="1">
      <alignment horizontal="left" vertical="top" wrapText="1"/>
    </xf>
    <xf numFmtId="49" fontId="6" fillId="0" borderId="23" xfId="0" applyNumberFormat="1" applyFont="1" applyFill="1" applyBorder="1" applyAlignment="1">
      <alignment horizontal="left" vertical="top" wrapText="1"/>
    </xf>
    <xf numFmtId="49" fontId="6" fillId="0" borderId="48" xfId="0" applyNumberFormat="1" applyFont="1" applyFill="1" applyBorder="1" applyAlignment="1">
      <alignment horizontal="left" vertical="top" wrapText="1"/>
    </xf>
    <xf numFmtId="0" fontId="6" fillId="0" borderId="37" xfId="0" applyFont="1" applyFill="1" applyBorder="1" applyAlignment="1">
      <alignment horizontal="left" vertical="top" wrapText="1"/>
    </xf>
    <xf numFmtId="0" fontId="7" fillId="0" borderId="0" xfId="0" applyFont="1"/>
    <xf numFmtId="0" fontId="9" fillId="0" borderId="0" xfId="0" applyFont="1"/>
    <xf numFmtId="44" fontId="0" fillId="0" borderId="0" xfId="1" applyFont="1"/>
    <xf numFmtId="0" fontId="5" fillId="0" borderId="0" xfId="0" applyFont="1"/>
    <xf numFmtId="0" fontId="5" fillId="0" borderId="0" xfId="0" applyFont="1" applyAlignment="1">
      <alignment wrapText="1"/>
    </xf>
    <xf numFmtId="44" fontId="5" fillId="0" borderId="0" xfId="1" applyFont="1" applyAlignment="1">
      <alignment wrapText="1"/>
    </xf>
    <xf numFmtId="0" fontId="0" fillId="0" borderId="0" xfId="0" applyAlignment="1">
      <alignment wrapText="1"/>
    </xf>
    <xf numFmtId="2" fontId="0" fillId="0" borderId="0" xfId="1" applyNumberFormat="1" applyFont="1" applyAlignment="1">
      <alignment wrapText="1"/>
    </xf>
    <xf numFmtId="169" fontId="7" fillId="0" borderId="0" xfId="0" applyNumberFormat="1" applyFont="1"/>
    <xf numFmtId="170" fontId="0" fillId="0" borderId="0" xfId="0" applyNumberFormat="1"/>
    <xf numFmtId="0" fontId="10" fillId="0" borderId="0" xfId="0" applyFont="1"/>
    <xf numFmtId="4" fontId="5" fillId="0" borderId="0" xfId="1" applyNumberFormat="1" applyFont="1"/>
    <xf numFmtId="4" fontId="5" fillId="5" borderId="0" xfId="1" applyNumberFormat="1" applyFont="1" applyFill="1"/>
    <xf numFmtId="44" fontId="9" fillId="0" borderId="0" xfId="1" applyFont="1"/>
    <xf numFmtId="0" fontId="6" fillId="0" borderId="0" xfId="0" applyFont="1" applyAlignment="1">
      <alignment horizontal="center"/>
    </xf>
    <xf numFmtId="0" fontId="11" fillId="3" borderId="1" xfId="0" applyFont="1" applyFill="1" applyBorder="1" applyAlignment="1">
      <alignment wrapText="1"/>
    </xf>
    <xf numFmtId="0" fontId="11" fillId="4" borderId="1" xfId="0" applyFont="1" applyFill="1" applyBorder="1" applyAlignment="1">
      <alignment wrapText="1"/>
    </xf>
    <xf numFmtId="0" fontId="6" fillId="0" borderId="1" xfId="0" applyFont="1" applyFill="1" applyBorder="1"/>
    <xf numFmtId="0" fontId="6" fillId="0" borderId="1" xfId="0" applyFont="1" applyBorder="1"/>
    <xf numFmtId="0" fontId="11" fillId="4" borderId="1" xfId="0" applyFont="1" applyFill="1" applyBorder="1"/>
    <xf numFmtId="0" fontId="6" fillId="0" borderId="0" xfId="0" applyFont="1"/>
    <xf numFmtId="0" fontId="6" fillId="0" borderId="1" xfId="0" applyFont="1" applyFill="1" applyBorder="1" applyAlignment="1">
      <alignment wrapText="1"/>
    </xf>
    <xf numFmtId="0" fontId="6" fillId="0" borderId="45" xfId="0" applyFont="1" applyFill="1" applyBorder="1" applyAlignment="1">
      <alignment horizontal="left" vertical="top" wrapText="1"/>
    </xf>
    <xf numFmtId="0" fontId="6" fillId="0" borderId="12" xfId="0" applyFont="1" applyFill="1" applyBorder="1" applyAlignment="1">
      <alignment horizontal="left" vertical="top" wrapText="1"/>
    </xf>
    <xf numFmtId="0" fontId="2" fillId="0" borderId="20" xfId="0" applyFont="1" applyFill="1" applyBorder="1" applyAlignment="1">
      <alignment horizontal="center" wrapText="1"/>
    </xf>
    <xf numFmtId="0" fontId="6" fillId="0" borderId="44" xfId="0" applyFont="1" applyFill="1" applyBorder="1" applyAlignment="1">
      <alignment horizontal="left" vertical="top" wrapText="1"/>
    </xf>
    <xf numFmtId="0" fontId="1" fillId="0" borderId="0" xfId="0" applyFont="1" applyFill="1" applyBorder="1" applyAlignment="1"/>
    <xf numFmtId="0" fontId="3" fillId="0" borderId="0" xfId="0" applyFont="1" applyFill="1" applyAlignment="1"/>
    <xf numFmtId="0" fontId="6" fillId="0" borderId="77" xfId="0" applyFont="1" applyFill="1" applyBorder="1" applyAlignment="1">
      <alignment horizontal="left" vertical="top" wrapText="1"/>
    </xf>
    <xf numFmtId="0" fontId="6" fillId="0" borderId="73" xfId="0" applyFont="1" applyFill="1" applyBorder="1" applyAlignment="1">
      <alignment horizontal="left" vertical="top" wrapText="1"/>
    </xf>
    <xf numFmtId="3" fontId="1" fillId="0" borderId="16" xfId="0" applyNumberFormat="1" applyFont="1" applyFill="1" applyBorder="1" applyAlignment="1">
      <alignment horizontal="right" vertical="top" wrapText="1"/>
    </xf>
    <xf numFmtId="3" fontId="1" fillId="0" borderId="79" xfId="0" applyNumberFormat="1" applyFont="1" applyFill="1" applyBorder="1" applyAlignment="1">
      <alignment horizontal="right" vertical="top" wrapText="1"/>
    </xf>
    <xf numFmtId="3" fontId="1" fillId="0" borderId="63" xfId="0" applyNumberFormat="1" applyFont="1" applyFill="1" applyBorder="1" applyAlignment="1">
      <alignment horizontal="right" vertical="top" wrapText="1"/>
    </xf>
    <xf numFmtId="0" fontId="2" fillId="0" borderId="66" xfId="0" applyFont="1" applyFill="1" applyBorder="1" applyAlignment="1">
      <alignment horizontal="center" wrapText="1"/>
    </xf>
    <xf numFmtId="0" fontId="2" fillId="0" borderId="80" xfId="0" applyFont="1" applyFill="1" applyBorder="1" applyAlignment="1">
      <alignment horizontal="center" wrapText="1" readingOrder="1"/>
    </xf>
    <xf numFmtId="49" fontId="6" fillId="0" borderId="22" xfId="0" applyNumberFormat="1" applyFont="1" applyFill="1" applyBorder="1" applyAlignment="1">
      <alignment horizontal="left" vertical="top" wrapText="1"/>
    </xf>
    <xf numFmtId="49" fontId="6" fillId="0" borderId="77" xfId="0" applyNumberFormat="1" applyFont="1" applyFill="1" applyBorder="1" applyAlignment="1">
      <alignment horizontal="left" vertical="top" wrapText="1"/>
    </xf>
    <xf numFmtId="49" fontId="6" fillId="0" borderId="18" xfId="0" applyNumberFormat="1" applyFont="1" applyFill="1" applyBorder="1" applyAlignment="1">
      <alignment horizontal="left" vertical="top" wrapText="1"/>
    </xf>
    <xf numFmtId="49" fontId="6" fillId="0" borderId="19" xfId="0" applyNumberFormat="1" applyFont="1" applyFill="1" applyBorder="1" applyAlignment="1">
      <alignment horizontal="left" vertical="top" wrapText="1"/>
    </xf>
    <xf numFmtId="0" fontId="6" fillId="0" borderId="23" xfId="0" applyFont="1" applyFill="1" applyBorder="1" applyAlignment="1">
      <alignment horizontal="left" vertical="top" wrapText="1"/>
    </xf>
    <xf numFmtId="49" fontId="6" fillId="0" borderId="76" xfId="0" applyNumberFormat="1" applyFont="1" applyFill="1" applyBorder="1" applyAlignment="1">
      <alignment horizontal="left" vertical="top" wrapText="1"/>
    </xf>
    <xf numFmtId="0" fontId="1" fillId="2" borderId="42" xfId="0" applyFont="1" applyFill="1" applyBorder="1" applyAlignment="1">
      <alignment wrapText="1"/>
    </xf>
    <xf numFmtId="0" fontId="6" fillId="2" borderId="42" xfId="0" applyFont="1" applyFill="1" applyBorder="1" applyAlignment="1">
      <alignment wrapText="1"/>
    </xf>
    <xf numFmtId="3" fontId="3" fillId="0" borderId="12" xfId="0" applyNumberFormat="1" applyFont="1" applyFill="1" applyBorder="1" applyAlignment="1">
      <alignment horizontal="right" vertical="top" wrapText="1"/>
    </xf>
    <xf numFmtId="0" fontId="6" fillId="0" borderId="1" xfId="0" applyNumberFormat="1" applyFont="1" applyFill="1" applyBorder="1" applyAlignment="1">
      <alignment horizontal="right" vertical="top" wrapText="1"/>
    </xf>
    <xf numFmtId="165" fontId="3" fillId="0" borderId="13" xfId="0" applyNumberFormat="1" applyFont="1" applyFill="1" applyBorder="1" applyAlignment="1">
      <alignment horizontal="right" vertical="top" wrapText="1"/>
    </xf>
    <xf numFmtId="3" fontId="3" fillId="0" borderId="16" xfId="0" applyNumberFormat="1" applyFont="1" applyFill="1" applyBorder="1" applyAlignment="1">
      <alignment horizontal="right" vertical="top" wrapText="1"/>
    </xf>
    <xf numFmtId="167" fontId="6" fillId="0" borderId="1" xfId="0" applyNumberFormat="1" applyFont="1" applyFill="1" applyBorder="1" applyAlignment="1">
      <alignment horizontal="right" vertical="top" wrapText="1"/>
    </xf>
    <xf numFmtId="166" fontId="3" fillId="0" borderId="22" xfId="0" applyNumberFormat="1" applyFont="1" applyFill="1" applyBorder="1" applyAlignment="1">
      <alignment horizontal="right" vertical="top" wrapText="1"/>
    </xf>
    <xf numFmtId="165" fontId="3" fillId="0" borderId="63" xfId="0" applyNumberFormat="1" applyFont="1" applyFill="1" applyBorder="1" applyAlignment="1">
      <alignment horizontal="right" vertical="top"/>
    </xf>
    <xf numFmtId="44" fontId="3" fillId="0" borderId="16" xfId="1" applyFont="1" applyFill="1" applyBorder="1" applyAlignment="1">
      <alignment horizontal="right" vertical="top"/>
    </xf>
    <xf numFmtId="44" fontId="3" fillId="0" borderId="13" xfId="0" applyNumberFormat="1" applyFont="1" applyFill="1" applyBorder="1" applyAlignment="1">
      <alignment horizontal="right" vertical="top"/>
    </xf>
    <xf numFmtId="0" fontId="0" fillId="0" borderId="0" xfId="0" applyFont="1" applyFill="1" applyAlignment="1">
      <alignment vertical="top"/>
    </xf>
    <xf numFmtId="3" fontId="3" fillId="0" borderId="67" xfId="0" applyNumberFormat="1" applyFont="1" applyFill="1" applyBorder="1" applyAlignment="1">
      <alignment horizontal="right" vertical="top" wrapText="1" readingOrder="1"/>
    </xf>
    <xf numFmtId="3" fontId="3" fillId="0" borderId="26" xfId="0" applyNumberFormat="1" applyFont="1" applyFill="1" applyBorder="1" applyAlignment="1">
      <alignment horizontal="right" vertical="top" wrapText="1" readingOrder="1"/>
    </xf>
    <xf numFmtId="0" fontId="3" fillId="0" borderId="45" xfId="0" applyFont="1" applyFill="1" applyBorder="1" applyAlignment="1">
      <alignment horizontal="right" vertical="top" wrapText="1" readingOrder="1"/>
    </xf>
    <xf numFmtId="3" fontId="3" fillId="0" borderId="45" xfId="0" applyNumberFormat="1" applyFont="1" applyFill="1" applyBorder="1" applyAlignment="1">
      <alignment horizontal="right" vertical="top" wrapText="1" readingOrder="1"/>
    </xf>
    <xf numFmtId="0" fontId="6" fillId="0" borderId="45" xfId="0" applyFont="1" applyFill="1" applyBorder="1" applyAlignment="1">
      <alignment horizontal="right" vertical="top" wrapText="1" readingOrder="1"/>
    </xf>
    <xf numFmtId="165" fontId="3" fillId="0" borderId="46" xfId="0" applyNumberFormat="1" applyFont="1" applyFill="1" applyBorder="1" applyAlignment="1">
      <alignment horizontal="right" vertical="top" wrapText="1" readingOrder="1"/>
    </xf>
    <xf numFmtId="3" fontId="3" fillId="0" borderId="19" xfId="0" applyNumberFormat="1" applyFont="1" applyFill="1" applyBorder="1" applyAlignment="1">
      <alignment horizontal="right" vertical="top" wrapText="1"/>
    </xf>
    <xf numFmtId="166" fontId="3" fillId="0" borderId="23" xfId="0" applyNumberFormat="1" applyFont="1" applyFill="1" applyBorder="1" applyAlignment="1">
      <alignment horizontal="right" vertical="top" wrapText="1"/>
    </xf>
    <xf numFmtId="165" fontId="3" fillId="0" borderId="66" xfId="0" applyNumberFormat="1" applyFont="1" applyFill="1" applyBorder="1" applyAlignment="1">
      <alignment horizontal="right" vertical="top"/>
    </xf>
    <xf numFmtId="44" fontId="3" fillId="0" borderId="47" xfId="1" applyFont="1" applyFill="1" applyBorder="1" applyAlignment="1">
      <alignment horizontal="right" vertical="top" wrapText="1"/>
    </xf>
    <xf numFmtId="44" fontId="3" fillId="0" borderId="7" xfId="0" applyNumberFormat="1" applyFont="1" applyFill="1" applyBorder="1" applyAlignment="1">
      <alignment horizontal="right" vertical="top"/>
    </xf>
    <xf numFmtId="165" fontId="3" fillId="0" borderId="58" xfId="0" applyNumberFormat="1" applyFont="1" applyFill="1" applyBorder="1" applyAlignment="1">
      <alignment horizontal="right" vertical="top"/>
    </xf>
    <xf numFmtId="3" fontId="3" fillId="0" borderId="58" xfId="0" applyNumberFormat="1" applyFont="1" applyFill="1" applyBorder="1" applyAlignment="1">
      <alignment horizontal="right" vertical="top" wrapText="1"/>
    </xf>
    <xf numFmtId="3" fontId="3" fillId="0" borderId="6" xfId="0" applyNumberFormat="1" applyFont="1" applyFill="1" applyBorder="1" applyAlignment="1">
      <alignment horizontal="right" vertical="top" wrapText="1"/>
    </xf>
    <xf numFmtId="0" fontId="3" fillId="0" borderId="1" xfId="0" applyFont="1" applyFill="1" applyBorder="1" applyAlignment="1">
      <alignment horizontal="right" vertical="top" wrapText="1"/>
    </xf>
    <xf numFmtId="3" fontId="3" fillId="0" borderId="1" xfId="0" applyNumberFormat="1" applyFont="1" applyFill="1" applyBorder="1" applyAlignment="1">
      <alignment horizontal="right" vertical="top" wrapText="1"/>
    </xf>
    <xf numFmtId="165" fontId="3" fillId="0" borderId="7" xfId="0" applyNumberFormat="1" applyFont="1" applyFill="1" applyBorder="1" applyAlignment="1">
      <alignment horizontal="right" vertical="top" wrapText="1"/>
    </xf>
    <xf numFmtId="167" fontId="3" fillId="0" borderId="1" xfId="0" applyNumberFormat="1" applyFont="1" applyFill="1" applyBorder="1" applyAlignment="1">
      <alignment horizontal="right" vertical="top" wrapText="1"/>
    </xf>
    <xf numFmtId="166" fontId="6" fillId="0" borderId="23" xfId="0" applyNumberFormat="1" applyFont="1" applyFill="1" applyBorder="1" applyAlignment="1">
      <alignment horizontal="right" vertical="top" wrapText="1"/>
    </xf>
    <xf numFmtId="165" fontId="6" fillId="0" borderId="58" xfId="0" applyNumberFormat="1" applyFont="1" applyFill="1" applyBorder="1" applyAlignment="1">
      <alignment horizontal="right" vertical="top"/>
    </xf>
    <xf numFmtId="44" fontId="6" fillId="0" borderId="7" xfId="0" applyNumberFormat="1" applyFont="1" applyFill="1" applyBorder="1" applyAlignment="1">
      <alignment horizontal="right" vertical="top"/>
    </xf>
    <xf numFmtId="3" fontId="6" fillId="0" borderId="58" xfId="0" applyNumberFormat="1" applyFont="1" applyFill="1" applyBorder="1" applyAlignment="1">
      <alignment horizontal="right" vertical="top" wrapText="1"/>
    </xf>
    <xf numFmtId="3" fontId="6" fillId="0" borderId="6" xfId="0" applyNumberFormat="1" applyFont="1" applyFill="1" applyBorder="1" applyAlignment="1">
      <alignment horizontal="right" vertical="top" wrapText="1"/>
    </xf>
    <xf numFmtId="0" fontId="6" fillId="0" borderId="1" xfId="0"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165" fontId="6" fillId="0" borderId="7" xfId="0" applyNumberFormat="1" applyFont="1" applyFill="1" applyBorder="1" applyAlignment="1">
      <alignment horizontal="right" vertical="top" wrapText="1"/>
    </xf>
    <xf numFmtId="3" fontId="6" fillId="0" borderId="17" xfId="0" applyNumberFormat="1" applyFont="1" applyFill="1" applyBorder="1" applyAlignment="1">
      <alignment horizontal="right" vertical="top" wrapText="1"/>
    </xf>
    <xf numFmtId="166" fontId="3" fillId="0" borderId="7" xfId="0" applyNumberFormat="1" applyFont="1" applyFill="1" applyBorder="1" applyAlignment="1">
      <alignment horizontal="right" vertical="top" wrapText="1"/>
    </xf>
    <xf numFmtId="165" fontId="3" fillId="0" borderId="58" xfId="0" applyNumberFormat="1" applyFont="1" applyFill="1" applyBorder="1" applyAlignment="1">
      <alignment horizontal="right" vertical="top" wrapText="1"/>
    </xf>
    <xf numFmtId="44" fontId="3" fillId="0" borderId="17" xfId="1" applyFont="1" applyFill="1" applyBorder="1" applyAlignment="1">
      <alignment horizontal="right" vertical="top"/>
    </xf>
    <xf numFmtId="3" fontId="3" fillId="0" borderId="7" xfId="0" applyNumberFormat="1" applyFont="1" applyFill="1" applyBorder="1" applyAlignment="1">
      <alignment horizontal="right" vertical="top" wrapText="1"/>
    </xf>
    <xf numFmtId="3" fontId="6" fillId="0" borderId="19" xfId="0" applyNumberFormat="1" applyFont="1" applyFill="1" applyBorder="1" applyAlignment="1">
      <alignment horizontal="right" vertical="top" wrapText="1"/>
    </xf>
    <xf numFmtId="44" fontId="6" fillId="0" borderId="17" xfId="1" applyFont="1" applyFill="1" applyBorder="1" applyAlignment="1">
      <alignment horizontal="right" vertical="top"/>
    </xf>
    <xf numFmtId="44" fontId="6" fillId="0" borderId="13" xfId="0" applyNumberFormat="1" applyFont="1" applyFill="1" applyBorder="1" applyAlignment="1">
      <alignment horizontal="right" vertical="top"/>
    </xf>
    <xf numFmtId="3" fontId="3" fillId="0" borderId="17" xfId="0" applyNumberFormat="1" applyFont="1" applyFill="1" applyBorder="1" applyAlignment="1">
      <alignment horizontal="right" vertical="top" wrapText="1"/>
    </xf>
    <xf numFmtId="168" fontId="3" fillId="0" borderId="1" xfId="0" applyNumberFormat="1" applyFont="1" applyFill="1" applyBorder="1" applyAlignment="1">
      <alignment horizontal="right" vertical="top" wrapText="1"/>
    </xf>
    <xf numFmtId="3" fontId="3" fillId="0" borderId="26" xfId="0" applyNumberFormat="1" applyFont="1" applyFill="1" applyBorder="1" applyAlignment="1">
      <alignment horizontal="right" vertical="top" wrapText="1"/>
    </xf>
    <xf numFmtId="0" fontId="3" fillId="0" borderId="45" xfId="0" applyFont="1" applyFill="1" applyBorder="1" applyAlignment="1">
      <alignment horizontal="right" vertical="top" wrapText="1"/>
    </xf>
    <xf numFmtId="3" fontId="3" fillId="0" borderId="45" xfId="0" applyNumberFormat="1" applyFont="1" applyFill="1" applyBorder="1" applyAlignment="1">
      <alignment horizontal="right" vertical="top" wrapText="1"/>
    </xf>
    <xf numFmtId="164" fontId="6" fillId="0" borderId="45" xfId="0" applyNumberFormat="1" applyFont="1" applyFill="1" applyBorder="1" applyAlignment="1">
      <alignment horizontal="right" vertical="top" wrapText="1"/>
    </xf>
    <xf numFmtId="165" fontId="3" fillId="0" borderId="46" xfId="0" applyNumberFormat="1" applyFont="1" applyFill="1" applyBorder="1" applyAlignment="1">
      <alignment horizontal="right" vertical="top" wrapText="1"/>
    </xf>
    <xf numFmtId="3" fontId="3" fillId="0" borderId="47" xfId="0" applyNumberFormat="1" applyFont="1" applyFill="1" applyBorder="1" applyAlignment="1">
      <alignment horizontal="right" vertical="top" wrapText="1"/>
    </xf>
    <xf numFmtId="166" fontId="3" fillId="0" borderId="48" xfId="0" applyNumberFormat="1" applyFont="1" applyFill="1" applyBorder="1" applyAlignment="1">
      <alignment horizontal="right" vertical="top" wrapText="1"/>
    </xf>
    <xf numFmtId="165" fontId="3" fillId="0" borderId="67" xfId="0" applyNumberFormat="1" applyFont="1" applyFill="1" applyBorder="1" applyAlignment="1">
      <alignment horizontal="right" vertical="top"/>
    </xf>
    <xf numFmtId="44" fontId="3" fillId="0" borderId="47" xfId="1" applyFont="1" applyFill="1" applyBorder="1" applyAlignment="1">
      <alignment horizontal="right" vertical="top"/>
    </xf>
    <xf numFmtId="44" fontId="3" fillId="0" borderId="46" xfId="0" applyNumberFormat="1" applyFont="1" applyFill="1" applyBorder="1" applyAlignment="1">
      <alignment horizontal="right" vertical="top"/>
    </xf>
    <xf numFmtId="3" fontId="3" fillId="0" borderId="65" xfId="0" applyNumberFormat="1" applyFont="1" applyFill="1" applyBorder="1" applyAlignment="1">
      <alignment horizontal="right" vertical="top" wrapText="1"/>
    </xf>
    <xf numFmtId="3" fontId="3" fillId="0" borderId="35" xfId="0" applyNumberFormat="1" applyFont="1" applyFill="1" applyBorder="1" applyAlignment="1">
      <alignment horizontal="right" vertical="top" wrapText="1"/>
    </xf>
    <xf numFmtId="0" fontId="3" fillId="0" borderId="33" xfId="0" applyFont="1" applyFill="1" applyBorder="1" applyAlignment="1">
      <alignment horizontal="right" vertical="top" wrapText="1"/>
    </xf>
    <xf numFmtId="3" fontId="3" fillId="0" borderId="33" xfId="0" applyNumberFormat="1" applyFont="1" applyFill="1" applyBorder="1" applyAlignment="1">
      <alignment horizontal="right" vertical="top" wrapText="1"/>
    </xf>
    <xf numFmtId="167" fontId="6" fillId="0" borderId="45" xfId="0" applyNumberFormat="1" applyFont="1" applyFill="1" applyBorder="1" applyAlignment="1">
      <alignment horizontal="right" vertical="top" wrapText="1"/>
    </xf>
    <xf numFmtId="165" fontId="3" fillId="0" borderId="34" xfId="0" applyNumberFormat="1" applyFont="1" applyFill="1" applyBorder="1" applyAlignment="1">
      <alignment horizontal="right" vertical="top" wrapText="1"/>
    </xf>
    <xf numFmtId="3" fontId="3" fillId="0" borderId="36" xfId="0" applyNumberFormat="1" applyFont="1" applyFill="1" applyBorder="1" applyAlignment="1">
      <alignment horizontal="right" vertical="top" wrapText="1"/>
    </xf>
    <xf numFmtId="167" fontId="3" fillId="0" borderId="33" xfId="0" applyNumberFormat="1" applyFont="1" applyFill="1" applyBorder="1" applyAlignment="1">
      <alignment horizontal="right" vertical="top" wrapText="1"/>
    </xf>
    <xf numFmtId="166" fontId="3" fillId="0" borderId="37" xfId="0" applyNumberFormat="1" applyFont="1" applyFill="1" applyBorder="1" applyAlignment="1">
      <alignment horizontal="right" vertical="top" wrapText="1"/>
    </xf>
    <xf numFmtId="165" fontId="3" fillId="0" borderId="65" xfId="0" applyNumberFormat="1" applyFont="1" applyFill="1" applyBorder="1" applyAlignment="1">
      <alignment horizontal="right" vertical="top"/>
    </xf>
    <xf numFmtId="44" fontId="3" fillId="0" borderId="36" xfId="1" applyFont="1" applyFill="1" applyBorder="1" applyAlignment="1">
      <alignment horizontal="right" vertical="top"/>
    </xf>
    <xf numFmtId="44" fontId="3" fillId="0" borderId="34" xfId="0" applyNumberFormat="1" applyFont="1" applyFill="1" applyBorder="1" applyAlignment="1">
      <alignment horizontal="right" vertical="top"/>
    </xf>
    <xf numFmtId="3" fontId="3" fillId="2" borderId="68" xfId="0" applyNumberFormat="1" applyFont="1" applyFill="1" applyBorder="1" applyAlignment="1">
      <alignment horizontal="right" vertical="top" wrapText="1"/>
    </xf>
    <xf numFmtId="3" fontId="3" fillId="2" borderId="59" xfId="0" applyNumberFormat="1" applyFont="1" applyFill="1" applyBorder="1" applyAlignment="1">
      <alignment horizontal="right" vertical="top" wrapText="1"/>
    </xf>
    <xf numFmtId="2" fontId="3" fillId="2" borderId="49" xfId="0" applyNumberFormat="1" applyFont="1" applyFill="1" applyBorder="1" applyAlignment="1">
      <alignment horizontal="right" vertical="top" wrapText="1"/>
    </xf>
    <xf numFmtId="3" fontId="3" fillId="2" borderId="49" xfId="0" applyNumberFormat="1" applyFont="1" applyFill="1" applyBorder="1" applyAlignment="1">
      <alignment horizontal="right" vertical="top" wrapText="1"/>
    </xf>
    <xf numFmtId="167" fontId="3" fillId="2" borderId="38" xfId="0" applyNumberFormat="1" applyFont="1" applyFill="1" applyBorder="1" applyAlignment="1">
      <alignment horizontal="right" vertical="top" wrapText="1"/>
    </xf>
    <xf numFmtId="165" fontId="3" fillId="2" borderId="39" xfId="0" applyNumberFormat="1" applyFont="1" applyFill="1" applyBorder="1" applyAlignment="1">
      <alignment horizontal="right" vertical="top" wrapText="1"/>
    </xf>
    <xf numFmtId="167" fontId="3" fillId="2" borderId="49" xfId="0" applyNumberFormat="1" applyFont="1" applyFill="1" applyBorder="1" applyAlignment="1">
      <alignment horizontal="right" vertical="top" wrapText="1"/>
    </xf>
    <xf numFmtId="166" fontId="3" fillId="2" borderId="39" xfId="0" applyNumberFormat="1" applyFont="1" applyFill="1" applyBorder="1" applyAlignment="1">
      <alignment horizontal="right" vertical="top" wrapText="1"/>
    </xf>
    <xf numFmtId="165" fontId="3" fillId="2" borderId="68" xfId="0" applyNumberFormat="1" applyFont="1" applyFill="1" applyBorder="1" applyAlignment="1">
      <alignment horizontal="right" vertical="top"/>
    </xf>
    <xf numFmtId="44" fontId="3" fillId="2" borderId="61" xfId="1" applyFont="1" applyFill="1" applyBorder="1" applyAlignment="1">
      <alignment horizontal="right" vertical="top"/>
    </xf>
    <xf numFmtId="44" fontId="3" fillId="2" borderId="39" xfId="0" applyNumberFormat="1" applyFont="1" applyFill="1" applyBorder="1" applyAlignment="1">
      <alignment horizontal="right" vertical="top"/>
    </xf>
    <xf numFmtId="167" fontId="6" fillId="0" borderId="12" xfId="0" applyNumberFormat="1" applyFont="1" applyFill="1" applyBorder="1" applyAlignment="1">
      <alignment horizontal="right" vertical="top" wrapText="1"/>
    </xf>
    <xf numFmtId="3" fontId="6" fillId="0" borderId="12" xfId="0" applyNumberFormat="1" applyFont="1" applyFill="1" applyBorder="1" applyAlignment="1">
      <alignment horizontal="right" vertical="top" wrapText="1"/>
    </xf>
    <xf numFmtId="0" fontId="6" fillId="0" borderId="12" xfId="0" applyFont="1" applyFill="1" applyBorder="1" applyAlignment="1">
      <alignment horizontal="right" vertical="top" wrapText="1"/>
    </xf>
    <xf numFmtId="166" fontId="3" fillId="0" borderId="13" xfId="0" applyNumberFormat="1" applyFont="1" applyFill="1" applyBorder="1" applyAlignment="1">
      <alignment horizontal="right" vertical="top" wrapText="1"/>
    </xf>
    <xf numFmtId="3" fontId="1" fillId="0" borderId="58" xfId="0" applyNumberFormat="1" applyFont="1" applyFill="1" applyBorder="1" applyAlignment="1">
      <alignment horizontal="right" vertical="top" wrapText="1"/>
    </xf>
    <xf numFmtId="1" fontId="3" fillId="0" borderId="1" xfId="0" applyNumberFormat="1" applyFont="1" applyFill="1" applyBorder="1" applyAlignment="1">
      <alignment horizontal="right" vertical="top" wrapText="1"/>
    </xf>
    <xf numFmtId="3" fontId="3" fillId="2" borderId="40" xfId="0" applyNumberFormat="1" applyFont="1" applyFill="1" applyBorder="1" applyAlignment="1">
      <alignment horizontal="right" vertical="top" wrapText="1"/>
    </xf>
    <xf numFmtId="2" fontId="3" fillId="2" borderId="38" xfId="0" applyNumberFormat="1" applyFont="1" applyFill="1" applyBorder="1" applyAlignment="1">
      <alignment horizontal="right" vertical="top" wrapText="1"/>
    </xf>
    <xf numFmtId="3" fontId="3" fillId="2" borderId="38" xfId="0" applyNumberFormat="1" applyFont="1" applyFill="1" applyBorder="1" applyAlignment="1">
      <alignment horizontal="right" vertical="top" wrapText="1"/>
    </xf>
    <xf numFmtId="3" fontId="3" fillId="2" borderId="41" xfId="0" applyNumberFormat="1" applyFont="1" applyFill="1" applyBorder="1" applyAlignment="1">
      <alignment horizontal="right" vertical="top" wrapText="1"/>
    </xf>
    <xf numFmtId="1" fontId="3" fillId="2" borderId="38" xfId="0" applyNumberFormat="1" applyFont="1" applyFill="1" applyBorder="1" applyAlignment="1">
      <alignment horizontal="right" vertical="top" wrapText="1"/>
    </xf>
    <xf numFmtId="166" fontId="3" fillId="2" borderId="42" xfId="0" applyNumberFormat="1" applyFont="1" applyFill="1" applyBorder="1" applyAlignment="1">
      <alignment horizontal="right" vertical="top" wrapText="1"/>
    </xf>
    <xf numFmtId="44" fontId="3" fillId="2" borderId="41" xfId="1" applyFont="1" applyFill="1" applyBorder="1" applyAlignment="1">
      <alignment horizontal="right" vertical="top"/>
    </xf>
    <xf numFmtId="0" fontId="6" fillId="0" borderId="12" xfId="0" applyNumberFormat="1" applyFont="1" applyFill="1" applyBorder="1" applyAlignment="1">
      <alignment horizontal="right" vertical="top" wrapText="1"/>
    </xf>
    <xf numFmtId="0" fontId="1" fillId="0" borderId="12" xfId="0" applyNumberFormat="1" applyFont="1" applyFill="1" applyBorder="1" applyAlignment="1">
      <alignment horizontal="right" vertical="top" wrapText="1"/>
    </xf>
    <xf numFmtId="166" fontId="3" fillId="0" borderId="18" xfId="0" applyNumberFormat="1" applyFont="1" applyFill="1" applyBorder="1" applyAlignment="1">
      <alignment horizontal="right" vertical="top" wrapText="1"/>
    </xf>
    <xf numFmtId="0" fontId="1" fillId="0" borderId="1" xfId="0" applyNumberFormat="1" applyFont="1" applyFill="1" applyBorder="1" applyAlignment="1">
      <alignment horizontal="right" vertical="top" wrapText="1"/>
    </xf>
    <xf numFmtId="166" fontId="6" fillId="0" borderId="1" xfId="0" applyNumberFormat="1" applyFont="1" applyFill="1" applyBorder="1" applyAlignment="1">
      <alignment horizontal="right" vertical="top" wrapText="1"/>
    </xf>
    <xf numFmtId="164" fontId="6" fillId="0" borderId="1" xfId="0" applyNumberFormat="1" applyFont="1" applyFill="1" applyBorder="1" applyAlignment="1">
      <alignment horizontal="right" vertical="top" wrapText="1"/>
    </xf>
    <xf numFmtId="2" fontId="6" fillId="0" borderId="1" xfId="0" applyNumberFormat="1" applyFont="1" applyFill="1" applyBorder="1" applyAlignment="1">
      <alignment horizontal="right" vertical="top" wrapText="1"/>
    </xf>
    <xf numFmtId="3" fontId="6" fillId="0" borderId="63" xfId="0" applyNumberFormat="1" applyFont="1" applyFill="1" applyBorder="1" applyAlignment="1">
      <alignment horizontal="right" vertical="top" wrapText="1"/>
    </xf>
    <xf numFmtId="3" fontId="6" fillId="0" borderId="11" xfId="0" applyNumberFormat="1" applyFont="1" applyFill="1" applyBorder="1" applyAlignment="1">
      <alignment horizontal="right" vertical="top" wrapText="1"/>
    </xf>
    <xf numFmtId="2" fontId="6" fillId="0" borderId="12" xfId="0" applyNumberFormat="1" applyFont="1" applyFill="1" applyBorder="1" applyAlignment="1">
      <alignment horizontal="right" vertical="top" wrapText="1"/>
    </xf>
    <xf numFmtId="3" fontId="3" fillId="0" borderId="63" xfId="0" applyNumberFormat="1" applyFont="1" applyFill="1" applyBorder="1" applyAlignment="1">
      <alignment horizontal="right" vertical="top" wrapText="1"/>
    </xf>
    <xf numFmtId="3" fontId="3" fillId="0" borderId="11" xfId="0" applyNumberFormat="1" applyFont="1" applyFill="1" applyBorder="1" applyAlignment="1">
      <alignment horizontal="right" vertical="top" wrapText="1"/>
    </xf>
    <xf numFmtId="0" fontId="3" fillId="0" borderId="12" xfId="0" applyFont="1" applyFill="1" applyBorder="1" applyAlignment="1">
      <alignment horizontal="right" vertical="top" wrapText="1"/>
    </xf>
    <xf numFmtId="3" fontId="3" fillId="0" borderId="67" xfId="0" applyNumberFormat="1" applyFont="1" applyFill="1" applyBorder="1" applyAlignment="1">
      <alignment horizontal="right" vertical="top" wrapText="1"/>
    </xf>
    <xf numFmtId="166" fontId="6" fillId="0" borderId="45" xfId="0" applyNumberFormat="1" applyFont="1" applyFill="1" applyBorder="1" applyAlignment="1">
      <alignment horizontal="right" vertical="top" wrapText="1"/>
    </xf>
    <xf numFmtId="3" fontId="6" fillId="0" borderId="81" xfId="0" applyNumberFormat="1" applyFont="1" applyFill="1" applyBorder="1" applyAlignment="1">
      <alignment horizontal="right" vertical="top" wrapText="1"/>
    </xf>
    <xf numFmtId="3" fontId="3" fillId="0" borderId="59" xfId="0" applyNumberFormat="1" applyFont="1" applyFill="1" applyBorder="1" applyAlignment="1">
      <alignment horizontal="right" vertical="top" wrapText="1"/>
    </xf>
    <xf numFmtId="0" fontId="3" fillId="0" borderId="49" xfId="0" applyFont="1" applyFill="1" applyBorder="1" applyAlignment="1">
      <alignment horizontal="right" vertical="top" wrapText="1"/>
    </xf>
    <xf numFmtId="3" fontId="3" fillId="0" borderId="49" xfId="0" applyNumberFormat="1" applyFont="1" applyFill="1" applyBorder="1" applyAlignment="1">
      <alignment horizontal="right" vertical="top" wrapText="1"/>
    </xf>
    <xf numFmtId="2" fontId="6" fillId="0" borderId="49" xfId="0" applyNumberFormat="1" applyFont="1" applyFill="1" applyBorder="1" applyAlignment="1">
      <alignment horizontal="right" vertical="top" wrapText="1"/>
    </xf>
    <xf numFmtId="3" fontId="3" fillId="0" borderId="76" xfId="0" applyNumberFormat="1" applyFont="1" applyFill="1" applyBorder="1" applyAlignment="1">
      <alignment horizontal="right" vertical="top" wrapText="1"/>
    </xf>
    <xf numFmtId="166" fontId="3" fillId="0" borderId="75" xfId="0" applyNumberFormat="1" applyFont="1" applyFill="1" applyBorder="1" applyAlignment="1">
      <alignment horizontal="right" vertical="top" wrapText="1"/>
    </xf>
    <xf numFmtId="165" fontId="3" fillId="0" borderId="75" xfId="0" applyNumberFormat="1" applyFont="1" applyFill="1" applyBorder="1" applyAlignment="1">
      <alignment horizontal="right" vertical="top" wrapText="1"/>
    </xf>
    <xf numFmtId="3" fontId="2" fillId="0" borderId="2" xfId="0" applyNumberFormat="1" applyFont="1" applyFill="1" applyBorder="1" applyAlignment="1">
      <alignment horizontal="right" vertical="top" wrapText="1"/>
    </xf>
    <xf numFmtId="3" fontId="2" fillId="0" borderId="69" xfId="0" applyNumberFormat="1" applyFont="1" applyFill="1" applyBorder="1" applyAlignment="1">
      <alignment horizontal="right" vertical="top" wrapText="1"/>
    </xf>
    <xf numFmtId="164" fontId="2" fillId="0" borderId="30" xfId="0" applyNumberFormat="1" applyFont="1" applyFill="1" applyBorder="1" applyAlignment="1">
      <alignment horizontal="right" vertical="top" wrapText="1"/>
    </xf>
    <xf numFmtId="3" fontId="2" fillId="0" borderId="29" xfId="0" applyNumberFormat="1" applyFont="1" applyFill="1" applyBorder="1" applyAlignment="1">
      <alignment horizontal="right" vertical="top" wrapText="1"/>
    </xf>
    <xf numFmtId="167" fontId="2" fillId="0" borderId="29" xfId="0" applyNumberFormat="1" applyFont="1" applyFill="1" applyBorder="1" applyAlignment="1">
      <alignment horizontal="right" vertical="top" wrapText="1"/>
    </xf>
    <xf numFmtId="165" fontId="2" fillId="0" borderId="31" xfId="0" applyNumberFormat="1" applyFont="1" applyFill="1" applyBorder="1" applyAlignment="1">
      <alignment horizontal="right" vertical="top" wrapText="1"/>
    </xf>
    <xf numFmtId="3" fontId="2" fillId="0" borderId="70" xfId="0" applyNumberFormat="1" applyFont="1" applyFill="1" applyBorder="1" applyAlignment="1">
      <alignment horizontal="right" vertical="top" wrapText="1"/>
    </xf>
    <xf numFmtId="168" fontId="2" fillId="0" borderId="70" xfId="0" applyNumberFormat="1" applyFont="1" applyFill="1" applyBorder="1" applyAlignment="1">
      <alignment horizontal="right" vertical="top" wrapText="1"/>
    </xf>
    <xf numFmtId="165" fontId="2" fillId="0" borderId="71" xfId="0" applyNumberFormat="1" applyFont="1" applyFill="1" applyBorder="1" applyAlignment="1">
      <alignment horizontal="right" vertical="top" wrapText="1"/>
    </xf>
    <xf numFmtId="44" fontId="2" fillId="0" borderId="71" xfId="1" applyFont="1" applyFill="1" applyBorder="1" applyAlignment="1">
      <alignment horizontal="right" vertical="top" wrapText="1"/>
    </xf>
    <xf numFmtId="0" fontId="12" fillId="0" borderId="0" xfId="3" applyAlignment="1">
      <alignment wrapText="1"/>
    </xf>
    <xf numFmtId="43" fontId="2" fillId="0" borderId="70" xfId="4" applyFont="1" applyFill="1" applyBorder="1" applyAlignment="1">
      <alignment horizontal="right" vertical="top" wrapText="1"/>
    </xf>
    <xf numFmtId="0" fontId="6" fillId="0" borderId="72"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44" xfId="0" applyFont="1" applyFill="1" applyBorder="1" applyAlignment="1">
      <alignment vertical="center" wrapText="1"/>
    </xf>
    <xf numFmtId="0" fontId="6" fillId="0" borderId="49" xfId="0" applyFont="1" applyFill="1" applyBorder="1" applyAlignment="1">
      <alignment vertical="center" wrapText="1"/>
    </xf>
    <xf numFmtId="0" fontId="6" fillId="0" borderId="73" xfId="0" applyFont="1" applyFill="1" applyBorder="1" applyAlignment="1">
      <alignment vertical="center" wrapText="1"/>
    </xf>
    <xf numFmtId="0" fontId="6" fillId="0" borderId="61" xfId="0" applyFont="1" applyFill="1" applyBorder="1" applyAlignment="1">
      <alignment vertical="center" wrapText="1"/>
    </xf>
    <xf numFmtId="0" fontId="1" fillId="0" borderId="0" xfId="0" applyFont="1" applyFill="1" applyBorder="1" applyAlignment="1"/>
    <xf numFmtId="0" fontId="3" fillId="0" borderId="0" xfId="0" applyFont="1" applyFill="1" applyAlignment="1"/>
    <xf numFmtId="0" fontId="6" fillId="0" borderId="0" xfId="0" applyFont="1" applyFill="1" applyBorder="1" applyAlignment="1">
      <alignment horizontal="left" vertical="top" wrapText="1"/>
    </xf>
    <xf numFmtId="0" fontId="6" fillId="0" borderId="0" xfId="0" applyFont="1" applyFill="1" applyAlignment="1">
      <alignment horizontal="left" vertical="top" wrapText="1"/>
    </xf>
    <xf numFmtId="0" fontId="6" fillId="0" borderId="0" xfId="0" applyFont="1" applyFill="1" applyAlignment="1"/>
    <xf numFmtId="0" fontId="2" fillId="0" borderId="0" xfId="0" applyFont="1" applyFill="1" applyAlignment="1">
      <alignment horizontal="left" vertical="top" wrapText="1"/>
    </xf>
    <xf numFmtId="0" fontId="5" fillId="0" borderId="0" xfId="0" applyFont="1" applyFill="1" applyAlignment="1"/>
    <xf numFmtId="0" fontId="6" fillId="0" borderId="45"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2" xfId="0" applyFont="1" applyFill="1" applyBorder="1" applyAlignment="1">
      <alignment horizontal="left" vertical="top" wrapText="1"/>
    </xf>
    <xf numFmtId="0" fontId="3" fillId="2" borderId="43"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0" borderId="0" xfId="0" applyFont="1" applyFill="1" applyBorder="1" applyAlignment="1">
      <alignment horizontal="left" vertical="top" wrapText="1"/>
    </xf>
    <xf numFmtId="0" fontId="6" fillId="2" borderId="43" xfId="0" applyFont="1" applyFill="1" applyBorder="1" applyAlignment="1">
      <alignment horizontal="center" wrapText="1"/>
    </xf>
    <xf numFmtId="0" fontId="6" fillId="2" borderId="40" xfId="0" applyFont="1" applyFill="1" applyBorder="1" applyAlignment="1">
      <alignment horizontal="center" wrapText="1"/>
    </xf>
    <xf numFmtId="0" fontId="6" fillId="0" borderId="0" xfId="0" applyFont="1" applyFill="1" applyAlignment="1">
      <alignment vertical="top"/>
    </xf>
    <xf numFmtId="0" fontId="6" fillId="0" borderId="0" xfId="0" applyFont="1" applyFill="1"/>
    <xf numFmtId="0" fontId="7" fillId="0" borderId="0" xfId="0" applyFont="1" applyFill="1" applyAlignment="1"/>
    <xf numFmtId="0" fontId="7" fillId="0" borderId="0" xfId="0" applyFont="1" applyFill="1" applyAlignment="1">
      <alignment horizontal="left" vertical="top" wrapText="1"/>
    </xf>
    <xf numFmtId="0" fontId="6" fillId="0" borderId="0" xfId="0" applyFont="1" applyFill="1" applyBorder="1" applyAlignment="1">
      <alignment vertical="top" wrapText="1"/>
    </xf>
    <xf numFmtId="0" fontId="6" fillId="0" borderId="0" xfId="0" applyFont="1" applyFill="1" applyAlignment="1">
      <alignment vertical="top" wrapText="1"/>
    </xf>
    <xf numFmtId="49" fontId="6" fillId="0" borderId="78" xfId="0" applyNumberFormat="1" applyFont="1" applyFill="1" applyBorder="1" applyAlignment="1">
      <alignment horizontal="left" vertical="top" wrapText="1"/>
    </xf>
    <xf numFmtId="49" fontId="6" fillId="0" borderId="44"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0" fontId="6" fillId="0" borderId="74"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14" xfId="0" applyFont="1" applyFill="1" applyBorder="1" applyAlignment="1">
      <alignment horizontal="center" wrapText="1"/>
    </xf>
    <xf numFmtId="0" fontId="2" fillId="0" borderId="20" xfId="0" applyFont="1" applyFill="1" applyBorder="1" applyAlignment="1">
      <alignment horizontal="center" wrapText="1"/>
    </xf>
    <xf numFmtId="0" fontId="6" fillId="0" borderId="6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0" xfId="0" applyFont="1" applyFill="1" applyBorder="1" applyAlignment="1">
      <alignment horizontal="left" vertical="top" wrapText="1"/>
    </xf>
    <xf numFmtId="0" fontId="6" fillId="0" borderId="60" xfId="0" applyFont="1" applyFill="1" applyBorder="1" applyAlignment="1">
      <alignment horizontal="left" vertical="center" wrapText="1" readingOrder="1"/>
    </xf>
    <xf numFmtId="0" fontId="6" fillId="0" borderId="44" xfId="0" applyFont="1" applyFill="1" applyBorder="1" applyAlignment="1">
      <alignment horizontal="left" vertical="center" wrapText="1" readingOrder="1"/>
    </xf>
    <xf numFmtId="0" fontId="6" fillId="0" borderId="12" xfId="0" applyFont="1" applyFill="1" applyBorder="1" applyAlignment="1">
      <alignment horizontal="left" vertical="center" wrapText="1" readingOrder="1"/>
    </xf>
    <xf numFmtId="0" fontId="6" fillId="0" borderId="45" xfId="0" applyFont="1" applyFill="1" applyBorder="1" applyAlignment="1">
      <alignment horizontal="left" wrapText="1"/>
    </xf>
    <xf numFmtId="0" fontId="6" fillId="0" borderId="12" xfId="0" applyFont="1" applyFill="1" applyBorder="1" applyAlignment="1">
      <alignment horizontal="left" wrapText="1"/>
    </xf>
    <xf numFmtId="0" fontId="7" fillId="0" borderId="49" xfId="0" applyFont="1" applyFill="1" applyBorder="1" applyAlignment="1">
      <alignment horizontal="left" vertical="top" wrapText="1"/>
    </xf>
    <xf numFmtId="0" fontId="0" fillId="0" borderId="0" xfId="0" applyAlignment="1">
      <alignment horizontal="center" vertical="top" wrapText="1"/>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B9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bls.gov/oes/current/oes399011.htm" TargetMode="External"/><Relationship Id="rId7" Type="http://schemas.openxmlformats.org/officeDocument/2006/relationships/printerSettings" Target="../printerSettings/printerSettings3.bin"/><Relationship Id="rId2" Type="http://schemas.openxmlformats.org/officeDocument/2006/relationships/hyperlink" Target="https://www.bls.gov/oes/current/oes359099.htm" TargetMode="External"/><Relationship Id="rId1" Type="http://schemas.openxmlformats.org/officeDocument/2006/relationships/hyperlink" Target="https://www.bls.gov/oes/current/oes212021.htm" TargetMode="External"/><Relationship Id="rId6" Type="http://schemas.openxmlformats.org/officeDocument/2006/relationships/hyperlink" Target="https://www.bls.gov/oes/current/oes113010.htm" TargetMode="External"/><Relationship Id="rId5" Type="http://schemas.openxmlformats.org/officeDocument/2006/relationships/hyperlink" Target="https://www.bls.gov/oes/current/oes_nat.htm" TargetMode="External"/><Relationship Id="rId4" Type="http://schemas.openxmlformats.org/officeDocument/2006/relationships/hyperlink" Target="https://www.bls.gov/oes/current/oes11903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1724-B8CB-42A0-A90D-164A699A70F3}">
  <dimension ref="B2:S114"/>
  <sheetViews>
    <sheetView tabSelected="1" topLeftCell="B1" workbookViewId="0">
      <selection activeCell="Q45" sqref="Q45"/>
    </sheetView>
  </sheetViews>
  <sheetFormatPr defaultColWidth="9.33203125" defaultRowHeight="14.4" x14ac:dyDescent="0.3"/>
  <cols>
    <col min="1" max="1" width="1.6640625" style="22" customWidth="1"/>
    <col min="2" max="2" width="13.33203125" style="22" customWidth="1"/>
    <col min="3" max="3" width="15.88671875" style="22" customWidth="1"/>
    <col min="4" max="4" width="21.44140625" style="22" customWidth="1"/>
    <col min="5" max="5" width="25.33203125" style="22" customWidth="1"/>
    <col min="6" max="6" width="11.6640625" style="22" customWidth="1"/>
    <col min="7" max="7" width="12.44140625" style="22" customWidth="1"/>
    <col min="8" max="8" width="19.33203125" style="22" customWidth="1"/>
    <col min="9" max="9" width="10.6640625" style="22" customWidth="1"/>
    <col min="10" max="10" width="14.33203125" style="22" customWidth="1"/>
    <col min="11" max="11" width="10.44140625" style="22" bestFit="1" customWidth="1"/>
    <col min="12" max="12" width="12.33203125" style="22" customWidth="1"/>
    <col min="13" max="13" width="11.44140625" style="22" customWidth="1"/>
    <col min="14" max="14" width="10.6640625" style="22" customWidth="1"/>
    <col min="15" max="15" width="13.33203125" style="22" customWidth="1"/>
    <col min="16" max="16" width="11.44140625" style="22" customWidth="1"/>
    <col min="17" max="17" width="14" style="22" customWidth="1"/>
    <col min="18" max="18" width="12.6640625" style="71" customWidth="1"/>
    <col min="19" max="19" width="16.6640625" style="22" customWidth="1"/>
    <col min="20" max="16384" width="9.33203125" style="22"/>
  </cols>
  <sheetData>
    <row r="2" spans="2:19" ht="15" thickBot="1" x14ac:dyDescent="0.35">
      <c r="B2" s="75" t="s">
        <v>105</v>
      </c>
    </row>
    <row r="3" spans="2:19" x14ac:dyDescent="0.3">
      <c r="B3" s="1"/>
      <c r="C3" s="77"/>
      <c r="D3" s="77"/>
      <c r="E3" s="115"/>
      <c r="F3" s="124"/>
      <c r="G3" s="293" t="s">
        <v>2</v>
      </c>
      <c r="H3" s="294"/>
      <c r="I3" s="294"/>
      <c r="J3" s="294"/>
      <c r="K3" s="295"/>
      <c r="L3" s="296" t="s">
        <v>3</v>
      </c>
      <c r="M3" s="294"/>
      <c r="N3" s="294"/>
      <c r="O3" s="294"/>
      <c r="P3" s="297"/>
      <c r="Q3" s="10"/>
      <c r="R3" s="72"/>
      <c r="S3" s="2"/>
    </row>
    <row r="4" spans="2:19" ht="42" thickBot="1" x14ac:dyDescent="0.35">
      <c r="B4" s="3" t="s">
        <v>12</v>
      </c>
      <c r="C4" s="4" t="s">
        <v>4</v>
      </c>
      <c r="D4" s="4" t="s">
        <v>16</v>
      </c>
      <c r="E4" s="9" t="s">
        <v>1</v>
      </c>
      <c r="F4" s="125" t="s">
        <v>5</v>
      </c>
      <c r="G4" s="7" t="s">
        <v>6</v>
      </c>
      <c r="H4" s="4" t="s">
        <v>7</v>
      </c>
      <c r="I4" s="4" t="s">
        <v>8</v>
      </c>
      <c r="J4" s="4" t="s">
        <v>9</v>
      </c>
      <c r="K4" s="8" t="s">
        <v>10</v>
      </c>
      <c r="L4" s="6" t="s">
        <v>11</v>
      </c>
      <c r="M4" s="4" t="s">
        <v>7</v>
      </c>
      <c r="N4" s="4" t="s">
        <v>8</v>
      </c>
      <c r="O4" s="4" t="s">
        <v>9</v>
      </c>
      <c r="P4" s="9" t="s">
        <v>10</v>
      </c>
      <c r="Q4" s="11" t="s">
        <v>13</v>
      </c>
      <c r="R4" s="73" t="s">
        <v>14</v>
      </c>
      <c r="S4" s="5" t="s">
        <v>15</v>
      </c>
    </row>
    <row r="5" spans="2:19" ht="55.2" customHeight="1" x14ac:dyDescent="0.3">
      <c r="B5" s="298" t="s">
        <v>97</v>
      </c>
      <c r="C5" s="301" t="s">
        <v>30</v>
      </c>
      <c r="D5" s="302" t="s">
        <v>164</v>
      </c>
      <c r="E5" s="88" t="s">
        <v>110</v>
      </c>
      <c r="F5" s="144">
        <v>5880</v>
      </c>
      <c r="G5" s="145">
        <v>4175</v>
      </c>
      <c r="H5" s="146">
        <v>1</v>
      </c>
      <c r="I5" s="147">
        <v>4175</v>
      </c>
      <c r="J5" s="148">
        <v>5.0099999999999999E-2</v>
      </c>
      <c r="K5" s="149">
        <f>I5*J5</f>
        <v>209.16749999999999</v>
      </c>
      <c r="L5" s="150">
        <f t="shared" ref="L5:L9" si="0">+F5-G5</f>
        <v>1705</v>
      </c>
      <c r="M5" s="146">
        <v>1</v>
      </c>
      <c r="N5" s="150">
        <f t="shared" ref="N5:N37" si="1">L5*M5</f>
        <v>1705</v>
      </c>
      <c r="O5" s="146">
        <v>5.0099999999999999E-2</v>
      </c>
      <c r="P5" s="151">
        <f t="shared" ref="P5:P37" si="2">N5*O5</f>
        <v>85.420500000000004</v>
      </c>
      <c r="Q5" s="152">
        <f t="shared" ref="Q5:Q37" si="3">K5+P5</f>
        <v>294.58799999999997</v>
      </c>
      <c r="R5" s="153">
        <f t="shared" ref="R5:R36" si="4">27.07*1.33</f>
        <v>36.003100000000003</v>
      </c>
      <c r="S5" s="154">
        <f t="shared" ref="S5:S36" si="5">+Q5*R5</f>
        <v>10606.0812228</v>
      </c>
    </row>
    <row r="6" spans="2:19" ht="27.6" x14ac:dyDescent="0.3">
      <c r="B6" s="299"/>
      <c r="C6" s="275"/>
      <c r="D6" s="303"/>
      <c r="E6" s="88" t="s">
        <v>111</v>
      </c>
      <c r="F6" s="144">
        <v>5880</v>
      </c>
      <c r="G6" s="145">
        <v>4175</v>
      </c>
      <c r="H6" s="146">
        <v>1</v>
      </c>
      <c r="I6" s="147">
        <v>4175</v>
      </c>
      <c r="J6" s="148">
        <v>1.67E-2</v>
      </c>
      <c r="K6" s="149">
        <f t="shared" ref="K6:K37" si="6">I6*J6</f>
        <v>69.722499999999997</v>
      </c>
      <c r="L6" s="150">
        <f t="shared" si="0"/>
        <v>1705</v>
      </c>
      <c r="M6" s="146">
        <v>1</v>
      </c>
      <c r="N6" s="150">
        <f t="shared" si="1"/>
        <v>1705</v>
      </c>
      <c r="O6" s="146">
        <v>1.67E-2</v>
      </c>
      <c r="P6" s="151">
        <f t="shared" si="2"/>
        <v>28.473499999999998</v>
      </c>
      <c r="Q6" s="155">
        <f t="shared" si="3"/>
        <v>98.195999999999998</v>
      </c>
      <c r="R6" s="153">
        <f t="shared" si="4"/>
        <v>36.003100000000003</v>
      </c>
      <c r="S6" s="154">
        <f t="shared" si="5"/>
        <v>3535.3604076000001</v>
      </c>
    </row>
    <row r="7" spans="2:19" ht="27.6" x14ac:dyDescent="0.3">
      <c r="B7" s="299"/>
      <c r="C7" s="275"/>
      <c r="D7" s="303"/>
      <c r="E7" s="88" t="s">
        <v>167</v>
      </c>
      <c r="F7" s="144">
        <v>5880</v>
      </c>
      <c r="G7" s="145">
        <v>4175</v>
      </c>
      <c r="H7" s="146">
        <v>1</v>
      </c>
      <c r="I7" s="147">
        <v>4175</v>
      </c>
      <c r="J7" s="148">
        <v>5.0099999999999999E-2</v>
      </c>
      <c r="K7" s="149">
        <f t="shared" si="6"/>
        <v>209.16749999999999</v>
      </c>
      <c r="L7" s="150">
        <f t="shared" si="0"/>
        <v>1705</v>
      </c>
      <c r="M7" s="146">
        <v>1</v>
      </c>
      <c r="N7" s="150">
        <f t="shared" si="1"/>
        <v>1705</v>
      </c>
      <c r="O7" s="146">
        <v>5.0099999999999999E-2</v>
      </c>
      <c r="P7" s="151">
        <f t="shared" si="2"/>
        <v>85.420500000000004</v>
      </c>
      <c r="Q7" s="155">
        <f t="shared" si="3"/>
        <v>294.58799999999997</v>
      </c>
      <c r="R7" s="153">
        <f t="shared" si="4"/>
        <v>36.003100000000003</v>
      </c>
      <c r="S7" s="154">
        <f t="shared" si="5"/>
        <v>10606.0812228</v>
      </c>
    </row>
    <row r="8" spans="2:19" ht="27.6" x14ac:dyDescent="0.3">
      <c r="B8" s="299"/>
      <c r="C8" s="275"/>
      <c r="D8" s="303"/>
      <c r="E8" s="88" t="s">
        <v>112</v>
      </c>
      <c r="F8" s="144">
        <v>5880</v>
      </c>
      <c r="G8" s="145">
        <v>4175</v>
      </c>
      <c r="H8" s="146">
        <v>1</v>
      </c>
      <c r="I8" s="147">
        <v>4175</v>
      </c>
      <c r="J8" s="148">
        <v>0.16700000000000001</v>
      </c>
      <c r="K8" s="149">
        <f t="shared" si="6"/>
        <v>697.22500000000002</v>
      </c>
      <c r="L8" s="150">
        <f t="shared" si="0"/>
        <v>1705</v>
      </c>
      <c r="M8" s="146">
        <v>1</v>
      </c>
      <c r="N8" s="150">
        <f t="shared" si="1"/>
        <v>1705</v>
      </c>
      <c r="O8" s="138">
        <v>0</v>
      </c>
      <c r="P8" s="151">
        <f t="shared" si="2"/>
        <v>0</v>
      </c>
      <c r="Q8" s="155">
        <f t="shared" si="3"/>
        <v>697.22500000000002</v>
      </c>
      <c r="R8" s="153">
        <f t="shared" si="4"/>
        <v>36.003100000000003</v>
      </c>
      <c r="S8" s="154">
        <f t="shared" si="5"/>
        <v>25102.261397500002</v>
      </c>
    </row>
    <row r="9" spans="2:19" ht="27.6" x14ac:dyDescent="0.3">
      <c r="B9" s="299"/>
      <c r="C9" s="275"/>
      <c r="D9" s="303"/>
      <c r="E9" s="88" t="s">
        <v>113</v>
      </c>
      <c r="F9" s="144">
        <v>5880</v>
      </c>
      <c r="G9" s="145">
        <v>4175</v>
      </c>
      <c r="H9" s="146">
        <v>1</v>
      </c>
      <c r="I9" s="147">
        <v>4175</v>
      </c>
      <c r="J9" s="148">
        <v>0.33400000000000002</v>
      </c>
      <c r="K9" s="149">
        <f t="shared" si="6"/>
        <v>1394.45</v>
      </c>
      <c r="L9" s="150">
        <f t="shared" si="0"/>
        <v>1705</v>
      </c>
      <c r="M9" s="146">
        <v>1</v>
      </c>
      <c r="N9" s="150">
        <f t="shared" si="1"/>
        <v>1705</v>
      </c>
      <c r="O9" s="138">
        <v>0</v>
      </c>
      <c r="P9" s="151">
        <f t="shared" si="2"/>
        <v>0</v>
      </c>
      <c r="Q9" s="155">
        <f t="shared" si="3"/>
        <v>1394.45</v>
      </c>
      <c r="R9" s="153">
        <f t="shared" si="4"/>
        <v>36.003100000000003</v>
      </c>
      <c r="S9" s="154">
        <f t="shared" si="5"/>
        <v>50204.522795000004</v>
      </c>
    </row>
    <row r="10" spans="2:19" ht="27.6" x14ac:dyDescent="0.3">
      <c r="B10" s="299"/>
      <c r="C10" s="275"/>
      <c r="D10" s="304"/>
      <c r="E10" s="88" t="s">
        <v>163</v>
      </c>
      <c r="F10" s="144">
        <v>4175</v>
      </c>
      <c r="G10" s="145">
        <v>4175</v>
      </c>
      <c r="H10" s="146">
        <v>1</v>
      </c>
      <c r="I10" s="147">
        <v>4175</v>
      </c>
      <c r="J10" s="148">
        <v>1.67E-2</v>
      </c>
      <c r="K10" s="149">
        <f t="shared" si="6"/>
        <v>69.722499999999997</v>
      </c>
      <c r="L10" s="150">
        <v>0</v>
      </c>
      <c r="M10" s="146">
        <v>1</v>
      </c>
      <c r="N10" s="150">
        <f t="shared" si="1"/>
        <v>0</v>
      </c>
      <c r="O10" s="138">
        <v>0</v>
      </c>
      <c r="P10" s="151">
        <f t="shared" si="2"/>
        <v>0</v>
      </c>
      <c r="Q10" s="155">
        <f t="shared" si="3"/>
        <v>69.722499999999997</v>
      </c>
      <c r="R10" s="153">
        <f t="shared" si="4"/>
        <v>36.003100000000003</v>
      </c>
      <c r="S10" s="154">
        <f t="shared" si="5"/>
        <v>2510.2261397500001</v>
      </c>
    </row>
    <row r="11" spans="2:19" ht="28.95" customHeight="1" x14ac:dyDescent="0.3">
      <c r="B11" s="299"/>
      <c r="C11" s="275"/>
      <c r="D11" s="274" t="s">
        <v>168</v>
      </c>
      <c r="E11" s="88" t="s">
        <v>114</v>
      </c>
      <c r="F11" s="156">
        <v>2880</v>
      </c>
      <c r="G11" s="157">
        <v>2160</v>
      </c>
      <c r="H11" s="158">
        <v>1</v>
      </c>
      <c r="I11" s="159">
        <f t="shared" ref="I11:I37" si="7">G11*H11</f>
        <v>2160</v>
      </c>
      <c r="J11" s="138">
        <v>3.3399999999999999E-2</v>
      </c>
      <c r="K11" s="160">
        <f t="shared" si="6"/>
        <v>72.143999999999991</v>
      </c>
      <c r="L11" s="150">
        <f t="shared" ref="L11:L37" si="8">+F11-G11</f>
        <v>720</v>
      </c>
      <c r="M11" s="158">
        <v>1</v>
      </c>
      <c r="N11" s="150">
        <f t="shared" si="1"/>
        <v>720</v>
      </c>
      <c r="O11" s="161">
        <v>3.3399999999999999E-2</v>
      </c>
      <c r="P11" s="162">
        <f t="shared" si="2"/>
        <v>24.047999999999998</v>
      </c>
      <c r="Q11" s="163">
        <f t="shared" si="3"/>
        <v>96.191999999999993</v>
      </c>
      <c r="R11" s="153">
        <f t="shared" si="4"/>
        <v>36.003100000000003</v>
      </c>
      <c r="S11" s="164">
        <f t="shared" si="5"/>
        <v>3463.2101952000003</v>
      </c>
    </row>
    <row r="12" spans="2:19" ht="37.200000000000003" customHeight="1" x14ac:dyDescent="0.3">
      <c r="B12" s="299"/>
      <c r="C12" s="275"/>
      <c r="D12" s="275"/>
      <c r="E12" s="88" t="s">
        <v>115</v>
      </c>
      <c r="F12" s="156">
        <v>2880</v>
      </c>
      <c r="G12" s="157">
        <v>2160</v>
      </c>
      <c r="H12" s="158">
        <v>1</v>
      </c>
      <c r="I12" s="159">
        <f t="shared" si="7"/>
        <v>2160</v>
      </c>
      <c r="J12" s="138">
        <v>0.75</v>
      </c>
      <c r="K12" s="160">
        <f t="shared" si="6"/>
        <v>1620</v>
      </c>
      <c r="L12" s="150">
        <f t="shared" si="8"/>
        <v>720</v>
      </c>
      <c r="M12" s="158">
        <v>1</v>
      </c>
      <c r="N12" s="150">
        <f t="shared" si="1"/>
        <v>720</v>
      </c>
      <c r="O12" s="161">
        <v>0</v>
      </c>
      <c r="P12" s="162">
        <f t="shared" si="2"/>
        <v>0</v>
      </c>
      <c r="Q12" s="163">
        <f t="shared" si="3"/>
        <v>1620</v>
      </c>
      <c r="R12" s="153">
        <f t="shared" si="4"/>
        <v>36.003100000000003</v>
      </c>
      <c r="S12" s="164">
        <f t="shared" si="5"/>
        <v>58325.022000000004</v>
      </c>
    </row>
    <row r="13" spans="2:19" ht="31.2" customHeight="1" x14ac:dyDescent="0.3">
      <c r="B13" s="299"/>
      <c r="C13" s="275"/>
      <c r="D13" s="275"/>
      <c r="E13" s="88" t="s">
        <v>117</v>
      </c>
      <c r="F13" s="156">
        <v>2880</v>
      </c>
      <c r="G13" s="157">
        <v>2160</v>
      </c>
      <c r="H13" s="158">
        <v>1</v>
      </c>
      <c r="I13" s="159">
        <f t="shared" si="7"/>
        <v>2160</v>
      </c>
      <c r="J13" s="138">
        <v>3.3399999999999999E-2</v>
      </c>
      <c r="K13" s="160">
        <f t="shared" si="6"/>
        <v>72.143999999999991</v>
      </c>
      <c r="L13" s="150">
        <f t="shared" si="8"/>
        <v>720</v>
      </c>
      <c r="M13" s="158">
        <v>1</v>
      </c>
      <c r="N13" s="150">
        <f t="shared" si="1"/>
        <v>720</v>
      </c>
      <c r="O13" s="161">
        <v>0</v>
      </c>
      <c r="P13" s="162">
        <f t="shared" si="2"/>
        <v>0</v>
      </c>
      <c r="Q13" s="163">
        <f t="shared" si="3"/>
        <v>72.143999999999991</v>
      </c>
      <c r="R13" s="153">
        <f t="shared" si="4"/>
        <v>36.003100000000003</v>
      </c>
      <c r="S13" s="164">
        <f t="shared" si="5"/>
        <v>2597.4076464</v>
      </c>
    </row>
    <row r="14" spans="2:19" ht="19.95" customHeight="1" x14ac:dyDescent="0.3">
      <c r="B14" s="299"/>
      <c r="C14" s="275"/>
      <c r="D14" s="276"/>
      <c r="E14" s="88" t="s">
        <v>116</v>
      </c>
      <c r="F14" s="156">
        <v>2880</v>
      </c>
      <c r="G14" s="157">
        <v>2160</v>
      </c>
      <c r="H14" s="158">
        <v>1</v>
      </c>
      <c r="I14" s="159">
        <f t="shared" si="7"/>
        <v>2160</v>
      </c>
      <c r="J14" s="138">
        <v>0.25</v>
      </c>
      <c r="K14" s="160">
        <f t="shared" si="6"/>
        <v>540</v>
      </c>
      <c r="L14" s="150">
        <f t="shared" si="8"/>
        <v>720</v>
      </c>
      <c r="M14" s="158">
        <v>1</v>
      </c>
      <c r="N14" s="150">
        <f t="shared" si="1"/>
        <v>720</v>
      </c>
      <c r="O14" s="161">
        <v>5.0099999999999999E-2</v>
      </c>
      <c r="P14" s="162">
        <f t="shared" si="2"/>
        <v>36.071999999999996</v>
      </c>
      <c r="Q14" s="163">
        <f t="shared" si="3"/>
        <v>576.072</v>
      </c>
      <c r="R14" s="153">
        <f t="shared" si="4"/>
        <v>36.003100000000003</v>
      </c>
      <c r="S14" s="164">
        <f t="shared" si="5"/>
        <v>20740.3778232</v>
      </c>
    </row>
    <row r="15" spans="2:19" s="76" customFormat="1" ht="41.4" customHeight="1" x14ac:dyDescent="0.3">
      <c r="B15" s="299"/>
      <c r="C15" s="275"/>
      <c r="D15" s="305" t="s">
        <v>32</v>
      </c>
      <c r="E15" s="88" t="s">
        <v>116</v>
      </c>
      <c r="F15" s="165">
        <v>2880</v>
      </c>
      <c r="G15" s="166">
        <v>2074</v>
      </c>
      <c r="H15" s="167">
        <v>1</v>
      </c>
      <c r="I15" s="168">
        <f t="shared" si="7"/>
        <v>2074</v>
      </c>
      <c r="J15" s="138">
        <v>0.25</v>
      </c>
      <c r="K15" s="169">
        <f t="shared" si="6"/>
        <v>518.5</v>
      </c>
      <c r="L15" s="170">
        <f t="shared" si="8"/>
        <v>806</v>
      </c>
      <c r="M15" s="167">
        <v>1</v>
      </c>
      <c r="N15" s="168">
        <f t="shared" si="1"/>
        <v>806</v>
      </c>
      <c r="O15" s="138">
        <v>5.0099999999999999E-2</v>
      </c>
      <c r="P15" s="162">
        <f t="shared" si="2"/>
        <v>40.380600000000001</v>
      </c>
      <c r="Q15" s="163">
        <f t="shared" si="3"/>
        <v>558.88059999999996</v>
      </c>
      <c r="R15" s="153">
        <f t="shared" si="4"/>
        <v>36.003100000000003</v>
      </c>
      <c r="S15" s="164">
        <f t="shared" si="5"/>
        <v>20121.434129860001</v>
      </c>
    </row>
    <row r="16" spans="2:19" s="76" customFormat="1" ht="27.6" x14ac:dyDescent="0.3">
      <c r="B16" s="299"/>
      <c r="C16" s="275"/>
      <c r="D16" s="306"/>
      <c r="E16" s="88" t="s">
        <v>119</v>
      </c>
      <c r="F16" s="165">
        <v>2880</v>
      </c>
      <c r="G16" s="166">
        <v>2074</v>
      </c>
      <c r="H16" s="167">
        <v>1</v>
      </c>
      <c r="I16" s="168">
        <f t="shared" si="7"/>
        <v>2074</v>
      </c>
      <c r="J16" s="138">
        <v>0.5</v>
      </c>
      <c r="K16" s="169">
        <f t="shared" si="6"/>
        <v>1037</v>
      </c>
      <c r="L16" s="170">
        <v>806</v>
      </c>
      <c r="M16" s="167">
        <v>1</v>
      </c>
      <c r="N16" s="168">
        <f t="shared" si="1"/>
        <v>806</v>
      </c>
      <c r="O16" s="138">
        <v>0</v>
      </c>
      <c r="P16" s="162">
        <f t="shared" si="2"/>
        <v>0</v>
      </c>
      <c r="Q16" s="163">
        <f t="shared" si="3"/>
        <v>1037</v>
      </c>
      <c r="R16" s="153">
        <f t="shared" si="4"/>
        <v>36.003100000000003</v>
      </c>
      <c r="S16" s="164">
        <f t="shared" si="5"/>
        <v>37335.214700000004</v>
      </c>
    </row>
    <row r="17" spans="2:19" ht="55.2" customHeight="1" x14ac:dyDescent="0.3">
      <c r="B17" s="299"/>
      <c r="C17" s="275"/>
      <c r="D17" s="274" t="s">
        <v>93</v>
      </c>
      <c r="E17" s="88" t="s">
        <v>116</v>
      </c>
      <c r="F17" s="165">
        <v>279</v>
      </c>
      <c r="G17" s="166">
        <v>218</v>
      </c>
      <c r="H17" s="167">
        <v>1</v>
      </c>
      <c r="I17" s="168">
        <f t="shared" si="7"/>
        <v>218</v>
      </c>
      <c r="J17" s="138">
        <v>0.25</v>
      </c>
      <c r="K17" s="169">
        <f t="shared" si="6"/>
        <v>54.5</v>
      </c>
      <c r="L17" s="170">
        <v>61</v>
      </c>
      <c r="M17" s="167">
        <v>1</v>
      </c>
      <c r="N17" s="168">
        <f t="shared" si="1"/>
        <v>61</v>
      </c>
      <c r="O17" s="138">
        <v>5.0099999999999999E-2</v>
      </c>
      <c r="P17" s="162">
        <f t="shared" si="2"/>
        <v>3.0560999999999998</v>
      </c>
      <c r="Q17" s="163">
        <f t="shared" si="3"/>
        <v>57.556100000000001</v>
      </c>
      <c r="R17" s="153">
        <f t="shared" si="4"/>
        <v>36.003100000000003</v>
      </c>
      <c r="S17" s="164">
        <f t="shared" si="5"/>
        <v>2072.1980239100003</v>
      </c>
    </row>
    <row r="18" spans="2:19" ht="27.6" x14ac:dyDescent="0.3">
      <c r="B18" s="299"/>
      <c r="C18" s="275"/>
      <c r="D18" s="276"/>
      <c r="E18" s="88" t="s">
        <v>119</v>
      </c>
      <c r="F18" s="165">
        <v>279</v>
      </c>
      <c r="G18" s="166">
        <v>218</v>
      </c>
      <c r="H18" s="167">
        <v>1</v>
      </c>
      <c r="I18" s="168">
        <f t="shared" si="7"/>
        <v>218</v>
      </c>
      <c r="J18" s="138">
        <v>0.5</v>
      </c>
      <c r="K18" s="169">
        <f t="shared" si="6"/>
        <v>109</v>
      </c>
      <c r="L18" s="170">
        <v>61</v>
      </c>
      <c r="M18" s="167">
        <v>1</v>
      </c>
      <c r="N18" s="168">
        <f t="shared" si="1"/>
        <v>61</v>
      </c>
      <c r="O18" s="138">
        <v>0</v>
      </c>
      <c r="P18" s="162">
        <f t="shared" si="2"/>
        <v>0</v>
      </c>
      <c r="Q18" s="163">
        <f t="shared" si="3"/>
        <v>109</v>
      </c>
      <c r="R18" s="153">
        <f t="shared" si="4"/>
        <v>36.003100000000003</v>
      </c>
      <c r="S18" s="164">
        <f t="shared" si="5"/>
        <v>3924.3379000000004</v>
      </c>
    </row>
    <row r="19" spans="2:19" ht="55.2" customHeight="1" x14ac:dyDescent="0.3">
      <c r="B19" s="299"/>
      <c r="C19" s="275"/>
      <c r="D19" s="274" t="s">
        <v>94</v>
      </c>
      <c r="E19" s="88" t="s">
        <v>116</v>
      </c>
      <c r="F19" s="165">
        <v>262</v>
      </c>
      <c r="G19" s="166">
        <v>218</v>
      </c>
      <c r="H19" s="167">
        <v>1</v>
      </c>
      <c r="I19" s="168">
        <f t="shared" si="7"/>
        <v>218</v>
      </c>
      <c r="J19" s="138">
        <v>0.25</v>
      </c>
      <c r="K19" s="169">
        <f t="shared" si="6"/>
        <v>54.5</v>
      </c>
      <c r="L19" s="170">
        <f t="shared" si="8"/>
        <v>44</v>
      </c>
      <c r="M19" s="167">
        <v>1</v>
      </c>
      <c r="N19" s="168">
        <f t="shared" si="1"/>
        <v>44</v>
      </c>
      <c r="O19" s="138">
        <v>5.0099999999999999E-2</v>
      </c>
      <c r="P19" s="162">
        <f t="shared" si="2"/>
        <v>2.2044000000000001</v>
      </c>
      <c r="Q19" s="163">
        <f t="shared" si="3"/>
        <v>56.7044</v>
      </c>
      <c r="R19" s="153">
        <f t="shared" si="4"/>
        <v>36.003100000000003</v>
      </c>
      <c r="S19" s="164">
        <f t="shared" si="5"/>
        <v>2041.5341836400003</v>
      </c>
    </row>
    <row r="20" spans="2:19" ht="27.6" x14ac:dyDescent="0.3">
      <c r="B20" s="299"/>
      <c r="C20" s="275"/>
      <c r="D20" s="276"/>
      <c r="E20" s="88" t="s">
        <v>119</v>
      </c>
      <c r="F20" s="165">
        <v>262</v>
      </c>
      <c r="G20" s="166">
        <v>218</v>
      </c>
      <c r="H20" s="167">
        <v>1</v>
      </c>
      <c r="I20" s="168">
        <f t="shared" si="7"/>
        <v>218</v>
      </c>
      <c r="J20" s="138">
        <v>0.5</v>
      </c>
      <c r="K20" s="169">
        <f t="shared" si="6"/>
        <v>109</v>
      </c>
      <c r="L20" s="170">
        <f t="shared" si="8"/>
        <v>44</v>
      </c>
      <c r="M20" s="167">
        <v>1</v>
      </c>
      <c r="N20" s="168">
        <f t="shared" si="1"/>
        <v>44</v>
      </c>
      <c r="O20" s="138">
        <v>0</v>
      </c>
      <c r="P20" s="162">
        <f t="shared" si="2"/>
        <v>0</v>
      </c>
      <c r="Q20" s="163">
        <f t="shared" si="3"/>
        <v>109</v>
      </c>
      <c r="R20" s="153">
        <f t="shared" si="4"/>
        <v>36.003100000000003</v>
      </c>
      <c r="S20" s="164">
        <f t="shared" si="5"/>
        <v>3924.3379000000004</v>
      </c>
    </row>
    <row r="21" spans="2:19" ht="19.95" customHeight="1" x14ac:dyDescent="0.3">
      <c r="B21" s="299"/>
      <c r="C21" s="276"/>
      <c r="D21" s="85" t="s">
        <v>169</v>
      </c>
      <c r="E21" s="88" t="s">
        <v>118</v>
      </c>
      <c r="F21" s="156">
        <v>5880</v>
      </c>
      <c r="G21" s="150">
        <f>0.35*F21</f>
        <v>2058</v>
      </c>
      <c r="H21" s="158">
        <v>1</v>
      </c>
      <c r="I21" s="150">
        <f t="shared" si="7"/>
        <v>2058</v>
      </c>
      <c r="J21" s="138">
        <v>0.43890000000000001</v>
      </c>
      <c r="K21" s="160">
        <f t="shared" si="6"/>
        <v>903.25620000000004</v>
      </c>
      <c r="L21" s="150">
        <f>+F21-G21</f>
        <v>3822</v>
      </c>
      <c r="M21" s="158">
        <v>1</v>
      </c>
      <c r="N21" s="150">
        <f t="shared" si="1"/>
        <v>3822</v>
      </c>
      <c r="O21" s="161">
        <v>5.0099999999999999E-2</v>
      </c>
      <c r="P21" s="171">
        <f t="shared" si="2"/>
        <v>191.48220000000001</v>
      </c>
      <c r="Q21" s="172">
        <f t="shared" si="3"/>
        <v>1094.7384</v>
      </c>
      <c r="R21" s="153">
        <f t="shared" si="4"/>
        <v>36.003100000000003</v>
      </c>
      <c r="S21" s="174">
        <f t="shared" si="5"/>
        <v>39413.976089039999</v>
      </c>
    </row>
    <row r="22" spans="2:19" ht="14.4" customHeight="1" x14ac:dyDescent="0.3">
      <c r="B22" s="299"/>
      <c r="C22" s="274" t="s">
        <v>31</v>
      </c>
      <c r="D22" s="274" t="s">
        <v>190</v>
      </c>
      <c r="E22" s="88" t="s">
        <v>110</v>
      </c>
      <c r="F22" s="165">
        <v>774</v>
      </c>
      <c r="G22" s="175">
        <v>549</v>
      </c>
      <c r="H22" s="167">
        <v>1</v>
      </c>
      <c r="I22" s="168">
        <f t="shared" si="7"/>
        <v>549</v>
      </c>
      <c r="J22" s="138">
        <v>5.0099999999999999E-2</v>
      </c>
      <c r="K22" s="169">
        <f t="shared" si="6"/>
        <v>27.504899999999999</v>
      </c>
      <c r="L22" s="175">
        <v>225</v>
      </c>
      <c r="M22" s="158">
        <v>1</v>
      </c>
      <c r="N22" s="150">
        <f t="shared" si="1"/>
        <v>225</v>
      </c>
      <c r="O22" s="161">
        <v>5.0099999999999999E-2</v>
      </c>
      <c r="P22" s="162">
        <f t="shared" si="2"/>
        <v>11.272499999999999</v>
      </c>
      <c r="Q22" s="163">
        <f t="shared" si="3"/>
        <v>38.7774</v>
      </c>
      <c r="R22" s="153">
        <f t="shared" si="4"/>
        <v>36.003100000000003</v>
      </c>
      <c r="S22" s="177">
        <f t="shared" si="5"/>
        <v>1396.1066099400002</v>
      </c>
    </row>
    <row r="23" spans="2:19" ht="27.6" x14ac:dyDescent="0.3">
      <c r="B23" s="299"/>
      <c r="C23" s="275"/>
      <c r="D23" s="275"/>
      <c r="E23" s="88" t="s">
        <v>111</v>
      </c>
      <c r="F23" s="165">
        <v>774</v>
      </c>
      <c r="G23" s="175">
        <v>549</v>
      </c>
      <c r="H23" s="167">
        <v>1</v>
      </c>
      <c r="I23" s="168">
        <f t="shared" si="7"/>
        <v>549</v>
      </c>
      <c r="J23" s="138">
        <v>1.67E-2</v>
      </c>
      <c r="K23" s="169">
        <f t="shared" si="6"/>
        <v>9.1683000000000003</v>
      </c>
      <c r="L23" s="175">
        <v>225</v>
      </c>
      <c r="M23" s="158">
        <v>1</v>
      </c>
      <c r="N23" s="150">
        <f t="shared" si="1"/>
        <v>225</v>
      </c>
      <c r="O23" s="161">
        <v>1.67E-2</v>
      </c>
      <c r="P23" s="162">
        <f t="shared" si="2"/>
        <v>3.7574999999999998</v>
      </c>
      <c r="Q23" s="163">
        <f t="shared" si="3"/>
        <v>12.925800000000001</v>
      </c>
      <c r="R23" s="153">
        <f t="shared" si="4"/>
        <v>36.003100000000003</v>
      </c>
      <c r="S23" s="177">
        <f t="shared" si="5"/>
        <v>465.36886998000006</v>
      </c>
    </row>
    <row r="24" spans="2:19" ht="27.6" x14ac:dyDescent="0.3">
      <c r="B24" s="299"/>
      <c r="C24" s="275"/>
      <c r="D24" s="275"/>
      <c r="E24" s="88" t="s">
        <v>159</v>
      </c>
      <c r="F24" s="165">
        <v>774</v>
      </c>
      <c r="G24" s="175">
        <v>549</v>
      </c>
      <c r="H24" s="167">
        <v>1</v>
      </c>
      <c r="I24" s="168">
        <f t="shared" si="7"/>
        <v>549</v>
      </c>
      <c r="J24" s="138">
        <v>5.0099999999999999E-2</v>
      </c>
      <c r="K24" s="169">
        <f t="shared" si="6"/>
        <v>27.504899999999999</v>
      </c>
      <c r="L24" s="175">
        <v>225</v>
      </c>
      <c r="M24" s="158">
        <v>1</v>
      </c>
      <c r="N24" s="150">
        <f t="shared" si="1"/>
        <v>225</v>
      </c>
      <c r="O24" s="161">
        <v>5.0099999999999999E-2</v>
      </c>
      <c r="P24" s="162">
        <f t="shared" si="2"/>
        <v>11.272499999999999</v>
      </c>
      <c r="Q24" s="163">
        <f t="shared" si="3"/>
        <v>38.7774</v>
      </c>
      <c r="R24" s="153">
        <f t="shared" si="4"/>
        <v>36.003100000000003</v>
      </c>
      <c r="S24" s="177">
        <f t="shared" si="5"/>
        <v>1396.1066099400002</v>
      </c>
    </row>
    <row r="25" spans="2:19" ht="27.6" x14ac:dyDescent="0.3">
      <c r="B25" s="299"/>
      <c r="C25" s="275"/>
      <c r="D25" s="275"/>
      <c r="E25" s="88" t="s">
        <v>160</v>
      </c>
      <c r="F25" s="165">
        <v>774</v>
      </c>
      <c r="G25" s="175">
        <v>549</v>
      </c>
      <c r="H25" s="167">
        <v>1</v>
      </c>
      <c r="I25" s="168">
        <f t="shared" si="7"/>
        <v>549</v>
      </c>
      <c r="J25" s="138">
        <v>0.16700000000000001</v>
      </c>
      <c r="K25" s="169">
        <f t="shared" si="6"/>
        <v>91.683000000000007</v>
      </c>
      <c r="L25" s="175">
        <v>225</v>
      </c>
      <c r="M25" s="158">
        <v>1</v>
      </c>
      <c r="N25" s="150">
        <f t="shared" si="1"/>
        <v>225</v>
      </c>
      <c r="O25" s="161">
        <v>0</v>
      </c>
      <c r="P25" s="162">
        <f t="shared" si="2"/>
        <v>0</v>
      </c>
      <c r="Q25" s="163">
        <f t="shared" si="3"/>
        <v>91.683000000000007</v>
      </c>
      <c r="R25" s="153">
        <f t="shared" si="4"/>
        <v>36.003100000000003</v>
      </c>
      <c r="S25" s="177">
        <f t="shared" si="5"/>
        <v>3300.8722173000006</v>
      </c>
    </row>
    <row r="26" spans="2:19" ht="27.6" x14ac:dyDescent="0.3">
      <c r="B26" s="299"/>
      <c r="C26" s="275"/>
      <c r="D26" s="275"/>
      <c r="E26" s="88" t="s">
        <v>161</v>
      </c>
      <c r="F26" s="165">
        <v>774</v>
      </c>
      <c r="G26" s="175">
        <v>549</v>
      </c>
      <c r="H26" s="167">
        <v>1</v>
      </c>
      <c r="I26" s="168">
        <f t="shared" si="7"/>
        <v>549</v>
      </c>
      <c r="J26" s="138">
        <v>0.33400000000000002</v>
      </c>
      <c r="K26" s="169">
        <f t="shared" si="6"/>
        <v>183.36600000000001</v>
      </c>
      <c r="L26" s="175">
        <v>225</v>
      </c>
      <c r="M26" s="158">
        <v>1</v>
      </c>
      <c r="N26" s="150">
        <f t="shared" si="1"/>
        <v>225</v>
      </c>
      <c r="O26" s="161">
        <v>0</v>
      </c>
      <c r="P26" s="162">
        <f t="shared" si="2"/>
        <v>0</v>
      </c>
      <c r="Q26" s="163">
        <f t="shared" si="3"/>
        <v>183.36600000000001</v>
      </c>
      <c r="R26" s="153">
        <f t="shared" si="4"/>
        <v>36.003100000000003</v>
      </c>
      <c r="S26" s="177">
        <f t="shared" si="5"/>
        <v>6601.7444346000011</v>
      </c>
    </row>
    <row r="27" spans="2:19" ht="27.6" x14ac:dyDescent="0.3">
      <c r="B27" s="299"/>
      <c r="C27" s="275"/>
      <c r="D27" s="276"/>
      <c r="E27" s="88" t="s">
        <v>162</v>
      </c>
      <c r="F27" s="165">
        <v>549</v>
      </c>
      <c r="G27" s="175">
        <v>549</v>
      </c>
      <c r="H27" s="167">
        <v>1</v>
      </c>
      <c r="I27" s="168">
        <f t="shared" si="7"/>
        <v>549</v>
      </c>
      <c r="J27" s="138">
        <v>1.67E-2</v>
      </c>
      <c r="K27" s="169">
        <f t="shared" si="6"/>
        <v>9.1683000000000003</v>
      </c>
      <c r="L27" s="175">
        <v>0</v>
      </c>
      <c r="M27" s="158">
        <v>1</v>
      </c>
      <c r="N27" s="150">
        <f t="shared" si="1"/>
        <v>0</v>
      </c>
      <c r="O27" s="161">
        <v>0</v>
      </c>
      <c r="P27" s="162">
        <f t="shared" si="2"/>
        <v>0</v>
      </c>
      <c r="Q27" s="163">
        <f t="shared" si="3"/>
        <v>9.1683000000000003</v>
      </c>
      <c r="R27" s="153">
        <f t="shared" si="4"/>
        <v>36.003100000000003</v>
      </c>
      <c r="S27" s="177">
        <f t="shared" si="5"/>
        <v>330.08722173000007</v>
      </c>
    </row>
    <row r="28" spans="2:19" ht="27.6" x14ac:dyDescent="0.3">
      <c r="B28" s="299"/>
      <c r="C28" s="275"/>
      <c r="D28" s="85" t="s">
        <v>170</v>
      </c>
      <c r="E28" s="88" t="s">
        <v>165</v>
      </c>
      <c r="F28" s="156">
        <v>549</v>
      </c>
      <c r="G28" s="157">
        <v>411</v>
      </c>
      <c r="H28" s="158">
        <v>1</v>
      </c>
      <c r="I28" s="159">
        <f t="shared" si="7"/>
        <v>411</v>
      </c>
      <c r="J28" s="138">
        <f>0.167</f>
        <v>0.16700000000000001</v>
      </c>
      <c r="K28" s="160">
        <f t="shared" si="6"/>
        <v>68.637</v>
      </c>
      <c r="L28" s="178">
        <f t="shared" si="8"/>
        <v>138</v>
      </c>
      <c r="M28" s="158">
        <v>1</v>
      </c>
      <c r="N28" s="159">
        <f t="shared" si="1"/>
        <v>138</v>
      </c>
      <c r="O28" s="179">
        <v>6.6799999999999998E-2</v>
      </c>
      <c r="P28" s="151">
        <f t="shared" si="2"/>
        <v>9.218399999999999</v>
      </c>
      <c r="Q28" s="155">
        <f t="shared" si="3"/>
        <v>77.855400000000003</v>
      </c>
      <c r="R28" s="153">
        <f t="shared" si="4"/>
        <v>36.003100000000003</v>
      </c>
      <c r="S28" s="154">
        <f t="shared" si="5"/>
        <v>2803.0357517400003</v>
      </c>
    </row>
    <row r="29" spans="2:19" x14ac:dyDescent="0.3">
      <c r="B29" s="299"/>
      <c r="C29" s="276"/>
      <c r="D29" s="82" t="s">
        <v>169</v>
      </c>
      <c r="E29" s="88" t="s">
        <v>118</v>
      </c>
      <c r="F29" s="156">
        <v>774</v>
      </c>
      <c r="G29" s="157">
        <f>ROUNDDOWN(0.35*F29,0)</f>
        <v>270</v>
      </c>
      <c r="H29" s="158">
        <v>1</v>
      </c>
      <c r="I29" s="159">
        <f t="shared" si="7"/>
        <v>270</v>
      </c>
      <c r="J29" s="138">
        <v>0.43890000000000001</v>
      </c>
      <c r="K29" s="160">
        <f t="shared" si="6"/>
        <v>118.503</v>
      </c>
      <c r="L29" s="178">
        <f t="shared" si="8"/>
        <v>504</v>
      </c>
      <c r="M29" s="158">
        <v>1</v>
      </c>
      <c r="N29" s="159">
        <f t="shared" si="1"/>
        <v>504</v>
      </c>
      <c r="O29" s="161">
        <v>5.0099999999999999E-2</v>
      </c>
      <c r="P29" s="151">
        <f t="shared" si="2"/>
        <v>25.250399999999999</v>
      </c>
      <c r="Q29" s="155">
        <f t="shared" si="3"/>
        <v>143.7534</v>
      </c>
      <c r="R29" s="153">
        <f t="shared" si="4"/>
        <v>36.003100000000003</v>
      </c>
      <c r="S29" s="154">
        <f t="shared" si="5"/>
        <v>5175.5680355400009</v>
      </c>
    </row>
    <row r="30" spans="2:19" ht="27.6" customHeight="1" x14ac:dyDescent="0.3">
      <c r="B30" s="299"/>
      <c r="C30" s="274" t="s">
        <v>33</v>
      </c>
      <c r="D30" s="274" t="s">
        <v>99</v>
      </c>
      <c r="E30" s="88" t="s">
        <v>120</v>
      </c>
      <c r="F30" s="156">
        <v>695</v>
      </c>
      <c r="G30" s="157">
        <v>597</v>
      </c>
      <c r="H30" s="167">
        <v>1</v>
      </c>
      <c r="I30" s="168">
        <f t="shared" si="7"/>
        <v>597</v>
      </c>
      <c r="J30" s="138">
        <v>5.0099999999999999E-2</v>
      </c>
      <c r="K30" s="169">
        <f t="shared" si="6"/>
        <v>29.909700000000001</v>
      </c>
      <c r="L30" s="170">
        <v>98</v>
      </c>
      <c r="M30" s="167">
        <v>1</v>
      </c>
      <c r="N30" s="168">
        <f t="shared" si="1"/>
        <v>98</v>
      </c>
      <c r="O30" s="138">
        <v>5.0099999999999999E-2</v>
      </c>
      <c r="P30" s="162">
        <f t="shared" si="2"/>
        <v>4.9097999999999997</v>
      </c>
      <c r="Q30" s="163">
        <f t="shared" si="3"/>
        <v>34.819499999999998</v>
      </c>
      <c r="R30" s="153">
        <f t="shared" si="4"/>
        <v>36.003100000000003</v>
      </c>
      <c r="S30" s="164">
        <f t="shared" si="5"/>
        <v>1253.6099404500001</v>
      </c>
    </row>
    <row r="31" spans="2:19" x14ac:dyDescent="0.3">
      <c r="B31" s="299"/>
      <c r="C31" s="275"/>
      <c r="D31" s="275"/>
      <c r="E31" s="88" t="s">
        <v>110</v>
      </c>
      <c r="F31" s="156">
        <v>695</v>
      </c>
      <c r="G31" s="157">
        <v>597</v>
      </c>
      <c r="H31" s="167">
        <v>1</v>
      </c>
      <c r="I31" s="168">
        <f t="shared" si="7"/>
        <v>597</v>
      </c>
      <c r="J31" s="138">
        <v>5.0099999999999999E-2</v>
      </c>
      <c r="K31" s="169">
        <f t="shared" si="6"/>
        <v>29.909700000000001</v>
      </c>
      <c r="L31" s="170">
        <v>98</v>
      </c>
      <c r="M31" s="167">
        <v>1</v>
      </c>
      <c r="N31" s="168">
        <f t="shared" si="1"/>
        <v>98</v>
      </c>
      <c r="O31" s="138">
        <v>5.0099999999999999E-2</v>
      </c>
      <c r="P31" s="162">
        <f t="shared" si="2"/>
        <v>4.9097999999999997</v>
      </c>
      <c r="Q31" s="163">
        <f t="shared" si="3"/>
        <v>34.819499999999998</v>
      </c>
      <c r="R31" s="153">
        <f t="shared" si="4"/>
        <v>36.003100000000003</v>
      </c>
      <c r="S31" s="164">
        <f t="shared" si="5"/>
        <v>1253.6099404500001</v>
      </c>
    </row>
    <row r="32" spans="2:19" ht="27.6" x14ac:dyDescent="0.3">
      <c r="B32" s="299"/>
      <c r="C32" s="275"/>
      <c r="D32" s="275"/>
      <c r="E32" s="88" t="s">
        <v>121</v>
      </c>
      <c r="F32" s="156">
        <v>695</v>
      </c>
      <c r="G32" s="157">
        <v>597</v>
      </c>
      <c r="H32" s="167">
        <v>1</v>
      </c>
      <c r="I32" s="168">
        <f t="shared" si="7"/>
        <v>597</v>
      </c>
      <c r="J32" s="138">
        <v>0.16700000000000001</v>
      </c>
      <c r="K32" s="169">
        <f t="shared" si="6"/>
        <v>99.699000000000012</v>
      </c>
      <c r="L32" s="170">
        <v>98</v>
      </c>
      <c r="M32" s="167">
        <v>1</v>
      </c>
      <c r="N32" s="168">
        <f t="shared" si="1"/>
        <v>98</v>
      </c>
      <c r="O32" s="138">
        <v>1.67E-2</v>
      </c>
      <c r="P32" s="162">
        <f t="shared" si="2"/>
        <v>1.6366000000000001</v>
      </c>
      <c r="Q32" s="163">
        <f t="shared" si="3"/>
        <v>101.33560000000001</v>
      </c>
      <c r="R32" s="153">
        <f t="shared" si="4"/>
        <v>36.003100000000003</v>
      </c>
      <c r="S32" s="164">
        <f t="shared" si="5"/>
        <v>3648.3957403600007</v>
      </c>
    </row>
    <row r="33" spans="2:19" ht="27.6" x14ac:dyDescent="0.3">
      <c r="B33" s="299"/>
      <c r="C33" s="275"/>
      <c r="D33" s="275"/>
      <c r="E33" s="88" t="s">
        <v>111</v>
      </c>
      <c r="F33" s="156">
        <v>695</v>
      </c>
      <c r="G33" s="157">
        <v>597</v>
      </c>
      <c r="H33" s="167">
        <v>1</v>
      </c>
      <c r="I33" s="168">
        <f t="shared" si="7"/>
        <v>597</v>
      </c>
      <c r="J33" s="138">
        <v>1.67E-2</v>
      </c>
      <c r="K33" s="169">
        <f t="shared" si="6"/>
        <v>9.9698999999999991</v>
      </c>
      <c r="L33" s="170">
        <v>98</v>
      </c>
      <c r="M33" s="167">
        <v>1</v>
      </c>
      <c r="N33" s="168">
        <f t="shared" si="1"/>
        <v>98</v>
      </c>
      <c r="O33" s="138">
        <v>0</v>
      </c>
      <c r="P33" s="162">
        <f t="shared" si="2"/>
        <v>0</v>
      </c>
      <c r="Q33" s="163">
        <f t="shared" si="3"/>
        <v>9.9698999999999991</v>
      </c>
      <c r="R33" s="153">
        <f t="shared" si="4"/>
        <v>36.003100000000003</v>
      </c>
      <c r="S33" s="164">
        <f t="shared" si="5"/>
        <v>358.94730669</v>
      </c>
    </row>
    <row r="34" spans="2:19" ht="27.6" x14ac:dyDescent="0.3">
      <c r="B34" s="299"/>
      <c r="C34" s="275"/>
      <c r="D34" s="275"/>
      <c r="E34" s="88" t="s">
        <v>122</v>
      </c>
      <c r="F34" s="156">
        <v>695</v>
      </c>
      <c r="G34" s="157">
        <v>597</v>
      </c>
      <c r="H34" s="167">
        <v>1</v>
      </c>
      <c r="I34" s="168">
        <f t="shared" si="7"/>
        <v>597</v>
      </c>
      <c r="J34" s="138">
        <v>0.33400000000000002</v>
      </c>
      <c r="K34" s="169">
        <f t="shared" si="6"/>
        <v>199.39800000000002</v>
      </c>
      <c r="L34" s="170">
        <v>98</v>
      </c>
      <c r="M34" s="167">
        <v>1</v>
      </c>
      <c r="N34" s="168">
        <f t="shared" si="1"/>
        <v>98</v>
      </c>
      <c r="O34" s="138">
        <v>0</v>
      </c>
      <c r="P34" s="162">
        <f t="shared" si="2"/>
        <v>0</v>
      </c>
      <c r="Q34" s="163">
        <f t="shared" si="3"/>
        <v>199.39800000000002</v>
      </c>
      <c r="R34" s="153">
        <f t="shared" si="4"/>
        <v>36.003100000000003</v>
      </c>
      <c r="S34" s="164">
        <f t="shared" si="5"/>
        <v>7178.9461338000019</v>
      </c>
    </row>
    <row r="35" spans="2:19" ht="27.6" x14ac:dyDescent="0.3">
      <c r="B35" s="299"/>
      <c r="C35" s="275"/>
      <c r="D35" s="276"/>
      <c r="E35" s="88" t="s">
        <v>123</v>
      </c>
      <c r="F35" s="156">
        <v>597</v>
      </c>
      <c r="G35" s="157">
        <v>597</v>
      </c>
      <c r="H35" s="167">
        <v>1</v>
      </c>
      <c r="I35" s="168">
        <f t="shared" si="7"/>
        <v>597</v>
      </c>
      <c r="J35" s="138">
        <v>1.67E-2</v>
      </c>
      <c r="K35" s="169">
        <f t="shared" si="6"/>
        <v>9.9698999999999991</v>
      </c>
      <c r="L35" s="170">
        <v>0</v>
      </c>
      <c r="M35" s="167">
        <v>1</v>
      </c>
      <c r="N35" s="168">
        <f t="shared" si="1"/>
        <v>0</v>
      </c>
      <c r="O35" s="138">
        <v>0</v>
      </c>
      <c r="P35" s="162">
        <f t="shared" si="2"/>
        <v>0</v>
      </c>
      <c r="Q35" s="163">
        <f t="shared" si="3"/>
        <v>9.9698999999999991</v>
      </c>
      <c r="R35" s="153">
        <f t="shared" si="4"/>
        <v>36.003100000000003</v>
      </c>
      <c r="S35" s="164">
        <f t="shared" si="5"/>
        <v>358.94730669</v>
      </c>
    </row>
    <row r="36" spans="2:19" x14ac:dyDescent="0.3">
      <c r="B36" s="299"/>
      <c r="C36" s="276"/>
      <c r="D36" s="82" t="s">
        <v>169</v>
      </c>
      <c r="E36" s="87" t="s">
        <v>118</v>
      </c>
      <c r="F36" s="156">
        <v>695</v>
      </c>
      <c r="G36" s="157">
        <f>0.35*F36</f>
        <v>243.24999999999997</v>
      </c>
      <c r="H36" s="158">
        <v>1</v>
      </c>
      <c r="I36" s="159">
        <f t="shared" si="7"/>
        <v>243.24999999999997</v>
      </c>
      <c r="J36" s="138">
        <v>0.43890000000000001</v>
      </c>
      <c r="K36" s="160">
        <f t="shared" si="6"/>
        <v>106.76242499999999</v>
      </c>
      <c r="L36" s="178">
        <f t="shared" si="8"/>
        <v>451.75</v>
      </c>
      <c r="M36" s="158">
        <v>1</v>
      </c>
      <c r="N36" s="159">
        <f t="shared" si="1"/>
        <v>451.75</v>
      </c>
      <c r="O36" s="161">
        <v>5.0099999999999999E-2</v>
      </c>
      <c r="P36" s="151">
        <f t="shared" si="2"/>
        <v>22.632674999999999</v>
      </c>
      <c r="Q36" s="155">
        <f t="shared" si="3"/>
        <v>129.39509999999999</v>
      </c>
      <c r="R36" s="153">
        <f t="shared" si="4"/>
        <v>36.003100000000003</v>
      </c>
      <c r="S36" s="154">
        <f t="shared" si="5"/>
        <v>4658.6247248099999</v>
      </c>
    </row>
    <row r="37" spans="2:19" ht="27.6" x14ac:dyDescent="0.3">
      <c r="B37" s="299"/>
      <c r="C37" s="82" t="s">
        <v>26</v>
      </c>
      <c r="D37" s="82" t="s">
        <v>171</v>
      </c>
      <c r="E37" s="88" t="s">
        <v>148</v>
      </c>
      <c r="F37" s="156">
        <v>2880</v>
      </c>
      <c r="G37" s="157">
        <v>2160</v>
      </c>
      <c r="H37" s="158">
        <v>1</v>
      </c>
      <c r="I37" s="159">
        <f t="shared" si="7"/>
        <v>2160</v>
      </c>
      <c r="J37" s="138">
        <v>8.3500000000000005E-2</v>
      </c>
      <c r="K37" s="160">
        <f t="shared" si="6"/>
        <v>180.36</v>
      </c>
      <c r="L37" s="178">
        <f t="shared" si="8"/>
        <v>720</v>
      </c>
      <c r="M37" s="158">
        <v>1</v>
      </c>
      <c r="N37" s="159">
        <f t="shared" si="1"/>
        <v>720</v>
      </c>
      <c r="O37" s="161">
        <v>5.0099999999999999E-2</v>
      </c>
      <c r="P37" s="151">
        <f t="shared" si="2"/>
        <v>36.071999999999996</v>
      </c>
      <c r="Q37" s="155">
        <f t="shared" si="3"/>
        <v>216.43200000000002</v>
      </c>
      <c r="R37" s="173" t="s">
        <v>17</v>
      </c>
      <c r="S37" s="154">
        <v>0</v>
      </c>
    </row>
    <row r="38" spans="2:19" ht="41.4" x14ac:dyDescent="0.3">
      <c r="B38" s="299"/>
      <c r="C38" s="274" t="s">
        <v>88</v>
      </c>
      <c r="D38" s="82" t="s">
        <v>172</v>
      </c>
      <c r="E38" s="89" t="s">
        <v>149</v>
      </c>
      <c r="F38" s="156">
        <v>1280</v>
      </c>
      <c r="G38" s="180">
        <v>960</v>
      </c>
      <c r="H38" s="181">
        <v>1</v>
      </c>
      <c r="I38" s="182">
        <f>G38*H38</f>
        <v>960</v>
      </c>
      <c r="J38" s="183">
        <v>0.16700000000000001</v>
      </c>
      <c r="K38" s="184">
        <f>I38*J38</f>
        <v>160.32000000000002</v>
      </c>
      <c r="L38" s="185">
        <f>+F38-G38</f>
        <v>320</v>
      </c>
      <c r="M38" s="181">
        <v>1</v>
      </c>
      <c r="N38" s="182">
        <f>L38*M38</f>
        <v>320</v>
      </c>
      <c r="O38" s="161">
        <v>5.0099999999999999E-2</v>
      </c>
      <c r="P38" s="186">
        <f>N38*O38</f>
        <v>16.032</v>
      </c>
      <c r="Q38" s="187">
        <f>K38+P38</f>
        <v>176.35200000000003</v>
      </c>
      <c r="R38" s="188" t="s">
        <v>17</v>
      </c>
      <c r="S38" s="189">
        <v>0</v>
      </c>
    </row>
    <row r="39" spans="2:19" ht="28.2" thickBot="1" x14ac:dyDescent="0.35">
      <c r="B39" s="300"/>
      <c r="C39" s="307"/>
      <c r="D39" s="86" t="s">
        <v>173</v>
      </c>
      <c r="E39" s="90" t="s">
        <v>118</v>
      </c>
      <c r="F39" s="190">
        <v>1680</v>
      </c>
      <c r="G39" s="191">
        <f>0.35*F39</f>
        <v>588</v>
      </c>
      <c r="H39" s="192">
        <v>1</v>
      </c>
      <c r="I39" s="193">
        <f>G39*H39</f>
        <v>588</v>
      </c>
      <c r="J39" s="194">
        <v>0.43890000000000001</v>
      </c>
      <c r="K39" s="195">
        <f>I39*J39</f>
        <v>258.07319999999999</v>
      </c>
      <c r="L39" s="196">
        <f>+F39-G39</f>
        <v>1092</v>
      </c>
      <c r="M39" s="192">
        <v>1</v>
      </c>
      <c r="N39" s="193">
        <f>L39*M39</f>
        <v>1092</v>
      </c>
      <c r="O39" s="197">
        <v>5.0099999999999999E-2</v>
      </c>
      <c r="P39" s="198">
        <f>N39*O39</f>
        <v>54.709199999999996</v>
      </c>
      <c r="Q39" s="199">
        <f>K39+P39</f>
        <v>312.7824</v>
      </c>
      <c r="R39" s="200" t="s">
        <v>17</v>
      </c>
      <c r="S39" s="201">
        <v>0</v>
      </c>
    </row>
    <row r="40" spans="2:19" ht="15" customHeight="1" thickTop="1" thickBot="1" x14ac:dyDescent="0.35">
      <c r="B40" s="281" t="s">
        <v>18</v>
      </c>
      <c r="C40" s="282"/>
      <c r="D40" s="282"/>
      <c r="E40" s="133"/>
      <c r="F40" s="202">
        <f>SUM(F5+F22+F30+F37+F39)</f>
        <v>11909</v>
      </c>
      <c r="G40" s="203">
        <f>SUM(G5+G22+G30+G37+G38)</f>
        <v>8441</v>
      </c>
      <c r="H40" s="204">
        <f>I40/G40</f>
        <v>1.9762172728349721</v>
      </c>
      <c r="I40" s="205">
        <f>SUM(I5+I11+I15+I17++I19+I21+I22+I28+I29+I30+I36+I37+I38+I39)</f>
        <v>16681.25</v>
      </c>
      <c r="J40" s="206">
        <f>+K40/I40</f>
        <v>0.56107344623454491</v>
      </c>
      <c r="K40" s="207">
        <f>SUM(K5:K39)</f>
        <v>9359.4064250000029</v>
      </c>
      <c r="L40" s="203">
        <f>SUM(L5+L11+L17+L19+L22+L28+L30+L37+L38)</f>
        <v>4031</v>
      </c>
      <c r="M40" s="204">
        <f>N40/L40</f>
        <v>2.6561027040436618</v>
      </c>
      <c r="N40" s="203">
        <f>SUM(N5+N11+N15+N17+N19+N21+N22+N28+N29+N30+N36+N37+N38+N39)</f>
        <v>10706.75</v>
      </c>
      <c r="O40" s="208">
        <f>P40/N40</f>
        <v>6.5214110257547822E-2</v>
      </c>
      <c r="P40" s="209">
        <f>SUM(P5:P39)</f>
        <v>698.23117500000012</v>
      </c>
      <c r="Q40" s="210">
        <f t="shared" ref="Q40" si="9">K40+P40</f>
        <v>10057.637600000004</v>
      </c>
      <c r="R40" s="211" t="s">
        <v>17</v>
      </c>
      <c r="S40" s="212">
        <f>SUM(S5:S39)</f>
        <v>336703.55462071998</v>
      </c>
    </row>
    <row r="41" spans="2:19" ht="28.2" thickTop="1" x14ac:dyDescent="0.3">
      <c r="B41" s="261" t="s">
        <v>257</v>
      </c>
      <c r="C41" s="263" t="s">
        <v>258</v>
      </c>
      <c r="D41" s="265" t="s">
        <v>259</v>
      </c>
      <c r="E41" s="88" t="s">
        <v>166</v>
      </c>
      <c r="F41" s="217" t="s">
        <v>126</v>
      </c>
      <c r="G41" s="159">
        <v>25</v>
      </c>
      <c r="H41" s="218">
        <v>1</v>
      </c>
      <c r="I41" s="159">
        <f t="shared" ref="I41:I44" si="10">+G41*H41</f>
        <v>25</v>
      </c>
      <c r="J41" s="138">
        <v>0.33339999999999997</v>
      </c>
      <c r="K41" s="136">
        <f t="shared" ref="K41:K44" si="11">+I41*J41</f>
        <v>8.3349999999999991</v>
      </c>
      <c r="L41" s="168">
        <f t="shared" ref="L41:L44" si="12">F41-G41</f>
        <v>0</v>
      </c>
      <c r="M41" s="167">
        <v>0</v>
      </c>
      <c r="N41" s="168">
        <f t="shared" ref="N41:N44" si="13">+L41*M41</f>
        <v>0</v>
      </c>
      <c r="O41" s="138">
        <v>0</v>
      </c>
      <c r="P41" s="216">
        <f t="shared" ref="P41:P44" si="14">N41*O41</f>
        <v>0</v>
      </c>
      <c r="Q41" s="140">
        <f t="shared" ref="Q41:Q44" si="15">+P41+K41</f>
        <v>8.3349999999999991</v>
      </c>
      <c r="R41" s="176">
        <f>51.98*1.33</f>
        <v>69.133399999999995</v>
      </c>
      <c r="S41" s="142">
        <f t="shared" ref="S41:S44" si="16">R41*Q41</f>
        <v>576.22688899999991</v>
      </c>
    </row>
    <row r="42" spans="2:19" ht="27.6" x14ac:dyDescent="0.3">
      <c r="B42" s="261"/>
      <c r="C42" s="263"/>
      <c r="D42" s="265"/>
      <c r="E42" s="88" t="s">
        <v>124</v>
      </c>
      <c r="F42" s="217" t="s">
        <v>126</v>
      </c>
      <c r="G42" s="159">
        <v>25</v>
      </c>
      <c r="H42" s="218">
        <v>1</v>
      </c>
      <c r="I42" s="159">
        <f t="shared" si="10"/>
        <v>25</v>
      </c>
      <c r="J42" s="138">
        <v>0.33339999999999997</v>
      </c>
      <c r="K42" s="136">
        <f t="shared" si="11"/>
        <v>8.3349999999999991</v>
      </c>
      <c r="L42" s="168">
        <f t="shared" si="12"/>
        <v>0</v>
      </c>
      <c r="M42" s="167">
        <v>0</v>
      </c>
      <c r="N42" s="168">
        <f t="shared" si="13"/>
        <v>0</v>
      </c>
      <c r="O42" s="138">
        <v>0</v>
      </c>
      <c r="P42" s="216">
        <f t="shared" si="14"/>
        <v>0</v>
      </c>
      <c r="Q42" s="140">
        <f t="shared" si="15"/>
        <v>8.3349999999999991</v>
      </c>
      <c r="R42" s="176">
        <f>51.98*1.33</f>
        <v>69.133399999999995</v>
      </c>
      <c r="S42" s="142">
        <f t="shared" si="16"/>
        <v>576.22688899999991</v>
      </c>
    </row>
    <row r="43" spans="2:19" ht="27.6" x14ac:dyDescent="0.3">
      <c r="B43" s="261"/>
      <c r="C43" s="263"/>
      <c r="D43" s="265"/>
      <c r="E43" s="88" t="s">
        <v>125</v>
      </c>
      <c r="F43" s="217" t="s">
        <v>126</v>
      </c>
      <c r="G43" s="159">
        <v>25</v>
      </c>
      <c r="H43" s="218">
        <v>1</v>
      </c>
      <c r="I43" s="159">
        <f t="shared" si="10"/>
        <v>25</v>
      </c>
      <c r="J43" s="194">
        <v>0.21709999999999999</v>
      </c>
      <c r="K43" s="136">
        <f t="shared" si="11"/>
        <v>5.4274999999999993</v>
      </c>
      <c r="L43" s="168">
        <f t="shared" si="12"/>
        <v>0</v>
      </c>
      <c r="M43" s="167">
        <v>0</v>
      </c>
      <c r="N43" s="168">
        <f t="shared" si="13"/>
        <v>0</v>
      </c>
      <c r="O43" s="138">
        <v>0</v>
      </c>
      <c r="P43" s="216">
        <f t="shared" si="14"/>
        <v>0</v>
      </c>
      <c r="Q43" s="140">
        <f t="shared" si="15"/>
        <v>5.4274999999999993</v>
      </c>
      <c r="R43" s="176">
        <f>51.98*1.33</f>
        <v>69.133399999999995</v>
      </c>
      <c r="S43" s="142">
        <f t="shared" si="16"/>
        <v>375.22152849999992</v>
      </c>
    </row>
    <row r="44" spans="2:19" ht="22.95" customHeight="1" thickBot="1" x14ac:dyDescent="0.35">
      <c r="B44" s="262"/>
      <c r="C44" s="264"/>
      <c r="D44" s="266"/>
      <c r="E44" s="127" t="s">
        <v>118</v>
      </c>
      <c r="F44" s="217" t="s">
        <v>126</v>
      </c>
      <c r="G44" s="159">
        <v>25</v>
      </c>
      <c r="H44" s="218">
        <v>1</v>
      </c>
      <c r="I44" s="159">
        <f t="shared" si="10"/>
        <v>25</v>
      </c>
      <c r="J44" s="138">
        <v>0.43890000000000001</v>
      </c>
      <c r="K44" s="136">
        <f t="shared" si="11"/>
        <v>10.9725</v>
      </c>
      <c r="L44" s="168">
        <f t="shared" si="12"/>
        <v>0</v>
      </c>
      <c r="M44" s="167">
        <v>0</v>
      </c>
      <c r="N44" s="168">
        <f t="shared" si="13"/>
        <v>0</v>
      </c>
      <c r="O44" s="138">
        <v>0</v>
      </c>
      <c r="P44" s="216">
        <f t="shared" si="14"/>
        <v>0</v>
      </c>
      <c r="Q44" s="140">
        <f t="shared" si="15"/>
        <v>10.9725</v>
      </c>
      <c r="R44" s="176">
        <f>51.98*1.33</f>
        <v>69.133399999999995</v>
      </c>
      <c r="S44" s="142">
        <f t="shared" si="16"/>
        <v>758.56623149999996</v>
      </c>
    </row>
    <row r="45" spans="2:19" ht="15.6" customHeight="1" thickTop="1" thickBot="1" x14ac:dyDescent="0.35">
      <c r="B45" s="281" t="s">
        <v>19</v>
      </c>
      <c r="C45" s="282"/>
      <c r="D45" s="282"/>
      <c r="E45" s="133"/>
      <c r="F45" s="202" t="str">
        <f>F41</f>
        <v>25</v>
      </c>
      <c r="G45" s="219">
        <f>G41</f>
        <v>25</v>
      </c>
      <c r="H45" s="220">
        <f>I45/G45</f>
        <v>1</v>
      </c>
      <c r="I45" s="221">
        <f>I41</f>
        <v>25</v>
      </c>
      <c r="J45" s="206">
        <f>+K45/I45</f>
        <v>1.3227999999999998</v>
      </c>
      <c r="K45" s="207">
        <f>SUM(K41:K44)</f>
        <v>33.069999999999993</v>
      </c>
      <c r="L45" s="222">
        <f>L41</f>
        <v>0</v>
      </c>
      <c r="M45" s="223">
        <v>0</v>
      </c>
      <c r="N45" s="221">
        <f>SUM(N41:N44)</f>
        <v>0</v>
      </c>
      <c r="O45" s="220">
        <v>0</v>
      </c>
      <c r="P45" s="224">
        <f>SUM(P41:P44)</f>
        <v>0</v>
      </c>
      <c r="Q45" s="210">
        <f>+P45+K45</f>
        <v>33.069999999999993</v>
      </c>
      <c r="R45" s="225" t="s">
        <v>17</v>
      </c>
      <c r="S45" s="212">
        <f>SUM(S41:S44)</f>
        <v>2286.2415379999998</v>
      </c>
    </row>
    <row r="46" spans="2:19" ht="15" customHeight="1" thickTop="1" x14ac:dyDescent="0.3">
      <c r="B46" s="292" t="s">
        <v>20</v>
      </c>
      <c r="C46" s="289" t="s">
        <v>27</v>
      </c>
      <c r="D46" s="289" t="s">
        <v>100</v>
      </c>
      <c r="E46" s="128" t="s">
        <v>127</v>
      </c>
      <c r="F46" s="122" t="s">
        <v>187</v>
      </c>
      <c r="G46" s="121" t="s">
        <v>188</v>
      </c>
      <c r="H46" s="78" t="s">
        <v>136</v>
      </c>
      <c r="I46" s="134">
        <f t="shared" ref="I46:I54" si="17">G46*H46</f>
        <v>1178</v>
      </c>
      <c r="J46" s="226">
        <v>5.0099999999999999E-2</v>
      </c>
      <c r="K46" s="136">
        <f t="shared" ref="K46:K54" si="18">I46*J46</f>
        <v>59.017800000000001</v>
      </c>
      <c r="L46" s="137">
        <f t="shared" ref="L46:L54" si="19">+F46-G46</f>
        <v>691</v>
      </c>
      <c r="M46" s="78" t="s">
        <v>136</v>
      </c>
      <c r="N46" s="134">
        <f t="shared" ref="N46:N54" si="20">L46*M46</f>
        <v>691</v>
      </c>
      <c r="O46" s="227">
        <v>5.0099999999999999E-2</v>
      </c>
      <c r="P46" s="228">
        <f t="shared" ref="P46:P54" si="21">N46*O46</f>
        <v>34.619099999999996</v>
      </c>
      <c r="Q46" s="140">
        <f t="shared" ref="Q46:Q54" si="22">K46+P46</f>
        <v>93.636899999999997</v>
      </c>
      <c r="R46" s="141">
        <f t="shared" ref="R46:R55" si="23">26.41*1.33</f>
        <v>35.125300000000003</v>
      </c>
      <c r="S46" s="142">
        <f t="shared" ref="S46:S54" si="24">+Q46*R46</f>
        <v>3289.0242035700003</v>
      </c>
    </row>
    <row r="47" spans="2:19" ht="27.6" x14ac:dyDescent="0.3">
      <c r="B47" s="261"/>
      <c r="C47" s="290"/>
      <c r="D47" s="290"/>
      <c r="E47" s="129" t="s">
        <v>128</v>
      </c>
      <c r="F47" s="123" t="s">
        <v>187</v>
      </c>
      <c r="G47" s="121" t="s">
        <v>188</v>
      </c>
      <c r="H47" s="79" t="s">
        <v>136</v>
      </c>
      <c r="I47" s="134">
        <f t="shared" si="17"/>
        <v>1178</v>
      </c>
      <c r="J47" s="135">
        <v>3.3399999999999999E-2</v>
      </c>
      <c r="K47" s="136">
        <f t="shared" si="18"/>
        <v>39.345199999999998</v>
      </c>
      <c r="L47" s="137">
        <f t="shared" si="19"/>
        <v>691</v>
      </c>
      <c r="M47" s="79" t="s">
        <v>136</v>
      </c>
      <c r="N47" s="134">
        <f t="shared" si="20"/>
        <v>691</v>
      </c>
      <c r="O47" s="229">
        <v>3.3399999999999999E-2</v>
      </c>
      <c r="P47" s="228">
        <f t="shared" si="21"/>
        <v>23.0794</v>
      </c>
      <c r="Q47" s="140">
        <f t="shared" si="22"/>
        <v>62.424599999999998</v>
      </c>
      <c r="R47" s="141">
        <f t="shared" si="23"/>
        <v>35.125300000000003</v>
      </c>
      <c r="S47" s="142">
        <f t="shared" si="24"/>
        <v>2192.6828023799999</v>
      </c>
    </row>
    <row r="48" spans="2:19" ht="27.6" x14ac:dyDescent="0.3">
      <c r="B48" s="261"/>
      <c r="C48" s="290"/>
      <c r="D48" s="290"/>
      <c r="E48" s="129" t="s">
        <v>129</v>
      </c>
      <c r="F48" s="123" t="s">
        <v>187</v>
      </c>
      <c r="G48" s="121" t="s">
        <v>188</v>
      </c>
      <c r="H48" s="79" t="s">
        <v>136</v>
      </c>
      <c r="I48" s="134">
        <f t="shared" si="17"/>
        <v>1178</v>
      </c>
      <c r="J48" s="135">
        <v>3.3399999999999999E-2</v>
      </c>
      <c r="K48" s="136">
        <f t="shared" si="18"/>
        <v>39.345199999999998</v>
      </c>
      <c r="L48" s="137">
        <f t="shared" si="19"/>
        <v>691</v>
      </c>
      <c r="M48" s="79" t="s">
        <v>136</v>
      </c>
      <c r="N48" s="134">
        <f t="shared" si="20"/>
        <v>691</v>
      </c>
      <c r="O48" s="229">
        <f>0.0334+0.0334</f>
        <v>6.6799999999999998E-2</v>
      </c>
      <c r="P48" s="228">
        <f t="shared" si="21"/>
        <v>46.158799999999999</v>
      </c>
      <c r="Q48" s="140">
        <f t="shared" si="22"/>
        <v>85.503999999999991</v>
      </c>
      <c r="R48" s="141">
        <f t="shared" si="23"/>
        <v>35.125300000000003</v>
      </c>
      <c r="S48" s="142">
        <f t="shared" si="24"/>
        <v>3003.3536512000001</v>
      </c>
    </row>
    <row r="49" spans="2:19" ht="27.6" x14ac:dyDescent="0.3">
      <c r="B49" s="261"/>
      <c r="C49" s="290"/>
      <c r="D49" s="290"/>
      <c r="E49" s="129" t="s">
        <v>130</v>
      </c>
      <c r="F49" s="123" t="s">
        <v>187</v>
      </c>
      <c r="G49" s="121" t="s">
        <v>188</v>
      </c>
      <c r="H49" s="79" t="s">
        <v>136</v>
      </c>
      <c r="I49" s="134">
        <f t="shared" si="17"/>
        <v>1178</v>
      </c>
      <c r="J49" s="135">
        <v>3.3399999999999999E-2</v>
      </c>
      <c r="K49" s="136">
        <f t="shared" si="18"/>
        <v>39.345199999999998</v>
      </c>
      <c r="L49" s="137">
        <f t="shared" si="19"/>
        <v>691</v>
      </c>
      <c r="M49" s="79" t="s">
        <v>136</v>
      </c>
      <c r="N49" s="134">
        <f t="shared" si="20"/>
        <v>691</v>
      </c>
      <c r="O49" s="229">
        <v>3.3399999999999999E-2</v>
      </c>
      <c r="P49" s="228">
        <f t="shared" si="21"/>
        <v>23.0794</v>
      </c>
      <c r="Q49" s="140">
        <f t="shared" si="22"/>
        <v>62.424599999999998</v>
      </c>
      <c r="R49" s="141">
        <f t="shared" si="23"/>
        <v>35.125300000000003</v>
      </c>
      <c r="S49" s="142">
        <f t="shared" si="24"/>
        <v>2192.6828023799999</v>
      </c>
    </row>
    <row r="50" spans="2:19" x14ac:dyDescent="0.3">
      <c r="B50" s="261"/>
      <c r="C50" s="290"/>
      <c r="D50" s="290"/>
      <c r="E50" s="129" t="s">
        <v>135</v>
      </c>
      <c r="F50" s="123" t="s">
        <v>187</v>
      </c>
      <c r="G50" s="121" t="s">
        <v>188</v>
      </c>
      <c r="H50" s="79" t="s">
        <v>136</v>
      </c>
      <c r="I50" s="134">
        <f t="shared" si="17"/>
        <v>1178</v>
      </c>
      <c r="J50" s="135">
        <v>5.0099999999999999E-2</v>
      </c>
      <c r="K50" s="136">
        <f t="shared" si="18"/>
        <v>59.017800000000001</v>
      </c>
      <c r="L50" s="137">
        <f t="shared" si="19"/>
        <v>691</v>
      </c>
      <c r="M50" s="79" t="s">
        <v>136</v>
      </c>
      <c r="N50" s="134">
        <f t="shared" si="20"/>
        <v>691</v>
      </c>
      <c r="O50" s="229">
        <v>5.0099999999999999E-2</v>
      </c>
      <c r="P50" s="228">
        <f t="shared" si="21"/>
        <v>34.619099999999996</v>
      </c>
      <c r="Q50" s="140">
        <f t="shared" si="22"/>
        <v>93.636899999999997</v>
      </c>
      <c r="R50" s="141">
        <f t="shared" si="23"/>
        <v>35.125300000000003</v>
      </c>
      <c r="S50" s="142">
        <f t="shared" si="24"/>
        <v>3289.0242035700003</v>
      </c>
    </row>
    <row r="51" spans="2:19" ht="27.6" x14ac:dyDescent="0.3">
      <c r="B51" s="261"/>
      <c r="C51" s="290"/>
      <c r="D51" s="290"/>
      <c r="E51" s="129" t="s">
        <v>132</v>
      </c>
      <c r="F51" s="123" t="s">
        <v>187</v>
      </c>
      <c r="G51" s="121" t="s">
        <v>188</v>
      </c>
      <c r="H51" s="79" t="s">
        <v>136</v>
      </c>
      <c r="I51" s="134">
        <f t="shared" si="17"/>
        <v>1178</v>
      </c>
      <c r="J51" s="135">
        <v>3.3399999999999999E-2</v>
      </c>
      <c r="K51" s="136">
        <f t="shared" si="18"/>
        <v>39.345199999999998</v>
      </c>
      <c r="L51" s="137">
        <f t="shared" si="19"/>
        <v>691</v>
      </c>
      <c r="M51" s="79" t="s">
        <v>136</v>
      </c>
      <c r="N51" s="134">
        <f t="shared" si="20"/>
        <v>691</v>
      </c>
      <c r="O51" s="229">
        <v>3.3399999999999999E-2</v>
      </c>
      <c r="P51" s="228">
        <f t="shared" si="21"/>
        <v>23.0794</v>
      </c>
      <c r="Q51" s="140">
        <f t="shared" si="22"/>
        <v>62.424599999999998</v>
      </c>
      <c r="R51" s="141">
        <f t="shared" si="23"/>
        <v>35.125300000000003</v>
      </c>
      <c r="S51" s="142">
        <f t="shared" si="24"/>
        <v>2192.6828023799999</v>
      </c>
    </row>
    <row r="52" spans="2:19" ht="27.6" x14ac:dyDescent="0.3">
      <c r="B52" s="261"/>
      <c r="C52" s="290"/>
      <c r="D52" s="290"/>
      <c r="E52" s="129" t="s">
        <v>131</v>
      </c>
      <c r="F52" s="123" t="s">
        <v>187</v>
      </c>
      <c r="G52" s="121" t="s">
        <v>188</v>
      </c>
      <c r="H52" s="79" t="s">
        <v>136</v>
      </c>
      <c r="I52" s="134">
        <f t="shared" si="17"/>
        <v>1178</v>
      </c>
      <c r="J52" s="135">
        <v>0.5</v>
      </c>
      <c r="K52" s="136">
        <f t="shared" si="18"/>
        <v>589</v>
      </c>
      <c r="L52" s="137">
        <f t="shared" si="19"/>
        <v>691</v>
      </c>
      <c r="M52" s="79" t="s">
        <v>136</v>
      </c>
      <c r="N52" s="134">
        <f t="shared" si="20"/>
        <v>691</v>
      </c>
      <c r="O52" s="229">
        <v>0.5</v>
      </c>
      <c r="P52" s="228">
        <f t="shared" si="21"/>
        <v>345.5</v>
      </c>
      <c r="Q52" s="140">
        <f t="shared" si="22"/>
        <v>934.5</v>
      </c>
      <c r="R52" s="141">
        <f t="shared" si="23"/>
        <v>35.125300000000003</v>
      </c>
      <c r="S52" s="142">
        <f t="shared" si="24"/>
        <v>32824.592850000001</v>
      </c>
    </row>
    <row r="53" spans="2:19" ht="27.6" x14ac:dyDescent="0.3">
      <c r="B53" s="261"/>
      <c r="C53" s="290"/>
      <c r="D53" s="290"/>
      <c r="E53" s="129" t="s">
        <v>133</v>
      </c>
      <c r="F53" s="123" t="s">
        <v>188</v>
      </c>
      <c r="G53" s="121" t="s">
        <v>188</v>
      </c>
      <c r="H53" s="79" t="s">
        <v>136</v>
      </c>
      <c r="I53" s="134">
        <f t="shared" si="17"/>
        <v>1178</v>
      </c>
      <c r="J53" s="135">
        <v>1.5</v>
      </c>
      <c r="K53" s="136">
        <f t="shared" si="18"/>
        <v>1767</v>
      </c>
      <c r="L53" s="137">
        <f t="shared" si="19"/>
        <v>0</v>
      </c>
      <c r="M53" s="79" t="s">
        <v>136</v>
      </c>
      <c r="N53" s="134">
        <f t="shared" si="20"/>
        <v>0</v>
      </c>
      <c r="O53" s="138">
        <v>0</v>
      </c>
      <c r="P53" s="139">
        <f t="shared" si="21"/>
        <v>0</v>
      </c>
      <c r="Q53" s="140">
        <f t="shared" si="22"/>
        <v>1767</v>
      </c>
      <c r="R53" s="141">
        <f t="shared" si="23"/>
        <v>35.125300000000003</v>
      </c>
      <c r="S53" s="142">
        <f t="shared" si="24"/>
        <v>62066.405100000004</v>
      </c>
    </row>
    <row r="54" spans="2:19" s="143" customFormat="1" ht="41.4" x14ac:dyDescent="0.3">
      <c r="B54" s="261"/>
      <c r="C54" s="291"/>
      <c r="D54" s="291"/>
      <c r="E54" s="129" t="s">
        <v>134</v>
      </c>
      <c r="F54" s="123" t="s">
        <v>188</v>
      </c>
      <c r="G54" s="121" t="s">
        <v>188</v>
      </c>
      <c r="H54" s="79" t="s">
        <v>136</v>
      </c>
      <c r="I54" s="134">
        <f t="shared" si="17"/>
        <v>1178</v>
      </c>
      <c r="J54" s="135">
        <v>3.3399999999999999E-2</v>
      </c>
      <c r="K54" s="136">
        <f t="shared" si="18"/>
        <v>39.345199999999998</v>
      </c>
      <c r="L54" s="137">
        <f t="shared" si="19"/>
        <v>0</v>
      </c>
      <c r="M54" s="79" t="s">
        <v>136</v>
      </c>
      <c r="N54" s="134">
        <f t="shared" si="20"/>
        <v>0</v>
      </c>
      <c r="O54" s="138">
        <v>0</v>
      </c>
      <c r="P54" s="139">
        <f t="shared" si="21"/>
        <v>0</v>
      </c>
      <c r="Q54" s="140">
        <f t="shared" si="22"/>
        <v>39.345199999999998</v>
      </c>
      <c r="R54" s="141">
        <f t="shared" si="23"/>
        <v>35.125300000000003</v>
      </c>
      <c r="S54" s="142">
        <f t="shared" si="24"/>
        <v>1382.0119535600002</v>
      </c>
    </row>
    <row r="55" spans="2:19" ht="27" customHeight="1" x14ac:dyDescent="0.3">
      <c r="B55" s="261"/>
      <c r="C55" s="85" t="s">
        <v>27</v>
      </c>
      <c r="D55" s="85" t="s">
        <v>169</v>
      </c>
      <c r="E55" s="87" t="s">
        <v>118</v>
      </c>
      <c r="F55" s="156">
        <v>1869</v>
      </c>
      <c r="G55" s="157">
        <f>ROUNDDOWN(0.5*F55,0)</f>
        <v>934</v>
      </c>
      <c r="H55" s="158">
        <v>1</v>
      </c>
      <c r="I55" s="159">
        <f>G55*H55</f>
        <v>934</v>
      </c>
      <c r="J55" s="138">
        <v>0.43890000000000001</v>
      </c>
      <c r="K55" s="160">
        <f>I55*J55</f>
        <v>409.93260000000004</v>
      </c>
      <c r="L55" s="178">
        <f>+F55-G55</f>
        <v>935</v>
      </c>
      <c r="M55" s="158">
        <v>1</v>
      </c>
      <c r="N55" s="159">
        <f>L55*M55</f>
        <v>935</v>
      </c>
      <c r="O55" s="161">
        <v>0</v>
      </c>
      <c r="P55" s="151">
        <f>N55*O55</f>
        <v>0</v>
      </c>
      <c r="Q55" s="155">
        <f>K55+P55</f>
        <v>409.93260000000004</v>
      </c>
      <c r="R55" s="141">
        <f t="shared" si="23"/>
        <v>35.125300000000003</v>
      </c>
      <c r="S55" s="154">
        <f>+Q55*R55</f>
        <v>14399.005554780002</v>
      </c>
    </row>
    <row r="56" spans="2:19" ht="27" customHeight="1" x14ac:dyDescent="0.3">
      <c r="B56" s="261"/>
      <c r="C56" s="274" t="s">
        <v>22</v>
      </c>
      <c r="D56" s="274" t="s">
        <v>98</v>
      </c>
      <c r="E56" s="88" t="s">
        <v>127</v>
      </c>
      <c r="F56" s="156">
        <v>2126</v>
      </c>
      <c r="G56" s="157">
        <v>1704</v>
      </c>
      <c r="H56" s="158">
        <v>1</v>
      </c>
      <c r="I56" s="159">
        <f t="shared" ref="I56:I73" si="25">G56*H56</f>
        <v>1704</v>
      </c>
      <c r="J56" s="138">
        <v>5.0099999999999999E-2</v>
      </c>
      <c r="K56" s="160">
        <f>I56*J56</f>
        <v>85.370400000000004</v>
      </c>
      <c r="L56" s="178">
        <f t="shared" ref="L56:L73" si="26">+F56-G56</f>
        <v>422</v>
      </c>
      <c r="M56" s="158">
        <v>1</v>
      </c>
      <c r="N56" s="159">
        <f t="shared" ref="N56:N73" si="27">L56*M56</f>
        <v>422</v>
      </c>
      <c r="O56" s="161">
        <v>5.0099999999999999E-2</v>
      </c>
      <c r="P56" s="151">
        <f t="shared" ref="P56:P77" si="28">N56*O56</f>
        <v>21.142199999999999</v>
      </c>
      <c r="Q56" s="155">
        <f t="shared" ref="Q56:Q65" si="29">K56+P56</f>
        <v>106.51260000000001</v>
      </c>
      <c r="R56" s="173">
        <f t="shared" ref="R56:R70" si="30">25.32*1.33</f>
        <v>33.675600000000003</v>
      </c>
      <c r="S56" s="154">
        <f>+Q56*R56</f>
        <v>3586.8757125600005</v>
      </c>
    </row>
    <row r="57" spans="2:19" ht="27" customHeight="1" x14ac:dyDescent="0.3">
      <c r="B57" s="261"/>
      <c r="C57" s="275"/>
      <c r="D57" s="275"/>
      <c r="E57" s="88" t="s">
        <v>128</v>
      </c>
      <c r="F57" s="156">
        <v>2126</v>
      </c>
      <c r="G57" s="157">
        <v>1704</v>
      </c>
      <c r="H57" s="158">
        <v>1</v>
      </c>
      <c r="I57" s="159">
        <f t="shared" si="25"/>
        <v>1704</v>
      </c>
      <c r="J57" s="138">
        <v>3.3399999999999999E-2</v>
      </c>
      <c r="K57" s="160">
        <f t="shared" ref="K57:K73" si="31">I57*J57</f>
        <v>56.913599999999995</v>
      </c>
      <c r="L57" s="178">
        <f t="shared" si="26"/>
        <v>422</v>
      </c>
      <c r="M57" s="158">
        <v>1</v>
      </c>
      <c r="N57" s="159">
        <f t="shared" si="27"/>
        <v>422</v>
      </c>
      <c r="O57" s="161">
        <v>3.3399999999999999E-2</v>
      </c>
      <c r="P57" s="151">
        <f t="shared" si="28"/>
        <v>14.094799999999999</v>
      </c>
      <c r="Q57" s="155">
        <f t="shared" si="29"/>
        <v>71.008399999999995</v>
      </c>
      <c r="R57" s="173">
        <f t="shared" si="30"/>
        <v>33.675600000000003</v>
      </c>
      <c r="S57" s="154">
        <f t="shared" ref="S57:S85" si="32">+Q57*R57</f>
        <v>2391.2504750399999</v>
      </c>
    </row>
    <row r="58" spans="2:19" ht="27" customHeight="1" x14ac:dyDescent="0.3">
      <c r="B58" s="261"/>
      <c r="C58" s="275"/>
      <c r="D58" s="275"/>
      <c r="E58" s="88" t="s">
        <v>129</v>
      </c>
      <c r="F58" s="156">
        <v>2126</v>
      </c>
      <c r="G58" s="157">
        <v>1704</v>
      </c>
      <c r="H58" s="158">
        <v>1</v>
      </c>
      <c r="I58" s="159">
        <f t="shared" si="25"/>
        <v>1704</v>
      </c>
      <c r="J58" s="138">
        <v>3.3399999999999999E-2</v>
      </c>
      <c r="K58" s="160">
        <f t="shared" si="31"/>
        <v>56.913599999999995</v>
      </c>
      <c r="L58" s="178">
        <f t="shared" si="26"/>
        <v>422</v>
      </c>
      <c r="M58" s="158">
        <v>1</v>
      </c>
      <c r="N58" s="159">
        <f t="shared" si="27"/>
        <v>422</v>
      </c>
      <c r="O58" s="161">
        <v>3.3399999999999999E-2</v>
      </c>
      <c r="P58" s="151">
        <f t="shared" si="28"/>
        <v>14.094799999999999</v>
      </c>
      <c r="Q58" s="155">
        <f t="shared" si="29"/>
        <v>71.008399999999995</v>
      </c>
      <c r="R58" s="173">
        <f t="shared" si="30"/>
        <v>33.675600000000003</v>
      </c>
      <c r="S58" s="154">
        <f t="shared" si="32"/>
        <v>2391.2504750399999</v>
      </c>
    </row>
    <row r="59" spans="2:19" ht="27" customHeight="1" x14ac:dyDescent="0.3">
      <c r="B59" s="261"/>
      <c r="C59" s="275"/>
      <c r="D59" s="275"/>
      <c r="E59" s="88" t="s">
        <v>135</v>
      </c>
      <c r="F59" s="156">
        <v>2126</v>
      </c>
      <c r="G59" s="157">
        <v>1704</v>
      </c>
      <c r="H59" s="158">
        <v>1</v>
      </c>
      <c r="I59" s="159">
        <f t="shared" si="25"/>
        <v>1704</v>
      </c>
      <c r="J59" s="138">
        <v>5.0099999999999999E-2</v>
      </c>
      <c r="K59" s="160">
        <f t="shared" si="31"/>
        <v>85.370400000000004</v>
      </c>
      <c r="L59" s="178">
        <f t="shared" si="26"/>
        <v>422</v>
      </c>
      <c r="M59" s="158">
        <v>1</v>
      </c>
      <c r="N59" s="159">
        <f t="shared" si="27"/>
        <v>422</v>
      </c>
      <c r="O59" s="161">
        <v>3.3399999999999999E-2</v>
      </c>
      <c r="P59" s="151">
        <f t="shared" si="28"/>
        <v>14.094799999999999</v>
      </c>
      <c r="Q59" s="155">
        <f t="shared" si="29"/>
        <v>99.46520000000001</v>
      </c>
      <c r="R59" s="173">
        <f t="shared" si="30"/>
        <v>33.675600000000003</v>
      </c>
      <c r="S59" s="154">
        <f t="shared" si="32"/>
        <v>3349.5502891200008</v>
      </c>
    </row>
    <row r="60" spans="2:19" ht="27" customHeight="1" x14ac:dyDescent="0.3">
      <c r="B60" s="261"/>
      <c r="C60" s="275"/>
      <c r="D60" s="275"/>
      <c r="E60" s="88" t="s">
        <v>137</v>
      </c>
      <c r="F60" s="156">
        <v>2126</v>
      </c>
      <c r="G60" s="157">
        <v>1704</v>
      </c>
      <c r="H60" s="158">
        <v>1</v>
      </c>
      <c r="I60" s="159">
        <f t="shared" si="25"/>
        <v>1704</v>
      </c>
      <c r="J60" s="138">
        <v>3.3399999999999999E-2</v>
      </c>
      <c r="K60" s="160">
        <f t="shared" si="31"/>
        <v>56.913599999999995</v>
      </c>
      <c r="L60" s="178">
        <f t="shared" si="26"/>
        <v>422</v>
      </c>
      <c r="M60" s="158">
        <v>1</v>
      </c>
      <c r="N60" s="159">
        <f t="shared" si="27"/>
        <v>422</v>
      </c>
      <c r="O60" s="161">
        <f>0.0501+0.0167</f>
        <v>6.6799999999999998E-2</v>
      </c>
      <c r="P60" s="151">
        <f t="shared" si="28"/>
        <v>28.189599999999999</v>
      </c>
      <c r="Q60" s="155">
        <f t="shared" si="29"/>
        <v>85.103199999999987</v>
      </c>
      <c r="R60" s="173">
        <f t="shared" si="30"/>
        <v>33.675600000000003</v>
      </c>
      <c r="S60" s="154">
        <f t="shared" si="32"/>
        <v>2865.9013219199996</v>
      </c>
    </row>
    <row r="61" spans="2:19" ht="27" customHeight="1" x14ac:dyDescent="0.3">
      <c r="B61" s="261"/>
      <c r="C61" s="275"/>
      <c r="D61" s="275"/>
      <c r="E61" s="88" t="s">
        <v>138</v>
      </c>
      <c r="F61" s="156">
        <v>2126</v>
      </c>
      <c r="G61" s="157">
        <v>1704</v>
      </c>
      <c r="H61" s="158">
        <v>1</v>
      </c>
      <c r="I61" s="159">
        <f t="shared" si="25"/>
        <v>1704</v>
      </c>
      <c r="J61" s="138">
        <v>5.0099999999999999E-2</v>
      </c>
      <c r="K61" s="160">
        <f t="shared" si="31"/>
        <v>85.370400000000004</v>
      </c>
      <c r="L61" s="178">
        <f t="shared" si="26"/>
        <v>422</v>
      </c>
      <c r="M61" s="158">
        <v>1</v>
      </c>
      <c r="N61" s="159">
        <f t="shared" si="27"/>
        <v>422</v>
      </c>
      <c r="O61" s="161">
        <v>5.0099999999999999E-2</v>
      </c>
      <c r="P61" s="151">
        <f t="shared" si="28"/>
        <v>21.142199999999999</v>
      </c>
      <c r="Q61" s="155">
        <f t="shared" si="29"/>
        <v>106.51260000000001</v>
      </c>
      <c r="R61" s="173">
        <f t="shared" si="30"/>
        <v>33.675600000000003</v>
      </c>
      <c r="S61" s="154">
        <f t="shared" si="32"/>
        <v>3586.8757125600005</v>
      </c>
    </row>
    <row r="62" spans="2:19" ht="27" customHeight="1" x14ac:dyDescent="0.3">
      <c r="B62" s="261"/>
      <c r="C62" s="275"/>
      <c r="D62" s="275"/>
      <c r="E62" s="88" t="s">
        <v>139</v>
      </c>
      <c r="F62" s="156">
        <v>2126</v>
      </c>
      <c r="G62" s="157">
        <v>1704</v>
      </c>
      <c r="H62" s="158">
        <v>1</v>
      </c>
      <c r="I62" s="159">
        <f t="shared" si="25"/>
        <v>1704</v>
      </c>
      <c r="J62" s="138">
        <v>0.5</v>
      </c>
      <c r="K62" s="160">
        <f t="shared" si="31"/>
        <v>852</v>
      </c>
      <c r="L62" s="178">
        <f t="shared" si="26"/>
        <v>422</v>
      </c>
      <c r="M62" s="158">
        <v>1</v>
      </c>
      <c r="N62" s="159">
        <f t="shared" si="27"/>
        <v>422</v>
      </c>
      <c r="O62" s="161">
        <v>0.5</v>
      </c>
      <c r="P62" s="151">
        <f t="shared" si="28"/>
        <v>211</v>
      </c>
      <c r="Q62" s="155">
        <f t="shared" si="29"/>
        <v>1063</v>
      </c>
      <c r="R62" s="173">
        <f t="shared" si="30"/>
        <v>33.675600000000003</v>
      </c>
      <c r="S62" s="154">
        <f t="shared" si="32"/>
        <v>35797.162800000006</v>
      </c>
    </row>
    <row r="63" spans="2:19" ht="27" customHeight="1" x14ac:dyDescent="0.3">
      <c r="B63" s="261"/>
      <c r="C63" s="275"/>
      <c r="D63" s="275"/>
      <c r="E63" s="88" t="s">
        <v>140</v>
      </c>
      <c r="F63" s="156">
        <v>1704</v>
      </c>
      <c r="G63" s="157">
        <v>1704</v>
      </c>
      <c r="H63" s="158">
        <v>1</v>
      </c>
      <c r="I63" s="159">
        <f t="shared" si="25"/>
        <v>1704</v>
      </c>
      <c r="J63" s="138">
        <v>1.67E-2</v>
      </c>
      <c r="K63" s="160">
        <f t="shared" si="31"/>
        <v>28.456799999999998</v>
      </c>
      <c r="L63" s="178">
        <f t="shared" si="26"/>
        <v>0</v>
      </c>
      <c r="M63" s="158">
        <v>1</v>
      </c>
      <c r="N63" s="159">
        <f t="shared" si="27"/>
        <v>0</v>
      </c>
      <c r="O63" s="161">
        <v>0</v>
      </c>
      <c r="P63" s="230">
        <f t="shared" si="28"/>
        <v>0</v>
      </c>
      <c r="Q63" s="155">
        <f t="shared" si="29"/>
        <v>28.456799999999998</v>
      </c>
      <c r="R63" s="173">
        <f t="shared" si="30"/>
        <v>33.675600000000003</v>
      </c>
      <c r="S63" s="154">
        <f t="shared" si="32"/>
        <v>958.29981408000003</v>
      </c>
    </row>
    <row r="64" spans="2:19" ht="27" customHeight="1" x14ac:dyDescent="0.3">
      <c r="B64" s="261"/>
      <c r="C64" s="275"/>
      <c r="D64" s="275"/>
      <c r="E64" s="88" t="s">
        <v>141</v>
      </c>
      <c r="F64" s="156">
        <v>1704</v>
      </c>
      <c r="G64" s="157">
        <v>1704</v>
      </c>
      <c r="H64" s="158">
        <v>1</v>
      </c>
      <c r="I64" s="159">
        <f t="shared" si="25"/>
        <v>1704</v>
      </c>
      <c r="J64" s="138">
        <v>0.25</v>
      </c>
      <c r="K64" s="160">
        <f t="shared" si="31"/>
        <v>426</v>
      </c>
      <c r="L64" s="178">
        <f t="shared" si="26"/>
        <v>0</v>
      </c>
      <c r="M64" s="158">
        <v>1</v>
      </c>
      <c r="N64" s="159">
        <f t="shared" si="27"/>
        <v>0</v>
      </c>
      <c r="O64" s="138">
        <v>0</v>
      </c>
      <c r="P64" s="230">
        <f t="shared" si="28"/>
        <v>0</v>
      </c>
      <c r="Q64" s="155">
        <f t="shared" si="29"/>
        <v>426</v>
      </c>
      <c r="R64" s="173">
        <f t="shared" si="30"/>
        <v>33.675600000000003</v>
      </c>
      <c r="S64" s="154">
        <f t="shared" si="32"/>
        <v>14345.805600000002</v>
      </c>
    </row>
    <row r="65" spans="2:19" ht="27" customHeight="1" x14ac:dyDescent="0.3">
      <c r="B65" s="261"/>
      <c r="C65" s="276"/>
      <c r="D65" s="276"/>
      <c r="E65" s="88" t="s">
        <v>142</v>
      </c>
      <c r="F65" s="156">
        <v>1704</v>
      </c>
      <c r="G65" s="157">
        <v>1704</v>
      </c>
      <c r="H65" s="158">
        <v>1</v>
      </c>
      <c r="I65" s="159">
        <f t="shared" si="25"/>
        <v>1704</v>
      </c>
      <c r="J65" s="138">
        <v>1.5</v>
      </c>
      <c r="K65" s="160">
        <f t="shared" si="31"/>
        <v>2556</v>
      </c>
      <c r="L65" s="178">
        <f t="shared" si="26"/>
        <v>0</v>
      </c>
      <c r="M65" s="158">
        <v>1</v>
      </c>
      <c r="N65" s="159">
        <f t="shared" si="27"/>
        <v>0</v>
      </c>
      <c r="O65" s="138">
        <v>0</v>
      </c>
      <c r="P65" s="230">
        <f t="shared" si="28"/>
        <v>0</v>
      </c>
      <c r="Q65" s="155">
        <f t="shared" si="29"/>
        <v>2556</v>
      </c>
      <c r="R65" s="173">
        <f t="shared" si="30"/>
        <v>33.675600000000003</v>
      </c>
      <c r="S65" s="154">
        <f t="shared" si="32"/>
        <v>86074.833600000013</v>
      </c>
    </row>
    <row r="66" spans="2:19" x14ac:dyDescent="0.3">
      <c r="B66" s="261"/>
      <c r="C66" s="85" t="s">
        <v>22</v>
      </c>
      <c r="D66" s="85" t="s">
        <v>169</v>
      </c>
      <c r="E66" s="130" t="s">
        <v>118</v>
      </c>
      <c r="F66" s="156">
        <v>2126</v>
      </c>
      <c r="G66" s="157">
        <f>0.5*F66</f>
        <v>1063</v>
      </c>
      <c r="H66" s="158">
        <v>1</v>
      </c>
      <c r="I66" s="159">
        <f t="shared" si="25"/>
        <v>1063</v>
      </c>
      <c r="J66" s="138">
        <v>0.43890000000000001</v>
      </c>
      <c r="K66" s="160">
        <f t="shared" si="31"/>
        <v>466.55070000000001</v>
      </c>
      <c r="L66" s="178">
        <f t="shared" si="26"/>
        <v>1063</v>
      </c>
      <c r="M66" s="158">
        <v>1</v>
      </c>
      <c r="N66" s="159">
        <f t="shared" si="27"/>
        <v>1063</v>
      </c>
      <c r="O66" s="161">
        <v>3.3399999999999999E-2</v>
      </c>
      <c r="P66" s="151">
        <f t="shared" si="28"/>
        <v>35.504199999999997</v>
      </c>
      <c r="Q66" s="155">
        <f t="shared" ref="Q66:Q86" si="33">K66+P66</f>
        <v>502.05489999999998</v>
      </c>
      <c r="R66" s="173">
        <f t="shared" si="30"/>
        <v>33.675600000000003</v>
      </c>
      <c r="S66" s="154">
        <f t="shared" si="32"/>
        <v>16906.999990439999</v>
      </c>
    </row>
    <row r="67" spans="2:19" ht="27.6" x14ac:dyDescent="0.3">
      <c r="B67" s="261"/>
      <c r="C67" s="274" t="s">
        <v>22</v>
      </c>
      <c r="D67" s="274" t="s">
        <v>101</v>
      </c>
      <c r="E67" s="88" t="s">
        <v>143</v>
      </c>
      <c r="F67" s="156">
        <v>1704</v>
      </c>
      <c r="G67" s="157">
        <v>1340</v>
      </c>
      <c r="H67" s="158">
        <v>1</v>
      </c>
      <c r="I67" s="159">
        <f t="shared" si="25"/>
        <v>1340</v>
      </c>
      <c r="J67" s="138">
        <v>1.67E-2</v>
      </c>
      <c r="K67" s="160">
        <f t="shared" si="31"/>
        <v>22.378</v>
      </c>
      <c r="L67" s="178">
        <f t="shared" si="26"/>
        <v>364</v>
      </c>
      <c r="M67" s="158">
        <v>1</v>
      </c>
      <c r="N67" s="159">
        <f t="shared" si="27"/>
        <v>364</v>
      </c>
      <c r="O67" s="161">
        <v>1.67E-2</v>
      </c>
      <c r="P67" s="151">
        <f t="shared" si="28"/>
        <v>6.0788000000000002</v>
      </c>
      <c r="Q67" s="155">
        <f t="shared" si="33"/>
        <v>28.456800000000001</v>
      </c>
      <c r="R67" s="173">
        <f t="shared" si="30"/>
        <v>33.675600000000003</v>
      </c>
      <c r="S67" s="154">
        <f t="shared" si="32"/>
        <v>958.29981408000015</v>
      </c>
    </row>
    <row r="68" spans="2:19" ht="27.6" x14ac:dyDescent="0.3">
      <c r="B68" s="261"/>
      <c r="C68" s="275"/>
      <c r="D68" s="275"/>
      <c r="E68" s="88" t="s">
        <v>144</v>
      </c>
      <c r="F68" s="156">
        <v>1704</v>
      </c>
      <c r="G68" s="157">
        <v>1340</v>
      </c>
      <c r="H68" s="158">
        <v>1</v>
      </c>
      <c r="I68" s="159">
        <f t="shared" si="25"/>
        <v>1340</v>
      </c>
      <c r="J68" s="138">
        <v>1.67E-2</v>
      </c>
      <c r="K68" s="160">
        <f t="shared" si="31"/>
        <v>22.378</v>
      </c>
      <c r="L68" s="178">
        <f t="shared" si="26"/>
        <v>364</v>
      </c>
      <c r="M68" s="158">
        <v>1</v>
      </c>
      <c r="N68" s="159">
        <f t="shared" si="27"/>
        <v>364</v>
      </c>
      <c r="O68" s="161">
        <v>1.67E-2</v>
      </c>
      <c r="P68" s="151">
        <f t="shared" si="28"/>
        <v>6.0788000000000002</v>
      </c>
      <c r="Q68" s="155">
        <f t="shared" si="33"/>
        <v>28.456800000000001</v>
      </c>
      <c r="R68" s="173">
        <f t="shared" si="30"/>
        <v>33.675600000000003</v>
      </c>
      <c r="S68" s="154">
        <f t="shared" si="32"/>
        <v>958.29981408000015</v>
      </c>
    </row>
    <row r="69" spans="2:19" ht="27.6" x14ac:dyDescent="0.3">
      <c r="B69" s="261"/>
      <c r="C69" s="275"/>
      <c r="D69" s="275"/>
      <c r="E69" s="88" t="s">
        <v>174</v>
      </c>
      <c r="F69" s="156">
        <f>0.4*1704</f>
        <v>681.6</v>
      </c>
      <c r="G69" s="157">
        <v>682</v>
      </c>
      <c r="H69" s="158">
        <v>1</v>
      </c>
      <c r="I69" s="159">
        <f t="shared" si="25"/>
        <v>682</v>
      </c>
      <c r="J69" s="138">
        <v>0.1336</v>
      </c>
      <c r="K69" s="160">
        <f t="shared" si="31"/>
        <v>91.115200000000002</v>
      </c>
      <c r="L69" s="178">
        <f t="shared" si="26"/>
        <v>-0.39999999999997726</v>
      </c>
      <c r="M69" s="158">
        <v>1</v>
      </c>
      <c r="N69" s="159">
        <f t="shared" si="27"/>
        <v>-0.39999999999997726</v>
      </c>
      <c r="O69" s="161">
        <v>0</v>
      </c>
      <c r="P69" s="151">
        <f t="shared" si="28"/>
        <v>0</v>
      </c>
      <c r="Q69" s="155">
        <f t="shared" si="33"/>
        <v>91.115200000000002</v>
      </c>
      <c r="R69" s="173">
        <f t="shared" si="30"/>
        <v>33.675600000000003</v>
      </c>
      <c r="S69" s="154">
        <f t="shared" si="32"/>
        <v>3068.3590291200003</v>
      </c>
    </row>
    <row r="70" spans="2:19" x14ac:dyDescent="0.3">
      <c r="B70" s="261"/>
      <c r="C70" s="276"/>
      <c r="D70" s="276"/>
      <c r="E70" s="88" t="s">
        <v>145</v>
      </c>
      <c r="F70" s="156">
        <v>1704</v>
      </c>
      <c r="G70" s="157">
        <v>1340</v>
      </c>
      <c r="H70" s="158">
        <v>1</v>
      </c>
      <c r="I70" s="159">
        <f t="shared" si="25"/>
        <v>1340</v>
      </c>
      <c r="J70" s="138">
        <v>0.83499999999999996</v>
      </c>
      <c r="K70" s="160">
        <f t="shared" si="31"/>
        <v>1118.8999999999999</v>
      </c>
      <c r="L70" s="178">
        <f t="shared" si="26"/>
        <v>364</v>
      </c>
      <c r="M70" s="158">
        <v>1</v>
      </c>
      <c r="N70" s="159">
        <f t="shared" si="27"/>
        <v>364</v>
      </c>
      <c r="O70" s="161">
        <v>3.3399999999999999E-2</v>
      </c>
      <c r="P70" s="151">
        <f t="shared" si="28"/>
        <v>12.1576</v>
      </c>
      <c r="Q70" s="155">
        <f t="shared" si="33"/>
        <v>1131.0575999999999</v>
      </c>
      <c r="R70" s="173">
        <f t="shared" si="30"/>
        <v>33.675600000000003</v>
      </c>
      <c r="S70" s="154">
        <f t="shared" si="32"/>
        <v>38089.043314559996</v>
      </c>
    </row>
    <row r="71" spans="2:19" ht="14.4" customHeight="1" x14ac:dyDescent="0.3">
      <c r="B71" s="261"/>
      <c r="C71" s="274" t="s">
        <v>23</v>
      </c>
      <c r="D71" s="274" t="s">
        <v>175</v>
      </c>
      <c r="E71" s="88" t="s">
        <v>146</v>
      </c>
      <c r="F71" s="156">
        <v>1704</v>
      </c>
      <c r="G71" s="157">
        <v>1340</v>
      </c>
      <c r="H71" s="158">
        <v>1</v>
      </c>
      <c r="I71" s="159">
        <f t="shared" si="25"/>
        <v>1340</v>
      </c>
      <c r="J71" s="231">
        <v>2</v>
      </c>
      <c r="K71" s="160">
        <f t="shared" si="31"/>
        <v>2680</v>
      </c>
      <c r="L71" s="178">
        <f t="shared" si="26"/>
        <v>364</v>
      </c>
      <c r="M71" s="158">
        <v>1</v>
      </c>
      <c r="N71" s="159">
        <f t="shared" si="27"/>
        <v>364</v>
      </c>
      <c r="O71" s="161">
        <v>5.0099999999999999E-2</v>
      </c>
      <c r="P71" s="151">
        <f>N72*O72</f>
        <v>6.0788000000000002</v>
      </c>
      <c r="Q71" s="155">
        <f>K71+P70</f>
        <v>2692.1576</v>
      </c>
      <c r="R71" s="173">
        <f t="shared" ref="R71:R77" si="34">13.41*1.33</f>
        <v>17.8353</v>
      </c>
      <c r="S71" s="154">
        <f t="shared" si="32"/>
        <v>48015.43844328</v>
      </c>
    </row>
    <row r="72" spans="2:19" ht="27.6" x14ac:dyDescent="0.3">
      <c r="B72" s="261"/>
      <c r="C72" s="276"/>
      <c r="D72" s="276"/>
      <c r="E72" s="88" t="s">
        <v>147</v>
      </c>
      <c r="F72" s="156">
        <v>1704</v>
      </c>
      <c r="G72" s="157">
        <v>1340</v>
      </c>
      <c r="H72" s="158">
        <v>1</v>
      </c>
      <c r="I72" s="159">
        <f t="shared" si="25"/>
        <v>1340</v>
      </c>
      <c r="J72" s="231">
        <v>0.16700000000000001</v>
      </c>
      <c r="K72" s="160">
        <f t="shared" si="31"/>
        <v>223.78</v>
      </c>
      <c r="L72" s="178">
        <f t="shared" si="26"/>
        <v>364</v>
      </c>
      <c r="M72" s="158">
        <v>1</v>
      </c>
      <c r="N72" s="159">
        <f t="shared" si="27"/>
        <v>364</v>
      </c>
      <c r="O72" s="161">
        <v>1.67E-2</v>
      </c>
      <c r="P72" s="151">
        <f t="shared" si="28"/>
        <v>6.0788000000000002</v>
      </c>
      <c r="Q72" s="155">
        <f>K72+P71</f>
        <v>229.8588</v>
      </c>
      <c r="R72" s="173">
        <f t="shared" si="34"/>
        <v>17.8353</v>
      </c>
      <c r="S72" s="154">
        <f t="shared" si="32"/>
        <v>4099.6006556399998</v>
      </c>
    </row>
    <row r="73" spans="2:19" x14ac:dyDescent="0.3">
      <c r="B73" s="261"/>
      <c r="C73" s="85" t="s">
        <v>23</v>
      </c>
      <c r="D73" s="85" t="s">
        <v>176</v>
      </c>
      <c r="E73" s="88" t="s">
        <v>150</v>
      </c>
      <c r="F73" s="156">
        <v>686</v>
      </c>
      <c r="G73" s="157">
        <v>548</v>
      </c>
      <c r="H73" s="158">
        <v>1</v>
      </c>
      <c r="I73" s="159">
        <f t="shared" si="25"/>
        <v>548</v>
      </c>
      <c r="J73" s="231">
        <v>1.835</v>
      </c>
      <c r="K73" s="169">
        <f t="shared" si="31"/>
        <v>1005.5799999999999</v>
      </c>
      <c r="L73" s="178">
        <f t="shared" si="26"/>
        <v>138</v>
      </c>
      <c r="M73" s="158">
        <v>1</v>
      </c>
      <c r="N73" s="159">
        <f t="shared" si="27"/>
        <v>138</v>
      </c>
      <c r="O73" s="179">
        <v>6.6799999999999998E-2</v>
      </c>
      <c r="P73" s="151">
        <f t="shared" si="28"/>
        <v>9.218399999999999</v>
      </c>
      <c r="Q73" s="155">
        <f t="shared" si="33"/>
        <v>1014.7983999999999</v>
      </c>
      <c r="R73" s="173">
        <f t="shared" si="34"/>
        <v>17.8353</v>
      </c>
      <c r="S73" s="154">
        <f t="shared" si="32"/>
        <v>18099.233903519998</v>
      </c>
    </row>
    <row r="74" spans="2:19" ht="27.6" x14ac:dyDescent="0.3">
      <c r="B74" s="261"/>
      <c r="C74" s="113" t="s">
        <v>92</v>
      </c>
      <c r="D74" s="85" t="s">
        <v>28</v>
      </c>
      <c r="E74" s="88" t="s">
        <v>151</v>
      </c>
      <c r="F74" s="165">
        <v>120</v>
      </c>
      <c r="G74" s="166">
        <v>120</v>
      </c>
      <c r="H74" s="167">
        <v>1</v>
      </c>
      <c r="I74" s="168">
        <f t="shared" ref="I74:I77" si="35">+G74*H74</f>
        <v>120</v>
      </c>
      <c r="J74" s="232">
        <v>0.75</v>
      </c>
      <c r="K74" s="160">
        <f t="shared" ref="K74:K77" si="36">+I74*J74</f>
        <v>90</v>
      </c>
      <c r="L74" s="178">
        <f>+F74-G74</f>
        <v>0</v>
      </c>
      <c r="M74" s="158">
        <v>0</v>
      </c>
      <c r="N74" s="159">
        <f t="shared" ref="N74:N77" si="37">+L74*M74</f>
        <v>0</v>
      </c>
      <c r="O74" s="161">
        <v>0</v>
      </c>
      <c r="P74" s="151">
        <f t="shared" si="28"/>
        <v>0</v>
      </c>
      <c r="Q74" s="155">
        <f t="shared" ref="Q74:Q77" si="38">+P74+K74</f>
        <v>90</v>
      </c>
      <c r="R74" s="173">
        <f t="shared" si="34"/>
        <v>17.8353</v>
      </c>
      <c r="S74" s="154">
        <f t="shared" si="32"/>
        <v>1605.1769999999999</v>
      </c>
    </row>
    <row r="75" spans="2:19" ht="41.4" x14ac:dyDescent="0.3">
      <c r="B75" s="261"/>
      <c r="C75" s="113" t="s">
        <v>91</v>
      </c>
      <c r="D75" s="85" t="s">
        <v>28</v>
      </c>
      <c r="E75" s="88" t="s">
        <v>151</v>
      </c>
      <c r="F75" s="233">
        <v>23</v>
      </c>
      <c r="G75" s="234">
        <v>23</v>
      </c>
      <c r="H75" s="215">
        <v>1</v>
      </c>
      <c r="I75" s="214">
        <f t="shared" si="35"/>
        <v>23</v>
      </c>
      <c r="J75" s="235">
        <v>0.75</v>
      </c>
      <c r="K75" s="160">
        <f t="shared" si="36"/>
        <v>17.25</v>
      </c>
      <c r="L75" s="137">
        <f>+F75-G75</f>
        <v>0</v>
      </c>
      <c r="M75" s="158">
        <v>0</v>
      </c>
      <c r="N75" s="159">
        <f t="shared" si="37"/>
        <v>0</v>
      </c>
      <c r="O75" s="161">
        <v>0</v>
      </c>
      <c r="P75" s="151">
        <f t="shared" si="28"/>
        <v>0</v>
      </c>
      <c r="Q75" s="155">
        <f t="shared" si="38"/>
        <v>17.25</v>
      </c>
      <c r="R75" s="173">
        <f t="shared" si="34"/>
        <v>17.8353</v>
      </c>
      <c r="S75" s="154">
        <f t="shared" si="32"/>
        <v>307.65892500000001</v>
      </c>
    </row>
    <row r="76" spans="2:19" ht="27.6" x14ac:dyDescent="0.3">
      <c r="B76" s="261"/>
      <c r="C76" s="113" t="s">
        <v>90</v>
      </c>
      <c r="D76" s="85" t="s">
        <v>28</v>
      </c>
      <c r="E76" s="88" t="s">
        <v>151</v>
      </c>
      <c r="F76" s="233">
        <v>300</v>
      </c>
      <c r="G76" s="234">
        <v>300</v>
      </c>
      <c r="H76" s="215">
        <v>2</v>
      </c>
      <c r="I76" s="214">
        <f t="shared" si="35"/>
        <v>600</v>
      </c>
      <c r="J76" s="235">
        <v>0.75</v>
      </c>
      <c r="K76" s="160">
        <f t="shared" si="36"/>
        <v>450</v>
      </c>
      <c r="L76" s="137">
        <f>+F76-G76</f>
        <v>0</v>
      </c>
      <c r="M76" s="158">
        <v>0</v>
      </c>
      <c r="N76" s="159">
        <f t="shared" si="37"/>
        <v>0</v>
      </c>
      <c r="O76" s="161">
        <v>0</v>
      </c>
      <c r="P76" s="151">
        <f t="shared" si="28"/>
        <v>0</v>
      </c>
      <c r="Q76" s="155">
        <f t="shared" si="38"/>
        <v>450</v>
      </c>
      <c r="R76" s="173">
        <f t="shared" si="34"/>
        <v>17.8353</v>
      </c>
      <c r="S76" s="154">
        <f t="shared" si="32"/>
        <v>8025.8850000000002</v>
      </c>
    </row>
    <row r="77" spans="2:19" ht="41.4" x14ac:dyDescent="0.3">
      <c r="B77" s="261"/>
      <c r="C77" s="85" t="s">
        <v>89</v>
      </c>
      <c r="D77" s="85" t="s">
        <v>28</v>
      </c>
      <c r="E77" s="88" t="s">
        <v>151</v>
      </c>
      <c r="F77" s="233">
        <v>35</v>
      </c>
      <c r="G77" s="234">
        <v>35</v>
      </c>
      <c r="H77" s="215">
        <v>1</v>
      </c>
      <c r="I77" s="214">
        <f t="shared" si="35"/>
        <v>35</v>
      </c>
      <c r="J77" s="235">
        <v>0.75</v>
      </c>
      <c r="K77" s="160">
        <f t="shared" si="36"/>
        <v>26.25</v>
      </c>
      <c r="L77" s="137">
        <f>+F77-G77</f>
        <v>0</v>
      </c>
      <c r="M77" s="158">
        <v>0</v>
      </c>
      <c r="N77" s="159">
        <f t="shared" si="37"/>
        <v>0</v>
      </c>
      <c r="O77" s="161">
        <v>0</v>
      </c>
      <c r="P77" s="151">
        <f t="shared" si="28"/>
        <v>0</v>
      </c>
      <c r="Q77" s="155">
        <f t="shared" si="38"/>
        <v>26.25</v>
      </c>
      <c r="R77" s="173">
        <f t="shared" si="34"/>
        <v>17.8353</v>
      </c>
      <c r="S77" s="154">
        <f t="shared" si="32"/>
        <v>468.176625</v>
      </c>
    </row>
    <row r="78" spans="2:19" ht="28.95" customHeight="1" x14ac:dyDescent="0.3">
      <c r="B78" s="261"/>
      <c r="C78" s="114" t="s">
        <v>24</v>
      </c>
      <c r="D78" s="81" t="s">
        <v>177</v>
      </c>
      <c r="E78" s="126" t="s">
        <v>152</v>
      </c>
      <c r="F78" s="236">
        <v>181</v>
      </c>
      <c r="G78" s="237">
        <v>139</v>
      </c>
      <c r="H78" s="238">
        <v>1</v>
      </c>
      <c r="I78" s="134">
        <f>G78*H78</f>
        <v>139</v>
      </c>
      <c r="J78" s="213">
        <v>0.63460000000000005</v>
      </c>
      <c r="K78" s="136">
        <f>I78*J78</f>
        <v>88.209400000000002</v>
      </c>
      <c r="L78" s="137">
        <f>+F78-G78</f>
        <v>42</v>
      </c>
      <c r="M78" s="238">
        <v>1</v>
      </c>
      <c r="N78" s="134">
        <f>L78*M78</f>
        <v>42</v>
      </c>
      <c r="O78" s="179">
        <v>6.6799999999999998E-2</v>
      </c>
      <c r="P78" s="139">
        <f>N78*O78</f>
        <v>2.8056000000000001</v>
      </c>
      <c r="Q78" s="140">
        <f>K78+P78</f>
        <v>91.015000000000001</v>
      </c>
      <c r="R78" s="173">
        <f>12.88*1.33</f>
        <v>17.130400000000002</v>
      </c>
      <c r="S78" s="154">
        <f t="shared" si="32"/>
        <v>1559.1233560000001</v>
      </c>
    </row>
    <row r="79" spans="2:19" ht="27.6" x14ac:dyDescent="0.3">
      <c r="B79" s="261"/>
      <c r="C79" s="85" t="s">
        <v>178</v>
      </c>
      <c r="D79" s="85" t="s">
        <v>253</v>
      </c>
      <c r="E79" s="88" t="s">
        <v>153</v>
      </c>
      <c r="F79" s="156">
        <v>550</v>
      </c>
      <c r="G79" s="157">
        <v>444</v>
      </c>
      <c r="H79" s="158">
        <v>1</v>
      </c>
      <c r="I79" s="159">
        <f t="shared" ref="I79:I85" si="39">G79*H79</f>
        <v>444</v>
      </c>
      <c r="J79" s="232">
        <v>0.25</v>
      </c>
      <c r="K79" s="160">
        <f t="shared" ref="K79:K85" si="40">I79*J79</f>
        <v>111</v>
      </c>
      <c r="L79" s="178">
        <f t="shared" ref="L79:L84" si="41">+F79-G79</f>
        <v>106</v>
      </c>
      <c r="M79" s="158">
        <v>1</v>
      </c>
      <c r="N79" s="159">
        <f t="shared" ref="N79:N85" si="42">L79*M79</f>
        <v>106</v>
      </c>
      <c r="O79" s="179">
        <v>6.6799999999999998E-2</v>
      </c>
      <c r="P79" s="151">
        <f t="shared" ref="P79:P85" si="43">N79*O79</f>
        <v>7.0808</v>
      </c>
      <c r="Q79" s="155">
        <f t="shared" ref="Q79:Q85" si="44">K79+P79</f>
        <v>118.0808</v>
      </c>
      <c r="R79" s="141">
        <f>26.41*1.33</f>
        <v>35.125300000000003</v>
      </c>
      <c r="S79" s="154">
        <f t="shared" si="32"/>
        <v>4147.6235242399998</v>
      </c>
    </row>
    <row r="80" spans="2:19" ht="27.6" x14ac:dyDescent="0.3">
      <c r="B80" s="261"/>
      <c r="C80" s="119" t="s">
        <v>178</v>
      </c>
      <c r="D80" s="85" t="s">
        <v>25</v>
      </c>
      <c r="E80" s="88" t="s">
        <v>154</v>
      </c>
      <c r="F80" s="156">
        <v>550</v>
      </c>
      <c r="G80" s="157">
        <v>444</v>
      </c>
      <c r="H80" s="158">
        <v>1</v>
      </c>
      <c r="I80" s="159">
        <f t="shared" si="39"/>
        <v>444</v>
      </c>
      <c r="J80" s="231">
        <v>0.16700000000000001</v>
      </c>
      <c r="K80" s="160">
        <f t="shared" si="40"/>
        <v>74.14800000000001</v>
      </c>
      <c r="L80" s="137">
        <f t="shared" si="41"/>
        <v>106</v>
      </c>
      <c r="M80" s="158">
        <v>1</v>
      </c>
      <c r="N80" s="159">
        <f t="shared" si="42"/>
        <v>106</v>
      </c>
      <c r="O80" s="179">
        <v>6.6799999999999998E-2</v>
      </c>
      <c r="P80" s="151">
        <f t="shared" si="43"/>
        <v>7.0808</v>
      </c>
      <c r="Q80" s="155">
        <f t="shared" si="44"/>
        <v>81.228800000000007</v>
      </c>
      <c r="R80" s="141">
        <f>26.41*1.33</f>
        <v>35.125300000000003</v>
      </c>
      <c r="S80" s="154">
        <f t="shared" si="32"/>
        <v>2853.1859686400003</v>
      </c>
    </row>
    <row r="81" spans="2:19" ht="27.6" x14ac:dyDescent="0.3">
      <c r="B81" s="261"/>
      <c r="C81" s="85" t="s">
        <v>178</v>
      </c>
      <c r="D81" s="85" t="s">
        <v>95</v>
      </c>
      <c r="E81" s="88" t="s">
        <v>155</v>
      </c>
      <c r="F81" s="156">
        <v>550</v>
      </c>
      <c r="G81" s="157">
        <v>444</v>
      </c>
      <c r="H81" s="158">
        <v>1</v>
      </c>
      <c r="I81" s="159">
        <f t="shared" si="39"/>
        <v>444</v>
      </c>
      <c r="J81" s="138">
        <v>1.8035000000000001</v>
      </c>
      <c r="K81" s="160">
        <f t="shared" si="40"/>
        <v>800.75400000000002</v>
      </c>
      <c r="L81" s="137">
        <f t="shared" si="41"/>
        <v>106</v>
      </c>
      <c r="M81" s="158">
        <v>1</v>
      </c>
      <c r="N81" s="159">
        <f t="shared" si="42"/>
        <v>106</v>
      </c>
      <c r="O81" s="179">
        <v>6.6799999999999998E-2</v>
      </c>
      <c r="P81" s="151">
        <f t="shared" si="43"/>
        <v>7.0808</v>
      </c>
      <c r="Q81" s="155">
        <f t="shared" si="44"/>
        <v>807.83479999999997</v>
      </c>
      <c r="R81" s="141">
        <f>26.41*1.33</f>
        <v>35.125300000000003</v>
      </c>
      <c r="S81" s="154">
        <f t="shared" si="32"/>
        <v>28375.439700440002</v>
      </c>
    </row>
    <row r="82" spans="2:19" ht="27.6" x14ac:dyDescent="0.3">
      <c r="B82" s="261"/>
      <c r="C82" s="85" t="s">
        <v>22</v>
      </c>
      <c r="D82" s="85" t="s">
        <v>96</v>
      </c>
      <c r="E82" s="88" t="s">
        <v>156</v>
      </c>
      <c r="F82" s="156">
        <v>550</v>
      </c>
      <c r="G82" s="157">
        <v>444</v>
      </c>
      <c r="H82" s="158">
        <v>1</v>
      </c>
      <c r="I82" s="159">
        <f t="shared" si="39"/>
        <v>444</v>
      </c>
      <c r="J82" s="232">
        <v>0.75</v>
      </c>
      <c r="K82" s="160">
        <f t="shared" si="40"/>
        <v>333</v>
      </c>
      <c r="L82" s="137">
        <f t="shared" si="41"/>
        <v>106</v>
      </c>
      <c r="M82" s="158">
        <v>1</v>
      </c>
      <c r="N82" s="159">
        <f t="shared" si="42"/>
        <v>106</v>
      </c>
      <c r="O82" s="179">
        <v>6.6799999999999998E-2</v>
      </c>
      <c r="P82" s="151">
        <f t="shared" si="43"/>
        <v>7.0808</v>
      </c>
      <c r="Q82" s="155">
        <f t="shared" si="44"/>
        <v>340.08080000000001</v>
      </c>
      <c r="R82" s="173">
        <f>25.32*1.33</f>
        <v>33.675600000000003</v>
      </c>
      <c r="S82" s="154">
        <f t="shared" si="32"/>
        <v>11452.424988480001</v>
      </c>
    </row>
    <row r="83" spans="2:19" ht="27.6" x14ac:dyDescent="0.3">
      <c r="B83" s="261"/>
      <c r="C83" s="113" t="s">
        <v>23</v>
      </c>
      <c r="D83" s="82" t="s">
        <v>85</v>
      </c>
      <c r="E83" s="89" t="s">
        <v>157</v>
      </c>
      <c r="F83" s="239">
        <v>550</v>
      </c>
      <c r="G83" s="180">
        <v>444</v>
      </c>
      <c r="H83" s="181">
        <v>1</v>
      </c>
      <c r="I83" s="182">
        <f t="shared" si="39"/>
        <v>444</v>
      </c>
      <c r="J83" s="240">
        <v>0.5</v>
      </c>
      <c r="K83" s="184">
        <f t="shared" si="40"/>
        <v>222</v>
      </c>
      <c r="L83" s="137">
        <f t="shared" si="41"/>
        <v>106</v>
      </c>
      <c r="M83" s="181">
        <v>1</v>
      </c>
      <c r="N83" s="182">
        <f t="shared" si="42"/>
        <v>106</v>
      </c>
      <c r="O83" s="179">
        <v>6.6799999999999998E-2</v>
      </c>
      <c r="P83" s="186">
        <f t="shared" si="43"/>
        <v>7.0808</v>
      </c>
      <c r="Q83" s="187">
        <f t="shared" si="44"/>
        <v>229.08080000000001</v>
      </c>
      <c r="R83" s="173">
        <f>13.41*1.33</f>
        <v>17.8353</v>
      </c>
      <c r="S83" s="154">
        <f t="shared" si="32"/>
        <v>4085.7247922400002</v>
      </c>
    </row>
    <row r="84" spans="2:19" ht="27.6" x14ac:dyDescent="0.3">
      <c r="B84" s="261"/>
      <c r="C84" s="85" t="s">
        <v>22</v>
      </c>
      <c r="D84" s="85" t="s">
        <v>29</v>
      </c>
      <c r="E84" s="88" t="s">
        <v>158</v>
      </c>
      <c r="F84" s="156">
        <v>550</v>
      </c>
      <c r="G84" s="157">
        <v>444</v>
      </c>
      <c r="H84" s="158">
        <v>1</v>
      </c>
      <c r="I84" s="159">
        <f t="shared" si="39"/>
        <v>444</v>
      </c>
      <c r="J84" s="231">
        <v>0.33400000000000002</v>
      </c>
      <c r="K84" s="160">
        <f t="shared" si="40"/>
        <v>148.29600000000002</v>
      </c>
      <c r="L84" s="157">
        <f t="shared" si="41"/>
        <v>106</v>
      </c>
      <c r="M84" s="158">
        <v>1</v>
      </c>
      <c r="N84" s="159">
        <f t="shared" si="42"/>
        <v>106</v>
      </c>
      <c r="O84" s="179">
        <v>6.6799999999999998E-2</v>
      </c>
      <c r="P84" s="171">
        <f t="shared" si="43"/>
        <v>7.0808</v>
      </c>
      <c r="Q84" s="155">
        <f t="shared" si="44"/>
        <v>155.37680000000003</v>
      </c>
      <c r="R84" s="173">
        <f>25.32*1.33</f>
        <v>33.675600000000003</v>
      </c>
      <c r="S84" s="154">
        <f t="shared" si="32"/>
        <v>5232.4069660800014</v>
      </c>
    </row>
    <row r="85" spans="2:19" ht="28.2" thickBot="1" x14ac:dyDescent="0.35">
      <c r="B85" s="261"/>
      <c r="C85" s="116" t="s">
        <v>24</v>
      </c>
      <c r="D85" s="120" t="s">
        <v>247</v>
      </c>
      <c r="E85" s="131" t="s">
        <v>245</v>
      </c>
      <c r="F85" s="241" t="s">
        <v>246</v>
      </c>
      <c r="G85" s="242">
        <v>420</v>
      </c>
      <c r="H85" s="243">
        <v>1</v>
      </c>
      <c r="I85" s="244">
        <f t="shared" si="39"/>
        <v>420</v>
      </c>
      <c r="J85" s="245">
        <v>0.25</v>
      </c>
      <c r="K85" s="160">
        <f t="shared" si="40"/>
        <v>105</v>
      </c>
      <c r="L85" s="246">
        <v>0</v>
      </c>
      <c r="M85" s="193">
        <v>1</v>
      </c>
      <c r="N85" s="159">
        <f t="shared" si="42"/>
        <v>0</v>
      </c>
      <c r="O85" s="244">
        <v>0</v>
      </c>
      <c r="P85" s="247">
        <f t="shared" si="43"/>
        <v>0</v>
      </c>
      <c r="Q85" s="248">
        <f t="shared" si="44"/>
        <v>105</v>
      </c>
      <c r="R85" s="173">
        <f>12.88*1.33</f>
        <v>17.130400000000002</v>
      </c>
      <c r="S85" s="154">
        <f t="shared" si="32"/>
        <v>1798.6920000000002</v>
      </c>
    </row>
    <row r="86" spans="2:19" ht="15.6" customHeight="1" thickTop="1" thickBot="1" x14ac:dyDescent="0.35">
      <c r="B86" s="277" t="s">
        <v>21</v>
      </c>
      <c r="C86" s="278"/>
      <c r="D86" s="279"/>
      <c r="E86" s="132"/>
      <c r="F86" s="202">
        <f>SUM(F46+F56+F71+F78+F85)</f>
        <v>6300</v>
      </c>
      <c r="G86" s="219">
        <f>SUM(G46+G56+G71+G78+G85)</f>
        <v>4781</v>
      </c>
      <c r="H86" s="220">
        <f>I86/G86</f>
        <v>2.5325245764484419</v>
      </c>
      <c r="I86" s="221">
        <f>SUM(I46+I55+I56+I66+I67++I71+I73+I74+I75+I76+I77+I78+I79+I80+I81+I82+I83+I84+I85)</f>
        <v>12108</v>
      </c>
      <c r="J86" s="206">
        <f>+K86/I86</f>
        <v>1.2773862157251403</v>
      </c>
      <c r="K86" s="207">
        <f>SUM(K46:K85)</f>
        <v>15466.592299999998</v>
      </c>
      <c r="L86" s="222">
        <f>SUM(L46+L56+L67+L71+L78+L79+L83)</f>
        <v>2095</v>
      </c>
      <c r="M86" s="220">
        <f>N86/L86</f>
        <v>2.2219570405727924</v>
      </c>
      <c r="N86" s="221">
        <f>SUM(N46+N55+N56+N66+N67+N71+N73+N78+N79+N80+N81+N82+N83+N84)</f>
        <v>4655</v>
      </c>
      <c r="O86" s="206">
        <f>P86/N86</f>
        <v>0.21060781954887209</v>
      </c>
      <c r="P86" s="224">
        <f>SUM(P46:P84)</f>
        <v>980.37939999999958</v>
      </c>
      <c r="Q86" s="210">
        <f t="shared" si="33"/>
        <v>16446.971699999998</v>
      </c>
      <c r="R86" s="225" t="s">
        <v>17</v>
      </c>
      <c r="S86" s="212">
        <f>SUM(S46:S85)</f>
        <v>482286.06553498009</v>
      </c>
    </row>
    <row r="87" spans="2:19" ht="15.6" thickTop="1" thickBot="1" x14ac:dyDescent="0.35">
      <c r="B87" s="12"/>
      <c r="C87" s="13" t="s">
        <v>0</v>
      </c>
      <c r="D87" s="14"/>
      <c r="E87" s="15"/>
      <c r="F87" s="249">
        <f>F40+F45+F86</f>
        <v>18234</v>
      </c>
      <c r="G87" s="250">
        <f>G40+G45+G86</f>
        <v>13247</v>
      </c>
      <c r="H87" s="251">
        <f>+I87/G87</f>
        <v>2.1751528647995775</v>
      </c>
      <c r="I87" s="252">
        <f>I45+I40+I86</f>
        <v>28814.25</v>
      </c>
      <c r="J87" s="253">
        <f>+K87/I87</f>
        <v>0.8627352343024719</v>
      </c>
      <c r="K87" s="254">
        <f>K45+K40+K86</f>
        <v>24859.068725000001</v>
      </c>
      <c r="L87" s="250">
        <f>L45+L40+L86</f>
        <v>6126</v>
      </c>
      <c r="M87" s="255">
        <f>N87/L87</f>
        <v>2.5076314071172052</v>
      </c>
      <c r="N87" s="255">
        <f>N40+N45+N86</f>
        <v>15361.75</v>
      </c>
      <c r="O87" s="256">
        <f>O40+O45+O86</f>
        <v>0.2758219298064199</v>
      </c>
      <c r="P87" s="260">
        <f>P40+P45+P86</f>
        <v>1678.6105749999997</v>
      </c>
      <c r="Q87" s="257">
        <f>Q40+Q45+Q86</f>
        <v>26537.679300000003</v>
      </c>
      <c r="R87" s="250"/>
      <c r="S87" s="258">
        <f>S40+S45+S86</f>
        <v>821275.86169370008</v>
      </c>
    </row>
    <row r="88" spans="2:19" x14ac:dyDescent="0.3">
      <c r="B88" s="16"/>
      <c r="C88" s="17"/>
      <c r="D88" s="18"/>
      <c r="E88" s="17"/>
      <c r="F88" s="19"/>
      <c r="G88" s="19"/>
      <c r="H88" s="20"/>
      <c r="I88" s="19"/>
      <c r="J88" s="20"/>
      <c r="K88" s="19"/>
      <c r="L88" s="19"/>
      <c r="M88" s="19"/>
      <c r="N88" s="19"/>
      <c r="O88" s="19"/>
      <c r="P88" s="19"/>
      <c r="Q88" s="19"/>
      <c r="R88" s="74"/>
      <c r="S88" s="21"/>
    </row>
    <row r="89" spans="2:19" ht="31.5" customHeight="1" x14ac:dyDescent="0.3">
      <c r="B89" s="16"/>
      <c r="C89" s="280" t="s">
        <v>250</v>
      </c>
      <c r="D89" s="280"/>
      <c r="E89" s="280"/>
      <c r="F89" s="280"/>
      <c r="G89" s="280"/>
      <c r="H89" s="280"/>
      <c r="I89" s="280"/>
      <c r="J89" s="280"/>
      <c r="K89" s="280"/>
      <c r="L89" s="280"/>
      <c r="M89" s="280"/>
      <c r="N89" s="280"/>
      <c r="O89" s="280"/>
      <c r="P89" s="280"/>
      <c r="Q89" s="280"/>
      <c r="R89" s="280"/>
      <c r="S89" s="280"/>
    </row>
    <row r="90" spans="2:19" ht="69.599999999999994" customHeight="1" x14ac:dyDescent="0.3">
      <c r="C90" s="270" t="s">
        <v>248</v>
      </c>
      <c r="D90" s="270"/>
      <c r="E90" s="270"/>
      <c r="F90" s="270"/>
      <c r="G90" s="270"/>
      <c r="H90" s="270"/>
      <c r="I90" s="270"/>
      <c r="J90" s="270"/>
      <c r="K90" s="270"/>
      <c r="L90" s="270"/>
      <c r="M90" s="270"/>
      <c r="N90" s="270"/>
      <c r="O90" s="270"/>
      <c r="P90" s="270"/>
      <c r="Q90" s="283"/>
      <c r="R90" s="283"/>
      <c r="S90" s="283"/>
    </row>
    <row r="91" spans="2:19" ht="44.25" customHeight="1" x14ac:dyDescent="0.3">
      <c r="C91" s="270" t="s">
        <v>249</v>
      </c>
      <c r="D91" s="270"/>
      <c r="E91" s="270"/>
      <c r="F91" s="270"/>
      <c r="G91" s="270"/>
      <c r="H91" s="270"/>
      <c r="I91" s="270"/>
      <c r="J91" s="270"/>
      <c r="K91" s="270"/>
      <c r="L91" s="270"/>
      <c r="M91" s="270"/>
      <c r="N91" s="270"/>
      <c r="O91" s="270"/>
      <c r="P91" s="270"/>
      <c r="Q91" s="284"/>
      <c r="R91" s="284"/>
      <c r="S91" s="284"/>
    </row>
    <row r="92" spans="2:19" ht="44.25" customHeight="1" x14ac:dyDescent="0.3">
      <c r="C92" s="270" t="s">
        <v>106</v>
      </c>
      <c r="D92" s="270"/>
      <c r="E92" s="270"/>
      <c r="F92" s="270"/>
      <c r="G92" s="270"/>
      <c r="H92" s="270"/>
      <c r="I92" s="270"/>
      <c r="J92" s="270"/>
      <c r="K92" s="270"/>
      <c r="L92" s="270"/>
      <c r="M92" s="270"/>
      <c r="N92" s="270"/>
      <c r="O92" s="270"/>
      <c r="P92" s="270"/>
      <c r="Q92" s="270"/>
      <c r="R92" s="270"/>
      <c r="S92" s="270"/>
    </row>
    <row r="93" spans="2:19" ht="28.95" customHeight="1" x14ac:dyDescent="0.3">
      <c r="C93" s="270" t="s">
        <v>179</v>
      </c>
      <c r="D93" s="285"/>
      <c r="E93" s="285"/>
      <c r="F93" s="285"/>
      <c r="G93" s="285"/>
      <c r="H93" s="285"/>
      <c r="I93" s="285"/>
      <c r="J93" s="285"/>
      <c r="K93" s="285"/>
      <c r="L93" s="285"/>
      <c r="M93" s="285"/>
      <c r="N93" s="285"/>
      <c r="O93" s="285"/>
      <c r="P93" s="285"/>
      <c r="Q93" s="285"/>
      <c r="R93" s="285"/>
      <c r="S93" s="285"/>
    </row>
    <row r="94" spans="2:19" ht="44.25" customHeight="1" x14ac:dyDescent="0.3">
      <c r="C94" s="270" t="s">
        <v>189</v>
      </c>
      <c r="D94" s="270"/>
      <c r="E94" s="270"/>
      <c r="F94" s="270"/>
      <c r="G94" s="270"/>
      <c r="H94" s="270"/>
      <c r="I94" s="270"/>
      <c r="J94" s="270"/>
      <c r="K94" s="270"/>
      <c r="L94" s="270"/>
      <c r="M94" s="270"/>
      <c r="N94" s="270"/>
      <c r="O94" s="270"/>
      <c r="P94" s="270"/>
      <c r="Q94" s="284"/>
      <c r="R94" s="284"/>
      <c r="S94" s="284"/>
    </row>
    <row r="95" spans="2:19" ht="28.95" customHeight="1" x14ac:dyDescent="0.3">
      <c r="C95" s="269" t="s">
        <v>180</v>
      </c>
      <c r="D95" s="286"/>
      <c r="E95" s="286"/>
      <c r="F95" s="286"/>
      <c r="G95" s="286"/>
      <c r="H95" s="286"/>
      <c r="I95" s="286"/>
      <c r="J95" s="286"/>
      <c r="K95" s="286"/>
      <c r="L95" s="286"/>
      <c r="M95" s="286"/>
      <c r="N95" s="286"/>
      <c r="O95" s="286"/>
      <c r="P95" s="286"/>
      <c r="Q95" s="286"/>
      <c r="R95" s="286"/>
      <c r="S95" s="286"/>
    </row>
    <row r="96" spans="2:19" ht="28.95" customHeight="1" x14ac:dyDescent="0.3">
      <c r="C96" s="269" t="s">
        <v>181</v>
      </c>
      <c r="D96" s="286"/>
      <c r="E96" s="286"/>
      <c r="F96" s="286"/>
      <c r="G96" s="286"/>
      <c r="H96" s="286"/>
      <c r="I96" s="286"/>
      <c r="J96" s="286"/>
      <c r="K96" s="286"/>
      <c r="L96" s="286"/>
      <c r="M96" s="286"/>
      <c r="N96" s="286"/>
      <c r="O96" s="286"/>
      <c r="P96" s="286"/>
      <c r="Q96" s="286"/>
      <c r="R96" s="286"/>
      <c r="S96" s="286"/>
    </row>
    <row r="97" spans="3:19" ht="44.25" customHeight="1" x14ac:dyDescent="0.3">
      <c r="C97" s="270" t="s">
        <v>182</v>
      </c>
      <c r="D97" s="270"/>
      <c r="E97" s="270"/>
      <c r="F97" s="270"/>
      <c r="G97" s="270"/>
      <c r="H97" s="270"/>
      <c r="I97" s="270"/>
      <c r="J97" s="270"/>
      <c r="K97" s="270"/>
      <c r="L97" s="270"/>
      <c r="M97" s="270"/>
      <c r="N97" s="270"/>
      <c r="O97" s="270"/>
      <c r="P97" s="270"/>
      <c r="Q97" s="271"/>
      <c r="R97" s="271"/>
      <c r="S97" s="271"/>
    </row>
    <row r="98" spans="3:19" ht="14.4" customHeight="1" x14ac:dyDescent="0.3">
      <c r="C98" s="270" t="s">
        <v>104</v>
      </c>
      <c r="D98" s="285"/>
      <c r="E98" s="285"/>
      <c r="F98" s="285"/>
      <c r="G98" s="285"/>
      <c r="H98" s="285"/>
      <c r="I98" s="285"/>
      <c r="J98" s="285"/>
      <c r="K98" s="285"/>
      <c r="L98" s="285"/>
      <c r="M98" s="285"/>
      <c r="N98" s="285"/>
      <c r="O98" s="285"/>
      <c r="P98" s="285"/>
      <c r="Q98" s="285"/>
      <c r="R98" s="285"/>
      <c r="S98" s="285"/>
    </row>
    <row r="99" spans="3:19" ht="14.4" customHeight="1" x14ac:dyDescent="0.3">
      <c r="C99" s="269" t="s">
        <v>103</v>
      </c>
      <c r="D99" s="286"/>
      <c r="E99" s="286"/>
      <c r="F99" s="286"/>
      <c r="G99" s="286"/>
      <c r="H99" s="286"/>
      <c r="I99" s="286"/>
      <c r="J99" s="286"/>
      <c r="K99" s="286"/>
      <c r="L99" s="286"/>
      <c r="M99" s="286"/>
      <c r="N99" s="286"/>
      <c r="O99" s="286"/>
      <c r="P99" s="286"/>
      <c r="Q99" s="286"/>
      <c r="R99" s="286"/>
      <c r="S99" s="286"/>
    </row>
    <row r="100" spans="3:19" ht="28.95" customHeight="1" x14ac:dyDescent="0.3">
      <c r="C100" s="269" t="s">
        <v>108</v>
      </c>
      <c r="D100" s="270"/>
      <c r="E100" s="270"/>
      <c r="F100" s="270"/>
      <c r="G100" s="270"/>
      <c r="H100" s="270"/>
      <c r="I100" s="270"/>
      <c r="J100" s="270"/>
      <c r="K100" s="270"/>
      <c r="L100" s="270"/>
      <c r="M100" s="270"/>
      <c r="N100" s="270"/>
      <c r="O100" s="270"/>
      <c r="P100" s="270"/>
      <c r="Q100" s="270"/>
      <c r="R100" s="270"/>
      <c r="S100" s="270"/>
    </row>
    <row r="101" spans="3:19" ht="28.95" customHeight="1" x14ac:dyDescent="0.3">
      <c r="C101" s="269" t="s">
        <v>107</v>
      </c>
      <c r="D101" s="270"/>
      <c r="E101" s="270"/>
      <c r="F101" s="270"/>
      <c r="G101" s="270"/>
      <c r="H101" s="270"/>
      <c r="I101" s="270"/>
      <c r="J101" s="270"/>
      <c r="K101" s="270"/>
      <c r="L101" s="270"/>
      <c r="M101" s="270"/>
      <c r="N101" s="270"/>
      <c r="O101" s="270"/>
      <c r="P101" s="270"/>
      <c r="Q101" s="270"/>
      <c r="R101" s="270"/>
      <c r="S101" s="270"/>
    </row>
    <row r="102" spans="3:19" ht="14.4" customHeight="1" x14ac:dyDescent="0.3">
      <c r="C102" s="287" t="s">
        <v>102</v>
      </c>
      <c r="D102" s="288"/>
      <c r="E102" s="288"/>
      <c r="F102" s="288"/>
      <c r="G102" s="288"/>
      <c r="H102" s="288"/>
      <c r="I102" s="288"/>
      <c r="J102" s="288"/>
      <c r="K102" s="288"/>
      <c r="L102" s="288"/>
      <c r="M102" s="288"/>
      <c r="N102" s="288"/>
      <c r="O102" s="288"/>
      <c r="P102" s="288"/>
      <c r="Q102" s="288"/>
      <c r="R102" s="288"/>
      <c r="S102" s="288"/>
    </row>
    <row r="103" spans="3:19" ht="14.4" customHeight="1" x14ac:dyDescent="0.3">
      <c r="C103" s="83" t="s">
        <v>183</v>
      </c>
      <c r="D103" s="80"/>
      <c r="E103" s="80"/>
      <c r="F103" s="80"/>
      <c r="G103" s="80"/>
      <c r="H103" s="80"/>
      <c r="I103" s="80"/>
      <c r="J103" s="80"/>
      <c r="K103" s="80"/>
      <c r="L103" s="84"/>
      <c r="M103" s="84"/>
      <c r="N103" s="84"/>
      <c r="O103" s="84"/>
      <c r="P103" s="84"/>
      <c r="Q103" s="84"/>
      <c r="R103" s="84"/>
      <c r="S103" s="84"/>
    </row>
    <row r="104" spans="3:19" ht="13.95" customHeight="1" x14ac:dyDescent="0.3">
      <c r="C104" s="269" t="s">
        <v>184</v>
      </c>
      <c r="D104" s="270"/>
      <c r="E104" s="270"/>
      <c r="F104" s="270"/>
      <c r="G104" s="270"/>
      <c r="H104" s="270"/>
      <c r="I104" s="270"/>
      <c r="J104" s="270"/>
      <c r="K104" s="270"/>
      <c r="L104" s="270"/>
      <c r="M104" s="270"/>
      <c r="N104" s="270"/>
      <c r="O104" s="270"/>
      <c r="P104" s="270"/>
      <c r="Q104" s="270"/>
      <c r="R104" s="270"/>
      <c r="S104" s="270"/>
    </row>
    <row r="105" spans="3:19" ht="14.4" customHeight="1" x14ac:dyDescent="0.3">
      <c r="C105" s="270" t="s">
        <v>185</v>
      </c>
      <c r="D105" s="270"/>
      <c r="E105" s="270"/>
      <c r="F105" s="270"/>
      <c r="G105" s="270"/>
      <c r="H105" s="270"/>
      <c r="I105" s="270"/>
      <c r="J105" s="270"/>
      <c r="K105" s="270"/>
      <c r="L105" s="271"/>
      <c r="M105" s="271"/>
      <c r="N105" s="271"/>
      <c r="O105" s="271"/>
      <c r="P105" s="271"/>
      <c r="Q105" s="271"/>
      <c r="R105" s="271"/>
      <c r="S105" s="271"/>
    </row>
    <row r="106" spans="3:19" ht="14.4" customHeight="1" x14ac:dyDescent="0.3">
      <c r="C106" s="270" t="s">
        <v>186</v>
      </c>
      <c r="D106" s="270"/>
      <c r="E106" s="270"/>
      <c r="F106" s="270"/>
      <c r="G106" s="270"/>
      <c r="H106" s="270"/>
      <c r="I106" s="270"/>
      <c r="J106" s="270"/>
      <c r="K106" s="270"/>
      <c r="L106" s="271"/>
      <c r="M106" s="271"/>
      <c r="N106" s="271"/>
      <c r="O106" s="271"/>
      <c r="P106" s="271"/>
      <c r="Q106" s="271"/>
      <c r="R106" s="271"/>
      <c r="S106" s="271"/>
    </row>
    <row r="107" spans="3:19" ht="14.4" customHeight="1" x14ac:dyDescent="0.3">
      <c r="C107" s="272" t="s">
        <v>86</v>
      </c>
      <c r="D107" s="273"/>
      <c r="E107" s="273"/>
      <c r="F107" s="273"/>
      <c r="G107" s="273"/>
      <c r="H107" s="273"/>
      <c r="I107" s="273"/>
      <c r="J107" s="273"/>
      <c r="K107" s="273"/>
      <c r="L107" s="273"/>
      <c r="M107" s="273"/>
      <c r="N107" s="273"/>
      <c r="O107" s="273"/>
      <c r="P107" s="273"/>
      <c r="Q107" s="273"/>
      <c r="R107" s="273"/>
      <c r="S107" s="273"/>
    </row>
    <row r="108" spans="3:19" ht="40.5" customHeight="1" x14ac:dyDescent="0.3">
      <c r="C108" s="269" t="s">
        <v>256</v>
      </c>
      <c r="D108" s="270"/>
      <c r="E108" s="270"/>
      <c r="F108" s="270"/>
      <c r="G108" s="270"/>
      <c r="H108" s="270"/>
      <c r="I108" s="270"/>
      <c r="J108" s="270"/>
      <c r="K108" s="270"/>
      <c r="L108" s="270"/>
      <c r="M108" s="270"/>
      <c r="N108" s="270"/>
      <c r="O108" s="270"/>
      <c r="P108" s="270"/>
      <c r="Q108" s="270"/>
      <c r="R108" s="270"/>
      <c r="S108" s="270"/>
    </row>
    <row r="109" spans="3:19" x14ac:dyDescent="0.3">
      <c r="C109" s="117" t="s">
        <v>251</v>
      </c>
      <c r="D109" s="118"/>
      <c r="E109" s="118"/>
      <c r="F109" s="118"/>
      <c r="G109" s="118"/>
      <c r="H109" s="118"/>
      <c r="I109" s="118"/>
      <c r="J109" s="118"/>
      <c r="K109" s="118"/>
      <c r="L109" s="118"/>
      <c r="M109" s="118"/>
      <c r="N109" s="118"/>
      <c r="O109" s="118"/>
      <c r="P109" s="118"/>
      <c r="Q109" s="118"/>
      <c r="R109" s="118"/>
      <c r="S109" s="118"/>
    </row>
    <row r="110" spans="3:19" x14ac:dyDescent="0.3">
      <c r="C110" s="267" t="s">
        <v>252</v>
      </c>
      <c r="D110" s="268"/>
      <c r="E110" s="268"/>
      <c r="F110" s="268"/>
      <c r="G110" s="268"/>
      <c r="H110" s="268"/>
      <c r="I110" s="268"/>
      <c r="J110" s="268"/>
      <c r="K110" s="268"/>
      <c r="L110" s="268"/>
      <c r="M110" s="268"/>
      <c r="N110" s="268"/>
      <c r="O110" s="268"/>
      <c r="P110" s="268"/>
      <c r="Q110" s="268"/>
      <c r="R110" s="268"/>
      <c r="S110" s="268"/>
    </row>
    <row r="111" spans="3:19" x14ac:dyDescent="0.3">
      <c r="C111" s="267" t="s">
        <v>254</v>
      </c>
      <c r="D111" s="268"/>
      <c r="E111" s="268"/>
      <c r="F111" s="268"/>
      <c r="G111" s="268"/>
      <c r="H111" s="268"/>
      <c r="I111" s="268"/>
      <c r="J111" s="268"/>
      <c r="K111" s="268"/>
      <c r="L111" s="268"/>
      <c r="M111" s="268"/>
      <c r="N111" s="268"/>
      <c r="O111" s="268"/>
      <c r="P111" s="268"/>
      <c r="Q111" s="268"/>
      <c r="R111" s="268"/>
      <c r="S111" s="268"/>
    </row>
    <row r="114" spans="3:19" x14ac:dyDescent="0.3">
      <c r="C114" s="267"/>
      <c r="D114" s="268"/>
      <c r="E114" s="268"/>
      <c r="F114" s="268"/>
      <c r="G114" s="268"/>
      <c r="H114" s="268"/>
      <c r="I114" s="268"/>
      <c r="J114" s="268"/>
      <c r="K114" s="268"/>
      <c r="L114" s="268"/>
      <c r="M114" s="268"/>
      <c r="N114" s="268"/>
      <c r="O114" s="268"/>
      <c r="P114" s="268"/>
      <c r="Q114" s="268"/>
      <c r="R114" s="268"/>
      <c r="S114" s="268"/>
    </row>
  </sheetData>
  <autoFilter ref="B4:S87" xr:uid="{C9F18E6D-3C1D-4715-AE14-FAF38CAA37A8}"/>
  <mergeCells count="51">
    <mergeCell ref="C114:S114"/>
    <mergeCell ref="B40:D40"/>
    <mergeCell ref="G3:K3"/>
    <mergeCell ref="L3:P3"/>
    <mergeCell ref="B5:B39"/>
    <mergeCell ref="C5:C21"/>
    <mergeCell ref="D5:D10"/>
    <mergeCell ref="D11:D14"/>
    <mergeCell ref="D15:D16"/>
    <mergeCell ref="D17:D18"/>
    <mergeCell ref="D19:D20"/>
    <mergeCell ref="C22:C29"/>
    <mergeCell ref="D22:D27"/>
    <mergeCell ref="C30:C36"/>
    <mergeCell ref="D30:D35"/>
    <mergeCell ref="C38:C39"/>
    <mergeCell ref="C46:C54"/>
    <mergeCell ref="D46:D54"/>
    <mergeCell ref="C56:C65"/>
    <mergeCell ref="D56:D65"/>
    <mergeCell ref="B46:B85"/>
    <mergeCell ref="C111:S111"/>
    <mergeCell ref="C90:S90"/>
    <mergeCell ref="C91:S91"/>
    <mergeCell ref="C105:S105"/>
    <mergeCell ref="C97:S97"/>
    <mergeCell ref="C94:S94"/>
    <mergeCell ref="C93:S93"/>
    <mergeCell ref="C95:S95"/>
    <mergeCell ref="C96:S96"/>
    <mergeCell ref="C98:S98"/>
    <mergeCell ref="C99:S99"/>
    <mergeCell ref="C100:S100"/>
    <mergeCell ref="C101:S101"/>
    <mergeCell ref="C102:S102"/>
    <mergeCell ref="B41:B44"/>
    <mergeCell ref="C41:C44"/>
    <mergeCell ref="D41:D44"/>
    <mergeCell ref="C110:S110"/>
    <mergeCell ref="C104:S104"/>
    <mergeCell ref="C106:S106"/>
    <mergeCell ref="C107:S107"/>
    <mergeCell ref="C108:S108"/>
    <mergeCell ref="C92:S92"/>
    <mergeCell ref="C67:C70"/>
    <mergeCell ref="D67:D70"/>
    <mergeCell ref="C71:C72"/>
    <mergeCell ref="D71:D72"/>
    <mergeCell ref="B86:D86"/>
    <mergeCell ref="C89:S89"/>
    <mergeCell ref="B45:D4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103"/>
  <sheetViews>
    <sheetView workbookViewId="0"/>
  </sheetViews>
  <sheetFormatPr defaultColWidth="9.109375" defaultRowHeight="13.8" x14ac:dyDescent="0.3"/>
  <cols>
    <col min="1" max="1" width="9.109375" style="25"/>
    <col min="2" max="2" width="12.88671875" style="25" customWidth="1"/>
    <col min="3" max="3" width="18.44140625" style="25" customWidth="1"/>
    <col min="4" max="4" width="26.6640625" style="25" customWidth="1"/>
    <col min="5" max="5" width="35.44140625" style="111" customWidth="1"/>
    <col min="6" max="6" width="14.33203125" style="111" customWidth="1"/>
    <col min="7" max="7" width="14.33203125" style="25" customWidth="1"/>
    <col min="8" max="8" width="10.5546875" style="25" customWidth="1"/>
    <col min="9" max="9" width="13.33203125" style="25" customWidth="1"/>
    <col min="10" max="11" width="14.33203125" style="25" customWidth="1"/>
    <col min="12" max="12" width="7" style="25" bestFit="1" customWidth="1"/>
    <col min="13" max="13" width="27.33203125" style="25" customWidth="1"/>
    <col min="14" max="14" width="11.88671875" style="62" customWidth="1"/>
    <col min="15" max="16384" width="9.109375" style="25"/>
  </cols>
  <sheetData>
    <row r="2" spans="2:14" x14ac:dyDescent="0.3">
      <c r="B2" s="24" t="s">
        <v>34</v>
      </c>
      <c r="F2" s="105"/>
      <c r="G2" s="26"/>
      <c r="H2" s="26"/>
      <c r="I2" s="26"/>
      <c r="J2" s="26"/>
      <c r="K2" s="26"/>
      <c r="L2" s="26"/>
    </row>
    <row r="3" spans="2:14" ht="56.25" customHeight="1" x14ac:dyDescent="0.3">
      <c r="B3" s="27" t="s">
        <v>35</v>
      </c>
      <c r="C3" s="27" t="s">
        <v>36</v>
      </c>
      <c r="D3" s="27" t="s">
        <v>37</v>
      </c>
      <c r="E3" s="106" t="s">
        <v>38</v>
      </c>
      <c r="F3" s="106" t="s">
        <v>39</v>
      </c>
      <c r="G3" s="28" t="s">
        <v>40</v>
      </c>
      <c r="H3" s="29" t="s">
        <v>41</v>
      </c>
      <c r="I3" s="27" t="s">
        <v>6</v>
      </c>
      <c r="J3" s="27" t="s">
        <v>42</v>
      </c>
      <c r="K3" s="27" t="s">
        <v>43</v>
      </c>
      <c r="L3" s="30"/>
      <c r="M3" s="30" t="s">
        <v>87</v>
      </c>
      <c r="N3" s="65"/>
    </row>
    <row r="4" spans="2:14" ht="14.25" customHeight="1" x14ac:dyDescent="0.3">
      <c r="B4" s="23" t="s">
        <v>44</v>
      </c>
      <c r="C4" s="31" t="s">
        <v>45</v>
      </c>
      <c r="D4" s="32"/>
      <c r="E4" s="107"/>
      <c r="F4" s="107"/>
      <c r="G4" s="33"/>
      <c r="H4" s="34"/>
      <c r="I4" s="35"/>
      <c r="J4" s="32"/>
      <c r="K4" s="32"/>
      <c r="M4" s="25" t="s">
        <v>42</v>
      </c>
      <c r="N4" s="62">
        <f>SUM(J14,J28,J41,J54,J74,J84,J95,J103)</f>
        <v>136479.5</v>
      </c>
    </row>
    <row r="5" spans="2:14" x14ac:dyDescent="0.3">
      <c r="B5" s="36" t="s">
        <v>46</v>
      </c>
      <c r="C5" s="37"/>
      <c r="D5" s="37" t="s">
        <v>47</v>
      </c>
      <c r="E5" s="108" t="s">
        <v>191</v>
      </c>
      <c r="F5" s="108">
        <v>2</v>
      </c>
      <c r="G5" s="38">
        <f>F5/60</f>
        <v>3.3333333333333333E-2</v>
      </c>
      <c r="H5" s="39"/>
      <c r="I5" s="40"/>
      <c r="J5" s="37"/>
      <c r="K5" s="37"/>
      <c r="M5" s="25" t="s">
        <v>6</v>
      </c>
      <c r="N5" s="66">
        <f>SUM(I14,I28,I41,I54,I74,I84,I95,I103)</f>
        <v>5182.6499999999996</v>
      </c>
    </row>
    <row r="6" spans="2:14" ht="14.4" thickBot="1" x14ac:dyDescent="0.35">
      <c r="B6" s="36"/>
      <c r="C6" s="37"/>
      <c r="D6" s="37" t="s">
        <v>48</v>
      </c>
      <c r="E6" s="108" t="s">
        <v>192</v>
      </c>
      <c r="F6" s="108">
        <v>3</v>
      </c>
      <c r="G6" s="38">
        <f t="shared" ref="G6:G27" si="0">F6/60</f>
        <v>0.05</v>
      </c>
      <c r="H6" s="39"/>
      <c r="I6" s="40"/>
      <c r="J6" s="37"/>
      <c r="K6" s="37"/>
    </row>
    <row r="7" spans="2:14" ht="14.4" thickTop="1" x14ac:dyDescent="0.3">
      <c r="B7" s="36"/>
      <c r="C7" s="37"/>
      <c r="D7" s="37"/>
      <c r="E7" s="108" t="s">
        <v>193</v>
      </c>
      <c r="F7" s="108">
        <v>5</v>
      </c>
      <c r="G7" s="38">
        <f t="shared" si="0"/>
        <v>8.3333333333333329E-2</v>
      </c>
      <c r="H7" s="39"/>
      <c r="I7" s="40"/>
      <c r="J7" s="37"/>
      <c r="K7" s="37"/>
      <c r="M7" s="41" t="s">
        <v>49</v>
      </c>
      <c r="N7" s="67">
        <f>N4/N5</f>
        <v>26.333921835354502</v>
      </c>
    </row>
    <row r="8" spans="2:14" x14ac:dyDescent="0.3">
      <c r="B8" s="36"/>
      <c r="C8" s="37"/>
      <c r="D8" s="37"/>
      <c r="E8" s="108" t="s">
        <v>194</v>
      </c>
      <c r="F8" s="108">
        <v>2</v>
      </c>
      <c r="G8" s="38">
        <f t="shared" si="0"/>
        <v>3.3333333333333333E-2</v>
      </c>
      <c r="H8" s="39"/>
      <c r="I8" s="40"/>
      <c r="J8" s="37"/>
      <c r="K8" s="37"/>
      <c r="M8" s="42"/>
      <c r="N8" s="68"/>
    </row>
    <row r="9" spans="2:14" ht="14.4" thickBot="1" x14ac:dyDescent="0.35">
      <c r="B9" s="36"/>
      <c r="C9" s="37"/>
      <c r="D9" s="37"/>
      <c r="E9" s="108" t="s">
        <v>195</v>
      </c>
      <c r="F9" s="108">
        <v>3</v>
      </c>
      <c r="G9" s="38">
        <f t="shared" si="0"/>
        <v>0.05</v>
      </c>
      <c r="H9" s="39"/>
      <c r="I9" s="40"/>
      <c r="J9" s="37"/>
      <c r="K9" s="37"/>
      <c r="M9" s="43" t="s">
        <v>50</v>
      </c>
      <c r="N9" s="69">
        <f>N7/60</f>
        <v>0.43889869725590835</v>
      </c>
    </row>
    <row r="10" spans="2:14" ht="14.4" thickTop="1" x14ac:dyDescent="0.3">
      <c r="B10" s="36"/>
      <c r="C10" s="37"/>
      <c r="D10" s="37" t="s">
        <v>51</v>
      </c>
      <c r="E10" s="108" t="s">
        <v>196</v>
      </c>
      <c r="F10" s="108">
        <v>2</v>
      </c>
      <c r="G10" s="38">
        <f t="shared" si="0"/>
        <v>3.3333333333333333E-2</v>
      </c>
      <c r="H10" s="39"/>
      <c r="I10" s="40"/>
      <c r="J10" s="37"/>
      <c r="K10" s="37"/>
    </row>
    <row r="11" spans="2:14" ht="27.6" x14ac:dyDescent="0.3">
      <c r="B11" s="36"/>
      <c r="C11" s="37"/>
      <c r="D11" s="37"/>
      <c r="E11" s="112" t="s">
        <v>197</v>
      </c>
      <c r="F11" s="108">
        <v>10</v>
      </c>
      <c r="G11" s="38">
        <f t="shared" si="0"/>
        <v>0.16666666666666666</v>
      </c>
      <c r="H11" s="39"/>
      <c r="I11" s="40"/>
      <c r="J11" s="37"/>
      <c r="K11" s="37"/>
    </row>
    <row r="12" spans="2:14" ht="27.6" x14ac:dyDescent="0.3">
      <c r="B12" s="36"/>
      <c r="C12" s="37"/>
      <c r="D12" s="37"/>
      <c r="E12" s="112" t="s">
        <v>198</v>
      </c>
      <c r="F12" s="108">
        <v>3</v>
      </c>
      <c r="G12" s="38">
        <f t="shared" si="0"/>
        <v>0.05</v>
      </c>
      <c r="H12" s="39"/>
      <c r="I12" s="40"/>
      <c r="J12" s="37"/>
      <c r="K12" s="37"/>
    </row>
    <row r="13" spans="2:14" x14ac:dyDescent="0.3">
      <c r="B13" s="36"/>
      <c r="C13" s="37"/>
      <c r="D13" s="37"/>
      <c r="E13" s="108" t="s">
        <v>199</v>
      </c>
      <c r="F13" s="108">
        <v>3</v>
      </c>
      <c r="G13" s="38">
        <f t="shared" si="0"/>
        <v>0.05</v>
      </c>
      <c r="H13" s="39"/>
      <c r="I13" s="40"/>
      <c r="J13" s="37"/>
      <c r="K13" s="37"/>
    </row>
    <row r="14" spans="2:14" x14ac:dyDescent="0.3">
      <c r="B14" s="44"/>
      <c r="C14" s="37" t="s">
        <v>52</v>
      </c>
      <c r="D14" s="37"/>
      <c r="E14" s="108"/>
      <c r="F14" s="109">
        <f>SUM(F5:F13)</f>
        <v>33</v>
      </c>
      <c r="G14" s="45">
        <f>SUM(G5:G13)</f>
        <v>0.54999999999999993</v>
      </c>
      <c r="H14" s="39">
        <v>25</v>
      </c>
      <c r="I14" s="40">
        <f>1*H14</f>
        <v>25</v>
      </c>
      <c r="J14" s="37">
        <f>F14*I14</f>
        <v>825</v>
      </c>
      <c r="K14" s="45">
        <f>J14/60</f>
        <v>13.75</v>
      </c>
    </row>
    <row r="15" spans="2:14" x14ac:dyDescent="0.3">
      <c r="B15" s="46" t="s">
        <v>20</v>
      </c>
      <c r="C15" s="31" t="s">
        <v>53</v>
      </c>
      <c r="D15" s="31"/>
      <c r="E15" s="110"/>
      <c r="F15" s="110"/>
      <c r="G15" s="47"/>
      <c r="H15" s="34"/>
      <c r="I15" s="35"/>
      <c r="J15" s="32"/>
      <c r="K15" s="32"/>
      <c r="L15" s="24"/>
    </row>
    <row r="16" spans="2:14" x14ac:dyDescent="0.3">
      <c r="B16" s="36"/>
      <c r="C16" s="37"/>
      <c r="D16" s="37" t="s">
        <v>47</v>
      </c>
      <c r="E16" s="108" t="s">
        <v>191</v>
      </c>
      <c r="F16" s="108">
        <v>2</v>
      </c>
      <c r="G16" s="38">
        <f t="shared" si="0"/>
        <v>3.3333333333333333E-2</v>
      </c>
      <c r="H16" s="39"/>
      <c r="I16" s="40"/>
      <c r="J16" s="37"/>
      <c r="K16" s="37"/>
    </row>
    <row r="17" spans="2:14" x14ac:dyDescent="0.3">
      <c r="B17" s="36"/>
      <c r="C17" s="37"/>
      <c r="D17" s="37" t="s">
        <v>48</v>
      </c>
      <c r="E17" s="108" t="s">
        <v>192</v>
      </c>
      <c r="F17" s="108">
        <v>3</v>
      </c>
      <c r="G17" s="38">
        <f t="shared" si="0"/>
        <v>0.05</v>
      </c>
      <c r="H17" s="39"/>
      <c r="I17" s="40"/>
      <c r="J17" s="37"/>
      <c r="K17" s="37"/>
    </row>
    <row r="18" spans="2:14" x14ac:dyDescent="0.3">
      <c r="B18" s="36"/>
      <c r="C18" s="37"/>
      <c r="D18" s="37"/>
      <c r="E18" s="108" t="s">
        <v>193</v>
      </c>
      <c r="F18" s="108">
        <v>5</v>
      </c>
      <c r="G18" s="38">
        <f t="shared" si="0"/>
        <v>8.3333333333333329E-2</v>
      </c>
      <c r="H18" s="39"/>
      <c r="I18" s="40"/>
      <c r="J18" s="37"/>
      <c r="K18" s="37"/>
    </row>
    <row r="19" spans="2:14" x14ac:dyDescent="0.3">
      <c r="B19" s="36"/>
      <c r="C19" s="37"/>
      <c r="D19" s="37"/>
      <c r="E19" s="108" t="s">
        <v>194</v>
      </c>
      <c r="F19" s="108">
        <v>2</v>
      </c>
      <c r="G19" s="38">
        <f t="shared" si="0"/>
        <v>3.3333333333333333E-2</v>
      </c>
      <c r="H19" s="39"/>
      <c r="I19" s="40"/>
      <c r="J19" s="37"/>
      <c r="K19" s="37"/>
    </row>
    <row r="20" spans="2:14" x14ac:dyDescent="0.3">
      <c r="B20" s="36"/>
      <c r="C20" s="37"/>
      <c r="D20" s="37"/>
      <c r="E20" s="108" t="s">
        <v>195</v>
      </c>
      <c r="F20" s="108">
        <v>3</v>
      </c>
      <c r="G20" s="38">
        <f t="shared" si="0"/>
        <v>0.05</v>
      </c>
      <c r="H20" s="39"/>
      <c r="I20" s="40"/>
      <c r="J20" s="37"/>
      <c r="K20" s="37"/>
    </row>
    <row r="21" spans="2:14" x14ac:dyDescent="0.3">
      <c r="B21" s="36"/>
      <c r="C21" s="37"/>
      <c r="D21" s="37" t="s">
        <v>54</v>
      </c>
      <c r="E21" s="108" t="s">
        <v>200</v>
      </c>
      <c r="F21" s="108">
        <v>2</v>
      </c>
      <c r="G21" s="38">
        <f t="shared" si="0"/>
        <v>3.3333333333333333E-2</v>
      </c>
      <c r="H21" s="39"/>
      <c r="I21" s="40"/>
      <c r="J21" s="37"/>
      <c r="K21" s="37"/>
    </row>
    <row r="22" spans="2:14" x14ac:dyDescent="0.3">
      <c r="B22" s="36"/>
      <c r="C22" s="37"/>
      <c r="D22" s="37"/>
      <c r="E22" s="108" t="s">
        <v>201</v>
      </c>
      <c r="F22" s="108">
        <v>3</v>
      </c>
      <c r="G22" s="38">
        <f t="shared" si="0"/>
        <v>0.05</v>
      </c>
      <c r="H22" s="39"/>
      <c r="I22" s="40"/>
      <c r="J22" s="37"/>
      <c r="K22" s="37"/>
    </row>
    <row r="23" spans="2:14" x14ac:dyDescent="0.3">
      <c r="B23" s="36"/>
      <c r="C23" s="37"/>
      <c r="D23" s="37"/>
      <c r="E23" s="108" t="s">
        <v>202</v>
      </c>
      <c r="F23" s="108">
        <v>2</v>
      </c>
      <c r="G23" s="38">
        <f t="shared" si="0"/>
        <v>3.3333333333333333E-2</v>
      </c>
      <c r="H23" s="39"/>
      <c r="I23" s="40"/>
      <c r="J23" s="37"/>
      <c r="K23" s="37"/>
    </row>
    <row r="24" spans="2:14" x14ac:dyDescent="0.3">
      <c r="B24" s="36"/>
      <c r="C24" s="37"/>
      <c r="D24" s="37"/>
      <c r="E24" s="108" t="s">
        <v>203</v>
      </c>
      <c r="F24" s="108">
        <v>3</v>
      </c>
      <c r="G24" s="38">
        <f t="shared" si="0"/>
        <v>0.05</v>
      </c>
      <c r="H24" s="39"/>
      <c r="I24" s="40"/>
      <c r="J24" s="37"/>
      <c r="K24" s="37"/>
    </row>
    <row r="25" spans="2:14" x14ac:dyDescent="0.3">
      <c r="B25" s="36"/>
      <c r="C25" s="37"/>
      <c r="D25" s="37" t="s">
        <v>55</v>
      </c>
      <c r="E25" s="108" t="s">
        <v>204</v>
      </c>
      <c r="F25" s="108">
        <v>3</v>
      </c>
      <c r="G25" s="38">
        <f t="shared" si="0"/>
        <v>0.05</v>
      </c>
      <c r="H25" s="39"/>
      <c r="I25" s="40"/>
      <c r="J25" s="37"/>
      <c r="K25" s="37"/>
    </row>
    <row r="26" spans="2:14" x14ac:dyDescent="0.3">
      <c r="B26" s="36"/>
      <c r="C26" s="37"/>
      <c r="D26" s="37" t="s">
        <v>56</v>
      </c>
      <c r="E26" s="108" t="s">
        <v>205</v>
      </c>
      <c r="F26" s="108">
        <v>3</v>
      </c>
      <c r="G26" s="38">
        <f t="shared" si="0"/>
        <v>0.05</v>
      </c>
      <c r="H26" s="39"/>
      <c r="I26" s="40"/>
      <c r="J26" s="37"/>
      <c r="K26" s="37"/>
    </row>
    <row r="27" spans="2:14" x14ac:dyDescent="0.3">
      <c r="B27" s="36"/>
      <c r="C27" s="37"/>
      <c r="D27" s="37" t="s">
        <v>57</v>
      </c>
      <c r="E27" s="108" t="s">
        <v>206</v>
      </c>
      <c r="F27" s="108">
        <v>3</v>
      </c>
      <c r="G27" s="38">
        <f t="shared" si="0"/>
        <v>0.05</v>
      </c>
      <c r="H27" s="39"/>
      <c r="I27" s="40"/>
      <c r="J27" s="37"/>
      <c r="K27" s="37"/>
    </row>
    <row r="28" spans="2:14" x14ac:dyDescent="0.3">
      <c r="B28" s="36"/>
      <c r="C28" s="37" t="s">
        <v>52</v>
      </c>
      <c r="D28" s="37"/>
      <c r="E28" s="109"/>
      <c r="F28" s="109">
        <f>SUM(F16:F27)</f>
        <v>34</v>
      </c>
      <c r="G28" s="37">
        <f>SUM(G16:G27)</f>
        <v>0.56666666666666665</v>
      </c>
      <c r="H28" s="39">
        <v>1869</v>
      </c>
      <c r="I28" s="57">
        <f>0.5*H28</f>
        <v>934.5</v>
      </c>
      <c r="J28" s="37">
        <f>F28*I28</f>
        <v>31773</v>
      </c>
      <c r="K28" s="45">
        <f>J28/60</f>
        <v>529.54999999999995</v>
      </c>
    </row>
    <row r="29" spans="2:14" ht="27.6" x14ac:dyDescent="0.3">
      <c r="B29" s="36"/>
      <c r="C29" s="31" t="s">
        <v>58</v>
      </c>
      <c r="D29" s="31"/>
      <c r="E29" s="110"/>
      <c r="F29" s="110"/>
      <c r="G29" s="47"/>
      <c r="H29" s="34"/>
      <c r="I29" s="35"/>
      <c r="J29" s="32"/>
      <c r="K29" s="32"/>
      <c r="L29" s="24"/>
      <c r="M29" s="30" t="s">
        <v>59</v>
      </c>
      <c r="N29" s="65"/>
    </row>
    <row r="30" spans="2:14" x14ac:dyDescent="0.3">
      <c r="B30" s="36"/>
      <c r="C30" s="37"/>
      <c r="D30" s="37" t="s">
        <v>47</v>
      </c>
      <c r="E30" s="108" t="s">
        <v>191</v>
      </c>
      <c r="F30" s="108">
        <v>2</v>
      </c>
      <c r="G30" s="38">
        <f t="shared" ref="G30:G40" si="1">F30/60</f>
        <v>3.3333333333333333E-2</v>
      </c>
      <c r="H30" s="39"/>
      <c r="I30" s="40"/>
      <c r="J30" s="37"/>
      <c r="K30" s="37"/>
      <c r="M30" s="25" t="s">
        <v>42</v>
      </c>
      <c r="N30" s="62">
        <f>SUM(J41,J54)</f>
        <v>35897.5</v>
      </c>
    </row>
    <row r="31" spans="2:14" x14ac:dyDescent="0.3">
      <c r="B31" s="36"/>
      <c r="C31" s="37"/>
      <c r="D31" s="37" t="s">
        <v>48</v>
      </c>
      <c r="E31" s="108" t="s">
        <v>192</v>
      </c>
      <c r="F31" s="108">
        <v>3</v>
      </c>
      <c r="G31" s="38">
        <f t="shared" si="1"/>
        <v>0.05</v>
      </c>
      <c r="H31" s="39"/>
      <c r="I31" s="40"/>
      <c r="J31" s="37"/>
      <c r="K31" s="37"/>
      <c r="M31" s="25" t="s">
        <v>6</v>
      </c>
      <c r="N31" s="66">
        <f>SUM(I41,I54)</f>
        <v>1063</v>
      </c>
    </row>
    <row r="32" spans="2:14" ht="14.4" thickBot="1" x14ac:dyDescent="0.35">
      <c r="B32" s="36"/>
      <c r="C32" s="37"/>
      <c r="D32" s="37"/>
      <c r="E32" s="108" t="s">
        <v>193</v>
      </c>
      <c r="F32" s="108">
        <v>5</v>
      </c>
      <c r="G32" s="38">
        <f t="shared" si="1"/>
        <v>8.3333333333333329E-2</v>
      </c>
      <c r="H32" s="39"/>
      <c r="I32" s="40"/>
      <c r="J32" s="37"/>
      <c r="K32" s="37"/>
    </row>
    <row r="33" spans="2:14" ht="14.4" thickTop="1" x14ac:dyDescent="0.3">
      <c r="B33" s="36"/>
      <c r="C33" s="37"/>
      <c r="D33" s="37"/>
      <c r="E33" s="108" t="s">
        <v>194</v>
      </c>
      <c r="F33" s="108">
        <v>2</v>
      </c>
      <c r="G33" s="38">
        <f t="shared" si="1"/>
        <v>3.3333333333333333E-2</v>
      </c>
      <c r="H33" s="39"/>
      <c r="I33" s="40"/>
      <c r="J33" s="37"/>
      <c r="K33" s="37"/>
      <c r="M33" s="41" t="s">
        <v>49</v>
      </c>
      <c r="N33" s="67">
        <f>N30/N31</f>
        <v>33.769990592662275</v>
      </c>
    </row>
    <row r="34" spans="2:14" x14ac:dyDescent="0.3">
      <c r="B34" s="36"/>
      <c r="C34" s="37"/>
      <c r="D34" s="37"/>
      <c r="E34" s="108" t="s">
        <v>195</v>
      </c>
      <c r="F34" s="108">
        <v>3</v>
      </c>
      <c r="G34" s="38">
        <f t="shared" si="1"/>
        <v>0.05</v>
      </c>
      <c r="H34" s="39"/>
      <c r="I34" s="40"/>
      <c r="J34" s="37"/>
      <c r="K34" s="37"/>
      <c r="M34" s="42"/>
      <c r="N34" s="68"/>
    </row>
    <row r="35" spans="2:14" ht="14.4" thickBot="1" x14ac:dyDescent="0.35">
      <c r="B35" s="36"/>
      <c r="C35" s="37"/>
      <c r="D35" s="37" t="s">
        <v>60</v>
      </c>
      <c r="E35" s="108" t="s">
        <v>207</v>
      </c>
      <c r="F35" s="108">
        <v>4</v>
      </c>
      <c r="G35" s="38">
        <f t="shared" si="1"/>
        <v>6.6666666666666666E-2</v>
      </c>
      <c r="H35" s="39"/>
      <c r="I35" s="40"/>
      <c r="J35" s="37"/>
      <c r="K35" s="37"/>
      <c r="M35" s="43" t="s">
        <v>50</v>
      </c>
      <c r="N35" s="70">
        <f>N33/60</f>
        <v>0.56283317654437126</v>
      </c>
    </row>
    <row r="36" spans="2:14" ht="14.4" thickTop="1" x14ac:dyDescent="0.3">
      <c r="B36" s="36"/>
      <c r="C36" s="37"/>
      <c r="D36" s="37"/>
      <c r="E36" s="108" t="s">
        <v>208</v>
      </c>
      <c r="F36" s="108">
        <v>4</v>
      </c>
      <c r="G36" s="38">
        <f t="shared" si="1"/>
        <v>6.6666666666666666E-2</v>
      </c>
      <c r="H36" s="39"/>
      <c r="I36" s="40"/>
      <c r="J36" s="37"/>
      <c r="K36" s="37"/>
    </row>
    <row r="37" spans="2:14" x14ac:dyDescent="0.3">
      <c r="B37" s="36"/>
      <c r="C37" s="37"/>
      <c r="D37" s="37"/>
      <c r="E37" s="108" t="s">
        <v>209</v>
      </c>
      <c r="F37" s="108">
        <v>2</v>
      </c>
      <c r="G37" s="38">
        <f t="shared" si="1"/>
        <v>3.3333333333333333E-2</v>
      </c>
      <c r="H37" s="39"/>
      <c r="I37" s="40"/>
      <c r="J37" s="37"/>
      <c r="K37" s="37"/>
    </row>
    <row r="38" spans="2:14" x14ac:dyDescent="0.3">
      <c r="B38" s="36"/>
      <c r="C38" s="37"/>
      <c r="D38" s="37" t="s">
        <v>55</v>
      </c>
      <c r="E38" s="108" t="s">
        <v>204</v>
      </c>
      <c r="F38" s="108">
        <v>3</v>
      </c>
      <c r="G38" s="38">
        <f t="shared" si="1"/>
        <v>0.05</v>
      </c>
      <c r="H38" s="39"/>
      <c r="I38" s="40"/>
      <c r="J38" s="37"/>
      <c r="K38" s="37"/>
    </row>
    <row r="39" spans="2:14" x14ac:dyDescent="0.3">
      <c r="B39" s="36"/>
      <c r="C39" s="37"/>
      <c r="D39" s="37" t="s">
        <v>56</v>
      </c>
      <c r="E39" s="108" t="s">
        <v>205</v>
      </c>
      <c r="F39" s="108">
        <v>3</v>
      </c>
      <c r="G39" s="38">
        <f t="shared" si="1"/>
        <v>0.05</v>
      </c>
      <c r="H39" s="39"/>
      <c r="I39" s="40"/>
      <c r="J39" s="37"/>
      <c r="K39" s="37"/>
    </row>
    <row r="40" spans="2:14" x14ac:dyDescent="0.3">
      <c r="B40" s="36"/>
      <c r="C40" s="37"/>
      <c r="D40" s="37" t="s">
        <v>57</v>
      </c>
      <c r="E40" s="108" t="s">
        <v>206</v>
      </c>
      <c r="F40" s="108">
        <v>3</v>
      </c>
      <c r="G40" s="38">
        <f t="shared" si="1"/>
        <v>0.05</v>
      </c>
      <c r="H40" s="39"/>
      <c r="I40" s="40"/>
      <c r="J40" s="37"/>
      <c r="K40" s="37"/>
    </row>
    <row r="41" spans="2:14" x14ac:dyDescent="0.3">
      <c r="B41" s="36"/>
      <c r="C41" s="37" t="s">
        <v>52</v>
      </c>
      <c r="D41" s="37"/>
      <c r="E41" s="109"/>
      <c r="F41" s="109">
        <f>SUM(F30:F40)</f>
        <v>34</v>
      </c>
      <c r="G41" s="45">
        <f>SUM(G30:G40)</f>
        <v>0.56666666666666665</v>
      </c>
      <c r="H41" s="39">
        <v>1637</v>
      </c>
      <c r="I41" s="57">
        <f>0.5*H41</f>
        <v>818.5</v>
      </c>
      <c r="J41" s="37">
        <f>F41*I41</f>
        <v>27829</v>
      </c>
      <c r="K41" s="45">
        <f>J41/60</f>
        <v>463.81666666666666</v>
      </c>
    </row>
    <row r="42" spans="2:14" x14ac:dyDescent="0.3">
      <c r="B42" s="36"/>
      <c r="C42" s="31" t="s">
        <v>61</v>
      </c>
      <c r="D42" s="31"/>
      <c r="E42" s="110"/>
      <c r="F42" s="110"/>
      <c r="G42" s="47"/>
      <c r="H42" s="34"/>
      <c r="I42" s="35"/>
      <c r="J42" s="32"/>
      <c r="K42" s="32"/>
      <c r="L42" s="24"/>
    </row>
    <row r="43" spans="2:14" x14ac:dyDescent="0.3">
      <c r="B43" s="36"/>
      <c r="C43" s="37"/>
      <c r="D43" s="37" t="s">
        <v>47</v>
      </c>
      <c r="E43" s="108" t="s">
        <v>191</v>
      </c>
      <c r="F43" s="108">
        <v>2</v>
      </c>
      <c r="G43" s="38">
        <f t="shared" ref="G43:G73" si="2">F43/60</f>
        <v>3.3333333333333333E-2</v>
      </c>
      <c r="H43" s="39"/>
      <c r="I43" s="40"/>
      <c r="J43" s="37"/>
      <c r="K43" s="37"/>
    </row>
    <row r="44" spans="2:14" x14ac:dyDescent="0.3">
      <c r="B44" s="36"/>
      <c r="C44" s="37"/>
      <c r="D44" s="37" t="s">
        <v>48</v>
      </c>
      <c r="E44" s="108" t="s">
        <v>192</v>
      </c>
      <c r="F44" s="108">
        <v>3</v>
      </c>
      <c r="G44" s="38">
        <f t="shared" si="2"/>
        <v>0.05</v>
      </c>
      <c r="H44" s="39"/>
      <c r="I44" s="40"/>
      <c r="J44" s="37"/>
      <c r="K44" s="37"/>
    </row>
    <row r="45" spans="2:14" x14ac:dyDescent="0.3">
      <c r="B45" s="36"/>
      <c r="C45" s="37"/>
      <c r="D45" s="37"/>
      <c r="E45" s="108" t="s">
        <v>193</v>
      </c>
      <c r="F45" s="108">
        <v>5</v>
      </c>
      <c r="G45" s="38">
        <f t="shared" si="2"/>
        <v>8.3333333333333329E-2</v>
      </c>
      <c r="H45" s="39"/>
      <c r="I45" s="40"/>
      <c r="J45" s="37"/>
      <c r="K45" s="37"/>
    </row>
    <row r="46" spans="2:14" x14ac:dyDescent="0.3">
      <c r="B46" s="36"/>
      <c r="C46" s="37"/>
      <c r="D46" s="37"/>
      <c r="E46" s="108" t="s">
        <v>194</v>
      </c>
      <c r="F46" s="108">
        <v>2</v>
      </c>
      <c r="G46" s="38">
        <f t="shared" si="2"/>
        <v>3.3333333333333333E-2</v>
      </c>
      <c r="H46" s="39"/>
      <c r="I46" s="40"/>
      <c r="J46" s="37"/>
      <c r="K46" s="37"/>
    </row>
    <row r="47" spans="2:14" x14ac:dyDescent="0.3">
      <c r="B47" s="36"/>
      <c r="C47" s="37"/>
      <c r="D47" s="37"/>
      <c r="E47" s="108" t="s">
        <v>195</v>
      </c>
      <c r="F47" s="108">
        <v>3</v>
      </c>
      <c r="G47" s="38">
        <f t="shared" si="2"/>
        <v>0.05</v>
      </c>
      <c r="H47" s="39"/>
      <c r="I47" s="40"/>
      <c r="J47" s="37"/>
      <c r="K47" s="37"/>
    </row>
    <row r="48" spans="2:14" x14ac:dyDescent="0.3">
      <c r="B48" s="36"/>
      <c r="C48" s="37"/>
      <c r="D48" s="37" t="s">
        <v>62</v>
      </c>
      <c r="E48" s="108" t="s">
        <v>210</v>
      </c>
      <c r="F48" s="108">
        <v>4</v>
      </c>
      <c r="G48" s="38">
        <f t="shared" si="2"/>
        <v>6.6666666666666666E-2</v>
      </c>
      <c r="H48" s="39"/>
      <c r="I48" s="40"/>
      <c r="J48" s="37"/>
      <c r="K48" s="37"/>
    </row>
    <row r="49" spans="2:12" x14ac:dyDescent="0.3">
      <c r="B49" s="36"/>
      <c r="C49" s="37"/>
      <c r="D49" s="37"/>
      <c r="E49" s="108" t="s">
        <v>211</v>
      </c>
      <c r="F49" s="108">
        <v>2</v>
      </c>
      <c r="G49" s="38">
        <f t="shared" si="2"/>
        <v>3.3333333333333333E-2</v>
      </c>
      <c r="H49" s="39"/>
      <c r="I49" s="40"/>
      <c r="J49" s="37"/>
      <c r="K49" s="37"/>
    </row>
    <row r="50" spans="2:12" x14ac:dyDescent="0.3">
      <c r="B50" s="36"/>
      <c r="C50" s="37"/>
      <c r="D50" s="37"/>
      <c r="E50" s="108" t="s">
        <v>212</v>
      </c>
      <c r="F50" s="108">
        <v>2</v>
      </c>
      <c r="G50" s="38">
        <f t="shared" si="2"/>
        <v>3.3333333333333333E-2</v>
      </c>
      <c r="H50" s="39"/>
      <c r="I50" s="40"/>
      <c r="J50" s="37"/>
      <c r="K50" s="37"/>
    </row>
    <row r="51" spans="2:12" x14ac:dyDescent="0.3">
      <c r="B51" s="36"/>
      <c r="C51" s="37"/>
      <c r="D51" s="37"/>
      <c r="E51" s="108" t="s">
        <v>213</v>
      </c>
      <c r="F51" s="108">
        <v>4</v>
      </c>
      <c r="G51" s="38">
        <f t="shared" si="2"/>
        <v>6.6666666666666666E-2</v>
      </c>
      <c r="H51" s="39"/>
      <c r="I51" s="40"/>
      <c r="J51" s="37"/>
      <c r="K51" s="37"/>
    </row>
    <row r="52" spans="2:12" x14ac:dyDescent="0.3">
      <c r="B52" s="36"/>
      <c r="C52" s="37"/>
      <c r="D52" s="37" t="s">
        <v>55</v>
      </c>
      <c r="E52" s="108" t="s">
        <v>204</v>
      </c>
      <c r="F52" s="108">
        <v>3</v>
      </c>
      <c r="G52" s="38">
        <f t="shared" si="2"/>
        <v>0.05</v>
      </c>
      <c r="H52" s="39"/>
      <c r="I52" s="40"/>
      <c r="J52" s="37"/>
      <c r="K52" s="37"/>
    </row>
    <row r="53" spans="2:12" x14ac:dyDescent="0.3">
      <c r="B53" s="36"/>
      <c r="C53" s="37"/>
      <c r="D53" s="37" t="s">
        <v>56</v>
      </c>
      <c r="E53" s="108" t="s">
        <v>205</v>
      </c>
      <c r="F53" s="108">
        <v>3</v>
      </c>
      <c r="G53" s="38">
        <f t="shared" si="2"/>
        <v>0.05</v>
      </c>
      <c r="H53" s="39"/>
      <c r="I53" s="40"/>
      <c r="J53" s="37"/>
      <c r="K53" s="37"/>
    </row>
    <row r="54" spans="2:12" x14ac:dyDescent="0.3">
      <c r="B54" s="44"/>
      <c r="C54" s="37" t="s">
        <v>52</v>
      </c>
      <c r="D54" s="37"/>
      <c r="E54" s="109"/>
      <c r="F54" s="109">
        <f>SUM(F43:F53)</f>
        <v>33</v>
      </c>
      <c r="G54" s="45">
        <f>SUM(G43:G53)</f>
        <v>0.54999999999999993</v>
      </c>
      <c r="H54" s="39">
        <v>489</v>
      </c>
      <c r="I54" s="57">
        <f>0.5*H54</f>
        <v>244.5</v>
      </c>
      <c r="J54" s="37">
        <f>F54*I54</f>
        <v>8068.5</v>
      </c>
      <c r="K54" s="45">
        <f>J54/60</f>
        <v>134.47499999999999</v>
      </c>
    </row>
    <row r="55" spans="2:12" x14ac:dyDescent="0.3">
      <c r="B55" s="36"/>
      <c r="C55" s="31" t="s">
        <v>109</v>
      </c>
      <c r="D55" s="31"/>
      <c r="E55" s="110"/>
      <c r="F55" s="110"/>
      <c r="G55" s="47"/>
      <c r="H55" s="34"/>
      <c r="I55" s="35"/>
      <c r="J55" s="32"/>
      <c r="K55" s="32"/>
      <c r="L55" s="24"/>
    </row>
    <row r="56" spans="2:12" x14ac:dyDescent="0.3">
      <c r="B56" s="36"/>
      <c r="C56" s="37"/>
      <c r="D56" s="37" t="s">
        <v>47</v>
      </c>
      <c r="E56" s="108" t="s">
        <v>191</v>
      </c>
      <c r="F56" s="108">
        <v>2</v>
      </c>
      <c r="G56" s="38">
        <f t="shared" ref="G56:G60" si="3">F56/60</f>
        <v>3.3333333333333333E-2</v>
      </c>
      <c r="H56" s="39"/>
      <c r="I56" s="40"/>
      <c r="J56" s="37"/>
      <c r="K56" s="37"/>
    </row>
    <row r="57" spans="2:12" x14ac:dyDescent="0.3">
      <c r="B57" s="36"/>
      <c r="C57" s="37"/>
      <c r="D57" s="37" t="s">
        <v>48</v>
      </c>
      <c r="E57" s="108" t="s">
        <v>192</v>
      </c>
      <c r="F57" s="108">
        <v>3</v>
      </c>
      <c r="G57" s="38">
        <f t="shared" si="3"/>
        <v>0.05</v>
      </c>
      <c r="H57" s="39"/>
      <c r="I57" s="40"/>
      <c r="J57" s="37"/>
      <c r="K57" s="37"/>
    </row>
    <row r="58" spans="2:12" x14ac:dyDescent="0.3">
      <c r="B58" s="36"/>
      <c r="C58" s="37"/>
      <c r="D58" s="37"/>
      <c r="E58" s="108" t="s">
        <v>193</v>
      </c>
      <c r="F58" s="108">
        <v>5</v>
      </c>
      <c r="G58" s="38">
        <f t="shared" si="3"/>
        <v>8.3333333333333329E-2</v>
      </c>
      <c r="H58" s="39"/>
      <c r="I58" s="40"/>
      <c r="J58" s="37"/>
      <c r="K58" s="37"/>
    </row>
    <row r="59" spans="2:12" x14ac:dyDescent="0.3">
      <c r="B59" s="36"/>
      <c r="C59" s="37"/>
      <c r="D59" s="37"/>
      <c r="E59" s="108" t="s">
        <v>194</v>
      </c>
      <c r="F59" s="108">
        <v>2</v>
      </c>
      <c r="G59" s="38">
        <f t="shared" si="3"/>
        <v>3.3333333333333333E-2</v>
      </c>
      <c r="H59" s="39"/>
      <c r="I59" s="40"/>
      <c r="J59" s="37"/>
      <c r="K59" s="37"/>
    </row>
    <row r="60" spans="2:12" x14ac:dyDescent="0.3">
      <c r="B60" s="36"/>
      <c r="C60" s="37"/>
      <c r="D60" s="37"/>
      <c r="E60" s="108" t="s">
        <v>195</v>
      </c>
      <c r="F60" s="108">
        <v>3</v>
      </c>
      <c r="G60" s="38">
        <f t="shared" si="3"/>
        <v>0.05</v>
      </c>
      <c r="H60" s="39"/>
      <c r="I60" s="40"/>
      <c r="J60" s="37"/>
      <c r="K60" s="37"/>
    </row>
    <row r="61" spans="2:12" x14ac:dyDescent="0.3">
      <c r="B61" s="36"/>
      <c r="C61" s="37"/>
      <c r="D61" s="37" t="s">
        <v>63</v>
      </c>
      <c r="E61" s="108" t="s">
        <v>214</v>
      </c>
      <c r="F61" s="108">
        <v>2</v>
      </c>
      <c r="G61" s="38">
        <f>F61/60</f>
        <v>3.3333333333333333E-2</v>
      </c>
      <c r="H61" s="39"/>
      <c r="I61" s="40"/>
      <c r="J61" s="37"/>
      <c r="K61" s="37"/>
    </row>
    <row r="62" spans="2:12" x14ac:dyDescent="0.3">
      <c r="B62" s="36"/>
      <c r="C62" s="37"/>
      <c r="D62" s="37"/>
      <c r="E62" s="108" t="s">
        <v>215</v>
      </c>
      <c r="F62" s="108">
        <v>2</v>
      </c>
      <c r="G62" s="38">
        <f>F62/60</f>
        <v>3.3333333333333333E-2</v>
      </c>
      <c r="H62" s="39"/>
      <c r="I62" s="40"/>
      <c r="J62" s="37"/>
      <c r="K62" s="37"/>
    </row>
    <row r="63" spans="2:12" x14ac:dyDescent="0.3">
      <c r="B63" s="36"/>
      <c r="C63" s="37"/>
      <c r="D63" s="37"/>
      <c r="E63" s="108" t="s">
        <v>244</v>
      </c>
      <c r="F63" s="108">
        <v>2</v>
      </c>
      <c r="G63" s="38">
        <f>F63/60</f>
        <v>3.3333333333333333E-2</v>
      </c>
      <c r="H63" s="39"/>
      <c r="I63" s="40"/>
      <c r="J63" s="37"/>
      <c r="K63" s="37"/>
    </row>
    <row r="64" spans="2:12" x14ac:dyDescent="0.3">
      <c r="B64" s="44"/>
      <c r="C64" s="37" t="s">
        <v>52</v>
      </c>
      <c r="D64" s="37"/>
      <c r="E64" s="108"/>
      <c r="F64" s="109">
        <f>SUM(F56:F63)</f>
        <v>21</v>
      </c>
      <c r="G64" s="45">
        <f>SUM(G56:G63)</f>
        <v>0.35</v>
      </c>
      <c r="H64" s="39">
        <v>420</v>
      </c>
      <c r="I64" s="40">
        <f>1*H64</f>
        <v>420</v>
      </c>
      <c r="J64" s="37">
        <f>F64*I64</f>
        <v>8820</v>
      </c>
      <c r="K64" s="45">
        <f>J64/60</f>
        <v>147</v>
      </c>
    </row>
    <row r="65" spans="2:12" x14ac:dyDescent="0.3">
      <c r="B65" s="46" t="s">
        <v>64</v>
      </c>
      <c r="C65" s="31" t="s">
        <v>65</v>
      </c>
      <c r="D65" s="48"/>
      <c r="E65" s="110"/>
      <c r="F65" s="110"/>
      <c r="G65" s="47"/>
      <c r="H65" s="34"/>
      <c r="I65" s="35"/>
      <c r="J65" s="32"/>
      <c r="K65" s="32"/>
      <c r="L65" s="24"/>
    </row>
    <row r="66" spans="2:12" x14ac:dyDescent="0.3">
      <c r="B66" s="36" t="s">
        <v>66</v>
      </c>
      <c r="C66" s="37"/>
      <c r="D66" s="37" t="s">
        <v>47</v>
      </c>
      <c r="E66" s="108" t="s">
        <v>191</v>
      </c>
      <c r="F66" s="108">
        <v>2</v>
      </c>
      <c r="G66" s="38">
        <f t="shared" si="2"/>
        <v>3.3333333333333333E-2</v>
      </c>
      <c r="H66" s="39"/>
      <c r="I66" s="40"/>
      <c r="J66" s="37"/>
      <c r="K66" s="37"/>
    </row>
    <row r="67" spans="2:12" x14ac:dyDescent="0.3">
      <c r="B67" s="36"/>
      <c r="C67" s="37"/>
      <c r="D67" s="37" t="s">
        <v>48</v>
      </c>
      <c r="E67" s="108" t="s">
        <v>192</v>
      </c>
      <c r="F67" s="108">
        <v>3</v>
      </c>
      <c r="G67" s="38">
        <f t="shared" si="2"/>
        <v>0.05</v>
      </c>
      <c r="H67" s="39"/>
      <c r="I67" s="40"/>
      <c r="J67" s="37"/>
      <c r="K67" s="37"/>
    </row>
    <row r="68" spans="2:12" x14ac:dyDescent="0.3">
      <c r="B68" s="36"/>
      <c r="C68" s="37"/>
      <c r="D68" s="37"/>
      <c r="E68" s="108" t="s">
        <v>193</v>
      </c>
      <c r="F68" s="108">
        <v>5</v>
      </c>
      <c r="G68" s="38">
        <f t="shared" si="2"/>
        <v>8.3333333333333329E-2</v>
      </c>
      <c r="H68" s="39"/>
      <c r="I68" s="40"/>
      <c r="J68" s="37"/>
      <c r="K68" s="37"/>
    </row>
    <row r="69" spans="2:12" x14ac:dyDescent="0.3">
      <c r="B69" s="36"/>
      <c r="C69" s="37"/>
      <c r="D69" s="37"/>
      <c r="E69" s="108" t="s">
        <v>194</v>
      </c>
      <c r="F69" s="108">
        <v>2</v>
      </c>
      <c r="G69" s="38">
        <f t="shared" si="2"/>
        <v>3.3333333333333333E-2</v>
      </c>
      <c r="H69" s="39"/>
      <c r="I69" s="40"/>
      <c r="J69" s="37"/>
      <c r="K69" s="37"/>
    </row>
    <row r="70" spans="2:12" x14ac:dyDescent="0.3">
      <c r="B70" s="36"/>
      <c r="C70" s="37"/>
      <c r="D70" s="37"/>
      <c r="E70" s="108" t="s">
        <v>195</v>
      </c>
      <c r="F70" s="108">
        <v>3</v>
      </c>
      <c r="G70" s="38">
        <f t="shared" si="2"/>
        <v>0.05</v>
      </c>
      <c r="H70" s="39"/>
      <c r="I70" s="40"/>
      <c r="J70" s="37"/>
      <c r="K70" s="37"/>
    </row>
    <row r="71" spans="2:12" x14ac:dyDescent="0.3">
      <c r="B71" s="36"/>
      <c r="C71" s="37"/>
      <c r="D71" s="37" t="s">
        <v>67</v>
      </c>
      <c r="E71" s="108" t="s">
        <v>216</v>
      </c>
      <c r="F71" s="108">
        <v>2</v>
      </c>
      <c r="G71" s="38">
        <f t="shared" si="2"/>
        <v>3.3333333333333333E-2</v>
      </c>
      <c r="H71" s="39"/>
      <c r="I71" s="40"/>
      <c r="J71" s="37"/>
      <c r="K71" s="37"/>
    </row>
    <row r="72" spans="2:12" x14ac:dyDescent="0.3">
      <c r="B72" s="36"/>
      <c r="C72" s="37"/>
      <c r="D72" s="37"/>
      <c r="E72" s="108" t="s">
        <v>217</v>
      </c>
      <c r="F72" s="108">
        <v>4</v>
      </c>
      <c r="G72" s="38">
        <f t="shared" si="2"/>
        <v>6.6666666666666666E-2</v>
      </c>
      <c r="H72" s="39"/>
      <c r="I72" s="40"/>
      <c r="J72" s="37"/>
      <c r="K72" s="37"/>
    </row>
    <row r="73" spans="2:12" x14ac:dyDescent="0.3">
      <c r="B73" s="36"/>
      <c r="C73" s="37"/>
      <c r="D73" s="37"/>
      <c r="E73" s="108" t="s">
        <v>218</v>
      </c>
      <c r="F73" s="108">
        <v>1</v>
      </c>
      <c r="G73" s="38">
        <f t="shared" si="2"/>
        <v>1.6666666666666666E-2</v>
      </c>
      <c r="H73" s="39"/>
      <c r="I73" s="40"/>
      <c r="J73" s="37"/>
      <c r="K73" s="37"/>
    </row>
    <row r="74" spans="2:12" x14ac:dyDescent="0.3">
      <c r="B74" s="36"/>
      <c r="C74" s="37" t="s">
        <v>52</v>
      </c>
      <c r="D74" s="37"/>
      <c r="E74" s="109"/>
      <c r="F74" s="109">
        <f>SUM(F66:F73)</f>
        <v>22</v>
      </c>
      <c r="G74" s="45">
        <f>SUM(G66:G73)</f>
        <v>0.36666666666666664</v>
      </c>
      <c r="H74" s="63">
        <f>'SNACS-II burden table '!F36</f>
        <v>695</v>
      </c>
      <c r="I74" s="61">
        <f>0.35*H74</f>
        <v>243.24999999999997</v>
      </c>
      <c r="J74" s="59">
        <f>F74*I74</f>
        <v>5351.4999999999991</v>
      </c>
      <c r="K74" s="59">
        <f>J74/60</f>
        <v>89.191666666666649</v>
      </c>
      <c r="L74" s="62"/>
    </row>
    <row r="75" spans="2:12" x14ac:dyDescent="0.3">
      <c r="B75" s="36"/>
      <c r="C75" s="31" t="s">
        <v>68</v>
      </c>
      <c r="D75" s="31"/>
      <c r="E75" s="110"/>
      <c r="F75" s="110"/>
      <c r="G75" s="47"/>
      <c r="H75" s="34"/>
      <c r="I75" s="35"/>
      <c r="J75" s="32"/>
      <c r="K75" s="32"/>
      <c r="L75" s="24"/>
    </row>
    <row r="76" spans="2:12" x14ac:dyDescent="0.3">
      <c r="B76" s="36"/>
      <c r="C76" s="37"/>
      <c r="D76" s="37" t="s">
        <v>47</v>
      </c>
      <c r="E76" s="108" t="s">
        <v>191</v>
      </c>
      <c r="F76" s="108">
        <v>2</v>
      </c>
      <c r="G76" s="38">
        <f t="shared" ref="G76:G83" si="4">F76/60</f>
        <v>3.3333333333333333E-2</v>
      </c>
      <c r="H76" s="39"/>
      <c r="I76" s="40"/>
      <c r="J76" s="37"/>
      <c r="K76" s="37"/>
    </row>
    <row r="77" spans="2:12" x14ac:dyDescent="0.3">
      <c r="B77" s="36"/>
      <c r="C77" s="37"/>
      <c r="D77" s="37" t="s">
        <v>48</v>
      </c>
      <c r="E77" s="108" t="s">
        <v>192</v>
      </c>
      <c r="F77" s="108">
        <v>3</v>
      </c>
      <c r="G77" s="38">
        <f t="shared" si="4"/>
        <v>0.05</v>
      </c>
      <c r="H77" s="39"/>
      <c r="I77" s="40"/>
      <c r="J77" s="37"/>
      <c r="K77" s="37"/>
    </row>
    <row r="78" spans="2:12" x14ac:dyDescent="0.3">
      <c r="B78" s="36"/>
      <c r="C78" s="37"/>
      <c r="D78" s="37"/>
      <c r="E78" s="108" t="s">
        <v>193</v>
      </c>
      <c r="F78" s="108">
        <v>5</v>
      </c>
      <c r="G78" s="38">
        <f t="shared" si="4"/>
        <v>8.3333333333333329E-2</v>
      </c>
      <c r="H78" s="39"/>
      <c r="I78" s="40"/>
      <c r="J78" s="37"/>
      <c r="K78" s="37"/>
    </row>
    <row r="79" spans="2:12" x14ac:dyDescent="0.3">
      <c r="B79" s="36"/>
      <c r="C79" s="37"/>
      <c r="D79" s="37"/>
      <c r="E79" s="108" t="s">
        <v>194</v>
      </c>
      <c r="F79" s="108">
        <v>2</v>
      </c>
      <c r="G79" s="38">
        <f t="shared" si="4"/>
        <v>3.3333333333333333E-2</v>
      </c>
      <c r="H79" s="39"/>
      <c r="I79" s="40"/>
      <c r="J79" s="37"/>
      <c r="K79" s="37"/>
    </row>
    <row r="80" spans="2:12" x14ac:dyDescent="0.3">
      <c r="B80" s="36"/>
      <c r="C80" s="37"/>
      <c r="D80" s="37"/>
      <c r="E80" s="108" t="s">
        <v>195</v>
      </c>
      <c r="F80" s="108">
        <v>3</v>
      </c>
      <c r="G80" s="38">
        <f t="shared" si="4"/>
        <v>0.05</v>
      </c>
      <c r="H80" s="39"/>
      <c r="I80" s="40"/>
      <c r="J80" s="37"/>
      <c r="K80" s="37"/>
    </row>
    <row r="81" spans="2:13" x14ac:dyDescent="0.3">
      <c r="B81" s="36"/>
      <c r="C81" s="37"/>
      <c r="D81" s="37" t="s">
        <v>67</v>
      </c>
      <c r="E81" s="108" t="s">
        <v>216</v>
      </c>
      <c r="F81" s="108">
        <v>2</v>
      </c>
      <c r="G81" s="38">
        <f t="shared" si="4"/>
        <v>3.3333333333333333E-2</v>
      </c>
      <c r="H81" s="39"/>
      <c r="I81" s="40"/>
      <c r="J81" s="37"/>
      <c r="K81" s="37"/>
    </row>
    <row r="82" spans="2:13" x14ac:dyDescent="0.3">
      <c r="B82" s="36"/>
      <c r="C82" s="37"/>
      <c r="D82" s="37"/>
      <c r="E82" s="108" t="s">
        <v>217</v>
      </c>
      <c r="F82" s="108">
        <v>4</v>
      </c>
      <c r="G82" s="38">
        <f t="shared" si="4"/>
        <v>6.6666666666666666E-2</v>
      </c>
      <c r="H82" s="39"/>
      <c r="I82" s="40"/>
      <c r="J82" s="37"/>
      <c r="K82" s="37"/>
    </row>
    <row r="83" spans="2:13" x14ac:dyDescent="0.3">
      <c r="B83" s="36"/>
      <c r="C83" s="37"/>
      <c r="D83" s="37"/>
      <c r="E83" s="108" t="s">
        <v>219</v>
      </c>
      <c r="F83" s="108">
        <v>1</v>
      </c>
      <c r="G83" s="38">
        <f t="shared" si="4"/>
        <v>1.6666666666666666E-2</v>
      </c>
      <c r="H83" s="39"/>
      <c r="I83" s="40"/>
      <c r="J83" s="37"/>
      <c r="K83" s="37"/>
    </row>
    <row r="84" spans="2:13" x14ac:dyDescent="0.3">
      <c r="B84" s="36"/>
      <c r="C84" s="37" t="s">
        <v>52</v>
      </c>
      <c r="D84" s="37"/>
      <c r="E84" s="109"/>
      <c r="F84" s="109">
        <f>SUM(F76:F83)</f>
        <v>22</v>
      </c>
      <c r="G84" s="45">
        <f>SUM(G76:G83)</f>
        <v>0.36666666666666664</v>
      </c>
      <c r="H84" s="63">
        <f>'SNACS-II burden table '!F21</f>
        <v>5880</v>
      </c>
      <c r="I84" s="61">
        <f>0.35*H84</f>
        <v>2058</v>
      </c>
      <c r="J84" s="59">
        <f>F84*I84</f>
        <v>45276</v>
      </c>
      <c r="K84" s="64">
        <f>J84/60</f>
        <v>754.6</v>
      </c>
      <c r="L84" s="62"/>
    </row>
    <row r="85" spans="2:13" x14ac:dyDescent="0.3">
      <c r="B85" s="36"/>
      <c r="C85" s="31" t="s">
        <v>69</v>
      </c>
      <c r="D85" s="31"/>
      <c r="E85" s="110"/>
      <c r="F85" s="110"/>
      <c r="G85" s="47"/>
      <c r="H85" s="49"/>
      <c r="I85" s="50"/>
      <c r="J85" s="51"/>
      <c r="K85" s="51"/>
      <c r="L85" s="24"/>
    </row>
    <row r="86" spans="2:13" x14ac:dyDescent="0.3">
      <c r="B86" s="36"/>
      <c r="C86" s="37"/>
      <c r="D86" s="37" t="s">
        <v>47</v>
      </c>
      <c r="E86" s="108" t="s">
        <v>191</v>
      </c>
      <c r="F86" s="108">
        <v>2</v>
      </c>
      <c r="G86" s="38">
        <f t="shared" ref="G86:G94" si="5">F86/60</f>
        <v>3.3333333333333333E-2</v>
      </c>
      <c r="H86" s="52"/>
      <c r="I86" s="53"/>
      <c r="J86" s="37"/>
      <c r="K86" s="37"/>
    </row>
    <row r="87" spans="2:13" x14ac:dyDescent="0.3">
      <c r="B87" s="36"/>
      <c r="C87" s="37"/>
      <c r="D87" s="37" t="s">
        <v>48</v>
      </c>
      <c r="E87" s="108" t="s">
        <v>192</v>
      </c>
      <c r="F87" s="108">
        <v>3</v>
      </c>
      <c r="G87" s="38">
        <f t="shared" si="5"/>
        <v>0.05</v>
      </c>
      <c r="H87" s="39"/>
      <c r="I87" s="40"/>
      <c r="J87" s="37"/>
      <c r="K87" s="37"/>
    </row>
    <row r="88" spans="2:13" x14ac:dyDescent="0.3">
      <c r="B88" s="36"/>
      <c r="C88" s="37"/>
      <c r="D88" s="37"/>
      <c r="E88" s="108" t="s">
        <v>193</v>
      </c>
      <c r="F88" s="108">
        <v>5</v>
      </c>
      <c r="G88" s="38">
        <f t="shared" si="5"/>
        <v>8.3333333333333329E-2</v>
      </c>
      <c r="H88" s="39"/>
      <c r="I88" s="40"/>
      <c r="J88" s="37"/>
      <c r="K88" s="37"/>
    </row>
    <row r="89" spans="2:13" x14ac:dyDescent="0.3">
      <c r="B89" s="36"/>
      <c r="C89" s="37"/>
      <c r="D89" s="37"/>
      <c r="E89" s="108" t="s">
        <v>194</v>
      </c>
      <c r="F89" s="108">
        <v>2</v>
      </c>
      <c r="G89" s="38">
        <f t="shared" si="5"/>
        <v>3.3333333333333333E-2</v>
      </c>
      <c r="H89" s="39"/>
      <c r="I89" s="40"/>
      <c r="J89" s="37"/>
      <c r="K89" s="37"/>
    </row>
    <row r="90" spans="2:13" x14ac:dyDescent="0.3">
      <c r="B90" s="36"/>
      <c r="C90" s="37"/>
      <c r="D90" s="37"/>
      <c r="E90" s="108" t="s">
        <v>195</v>
      </c>
      <c r="F90" s="108">
        <v>3</v>
      </c>
      <c r="G90" s="38">
        <f t="shared" si="5"/>
        <v>0.05</v>
      </c>
      <c r="H90" s="39"/>
      <c r="I90" s="40"/>
      <c r="J90" s="37"/>
      <c r="K90" s="37"/>
    </row>
    <row r="91" spans="2:13" x14ac:dyDescent="0.3">
      <c r="B91" s="36"/>
      <c r="C91" s="37"/>
      <c r="D91" s="37" t="s">
        <v>67</v>
      </c>
      <c r="E91" s="108" t="s">
        <v>216</v>
      </c>
      <c r="F91" s="108">
        <v>2</v>
      </c>
      <c r="G91" s="38">
        <f t="shared" si="5"/>
        <v>3.3333333333333333E-2</v>
      </c>
      <c r="H91" s="39"/>
      <c r="I91" s="40"/>
      <c r="J91" s="37"/>
      <c r="K91" s="37"/>
    </row>
    <row r="92" spans="2:13" x14ac:dyDescent="0.3">
      <c r="B92" s="36"/>
      <c r="C92" s="37"/>
      <c r="D92" s="37"/>
      <c r="E92" s="108" t="s">
        <v>217</v>
      </c>
      <c r="F92" s="108">
        <v>4</v>
      </c>
      <c r="G92" s="38">
        <f t="shared" si="5"/>
        <v>6.6666666666666666E-2</v>
      </c>
      <c r="H92" s="39"/>
      <c r="I92" s="40"/>
      <c r="J92" s="37"/>
      <c r="K92" s="37"/>
    </row>
    <row r="93" spans="2:13" x14ac:dyDescent="0.3">
      <c r="B93" s="36"/>
      <c r="C93" s="37"/>
      <c r="D93" s="37"/>
      <c r="E93" s="108" t="s">
        <v>220</v>
      </c>
      <c r="F93" s="108">
        <v>1</v>
      </c>
      <c r="G93" s="38">
        <f t="shared" si="5"/>
        <v>1.6666666666666666E-2</v>
      </c>
      <c r="H93" s="39"/>
      <c r="I93" s="40"/>
      <c r="J93" s="37"/>
      <c r="K93" s="37"/>
    </row>
    <row r="94" spans="2:13" x14ac:dyDescent="0.3">
      <c r="B94" s="36"/>
      <c r="C94" s="37"/>
      <c r="D94" s="37" t="s">
        <v>70</v>
      </c>
      <c r="E94" s="108" t="s">
        <v>221</v>
      </c>
      <c r="F94" s="108">
        <v>3</v>
      </c>
      <c r="G94" s="38">
        <f t="shared" si="5"/>
        <v>0.05</v>
      </c>
      <c r="H94" s="39"/>
      <c r="I94" s="40"/>
      <c r="J94" s="37"/>
      <c r="K94" s="37"/>
    </row>
    <row r="95" spans="2:13" x14ac:dyDescent="0.3">
      <c r="B95" s="36"/>
      <c r="C95" s="37" t="s">
        <v>71</v>
      </c>
      <c r="D95" s="37"/>
      <c r="E95" s="109"/>
      <c r="F95" s="109">
        <f>SUM(F86:F94)</f>
        <v>25</v>
      </c>
      <c r="G95" s="45">
        <f>SUM(G86:G94)</f>
        <v>0.41666666666666663</v>
      </c>
      <c r="H95" s="63">
        <f>'SNACS-II burden table '!F29</f>
        <v>774</v>
      </c>
      <c r="I95" s="61">
        <f>0.35*H95</f>
        <v>270.89999999999998</v>
      </c>
      <c r="J95" s="59">
        <f>F95*I95</f>
        <v>6772.4999999999991</v>
      </c>
      <c r="K95" s="64">
        <f>J95/60</f>
        <v>112.87499999999999</v>
      </c>
      <c r="L95" s="62"/>
      <c r="M95" s="62"/>
    </row>
    <row r="96" spans="2:13" x14ac:dyDescent="0.3">
      <c r="B96" s="36"/>
      <c r="C96" s="31" t="s">
        <v>72</v>
      </c>
      <c r="D96" s="31"/>
      <c r="E96" s="110"/>
      <c r="F96" s="110"/>
      <c r="G96" s="47"/>
      <c r="H96" s="49"/>
      <c r="I96" s="50"/>
      <c r="J96" s="51"/>
      <c r="K96" s="51"/>
      <c r="L96" s="24"/>
    </row>
    <row r="97" spans="2:13" x14ac:dyDescent="0.3">
      <c r="B97" s="36"/>
      <c r="C97" s="37"/>
      <c r="D97" s="37" t="s">
        <v>47</v>
      </c>
      <c r="E97" s="108" t="s">
        <v>191</v>
      </c>
      <c r="F97" s="108">
        <v>2</v>
      </c>
      <c r="G97" s="38">
        <f t="shared" ref="G97:G102" si="6">F97/60</f>
        <v>3.3333333333333333E-2</v>
      </c>
      <c r="H97" s="39"/>
      <c r="I97" s="40"/>
      <c r="J97" s="37"/>
      <c r="K97" s="37"/>
    </row>
    <row r="98" spans="2:13" x14ac:dyDescent="0.3">
      <c r="B98" s="36"/>
      <c r="C98" s="37"/>
      <c r="D98" s="37" t="s">
        <v>48</v>
      </c>
      <c r="E98" s="108" t="s">
        <v>192</v>
      </c>
      <c r="F98" s="108">
        <v>3</v>
      </c>
      <c r="G98" s="38">
        <f t="shared" si="6"/>
        <v>0.05</v>
      </c>
      <c r="H98" s="39"/>
      <c r="I98" s="40"/>
      <c r="J98" s="37"/>
      <c r="K98" s="37"/>
    </row>
    <row r="99" spans="2:13" x14ac:dyDescent="0.3">
      <c r="B99" s="36"/>
      <c r="C99" s="37"/>
      <c r="D99" s="37"/>
      <c r="E99" s="108" t="s">
        <v>193</v>
      </c>
      <c r="F99" s="108">
        <v>5</v>
      </c>
      <c r="G99" s="38">
        <f t="shared" si="6"/>
        <v>8.3333333333333329E-2</v>
      </c>
      <c r="H99" s="39"/>
      <c r="I99" s="40"/>
      <c r="J99" s="37"/>
      <c r="K99" s="37"/>
    </row>
    <row r="100" spans="2:13" x14ac:dyDescent="0.3">
      <c r="B100" s="36"/>
      <c r="C100" s="37"/>
      <c r="D100" s="37"/>
      <c r="E100" s="108" t="s">
        <v>194</v>
      </c>
      <c r="F100" s="108">
        <v>2</v>
      </c>
      <c r="G100" s="38">
        <f t="shared" si="6"/>
        <v>3.3333333333333333E-2</v>
      </c>
      <c r="H100" s="39"/>
      <c r="I100" s="40"/>
      <c r="J100" s="37"/>
      <c r="K100" s="37"/>
    </row>
    <row r="101" spans="2:13" x14ac:dyDescent="0.3">
      <c r="B101" s="36"/>
      <c r="C101" s="37"/>
      <c r="D101" s="37"/>
      <c r="E101" s="108" t="s">
        <v>195</v>
      </c>
      <c r="F101" s="108">
        <v>3</v>
      </c>
      <c r="G101" s="38">
        <f t="shared" si="6"/>
        <v>0.05</v>
      </c>
      <c r="H101" s="39"/>
      <c r="I101" s="40"/>
      <c r="J101" s="37"/>
      <c r="K101" s="37"/>
    </row>
    <row r="102" spans="2:13" x14ac:dyDescent="0.3">
      <c r="B102" s="36"/>
      <c r="C102" s="37"/>
      <c r="D102" s="37" t="s">
        <v>70</v>
      </c>
      <c r="E102" s="108" t="s">
        <v>221</v>
      </c>
      <c r="F102" s="108">
        <v>3</v>
      </c>
      <c r="G102" s="38">
        <f t="shared" si="6"/>
        <v>0.05</v>
      </c>
      <c r="H102" s="60"/>
      <c r="I102" s="61"/>
      <c r="J102" s="59"/>
      <c r="K102" s="59"/>
      <c r="L102" s="62"/>
      <c r="M102" s="62"/>
    </row>
    <row r="103" spans="2:13" x14ac:dyDescent="0.3">
      <c r="B103" s="44"/>
      <c r="C103" s="37" t="s">
        <v>52</v>
      </c>
      <c r="D103" s="37"/>
      <c r="E103" s="109"/>
      <c r="F103" s="109">
        <f>SUM(F97:F102)</f>
        <v>18</v>
      </c>
      <c r="G103" s="37">
        <f>SUM(G97:G102)</f>
        <v>0.3</v>
      </c>
      <c r="H103" s="63">
        <f>'SNACS-II burden table '!F39</f>
        <v>1680</v>
      </c>
      <c r="I103" s="61">
        <f>0.35*H103</f>
        <v>588</v>
      </c>
      <c r="J103" s="59">
        <f>F103*I103</f>
        <v>10584</v>
      </c>
      <c r="K103" s="64">
        <f>J103/60</f>
        <v>176.4</v>
      </c>
      <c r="L103" s="62"/>
      <c r="M103" s="6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4"/>
  <sheetViews>
    <sheetView workbookViewId="0"/>
  </sheetViews>
  <sheetFormatPr defaultColWidth="9.109375" defaultRowHeight="13.8" x14ac:dyDescent="0.3"/>
  <cols>
    <col min="1" max="1" width="5.33203125" style="25" customWidth="1"/>
    <col min="2" max="2" width="19.44140625" style="25" bestFit="1" customWidth="1"/>
    <col min="3" max="3" width="30.6640625" style="25" customWidth="1"/>
    <col min="4" max="8" width="17.109375" style="25" customWidth="1"/>
    <col min="9" max="16384" width="9.109375" style="25"/>
  </cols>
  <sheetData>
    <row r="2" spans="2:8" s="54" customFormat="1" ht="41.4" x14ac:dyDescent="0.3">
      <c r="B2" s="27" t="s">
        <v>73</v>
      </c>
      <c r="C2" s="27" t="s">
        <v>74</v>
      </c>
      <c r="D2" s="27" t="s">
        <v>75</v>
      </c>
      <c r="E2" s="27" t="s">
        <v>76</v>
      </c>
      <c r="F2" s="27" t="s">
        <v>77</v>
      </c>
      <c r="G2" s="27" t="s">
        <v>78</v>
      </c>
      <c r="H2" s="27" t="s">
        <v>79</v>
      </c>
    </row>
    <row r="3" spans="2:8" x14ac:dyDescent="0.3">
      <c r="B3" s="37" t="s">
        <v>80</v>
      </c>
      <c r="C3" s="55">
        <v>0.72099999999999997</v>
      </c>
      <c r="D3" s="37">
        <v>203</v>
      </c>
      <c r="E3" s="37">
        <v>162</v>
      </c>
      <c r="F3" s="56">
        <f>C3*E3</f>
        <v>116.80199999999999</v>
      </c>
      <c r="G3" s="37">
        <v>47</v>
      </c>
      <c r="H3" s="56">
        <f>C3*G3</f>
        <v>33.887</v>
      </c>
    </row>
    <row r="4" spans="2:8" x14ac:dyDescent="0.3">
      <c r="B4" s="37" t="s">
        <v>81</v>
      </c>
      <c r="C4" s="55">
        <v>0.61699999999999999</v>
      </c>
      <c r="D4" s="37">
        <v>185</v>
      </c>
      <c r="E4" s="37">
        <v>148</v>
      </c>
      <c r="F4" s="56">
        <f>C4*E4</f>
        <v>91.316000000000003</v>
      </c>
      <c r="G4" s="37">
        <v>43</v>
      </c>
      <c r="H4" s="56">
        <f>C4*G4</f>
        <v>26.530999999999999</v>
      </c>
    </row>
    <row r="5" spans="2:8" x14ac:dyDescent="0.3">
      <c r="B5" s="37" t="s">
        <v>82</v>
      </c>
      <c r="C5" s="55">
        <v>0.28899999999999998</v>
      </c>
      <c r="D5" s="37">
        <v>388</v>
      </c>
      <c r="E5" s="37">
        <v>310</v>
      </c>
      <c r="F5" s="56">
        <f>C5*E5</f>
        <v>89.589999999999989</v>
      </c>
      <c r="G5" s="37">
        <v>90</v>
      </c>
      <c r="H5" s="56">
        <f>C5*G5</f>
        <v>26.009999999999998</v>
      </c>
    </row>
    <row r="6" spans="2:8" x14ac:dyDescent="0.3">
      <c r="B6" s="37" t="s">
        <v>83</v>
      </c>
      <c r="C6" s="55">
        <v>0.78100000000000003</v>
      </c>
      <c r="D6" s="37">
        <v>400</v>
      </c>
      <c r="E6" s="37">
        <v>320</v>
      </c>
      <c r="F6" s="56">
        <f>C6*E6</f>
        <v>249.92000000000002</v>
      </c>
      <c r="G6" s="37">
        <v>120</v>
      </c>
      <c r="H6" s="56">
        <f>C6*G6</f>
        <v>93.72</v>
      </c>
    </row>
    <row r="7" spans="2:8" x14ac:dyDescent="0.3">
      <c r="B7" s="37" t="s">
        <v>84</v>
      </c>
      <c r="C7" s="37"/>
      <c r="D7" s="37">
        <f>SUM(D3:D6)</f>
        <v>1176</v>
      </c>
      <c r="E7" s="37">
        <f>SUM(E3:E6)</f>
        <v>940</v>
      </c>
      <c r="F7" s="56">
        <f>SUM(F3:F6)</f>
        <v>547.62799999999993</v>
      </c>
      <c r="G7" s="56">
        <f>SUM(G3:G6)</f>
        <v>300</v>
      </c>
      <c r="H7" s="56">
        <f>SUM(H3:H6)</f>
        <v>180.148</v>
      </c>
    </row>
    <row r="14" spans="2:8" x14ac:dyDescent="0.3">
      <c r="G14" s="5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F7723-5335-476F-AABD-6129C0B9F044}">
  <dimension ref="B3:H23"/>
  <sheetViews>
    <sheetView topLeftCell="A10" workbookViewId="0">
      <selection activeCell="D22" sqref="D22"/>
    </sheetView>
  </sheetViews>
  <sheetFormatPr defaultRowHeight="14.4" x14ac:dyDescent="0.3"/>
  <cols>
    <col min="2" max="2" width="24.44140625" customWidth="1"/>
    <col min="3" max="3" width="20.33203125" customWidth="1"/>
    <col min="4" max="4" width="18.6640625" customWidth="1"/>
    <col min="5" max="5" width="18.33203125" customWidth="1"/>
    <col min="6" max="6" width="24.109375" customWidth="1"/>
    <col min="7" max="7" width="16.33203125" customWidth="1"/>
    <col min="8" max="8" width="18.33203125" customWidth="1"/>
    <col min="9" max="10" width="8.88671875" customWidth="1"/>
  </cols>
  <sheetData>
    <row r="3" spans="2:8" ht="16.2" customHeight="1" x14ac:dyDescent="0.3">
      <c r="B3" s="91"/>
      <c r="C3" s="91"/>
      <c r="D3" s="91"/>
      <c r="E3" s="91"/>
    </row>
    <row r="4" spans="2:8" s="94" customFormat="1" x14ac:dyDescent="0.3">
      <c r="B4" s="94" t="s">
        <v>35</v>
      </c>
      <c r="C4" s="101" t="s">
        <v>222</v>
      </c>
      <c r="D4" s="101" t="s">
        <v>223</v>
      </c>
      <c r="E4" s="101" t="s">
        <v>224</v>
      </c>
      <c r="F4" s="94" t="s">
        <v>225</v>
      </c>
      <c r="G4" s="94" t="s">
        <v>226</v>
      </c>
      <c r="H4" s="101" t="s">
        <v>227</v>
      </c>
    </row>
    <row r="5" spans="2:8" ht="15.6" x14ac:dyDescent="0.3">
      <c r="B5" s="92" t="s">
        <v>228</v>
      </c>
      <c r="C5" s="104">
        <f t="shared" ref="C5:C10" si="0">E14</f>
        <v>25.32</v>
      </c>
      <c r="D5" s="104">
        <f>C5*1.33</f>
        <v>33.675600000000003</v>
      </c>
      <c r="E5" s="99">
        <f>SUM('SNACS-II burden table '!Q56:Q70,'SNACS-II burden table '!Q82,'SNACS-II burden table '!Q84)</f>
        <v>6889.6660999999995</v>
      </c>
      <c r="F5" s="93">
        <f>C5*E5</f>
        <v>174446.34565199999</v>
      </c>
      <c r="G5" s="93">
        <f>F5*1.33</f>
        <v>232013.63971716</v>
      </c>
      <c r="H5" s="93">
        <f>G5-F5</f>
        <v>57567.294065160007</v>
      </c>
    </row>
    <row r="6" spans="2:8" ht="15.6" x14ac:dyDescent="0.3">
      <c r="B6" s="92" t="s">
        <v>229</v>
      </c>
      <c r="C6" s="104">
        <f t="shared" si="0"/>
        <v>13.41</v>
      </c>
      <c r="D6" s="104">
        <f t="shared" ref="D6:D10" si="1">C6*1.33</f>
        <v>17.8353</v>
      </c>
      <c r="E6" s="99">
        <f>SUM('SNACS-II burden table '!Q71:Q77,'SNACS-II burden table '!Q83)</f>
        <v>4749.3955999999998</v>
      </c>
      <c r="F6" s="93">
        <f>C6*E6</f>
        <v>63689.394995999995</v>
      </c>
      <c r="G6" s="93">
        <f t="shared" ref="G6:G10" si="2">F6*1.33</f>
        <v>84706.895344680001</v>
      </c>
      <c r="H6" s="93">
        <f t="shared" ref="H6:H10" si="3">G6-F6</f>
        <v>21017.500348680005</v>
      </c>
    </row>
    <row r="7" spans="2:8" ht="15.6" x14ac:dyDescent="0.3">
      <c r="B7" s="92" t="s">
        <v>230</v>
      </c>
      <c r="C7" s="104">
        <f t="shared" si="0"/>
        <v>12.88</v>
      </c>
      <c r="D7" s="104">
        <f t="shared" si="1"/>
        <v>17.130400000000002</v>
      </c>
      <c r="E7" s="99">
        <f>'SNACS-II burden table '!Q78+'SNACS-II burden table '!Q85</f>
        <v>196.01499999999999</v>
      </c>
      <c r="F7" s="93">
        <f t="shared" ref="F7:F10" si="4">C7*E7</f>
        <v>2524.6732000000002</v>
      </c>
      <c r="G7" s="93">
        <f t="shared" si="2"/>
        <v>3357.8153560000005</v>
      </c>
      <c r="H7" s="93">
        <f t="shared" si="3"/>
        <v>833.14215600000034</v>
      </c>
    </row>
    <row r="8" spans="2:8" ht="15.6" x14ac:dyDescent="0.3">
      <c r="B8" s="92" t="s">
        <v>231</v>
      </c>
      <c r="C8" s="104">
        <f t="shared" si="0"/>
        <v>26.41</v>
      </c>
      <c r="D8" s="104">
        <f t="shared" si="1"/>
        <v>35.125300000000003</v>
      </c>
      <c r="E8" s="99">
        <f>SUM('SNACS-II burden table '!Q46:Q55,'SNACS-II burden table '!Q79:Q81)</f>
        <v>4617.9737999999998</v>
      </c>
      <c r="F8" s="93">
        <f t="shared" si="4"/>
        <v>121960.688058</v>
      </c>
      <c r="G8" s="93">
        <f t="shared" si="2"/>
        <v>162207.71511714</v>
      </c>
      <c r="H8" s="93">
        <f t="shared" si="3"/>
        <v>40247.027059140004</v>
      </c>
    </row>
    <row r="9" spans="2:8" ht="15.6" x14ac:dyDescent="0.3">
      <c r="B9" s="92" t="s">
        <v>232</v>
      </c>
      <c r="C9" s="104">
        <f t="shared" si="0"/>
        <v>27.07</v>
      </c>
      <c r="D9" s="104">
        <f t="shared" si="1"/>
        <v>36.003100000000003</v>
      </c>
      <c r="E9" s="99">
        <f>SUM('SNACS-II burden table '!Q5:Q36)</f>
        <v>9352.0712000000003</v>
      </c>
      <c r="F9" s="93">
        <f t="shared" si="4"/>
        <v>253160.56738400002</v>
      </c>
      <c r="G9" s="93">
        <f t="shared" si="2"/>
        <v>336703.55462072004</v>
      </c>
      <c r="H9" s="93">
        <f t="shared" si="3"/>
        <v>83542.987236720015</v>
      </c>
    </row>
    <row r="10" spans="2:8" ht="15.6" x14ac:dyDescent="0.3">
      <c r="B10" s="92" t="s">
        <v>233</v>
      </c>
      <c r="C10" s="104">
        <f t="shared" si="0"/>
        <v>51.98</v>
      </c>
      <c r="D10" s="104">
        <f t="shared" si="1"/>
        <v>69.133399999999995</v>
      </c>
      <c r="E10" s="99">
        <f>SUM('SNACS-II burden table '!Q41:Q44)</f>
        <v>33.069999999999993</v>
      </c>
      <c r="F10" s="93">
        <f t="shared" si="4"/>
        <v>1718.9785999999995</v>
      </c>
      <c r="G10" s="93">
        <f t="shared" si="2"/>
        <v>2286.2415379999993</v>
      </c>
      <c r="H10" s="93">
        <f t="shared" si="3"/>
        <v>567.26293799999985</v>
      </c>
    </row>
    <row r="11" spans="2:8" x14ac:dyDescent="0.3">
      <c r="E11" s="100"/>
    </row>
    <row r="13" spans="2:8" ht="30" customHeight="1" x14ac:dyDescent="0.3">
      <c r="C13" s="94" t="s">
        <v>35</v>
      </c>
      <c r="D13" s="95" t="s">
        <v>234</v>
      </c>
      <c r="E13" s="96" t="s">
        <v>255</v>
      </c>
      <c r="F13" s="95" t="s">
        <v>235</v>
      </c>
      <c r="G13" s="95" t="s">
        <v>236</v>
      </c>
      <c r="H13" s="94" t="s">
        <v>237</v>
      </c>
    </row>
    <row r="14" spans="2:8" ht="48" customHeight="1" x14ac:dyDescent="0.3">
      <c r="C14" t="s">
        <v>228</v>
      </c>
      <c r="D14" s="259" t="s">
        <v>238</v>
      </c>
      <c r="E14" s="93">
        <v>25.32</v>
      </c>
      <c r="F14" s="93">
        <v>174446.34565199999</v>
      </c>
      <c r="G14" s="93">
        <v>232013.63971716</v>
      </c>
      <c r="H14" s="93">
        <v>57567.294065160007</v>
      </c>
    </row>
    <row r="15" spans="2:8" ht="57.6" x14ac:dyDescent="0.3">
      <c r="C15" t="s">
        <v>229</v>
      </c>
      <c r="D15" s="259" t="s">
        <v>239</v>
      </c>
      <c r="E15" s="93">
        <v>13.41</v>
      </c>
      <c r="F15" s="93">
        <v>63689.394995999995</v>
      </c>
      <c r="G15" s="93">
        <v>84706.895344680001</v>
      </c>
      <c r="H15" s="93">
        <v>21017.500348680005</v>
      </c>
    </row>
    <row r="16" spans="2:8" ht="28.8" x14ac:dyDescent="0.3">
      <c r="C16" t="s">
        <v>230</v>
      </c>
      <c r="D16" s="259" t="s">
        <v>240</v>
      </c>
      <c r="E16" s="93">
        <v>12.88</v>
      </c>
      <c r="F16" s="93">
        <v>2524.6732000000002</v>
      </c>
      <c r="G16" s="93">
        <v>3357.8153560000005</v>
      </c>
      <c r="H16" s="93">
        <v>833.14215600000034</v>
      </c>
    </row>
    <row r="17" spans="3:8" ht="61.95" customHeight="1" x14ac:dyDescent="0.3">
      <c r="C17" t="s">
        <v>231</v>
      </c>
      <c r="D17" s="259" t="s">
        <v>241</v>
      </c>
      <c r="E17" s="93">
        <v>26.41</v>
      </c>
      <c r="F17" s="93">
        <v>121960.688058</v>
      </c>
      <c r="G17" s="93">
        <v>162207.71511714</v>
      </c>
      <c r="H17" s="93">
        <v>40247.027059140004</v>
      </c>
    </row>
    <row r="18" spans="3:8" ht="37.200000000000003" customHeight="1" x14ac:dyDescent="0.3">
      <c r="C18" t="s">
        <v>232</v>
      </c>
      <c r="D18" s="259" t="s">
        <v>242</v>
      </c>
      <c r="E18" s="93">
        <v>27.07</v>
      </c>
      <c r="F18" s="93">
        <v>253160.56738400002</v>
      </c>
      <c r="G18" s="93">
        <v>336703.55462072004</v>
      </c>
      <c r="H18" s="93">
        <v>83542.987236720015</v>
      </c>
    </row>
    <row r="19" spans="3:8" ht="68.400000000000006" customHeight="1" x14ac:dyDescent="0.3">
      <c r="C19" t="s">
        <v>233</v>
      </c>
      <c r="D19" s="259" t="s">
        <v>243</v>
      </c>
      <c r="E19" s="93">
        <v>51.98</v>
      </c>
      <c r="F19" s="93">
        <v>1718.9785999999995</v>
      </c>
      <c r="G19" s="93">
        <v>2286.2415379999993</v>
      </c>
      <c r="H19" s="93">
        <v>567.26293799999985</v>
      </c>
    </row>
    <row r="20" spans="3:8" x14ac:dyDescent="0.3">
      <c r="C20" s="94" t="s">
        <v>0</v>
      </c>
      <c r="D20" s="97"/>
      <c r="E20" s="98"/>
      <c r="F20" s="102">
        <f>SUM(F14:F19)</f>
        <v>617500.64789000002</v>
      </c>
      <c r="G20" s="103">
        <f t="shared" ref="G20:H20" si="5">SUM(G14:G19)</f>
        <v>821275.86169369996</v>
      </c>
      <c r="H20" s="102">
        <f t="shared" si="5"/>
        <v>203775.21380370003</v>
      </c>
    </row>
    <row r="21" spans="3:8" ht="89.4" customHeight="1" x14ac:dyDescent="0.3">
      <c r="E21" s="308"/>
      <c r="F21" s="308"/>
      <c r="G21" s="308"/>
    </row>
    <row r="22" spans="3:8" ht="30.6" customHeight="1" x14ac:dyDescent="0.3"/>
    <row r="23" spans="3:8" ht="50.4" customHeight="1" x14ac:dyDescent="0.3">
      <c r="D23" s="308"/>
      <c r="E23" s="308"/>
      <c r="F23" s="308"/>
    </row>
  </sheetData>
  <mergeCells count="2">
    <mergeCell ref="D23:F23"/>
    <mergeCell ref="E21:G21"/>
  </mergeCells>
  <hyperlinks>
    <hyperlink ref="D14" r:id="rId1" xr:uid="{303CA6A4-9E46-496E-AFBC-805708040BB0}"/>
    <hyperlink ref="D15" r:id="rId2" xr:uid="{78456224-D1BD-4C29-AD5B-24F8ECF544A1}"/>
    <hyperlink ref="D16" r:id="rId3" xr:uid="{01719EF4-C39D-4AA5-9505-8A83FEC53226}"/>
    <hyperlink ref="D17" r:id="rId4" xr:uid="{20365C57-8DE2-46F7-8E4D-E0F4F5FEA306}"/>
    <hyperlink ref="D18" r:id="rId5" location="00-0000" xr:uid="{DA3DF846-6518-4CA6-B775-B6DA4CDD4654}"/>
    <hyperlink ref="D19" r:id="rId6" xr:uid="{2E1E5F69-01A4-4DEA-B63E-9D631582B5EC}"/>
  </hyperlinks>
  <pageMargins left="0.7" right="0.7" top="0.75" bottom="0.75" header="0.3" footer="0.3"/>
  <pageSetup orientation="portrait" horizontalDpi="0"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ank xmlns="e7af00a0-4db2-4e43-90e3-8e4b091aeec2">6</Rank>
    <Description0 xmlns="e7af00a0-4db2-4e43-90e3-8e4b091aeec2">Complex Burden Table Template - for Studies</Description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29365155E8DD45B86265C8C7B61D5E" ma:contentTypeVersion="4" ma:contentTypeDescription="Create a new document." ma:contentTypeScope="" ma:versionID="45e5ccd965349e686fdc65e2e873d70f">
  <xsd:schema xmlns:xsd="http://www.w3.org/2001/XMLSchema" xmlns:xs="http://www.w3.org/2001/XMLSchema" xmlns:p="http://schemas.microsoft.com/office/2006/metadata/properties" xmlns:ns2="e7af00a0-4db2-4e43-90e3-8e4b091aeec2" xmlns:ns3="a962400d-f753-4618-8b3a-acffb4d00039" targetNamespace="http://schemas.microsoft.com/office/2006/metadata/properties" ma:root="true" ma:fieldsID="038b491394e2cdf87fa31e26de55a789" ns2:_="" ns3:_="">
    <xsd:import namespace="e7af00a0-4db2-4e43-90e3-8e4b091aeec2"/>
    <xsd:import namespace="a962400d-f753-4618-8b3a-acffb4d00039"/>
    <xsd:element name="properties">
      <xsd:complexType>
        <xsd:sequence>
          <xsd:element name="documentManagement">
            <xsd:complexType>
              <xsd:all>
                <xsd:element ref="ns2:Rank" minOccurs="0"/>
                <xsd:element ref="ns2:Description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f00a0-4db2-4e43-90e3-8e4b091aeec2" elementFormDefault="qualified">
    <xsd:import namespace="http://schemas.microsoft.com/office/2006/documentManagement/types"/>
    <xsd:import namespace="http://schemas.microsoft.com/office/infopath/2007/PartnerControls"/>
    <xsd:element name="Rank" ma:index="8" nillable="true" ma:displayName="Rank" ma:internalName="Rank">
      <xsd:simpleType>
        <xsd:restriction base="dms:Number"/>
      </xsd:simpleType>
    </xsd:element>
    <xsd:element name="Description0" ma:index="9" nillable="true" ma:displayName="Description" ma:internalName="Description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62400d-f753-4618-8b3a-acffb4d0003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AB616761-173A-4729-ABE6-18C63678866D}">
  <ds:schemaRefs>
    <ds:schemaRef ds:uri="http://schemas.microsoft.com/sharepoint/v3/contenttype/forms"/>
  </ds:schemaRefs>
</ds:datastoreItem>
</file>

<file path=customXml/itemProps2.xml><?xml version="1.0" encoding="utf-8"?>
<ds:datastoreItem xmlns:ds="http://schemas.openxmlformats.org/officeDocument/2006/customXml" ds:itemID="{01EC02A8-0ED5-4103-B250-F4592D9E333E}">
  <ds:schemaRefs>
    <ds:schemaRef ds:uri="http://purl.org/dc/elements/1.1/"/>
    <ds:schemaRef ds:uri="http://www.w3.org/XML/1998/namespace"/>
    <ds:schemaRef ds:uri="http://schemas.openxmlformats.org/package/2006/metadata/core-properties"/>
    <ds:schemaRef ds:uri="http://schemas.microsoft.com/office/2006/documentManagement/types"/>
    <ds:schemaRef ds:uri="a962400d-f753-4618-8b3a-acffb4d00039"/>
    <ds:schemaRef ds:uri="http://schemas.microsoft.com/office/2006/metadata/properties"/>
    <ds:schemaRef ds:uri="http://schemas.microsoft.com/office/infopath/2007/PartnerControls"/>
    <ds:schemaRef ds:uri="http://purl.org/dc/terms/"/>
    <ds:schemaRef ds:uri="e7af00a0-4db2-4e43-90e3-8e4b091aeec2"/>
    <ds:schemaRef ds:uri="http://purl.org/dc/dcmitype/"/>
  </ds:schemaRefs>
</ds:datastoreItem>
</file>

<file path=customXml/itemProps3.xml><?xml version="1.0" encoding="utf-8"?>
<ds:datastoreItem xmlns:ds="http://schemas.openxmlformats.org/officeDocument/2006/customXml" ds:itemID="{9D2DB342-A2DA-47DC-9823-9135DDDA6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f00a0-4db2-4e43-90e3-8e4b091aeec2"/>
    <ds:schemaRef ds:uri="a962400d-f753-4618-8b3a-acffb4d00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59F468-1957-4B96-B7DB-1C96F3EDBC72}">
  <ds:schemaRefs>
    <ds:schemaRef ds:uri="http://schemas.microsoft.com/sharepoint/events"/>
  </ds:schemaRefs>
</ds:datastoreItem>
</file>

<file path=customXml/itemProps5.xml><?xml version="1.0" encoding="utf-8"?>
<ds:datastoreItem xmlns:ds="http://schemas.openxmlformats.org/officeDocument/2006/customXml" ds:itemID="{E9DC8363-D6E4-4B61-85E9-7C246BF9B1F2}">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SNACS-II burden table </vt:lpstr>
      <vt:lpstr>recruitment website burden</vt:lpstr>
      <vt:lpstr>infant sample</vt:lpstr>
      <vt:lpstr>Table A.12.1 Calculation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lywilliams</dc:creator>
  <cp:lastModifiedBy>Katherine Niland</cp:lastModifiedBy>
  <cp:lastPrinted>2021-06-16T22:20:50Z</cp:lastPrinted>
  <dcterms:created xsi:type="dcterms:W3CDTF">2013-01-08T21:49:18Z</dcterms:created>
  <dcterms:modified xsi:type="dcterms:W3CDTF">2021-06-16T23:48:36Z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0x010100F629365155E8DD45B86265C8C7B61D5E</vt:lpwstr>
  </property>
  <property fmtid="{D5CDD505-2E9C-101B-9397-08002B2CF9AE}" pid="3" name="Order">
    <vt:r8>300</vt:r8>
  </property>
  <property fmtid="{D5CDD505-2E9C-101B-9397-08002B2CF9AE}" pid="4" name="xd_ProgID">
    <vt:lpwstr/>
  </property>
  <property fmtid="{D5CDD505-2E9C-101B-9397-08002B2CF9AE}" pid="5" name="_dlc_DocId">
    <vt:lpwstr>PAT56XDWNNC6-1500440792-3</vt:lpwstr>
  </property>
  <property fmtid="{D5CDD505-2E9C-101B-9397-08002B2CF9AE}" pid="6" name="_dlc_DocIdUrl">
    <vt:lpwstr>https://fncspro.usda.net/offices/ops/prao/_layouts/15/DocIdRedir.aspx?ID=PAT56XDWNNC6-1500440792-3, PAT56XDWNNC6-1500440792-3</vt:lpwstr>
  </property>
  <property fmtid="{D5CDD505-2E9C-101B-9397-08002B2CF9AE}" pid="7" name="TemplateUrl">
    <vt:lpwstr/>
  </property>
  <property fmtid="{D5CDD505-2E9C-101B-9397-08002B2CF9AE}" pid="8" name="_dlc_DocIdItemGuid">
    <vt:lpwstr>d7a3ecdc-64e6-4733-8f06-1b654382058a</vt:lpwstr>
  </property>
</Properties>
</file>