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https://usepa-my.sharepoint.com/personal/purdy_mark_epa_gov/Documents/ICRs/New ICRs/Ambient Air Rule/Non_EGU ICR/"/>
    </mc:Choice>
  </mc:AlternateContent>
  <xr:revisionPtr revIDLastSave="0" documentId="8_{C1B0DE88-3903-4A44-8F58-633C8DF8657D}" xr6:coauthVersionLast="46" xr6:coauthVersionMax="46" xr10:uidLastSave="{00000000-0000-0000-0000-000000000000}"/>
  <bookViews>
    <workbookView xWindow="-110" yWindow="-110" windowWidth="19420" windowHeight="10420" tabRatio="888" firstSheet="1" activeTab="3" xr2:uid="{00000000-000D-0000-FFFF-FFFF00000000}"/>
  </bookViews>
  <sheets>
    <sheet name="Monitors" sheetId="137" state="hidden" r:id="rId1"/>
    <sheet name="ICR Summary" sheetId="250" r:id="rId2"/>
    <sheet name="NoSourcesPerIndustry" sheetId="253" r:id="rId3"/>
    <sheet name="RespondentBurdenSUMbySector" sheetId="251" r:id="rId4"/>
    <sheet name="AgencyBurdenSUMbySector" sheetId="252" r:id="rId5"/>
    <sheet name="RI-Y1" sheetId="241" r:id="rId6"/>
    <sheet name="RI-Y2" sheetId="245" r:id="rId7"/>
    <sheet name="RI-Y3" sheetId="246" r:id="rId8"/>
    <sheet name="RA-Y1" sheetId="247" r:id="rId9"/>
    <sheet name="RA-Y2" sheetId="248" r:id="rId10"/>
    <sheet name="RA-Y3" sheetId="249" r:id="rId11"/>
    <sheet name="RCOM" sheetId="244" r:id="rId12"/>
    <sheet name="CI" sheetId="209" r:id="rId13"/>
    <sheet name="CA" sheetId="210" r:id="rId14"/>
    <sheet name="II-Y1" sheetId="228" r:id="rId15"/>
    <sheet name="II-Y2" sheetId="237" r:id="rId16"/>
    <sheet name="II-Y3" sheetId="238" r:id="rId17"/>
    <sheet name="IA-Y1" sheetId="229" r:id="rId18"/>
    <sheet name="IA-Y2" sheetId="239" r:id="rId19"/>
    <sheet name="IA-Y3" sheetId="240" r:id="rId20"/>
    <sheet name="ICOM" sheetId="236" r:id="rId21"/>
    <sheet name="SI" sheetId="222" r:id="rId22"/>
    <sheet name="SA" sheetId="223" r:id="rId23"/>
    <sheet name="SS" sheetId="224" r:id="rId24"/>
    <sheet name="BPPI-Y1" sheetId="225" r:id="rId25"/>
    <sheet name="BPPI-Y2" sheetId="233" r:id="rId26"/>
    <sheet name="BPPI-Y3" sheetId="232" r:id="rId27"/>
    <sheet name="BPPA-Y1" sheetId="226" r:id="rId28"/>
    <sheet name="BPPA-Y2" sheetId="235" r:id="rId29"/>
    <sheet name="BPPA-Y3" sheetId="234" r:id="rId30"/>
    <sheet name="BPPCOM" sheetId="227" r:id="rId31"/>
  </sheets>
  <externalReferences>
    <externalReference r:id="rId32"/>
  </externalReferences>
  <definedNames>
    <definedName name="_xlnm._FilterDatabase" localSheetId="3" hidden="1">RespondentBurdenSUMbySector!#REF!</definedName>
    <definedName name="cler">[1]basis!$C$26</definedName>
    <definedName name="excd">[1]basis!$C$19</definedName>
    <definedName name="lit">[1]basis!$C$13</definedName>
    <definedName name="mang">[1]basis!$C$25</definedName>
    <definedName name="new_respondents">[1]basis!$C$17</definedName>
    <definedName name="noexcd">[1]basis!$C$20</definedName>
    <definedName name="read1">#REF!</definedName>
    <definedName name="ssmalf">[1]basis!$C$21</definedName>
    <definedName name="tech">[1]basis!$C$24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237" l="1"/>
  <c r="O58" i="246"/>
  <c r="O57" i="246"/>
  <c r="O58" i="245"/>
  <c r="O57" i="245"/>
  <c r="O58" i="241"/>
  <c r="O57" i="241"/>
  <c r="I13" i="241"/>
  <c r="O7" i="222"/>
  <c r="O8" i="222"/>
  <c r="O9" i="222"/>
  <c r="O10" i="222"/>
  <c r="O11" i="222"/>
  <c r="O12" i="222"/>
  <c r="O13" i="222"/>
  <c r="O14" i="222"/>
  <c r="O15" i="222"/>
  <c r="O16" i="222"/>
  <c r="O17" i="222"/>
  <c r="O18" i="222"/>
  <c r="O19" i="222"/>
  <c r="O20" i="222"/>
  <c r="O21" i="222"/>
  <c r="O22" i="222"/>
  <c r="O23" i="222"/>
  <c r="O24" i="222"/>
  <c r="O25" i="222"/>
  <c r="O26" i="222"/>
  <c r="O27" i="222"/>
  <c r="O28" i="222"/>
  <c r="O29" i="222"/>
  <c r="O30" i="222"/>
  <c r="O31" i="222"/>
  <c r="O32" i="222"/>
  <c r="O33" i="222"/>
  <c r="O34" i="222"/>
  <c r="O35" i="222"/>
  <c r="O36" i="222"/>
  <c r="O37" i="222"/>
  <c r="O38" i="222"/>
  <c r="N7" i="238"/>
  <c r="N8" i="238"/>
  <c r="N9" i="238"/>
  <c r="N10" i="238"/>
  <c r="N11" i="238"/>
  <c r="N12" i="238"/>
  <c r="N13" i="238"/>
  <c r="N14" i="238"/>
  <c r="N15" i="238"/>
  <c r="N16" i="238"/>
  <c r="N17" i="238"/>
  <c r="N18" i="238"/>
  <c r="N19" i="238"/>
  <c r="N20" i="238"/>
  <c r="N21" i="238"/>
  <c r="N22" i="238"/>
  <c r="N23" i="238"/>
  <c r="N24" i="238"/>
  <c r="N25" i="238"/>
  <c r="N26" i="238"/>
  <c r="N27" i="238"/>
  <c r="N28" i="238"/>
  <c r="N29" i="238"/>
  <c r="N30" i="238"/>
  <c r="N31" i="238"/>
  <c r="N32" i="238"/>
  <c r="N33" i="238"/>
  <c r="N34" i="238"/>
  <c r="N35" i="238"/>
  <c r="N36" i="238"/>
  <c r="N37" i="238"/>
  <c r="N38" i="238"/>
  <c r="N39" i="238"/>
  <c r="N40" i="238"/>
  <c r="N41" i="238"/>
  <c r="N42" i="238"/>
  <c r="N43" i="238"/>
  <c r="N44" i="238"/>
  <c r="N45" i="238"/>
  <c r="N46" i="238"/>
  <c r="N47" i="238"/>
  <c r="E36" i="238"/>
  <c r="F36" i="238" s="1"/>
  <c r="G36" i="238" s="1"/>
  <c r="D36" i="238"/>
  <c r="E18" i="238"/>
  <c r="D19" i="238"/>
  <c r="D18" i="238"/>
  <c r="F18" i="238" s="1"/>
  <c r="G18" i="238" s="1"/>
  <c r="N7" i="228"/>
  <c r="N8" i="228"/>
  <c r="N9" i="228"/>
  <c r="N10" i="228"/>
  <c r="N11" i="228"/>
  <c r="N12" i="228"/>
  <c r="N13" i="228"/>
  <c r="N14" i="228"/>
  <c r="N15" i="228"/>
  <c r="N16" i="228"/>
  <c r="N17" i="228"/>
  <c r="N18" i="228"/>
  <c r="N19" i="228"/>
  <c r="N20" i="228"/>
  <c r="N21" i="228"/>
  <c r="N22" i="228"/>
  <c r="N23" i="228"/>
  <c r="N24" i="228"/>
  <c r="N25" i="228"/>
  <c r="N26" i="228"/>
  <c r="N27" i="228"/>
  <c r="N28" i="228"/>
  <c r="N29" i="228"/>
  <c r="N30" i="228"/>
  <c r="N31" i="228"/>
  <c r="N32" i="228"/>
  <c r="N33" i="228"/>
  <c r="N34" i="228"/>
  <c r="N35" i="228"/>
  <c r="N36" i="228"/>
  <c r="N37" i="228"/>
  <c r="N38" i="228"/>
  <c r="N39" i="228"/>
  <c r="N40" i="228"/>
  <c r="N41" i="228"/>
  <c r="N42" i="228"/>
  <c r="N43" i="228"/>
  <c r="N44" i="228"/>
  <c r="N45" i="228"/>
  <c r="N46" i="228"/>
  <c r="N47" i="228"/>
  <c r="N48" i="228"/>
  <c r="N49" i="228"/>
  <c r="N50" i="228"/>
  <c r="N51" i="228"/>
  <c r="N7" i="237"/>
  <c r="N8" i="237"/>
  <c r="N9" i="237"/>
  <c r="N10" i="237"/>
  <c r="N11" i="237"/>
  <c r="N12" i="237"/>
  <c r="N13" i="237"/>
  <c r="N14" i="237"/>
  <c r="N15" i="237"/>
  <c r="N16" i="237"/>
  <c r="N17" i="237"/>
  <c r="N18" i="237"/>
  <c r="N19" i="237"/>
  <c r="N20" i="237"/>
  <c r="N21" i="237"/>
  <c r="N22" i="237"/>
  <c r="N23" i="237"/>
  <c r="N24" i="237"/>
  <c r="N25" i="237"/>
  <c r="N26" i="237"/>
  <c r="N27" i="237"/>
  <c r="N28" i="237"/>
  <c r="N29" i="237"/>
  <c r="N30" i="237"/>
  <c r="N31" i="237"/>
  <c r="N32" i="237"/>
  <c r="N33" i="237"/>
  <c r="N34" i="237"/>
  <c r="N35" i="237"/>
  <c r="N36" i="237"/>
  <c r="N37" i="237"/>
  <c r="N38" i="237"/>
  <c r="N39" i="237"/>
  <c r="N40" i="237"/>
  <c r="N41" i="237"/>
  <c r="N42" i="237"/>
  <c r="N44" i="237"/>
  <c r="N45" i="237"/>
  <c r="N46" i="237"/>
  <c r="N47" i="237"/>
  <c r="N48" i="237"/>
  <c r="N49" i="237"/>
  <c r="N50" i="237"/>
  <c r="N51" i="237"/>
  <c r="D22" i="238"/>
  <c r="F22" i="238" s="1"/>
  <c r="G22" i="238" s="1"/>
  <c r="H36" i="238" l="1"/>
  <c r="I36" i="238" s="1"/>
  <c r="E19" i="238"/>
  <c r="H18" i="238"/>
  <c r="I18" i="238" s="1"/>
  <c r="H22" i="238"/>
  <c r="I22" i="238" s="1"/>
  <c r="F19" i="238" l="1"/>
  <c r="G19" i="238" l="1"/>
  <c r="H19" i="238"/>
  <c r="I19" i="238" l="1"/>
  <c r="N7" i="209" l="1"/>
  <c r="N8" i="209"/>
  <c r="N9" i="209"/>
  <c r="N10" i="209"/>
  <c r="N11" i="209"/>
  <c r="N12" i="209"/>
  <c r="N13" i="209"/>
  <c r="N14" i="209"/>
  <c r="N15" i="209"/>
  <c r="N16" i="209"/>
  <c r="N17" i="209"/>
  <c r="N18" i="209"/>
  <c r="N19" i="209"/>
  <c r="N20" i="209"/>
  <c r="N21" i="209"/>
  <c r="N22" i="209"/>
  <c r="N23" i="209"/>
  <c r="N24" i="209"/>
  <c r="N25" i="209"/>
  <c r="N26" i="209"/>
  <c r="N27" i="209"/>
  <c r="N28" i="209"/>
  <c r="N29" i="209"/>
  <c r="N30" i="209"/>
  <c r="N31" i="209"/>
  <c r="N32" i="209"/>
  <c r="N33" i="209"/>
  <c r="N34" i="209"/>
  <c r="N35" i="209"/>
  <c r="N36" i="209"/>
  <c r="N37" i="209"/>
  <c r="N38" i="209"/>
  <c r="F26" i="209"/>
  <c r="E25" i="209"/>
  <c r="F25" i="209"/>
  <c r="G25" i="209"/>
  <c r="H25" i="209"/>
  <c r="I25" i="209"/>
  <c r="D25" i="209"/>
  <c r="E21" i="209"/>
  <c r="F21" i="209" s="1"/>
  <c r="D21" i="209"/>
  <c r="E32" i="241"/>
  <c r="O32" i="241"/>
  <c r="O7" i="246"/>
  <c r="O8" i="246"/>
  <c r="O9" i="246"/>
  <c r="O10" i="246"/>
  <c r="O11" i="246"/>
  <c r="O12" i="246"/>
  <c r="O13" i="246"/>
  <c r="O15" i="246"/>
  <c r="O16" i="246"/>
  <c r="O17" i="246"/>
  <c r="O18" i="246"/>
  <c r="O19" i="246"/>
  <c r="O20" i="246"/>
  <c r="O21" i="246"/>
  <c r="O22" i="246"/>
  <c r="O23" i="246"/>
  <c r="O24" i="246"/>
  <c r="O25" i="246"/>
  <c r="O26" i="246"/>
  <c r="O27" i="246"/>
  <c r="O28" i="246"/>
  <c r="O29" i="246"/>
  <c r="O30" i="246"/>
  <c r="O31" i="246"/>
  <c r="O33" i="246"/>
  <c r="O34" i="246"/>
  <c r="O35" i="246"/>
  <c r="O36" i="246"/>
  <c r="O37" i="246"/>
  <c r="O38" i="246"/>
  <c r="O39" i="246"/>
  <c r="O40" i="246"/>
  <c r="O41" i="246"/>
  <c r="O42" i="246"/>
  <c r="O43" i="246"/>
  <c r="O44" i="246"/>
  <c r="O45" i="246"/>
  <c r="O46" i="246"/>
  <c r="O47" i="246"/>
  <c r="O48" i="246"/>
  <c r="O49" i="246"/>
  <c r="O50" i="246"/>
  <c r="O51" i="246"/>
  <c r="O52" i="246"/>
  <c r="O53" i="246"/>
  <c r="O54" i="246"/>
  <c r="O55" i="246"/>
  <c r="O56" i="246"/>
  <c r="O7" i="245"/>
  <c r="O8" i="245"/>
  <c r="O9" i="245"/>
  <c r="O10" i="245"/>
  <c r="O11" i="245"/>
  <c r="O12" i="245"/>
  <c r="O13" i="245"/>
  <c r="O14" i="245"/>
  <c r="O15" i="245"/>
  <c r="O16" i="245"/>
  <c r="O17" i="245"/>
  <c r="O18" i="245"/>
  <c r="O19" i="245"/>
  <c r="O20" i="245"/>
  <c r="O21" i="245"/>
  <c r="O22" i="245"/>
  <c r="O23" i="245"/>
  <c r="O24" i="245"/>
  <c r="O25" i="245"/>
  <c r="O26" i="245"/>
  <c r="O27" i="245"/>
  <c r="O28" i="245"/>
  <c r="O29" i="245"/>
  <c r="O30" i="245"/>
  <c r="O31" i="245"/>
  <c r="O32" i="245"/>
  <c r="O33" i="245"/>
  <c r="O34" i="245"/>
  <c r="O35" i="245"/>
  <c r="O36" i="245"/>
  <c r="O37" i="245"/>
  <c r="O38" i="245"/>
  <c r="O39" i="245"/>
  <c r="O40" i="245"/>
  <c r="O41" i="245"/>
  <c r="O42" i="245"/>
  <c r="O43" i="245"/>
  <c r="O44" i="245"/>
  <c r="O45" i="245"/>
  <c r="O46" i="245"/>
  <c r="O47" i="245"/>
  <c r="O48" i="245"/>
  <c r="O49" i="245"/>
  <c r="O50" i="245"/>
  <c r="O51" i="245"/>
  <c r="O52" i="245"/>
  <c r="O53" i="245"/>
  <c r="O54" i="245"/>
  <c r="O55" i="245"/>
  <c r="O56" i="245"/>
  <c r="O56" i="241"/>
  <c r="O55" i="241"/>
  <c r="O54" i="241"/>
  <c r="O53" i="241"/>
  <c r="O52" i="241"/>
  <c r="O51" i="241"/>
  <c r="O50" i="241"/>
  <c r="O49" i="241"/>
  <c r="O48" i="241"/>
  <c r="O47" i="241"/>
  <c r="O46" i="241"/>
  <c r="O45" i="241"/>
  <c r="O44" i="241"/>
  <c r="O43" i="241"/>
  <c r="O42" i="241"/>
  <c r="O41" i="241"/>
  <c r="O40" i="241"/>
  <c r="O39" i="241"/>
  <c r="O38" i="241"/>
  <c r="O37" i="241"/>
  <c r="O36" i="241"/>
  <c r="O35" i="241"/>
  <c r="O34" i="241"/>
  <c r="O33" i="241"/>
  <c r="O31" i="241"/>
  <c r="O30" i="241"/>
  <c r="O29" i="241"/>
  <c r="O28" i="241"/>
  <c r="O27" i="241"/>
  <c r="O26" i="241"/>
  <c r="O25" i="241"/>
  <c r="O24" i="241"/>
  <c r="O23" i="241"/>
  <c r="O22" i="241"/>
  <c r="O21" i="241"/>
  <c r="O20" i="241"/>
  <c r="O19" i="241"/>
  <c r="O18" i="241"/>
  <c r="O17" i="241"/>
  <c r="O16" i="241"/>
  <c r="O15" i="241"/>
  <c r="O14" i="241"/>
  <c r="O13" i="241"/>
  <c r="O12" i="241"/>
  <c r="O11" i="241"/>
  <c r="O10" i="241"/>
  <c r="O9" i="241"/>
  <c r="E33" i="241"/>
  <c r="E33" i="245"/>
  <c r="E32" i="245"/>
  <c r="E33" i="246"/>
  <c r="E32" i="246"/>
  <c r="O32" i="246" s="1"/>
  <c r="E19" i="246"/>
  <c r="D19" i="246"/>
  <c r="F19" i="246" s="1"/>
  <c r="E18" i="246"/>
  <c r="D18" i="246"/>
  <c r="F18" i="246" s="1"/>
  <c r="E29" i="245"/>
  <c r="E19" i="245"/>
  <c r="D19" i="245"/>
  <c r="F19" i="245" s="1"/>
  <c r="E18" i="245"/>
  <c r="D18" i="245"/>
  <c r="F18" i="245" s="1"/>
  <c r="F19" i="241"/>
  <c r="E19" i="241"/>
  <c r="E18" i="241"/>
  <c r="F18" i="241" s="1"/>
  <c r="D19" i="241"/>
  <c r="D18" i="241"/>
  <c r="L20" i="246"/>
  <c r="L19" i="246"/>
  <c r="L20" i="245"/>
  <c r="L19" i="245"/>
  <c r="L20" i="241"/>
  <c r="L19" i="241"/>
  <c r="G21" i="209" l="1"/>
  <c r="H21" i="209"/>
  <c r="I21" i="209" s="1"/>
  <c r="G18" i="246"/>
  <c r="H18" i="246"/>
  <c r="I18" i="246" s="1"/>
  <c r="H19" i="246"/>
  <c r="G19" i="246"/>
  <c r="I19" i="246" s="1"/>
  <c r="H18" i="245"/>
  <c r="G18" i="245"/>
  <c r="I18" i="245" s="1"/>
  <c r="H19" i="245"/>
  <c r="G19" i="245"/>
  <c r="I19" i="245" s="1"/>
  <c r="H19" i="241"/>
  <c r="G19" i="241"/>
  <c r="I19" i="241" s="1"/>
  <c r="G18" i="241"/>
  <c r="I18" i="241" s="1"/>
  <c r="H18" i="241"/>
  <c r="O14" i="234"/>
  <c r="O9" i="234"/>
  <c r="O10" i="234"/>
  <c r="O11" i="234"/>
  <c r="O12" i="234"/>
  <c r="O13" i="234"/>
  <c r="O8" i="234"/>
  <c r="O14" i="235"/>
  <c r="O9" i="235"/>
  <c r="O10" i="235"/>
  <c r="O11" i="235"/>
  <c r="O12" i="235"/>
  <c r="O13" i="235"/>
  <c r="O8" i="235"/>
  <c r="O14" i="226"/>
  <c r="O9" i="226"/>
  <c r="O10" i="226"/>
  <c r="O11" i="226"/>
  <c r="O12" i="226"/>
  <c r="O13" i="226"/>
  <c r="O8" i="226"/>
  <c r="N7" i="232"/>
  <c r="N9" i="232"/>
  <c r="N10" i="232"/>
  <c r="N11" i="232"/>
  <c r="N12" i="232"/>
  <c r="N15" i="232"/>
  <c r="N18" i="232"/>
  <c r="N20" i="232"/>
  <c r="N21" i="232"/>
  <c r="N22" i="232"/>
  <c r="N23" i="232"/>
  <c r="N28" i="232"/>
  <c r="N29" i="232"/>
  <c r="N34" i="232"/>
  <c r="N35" i="232"/>
  <c r="N36" i="232"/>
  <c r="N37" i="232"/>
  <c r="N38" i="232"/>
  <c r="N39" i="232"/>
  <c r="N40" i="232"/>
  <c r="N41" i="232"/>
  <c r="N42" i="232"/>
  <c r="N45" i="232"/>
  <c r="N49" i="232"/>
  <c r="N6" i="232"/>
  <c r="O48" i="233"/>
  <c r="O7" i="233"/>
  <c r="O8" i="233"/>
  <c r="O9" i="233"/>
  <c r="O10" i="233"/>
  <c r="O11" i="233"/>
  <c r="O12" i="233"/>
  <c r="O13" i="233"/>
  <c r="O14" i="233"/>
  <c r="O15" i="233"/>
  <c r="O16" i="233"/>
  <c r="O17" i="233"/>
  <c r="O18" i="233"/>
  <c r="O19" i="233"/>
  <c r="O20" i="233"/>
  <c r="O21" i="233"/>
  <c r="O22" i="233"/>
  <c r="O23" i="233"/>
  <c r="O24" i="233"/>
  <c r="O25" i="233"/>
  <c r="O26" i="233"/>
  <c r="O27" i="233"/>
  <c r="O28" i="233"/>
  <c r="O29" i="233"/>
  <c r="O30" i="233"/>
  <c r="O31" i="233"/>
  <c r="O32" i="233"/>
  <c r="O33" i="233"/>
  <c r="O34" i="233"/>
  <c r="O35" i="233"/>
  <c r="O36" i="233"/>
  <c r="O37" i="233"/>
  <c r="O38" i="233"/>
  <c r="O39" i="233"/>
  <c r="O40" i="233"/>
  <c r="O41" i="233"/>
  <c r="O42" i="233"/>
  <c r="O43" i="233"/>
  <c r="O44" i="233"/>
  <c r="O45" i="233"/>
  <c r="O46" i="233"/>
  <c r="O47" i="233"/>
  <c r="O6" i="233"/>
  <c r="O48" i="225"/>
  <c r="O7" i="225"/>
  <c r="O8" i="225"/>
  <c r="O9" i="225"/>
  <c r="O10" i="225"/>
  <c r="O11" i="225"/>
  <c r="O12" i="225"/>
  <c r="O13" i="225"/>
  <c r="O14" i="225"/>
  <c r="O15" i="225"/>
  <c r="O16" i="225"/>
  <c r="O17" i="225"/>
  <c r="O18" i="225"/>
  <c r="O19" i="225"/>
  <c r="O20" i="225"/>
  <c r="O21" i="225"/>
  <c r="O22" i="225"/>
  <c r="O23" i="225"/>
  <c r="O24" i="225"/>
  <c r="O25" i="225"/>
  <c r="O26" i="225"/>
  <c r="O27" i="225"/>
  <c r="O28" i="225"/>
  <c r="O29" i="225"/>
  <c r="O30" i="225"/>
  <c r="O31" i="225"/>
  <c r="O32" i="225"/>
  <c r="O33" i="225"/>
  <c r="O34" i="225"/>
  <c r="O35" i="225"/>
  <c r="O36" i="225"/>
  <c r="O37" i="225"/>
  <c r="O38" i="225"/>
  <c r="O39" i="225"/>
  <c r="O40" i="225"/>
  <c r="O41" i="225"/>
  <c r="O42" i="225"/>
  <c r="O43" i="225"/>
  <c r="O44" i="225"/>
  <c r="O45" i="225"/>
  <c r="O46" i="225"/>
  <c r="O47" i="225"/>
  <c r="O6" i="225"/>
  <c r="O13" i="223"/>
  <c r="O9" i="223"/>
  <c r="O10" i="223"/>
  <c r="O11" i="223"/>
  <c r="O12" i="223"/>
  <c r="O8" i="223"/>
  <c r="O39" i="222"/>
  <c r="O6" i="222"/>
  <c r="O9" i="210"/>
  <c r="O10" i="210"/>
  <c r="O11" i="210"/>
  <c r="O12" i="210"/>
  <c r="N6" i="209"/>
  <c r="N9" i="240"/>
  <c r="N10" i="240"/>
  <c r="N11" i="240"/>
  <c r="N12" i="240"/>
  <c r="N9" i="239"/>
  <c r="N10" i="239"/>
  <c r="N11" i="239"/>
  <c r="N12" i="239"/>
  <c r="N9" i="229"/>
  <c r="N10" i="229"/>
  <c r="N11" i="229"/>
  <c r="N12" i="229"/>
  <c r="N13" i="229"/>
  <c r="N14" i="229"/>
  <c r="N15" i="229"/>
  <c r="N16" i="229"/>
  <c r="N6" i="238"/>
  <c r="N6" i="237"/>
  <c r="N6" i="228"/>
  <c r="O10" i="249"/>
  <c r="O12" i="249"/>
  <c r="O10" i="248"/>
  <c r="O12" i="248"/>
  <c r="O13" i="247"/>
  <c r="O9" i="247"/>
  <c r="O10" i="247"/>
  <c r="O11" i="247"/>
  <c r="O12" i="247"/>
  <c r="O8" i="247"/>
  <c r="C13" i="247"/>
  <c r="O6" i="246" l="1"/>
  <c r="O6" i="245"/>
  <c r="L16" i="232" l="1"/>
  <c r="L15" i="232"/>
  <c r="L16" i="233"/>
  <c r="L15" i="233"/>
  <c r="L16" i="225"/>
  <c r="L15" i="225"/>
  <c r="G16" i="227"/>
  <c r="G15" i="227"/>
  <c r="G11" i="227"/>
  <c r="G13" i="227"/>
  <c r="G12" i="227"/>
  <c r="D27" i="232"/>
  <c r="E32" i="232"/>
  <c r="N32" i="232" s="1"/>
  <c r="E33" i="232"/>
  <c r="N33" i="232" s="1"/>
  <c r="D33" i="232"/>
  <c r="F33" i="232"/>
  <c r="G33" i="232" s="1"/>
  <c r="F16" i="227"/>
  <c r="F15" i="227"/>
  <c r="H15" i="227" s="1"/>
  <c r="H16" i="227" l="1"/>
  <c r="H33" i="232"/>
  <c r="I33" i="232" s="1"/>
  <c r="G21" i="251"/>
  <c r="G20" i="251"/>
  <c r="G18" i="251"/>
  <c r="G17" i="251"/>
  <c r="G16" i="251"/>
  <c r="J18" i="251"/>
  <c r="J17" i="251"/>
  <c r="H4" i="251"/>
  <c r="H6" i="251"/>
  <c r="H12" i="251"/>
  <c r="H13" i="251"/>
  <c r="B16" i="251"/>
  <c r="C16" i="251"/>
  <c r="D16" i="251"/>
  <c r="E16" i="251"/>
  <c r="F16" i="251"/>
  <c r="I16" i="251" s="1"/>
  <c r="B17" i="251"/>
  <c r="C17" i="251"/>
  <c r="D17" i="251"/>
  <c r="E17" i="251"/>
  <c r="F17" i="251"/>
  <c r="I17" i="251"/>
  <c r="B18" i="251"/>
  <c r="E18" i="251" s="1"/>
  <c r="C18" i="251"/>
  <c r="D18" i="251"/>
  <c r="F18" i="251"/>
  <c r="H18" i="251"/>
  <c r="I18" i="251"/>
  <c r="B20" i="251"/>
  <c r="E20" i="251" s="1"/>
  <c r="C20" i="251"/>
  <c r="D20" i="251"/>
  <c r="F20" i="251"/>
  <c r="B21" i="251"/>
  <c r="E21" i="251" s="1"/>
  <c r="C21" i="251"/>
  <c r="D21" i="251"/>
  <c r="F21" i="251"/>
  <c r="H21" i="251"/>
  <c r="I21" i="251" s="1"/>
  <c r="J21" i="251" s="1"/>
  <c r="Q4" i="252"/>
  <c r="O4" i="252"/>
  <c r="Q4" i="251"/>
  <c r="O4" i="251"/>
  <c r="F10" i="250"/>
  <c r="F9" i="250"/>
  <c r="F8" i="250"/>
  <c r="F7" i="250"/>
  <c r="F6" i="250"/>
  <c r="F5" i="250"/>
  <c r="F4" i="250"/>
  <c r="B11" i="250" l="1"/>
  <c r="F22" i="252" l="1"/>
  <c r="F21" i="252"/>
  <c r="G21" i="252" s="1"/>
  <c r="F20" i="252"/>
  <c r="C20" i="252"/>
  <c r="D20" i="252"/>
  <c r="C21" i="252"/>
  <c r="D21" i="252"/>
  <c r="C22" i="252"/>
  <c r="D22" i="252"/>
  <c r="B22" i="252"/>
  <c r="B21" i="252"/>
  <c r="B20" i="252"/>
  <c r="I16" i="252"/>
  <c r="J16" i="252" s="1"/>
  <c r="F18" i="252"/>
  <c r="F17" i="252"/>
  <c r="F16" i="252"/>
  <c r="G16" i="252" s="1"/>
  <c r="C16" i="252"/>
  <c r="D16" i="252"/>
  <c r="B16" i="252"/>
  <c r="E16" i="252" s="1"/>
  <c r="C17" i="252"/>
  <c r="D17" i="252"/>
  <c r="C18" i="252"/>
  <c r="D18" i="252"/>
  <c r="B18" i="252"/>
  <c r="B17" i="252"/>
  <c r="E17" i="252" s="1"/>
  <c r="J16" i="251"/>
  <c r="E21" i="252" l="1"/>
  <c r="I20" i="252"/>
  <c r="J20" i="252" s="1"/>
  <c r="G20" i="252"/>
  <c r="I18" i="252"/>
  <c r="J18" i="252" s="1"/>
  <c r="G18" i="252"/>
  <c r="E18" i="252"/>
  <c r="E22" i="252"/>
  <c r="I22" i="252"/>
  <c r="J22" i="252" s="1"/>
  <c r="G22" i="252"/>
  <c r="I17" i="252"/>
  <c r="J17" i="252" s="1"/>
  <c r="G17" i="252"/>
  <c r="E20" i="252"/>
  <c r="I21" i="252"/>
  <c r="J21" i="252" s="1"/>
  <c r="H23" i="252"/>
  <c r="F4" i="252"/>
  <c r="G4" i="252" s="1"/>
  <c r="D4" i="252"/>
  <c r="C4" i="252"/>
  <c r="B4" i="252"/>
  <c r="H24" i="252"/>
  <c r="B8" i="250" s="1"/>
  <c r="H11" i="244"/>
  <c r="E4" i="252" l="1"/>
  <c r="I4" i="252"/>
  <c r="J4" i="252" l="1"/>
  <c r="F12" i="249" l="1"/>
  <c r="D12" i="249"/>
  <c r="D11" i="249"/>
  <c r="D9" i="249"/>
  <c r="E8" i="249"/>
  <c r="D8" i="249"/>
  <c r="F12" i="248"/>
  <c r="D12" i="248"/>
  <c r="D11" i="248"/>
  <c r="D9" i="248"/>
  <c r="D8" i="248"/>
  <c r="D12" i="247"/>
  <c r="F12" i="247" s="1"/>
  <c r="D11" i="247"/>
  <c r="F9" i="247"/>
  <c r="D9" i="247"/>
  <c r="D8" i="247"/>
  <c r="D45" i="245"/>
  <c r="F45" i="245" s="1"/>
  <c r="D45" i="246"/>
  <c r="F45" i="246" s="1"/>
  <c r="D45" i="241"/>
  <c r="F45" i="241" s="1"/>
  <c r="H45" i="241" s="1"/>
  <c r="D52" i="245"/>
  <c r="F52" i="245" s="1"/>
  <c r="D52" i="246"/>
  <c r="F52" i="246" s="1"/>
  <c r="D52" i="241"/>
  <c r="F52" i="241" s="1"/>
  <c r="E34" i="245"/>
  <c r="E34" i="246"/>
  <c r="E34" i="241"/>
  <c r="D34" i="245"/>
  <c r="F34" i="245" s="1"/>
  <c r="D34" i="246"/>
  <c r="D34" i="241"/>
  <c r="F34" i="241" s="1"/>
  <c r="H34" i="241" s="1"/>
  <c r="D29" i="245"/>
  <c r="D29" i="246"/>
  <c r="D29" i="241"/>
  <c r="E16" i="246"/>
  <c r="L16" i="245"/>
  <c r="E13" i="245" s="1"/>
  <c r="L16" i="246"/>
  <c r="E13" i="246" s="1"/>
  <c r="L16" i="241"/>
  <c r="L15" i="245"/>
  <c r="L15" i="246"/>
  <c r="L15" i="241"/>
  <c r="E16" i="245"/>
  <c r="L12" i="246"/>
  <c r="E29" i="246" s="1"/>
  <c r="L12" i="245"/>
  <c r="L12" i="241"/>
  <c r="E29" i="241" s="1"/>
  <c r="F8" i="249" l="1"/>
  <c r="H8" i="249" s="1"/>
  <c r="F34" i="246"/>
  <c r="G34" i="246" s="1"/>
  <c r="E8" i="248"/>
  <c r="F8" i="248" s="1"/>
  <c r="E11" i="249"/>
  <c r="O11" i="249" s="1"/>
  <c r="O8" i="249"/>
  <c r="F11" i="249"/>
  <c r="G12" i="249"/>
  <c r="I12" i="249" s="1"/>
  <c r="H12" i="249"/>
  <c r="G12" i="248"/>
  <c r="I12" i="248" s="1"/>
  <c r="H12" i="248"/>
  <c r="F11" i="247"/>
  <c r="H11" i="247" s="1"/>
  <c r="F8" i="247"/>
  <c r="G8" i="247"/>
  <c r="H8" i="247"/>
  <c r="G12" i="247"/>
  <c r="H12" i="247"/>
  <c r="G9" i="247"/>
  <c r="H9" i="247"/>
  <c r="H45" i="246"/>
  <c r="G45" i="246"/>
  <c r="I45" i="246" s="1"/>
  <c r="H45" i="245"/>
  <c r="G45" i="245"/>
  <c r="G45" i="241"/>
  <c r="I45" i="241" s="1"/>
  <c r="G52" i="241"/>
  <c r="H52" i="241"/>
  <c r="I52" i="241" s="1"/>
  <c r="H52" i="246"/>
  <c r="G52" i="246"/>
  <c r="H52" i="245"/>
  <c r="G52" i="245"/>
  <c r="E57" i="245"/>
  <c r="E57" i="246"/>
  <c r="H34" i="245"/>
  <c r="G34" i="245"/>
  <c r="I34" i="245" s="1"/>
  <c r="G34" i="241"/>
  <c r="I34" i="241" s="1"/>
  <c r="I34" i="246" l="1"/>
  <c r="G8" i="249"/>
  <c r="I8" i="249" s="1"/>
  <c r="H34" i="246"/>
  <c r="E11" i="248"/>
  <c r="O8" i="248"/>
  <c r="I52" i="245"/>
  <c r="I45" i="245"/>
  <c r="G11" i="247"/>
  <c r="I11" i="247" s="1"/>
  <c r="H11" i="249"/>
  <c r="I11" i="249" s="1"/>
  <c r="G11" i="249"/>
  <c r="G8" i="248"/>
  <c r="H8" i="248"/>
  <c r="I9" i="247"/>
  <c r="I12" i="247"/>
  <c r="I8" i="247"/>
  <c r="I52" i="246"/>
  <c r="O11" i="248" l="1"/>
  <c r="F11" i="248"/>
  <c r="F13" i="247"/>
  <c r="I8" i="248"/>
  <c r="I13" i="247"/>
  <c r="G11" i="248" l="1"/>
  <c r="H11" i="248"/>
  <c r="D53" i="246"/>
  <c r="F53" i="246" s="1"/>
  <c r="D53" i="245"/>
  <c r="F53" i="245" s="1"/>
  <c r="D53" i="241"/>
  <c r="F53" i="241" s="1"/>
  <c r="H10" i="244"/>
  <c r="H9" i="244"/>
  <c r="H8" i="244"/>
  <c r="D57" i="246"/>
  <c r="F57" i="246" s="1"/>
  <c r="E56" i="246"/>
  <c r="D56" i="246"/>
  <c r="E55" i="246"/>
  <c r="D55" i="246"/>
  <c r="D51" i="246"/>
  <c r="F51" i="246" s="1"/>
  <c r="D49" i="246"/>
  <c r="F49" i="246" s="1"/>
  <c r="D48" i="246"/>
  <c r="F48" i="246" s="1"/>
  <c r="E46" i="246"/>
  <c r="D46" i="246"/>
  <c r="D44" i="246"/>
  <c r="F44" i="246" s="1"/>
  <c r="D43" i="246"/>
  <c r="F43" i="246" s="1"/>
  <c r="F33" i="246"/>
  <c r="H33" i="246" s="1"/>
  <c r="F32" i="246"/>
  <c r="F31" i="246"/>
  <c r="G31" i="246" s="1"/>
  <c r="F29" i="246"/>
  <c r="F28" i="246"/>
  <c r="H28" i="246" s="1"/>
  <c r="F27" i="246"/>
  <c r="G27" i="246" s="1"/>
  <c r="F26" i="246"/>
  <c r="H26" i="246" s="1"/>
  <c r="D21" i="246"/>
  <c r="F21" i="246" s="1"/>
  <c r="E17" i="246"/>
  <c r="D17" i="246"/>
  <c r="D16" i="246"/>
  <c r="F16" i="246" s="1"/>
  <c r="H16" i="246" s="1"/>
  <c r="E14" i="246"/>
  <c r="O14" i="246" s="1"/>
  <c r="D14" i="246"/>
  <c r="L13" i="246"/>
  <c r="D13" i="246"/>
  <c r="F13" i="246" s="1"/>
  <c r="D10" i="246"/>
  <c r="F10" i="246" s="1"/>
  <c r="H10" i="246" s="1"/>
  <c r="E8" i="246"/>
  <c r="D8" i="246"/>
  <c r="D57" i="245"/>
  <c r="F57" i="245" s="1"/>
  <c r="H57" i="245" s="1"/>
  <c r="E56" i="245"/>
  <c r="D56" i="245"/>
  <c r="E55" i="245"/>
  <c r="D55" i="245"/>
  <c r="D51" i="245"/>
  <c r="F51" i="245" s="1"/>
  <c r="G51" i="245" s="1"/>
  <c r="D49" i="245"/>
  <c r="F49" i="245" s="1"/>
  <c r="D48" i="245"/>
  <c r="F48" i="245" s="1"/>
  <c r="E46" i="245"/>
  <c r="D46" i="245"/>
  <c r="F46" i="245" s="1"/>
  <c r="D44" i="245"/>
  <c r="F44" i="245" s="1"/>
  <c r="D43" i="245"/>
  <c r="F43" i="245" s="1"/>
  <c r="F33" i="245"/>
  <c r="F32" i="245"/>
  <c r="H32" i="245" s="1"/>
  <c r="F31" i="245"/>
  <c r="F29" i="245"/>
  <c r="H29" i="245" s="1"/>
  <c r="F28" i="245"/>
  <c r="F27" i="245"/>
  <c r="H27" i="245" s="1"/>
  <c r="F26" i="245"/>
  <c r="D21" i="245"/>
  <c r="F21" i="245" s="1"/>
  <c r="E17" i="245"/>
  <c r="D17" i="245"/>
  <c r="F17" i="245" s="1"/>
  <c r="D16" i="245"/>
  <c r="F16" i="245" s="1"/>
  <c r="E14" i="245"/>
  <c r="D14" i="245"/>
  <c r="L13" i="245"/>
  <c r="D13" i="245"/>
  <c r="F13" i="245" s="1"/>
  <c r="D10" i="245"/>
  <c r="F10" i="245" s="1"/>
  <c r="E8" i="245"/>
  <c r="D8" i="245"/>
  <c r="D51" i="241"/>
  <c r="F51" i="241" s="1"/>
  <c r="H13" i="244"/>
  <c r="H12" i="244"/>
  <c r="E8" i="244"/>
  <c r="H7" i="244"/>
  <c r="E7" i="244"/>
  <c r="D49" i="241"/>
  <c r="F49" i="241" s="1"/>
  <c r="I11" i="248" l="1"/>
  <c r="F56" i="246"/>
  <c r="E9" i="248"/>
  <c r="E9" i="249"/>
  <c r="B6" i="251"/>
  <c r="H5" i="251"/>
  <c r="H14" i="244"/>
  <c r="F14" i="246"/>
  <c r="F56" i="245"/>
  <c r="G56" i="245" s="1"/>
  <c r="F55" i="245"/>
  <c r="H55" i="245" s="1"/>
  <c r="H31" i="246"/>
  <c r="F55" i="246"/>
  <c r="G55" i="246" s="1"/>
  <c r="I31" i="246"/>
  <c r="H51" i="245"/>
  <c r="I51" i="245" s="1"/>
  <c r="F17" i="246"/>
  <c r="G17" i="246" s="1"/>
  <c r="G28" i="246"/>
  <c r="I28" i="246" s="1"/>
  <c r="G33" i="246"/>
  <c r="I33" i="246" s="1"/>
  <c r="G26" i="246"/>
  <c r="I26" i="246" s="1"/>
  <c r="F8" i="245"/>
  <c r="H8" i="245" s="1"/>
  <c r="F46" i="246"/>
  <c r="G46" i="246" s="1"/>
  <c r="F14" i="245"/>
  <c r="H14" i="245" s="1"/>
  <c r="F8" i="246"/>
  <c r="H8" i="246" s="1"/>
  <c r="H53" i="246"/>
  <c r="G53" i="246"/>
  <c r="H53" i="245"/>
  <c r="G53" i="245"/>
  <c r="H53" i="241"/>
  <c r="G53" i="241"/>
  <c r="G10" i="246"/>
  <c r="I10" i="246" s="1"/>
  <c r="H13" i="246"/>
  <c r="G13" i="246"/>
  <c r="H43" i="246"/>
  <c r="G43" i="246"/>
  <c r="G8" i="246"/>
  <c r="G56" i="246"/>
  <c r="H56" i="246"/>
  <c r="G21" i="246"/>
  <c r="H21" i="246"/>
  <c r="H51" i="246"/>
  <c r="G51" i="246"/>
  <c r="I51" i="246" s="1"/>
  <c r="G14" i="246"/>
  <c r="H14" i="246"/>
  <c r="H48" i="246"/>
  <c r="G48" i="246"/>
  <c r="G57" i="246"/>
  <c r="H57" i="246"/>
  <c r="G16" i="246"/>
  <c r="I16" i="246" s="1"/>
  <c r="G44" i="246"/>
  <c r="G49" i="246"/>
  <c r="G29" i="246"/>
  <c r="H44" i="246"/>
  <c r="H49" i="246"/>
  <c r="H27" i="246"/>
  <c r="I27" i="246" s="1"/>
  <c r="H29" i="246"/>
  <c r="H32" i="246"/>
  <c r="G32" i="246"/>
  <c r="H44" i="245"/>
  <c r="G44" i="245"/>
  <c r="H16" i="245"/>
  <c r="G16" i="245"/>
  <c r="H48" i="245"/>
  <c r="G48" i="245"/>
  <c r="H10" i="245"/>
  <c r="G10" i="245"/>
  <c r="H49" i="245"/>
  <c r="G49" i="245"/>
  <c r="G13" i="245"/>
  <c r="H13" i="245"/>
  <c r="H21" i="245"/>
  <c r="G21" i="245"/>
  <c r="I21" i="245" s="1"/>
  <c r="H43" i="245"/>
  <c r="G43" i="245"/>
  <c r="G17" i="245"/>
  <c r="G46" i="245"/>
  <c r="I46" i="245" s="1"/>
  <c r="G57" i="245"/>
  <c r="I57" i="245" s="1"/>
  <c r="H17" i="245"/>
  <c r="G26" i="245"/>
  <c r="G28" i="245"/>
  <c r="I28" i="245" s="1"/>
  <c r="G31" i="245"/>
  <c r="I31" i="245" s="1"/>
  <c r="G33" i="245"/>
  <c r="H46" i="245"/>
  <c r="H26" i="245"/>
  <c r="H28" i="245"/>
  <c r="H31" i="245"/>
  <c r="H33" i="245"/>
  <c r="G27" i="245"/>
  <c r="I27" i="245" s="1"/>
  <c r="G29" i="245"/>
  <c r="I29" i="245" s="1"/>
  <c r="G32" i="245"/>
  <c r="I32" i="245" s="1"/>
  <c r="H51" i="241"/>
  <c r="G51" i="241"/>
  <c r="E14" i="244"/>
  <c r="G49" i="241"/>
  <c r="H49" i="241"/>
  <c r="D48" i="241"/>
  <c r="F48" i="241" s="1"/>
  <c r="D44" i="241"/>
  <c r="F44" i="241" s="1"/>
  <c r="I32" i="246" l="1"/>
  <c r="O9" i="248"/>
  <c r="O13" i="248" s="1"/>
  <c r="F9" i="248"/>
  <c r="F9" i="249"/>
  <c r="O9" i="249"/>
  <c r="O13" i="249" s="1"/>
  <c r="I21" i="246"/>
  <c r="B5" i="251"/>
  <c r="H56" i="245"/>
  <c r="I56" i="245" s="1"/>
  <c r="C6" i="251"/>
  <c r="I43" i="246"/>
  <c r="H55" i="246"/>
  <c r="I55" i="246" s="1"/>
  <c r="I26" i="245"/>
  <c r="I51" i="241"/>
  <c r="I13" i="246"/>
  <c r="G55" i="245"/>
  <c r="I55" i="245" s="1"/>
  <c r="I53" i="241"/>
  <c r="I8" i="246"/>
  <c r="I43" i="245"/>
  <c r="I49" i="245"/>
  <c r="I29" i="246"/>
  <c r="H17" i="246"/>
  <c r="I17" i="246" s="1"/>
  <c r="I49" i="246"/>
  <c r="I33" i="245"/>
  <c r="I48" i="245"/>
  <c r="I57" i="246"/>
  <c r="I53" i="246"/>
  <c r="I44" i="245"/>
  <c r="G8" i="245"/>
  <c r="I8" i="245" s="1"/>
  <c r="H46" i="246"/>
  <c r="I46" i="246" s="1"/>
  <c r="I48" i="246"/>
  <c r="I13" i="245"/>
  <c r="G14" i="245"/>
  <c r="I14" i="246"/>
  <c r="I17" i="245"/>
  <c r="I16" i="245"/>
  <c r="I56" i="246"/>
  <c r="I53" i="245"/>
  <c r="I10" i="245"/>
  <c r="F35" i="246"/>
  <c r="I44" i="246"/>
  <c r="I49" i="241"/>
  <c r="H48" i="241"/>
  <c r="G48" i="241"/>
  <c r="H44" i="241"/>
  <c r="G44" i="241"/>
  <c r="H9" i="249" l="1"/>
  <c r="D6" i="252" s="1"/>
  <c r="G9" i="249"/>
  <c r="B6" i="252"/>
  <c r="H9" i="248"/>
  <c r="D5" i="252" s="1"/>
  <c r="G9" i="248"/>
  <c r="B5" i="252"/>
  <c r="F13" i="248"/>
  <c r="F59" i="245"/>
  <c r="C5" i="251"/>
  <c r="D5" i="251"/>
  <c r="D6" i="251"/>
  <c r="E6" i="251" s="1"/>
  <c r="I48" i="241"/>
  <c r="F59" i="246"/>
  <c r="F60" i="246" s="1"/>
  <c r="K60" i="246" s="1"/>
  <c r="I35" i="246"/>
  <c r="I59" i="245"/>
  <c r="F35" i="245"/>
  <c r="I44" i="241"/>
  <c r="I59" i="246"/>
  <c r="I14" i="245"/>
  <c r="I35" i="245" s="1"/>
  <c r="F13" i="249" l="1"/>
  <c r="I9" i="248"/>
  <c r="I13" i="248" s="1"/>
  <c r="F5" i="252" s="1"/>
  <c r="C5" i="252"/>
  <c r="E5" i="252" s="1"/>
  <c r="I9" i="249"/>
  <c r="I13" i="249" s="1"/>
  <c r="F6" i="252" s="1"/>
  <c r="C6" i="252"/>
  <c r="E6" i="252" s="1"/>
  <c r="F5" i="251"/>
  <c r="I5" i="251" s="1"/>
  <c r="J5" i="251" s="1"/>
  <c r="E5" i="251"/>
  <c r="F60" i="245"/>
  <c r="K60" i="245" s="1"/>
  <c r="I60" i="246"/>
  <c r="I62" i="246" s="1"/>
  <c r="F6" i="251"/>
  <c r="I60" i="245"/>
  <c r="I62" i="245" s="1"/>
  <c r="I6" i="252" l="1"/>
  <c r="J6" i="252" s="1"/>
  <c r="G6" i="252"/>
  <c r="I5" i="252"/>
  <c r="J5" i="252" s="1"/>
  <c r="G5" i="252"/>
  <c r="G5" i="251"/>
  <c r="I6" i="251"/>
  <c r="J6" i="251" s="1"/>
  <c r="G6" i="251"/>
  <c r="D57" i="241"/>
  <c r="F57" i="241" s="1"/>
  <c r="E56" i="241"/>
  <c r="D56" i="241"/>
  <c r="E55" i="241"/>
  <c r="D55" i="241"/>
  <c r="D46" i="241"/>
  <c r="E46" i="241"/>
  <c r="D43" i="241"/>
  <c r="F43" i="241" s="1"/>
  <c r="F33" i="241"/>
  <c r="H33" i="241" s="1"/>
  <c r="F32" i="241"/>
  <c r="F31" i="241"/>
  <c r="H31" i="241" s="1"/>
  <c r="F29" i="241"/>
  <c r="F28" i="241"/>
  <c r="H28" i="241" s="1"/>
  <c r="F27" i="241"/>
  <c r="F26" i="241"/>
  <c r="H26" i="241" s="1"/>
  <c r="D21" i="241"/>
  <c r="F21" i="241" s="1"/>
  <c r="E17" i="241"/>
  <c r="D17" i="241"/>
  <c r="D16" i="241"/>
  <c r="F16" i="241" s="1"/>
  <c r="D14" i="241"/>
  <c r="F14" i="241" s="1"/>
  <c r="L13" i="241"/>
  <c r="D13" i="241"/>
  <c r="F13" i="241" s="1"/>
  <c r="D10" i="241"/>
  <c r="F10" i="241" s="1"/>
  <c r="G10" i="241" s="1"/>
  <c r="E8" i="241"/>
  <c r="O8" i="241" s="1"/>
  <c r="D8" i="241"/>
  <c r="E35" i="228"/>
  <c r="D14" i="229"/>
  <c r="F14" i="229" s="1"/>
  <c r="F13" i="229"/>
  <c r="G13" i="229" s="1"/>
  <c r="D13" i="229"/>
  <c r="F33" i="228"/>
  <c r="G33" i="228" s="1"/>
  <c r="F32" i="228"/>
  <c r="D12" i="229"/>
  <c r="F12" i="229" s="1"/>
  <c r="F11" i="229"/>
  <c r="D11" i="229"/>
  <c r="F31" i="228"/>
  <c r="G31" i="228" s="1"/>
  <c r="F30" i="228"/>
  <c r="E13" i="240"/>
  <c r="D13" i="240"/>
  <c r="D12" i="240"/>
  <c r="F12" i="240" s="1"/>
  <c r="F11" i="240"/>
  <c r="H11" i="240" s="1"/>
  <c r="D11" i="240"/>
  <c r="F9" i="240"/>
  <c r="H9" i="240" s="1"/>
  <c r="D9" i="240"/>
  <c r="D8" i="240"/>
  <c r="E13" i="239"/>
  <c r="N13" i="239" s="1"/>
  <c r="D13" i="239"/>
  <c r="D12" i="239"/>
  <c r="F12" i="239" s="1"/>
  <c r="F11" i="239"/>
  <c r="D11" i="239"/>
  <c r="F9" i="239"/>
  <c r="G9" i="239" s="1"/>
  <c r="D9" i="239"/>
  <c r="D8" i="239"/>
  <c r="E50" i="238"/>
  <c r="D50" i="238"/>
  <c r="E49" i="238"/>
  <c r="D49" i="238"/>
  <c r="E48" i="238"/>
  <c r="D48" i="238"/>
  <c r="D46" i="238"/>
  <c r="E45" i="238"/>
  <c r="D45" i="238"/>
  <c r="D35" i="238"/>
  <c r="F35" i="238" s="1"/>
  <c r="E32" i="238"/>
  <c r="F30" i="238"/>
  <c r="E21" i="238"/>
  <c r="D21" i="238"/>
  <c r="D17" i="238"/>
  <c r="E16" i="238"/>
  <c r="D16" i="238"/>
  <c r="D14" i="238"/>
  <c r="L13" i="238"/>
  <c r="E29" i="238" s="1"/>
  <c r="D13" i="238"/>
  <c r="D10" i="238"/>
  <c r="F10" i="238" s="1"/>
  <c r="E8" i="238"/>
  <c r="D8" i="238"/>
  <c r="E47" i="237"/>
  <c r="D47" i="237"/>
  <c r="E46" i="237"/>
  <c r="D46" i="237"/>
  <c r="F46" i="237" s="1"/>
  <c r="E45" i="237"/>
  <c r="D45" i="237"/>
  <c r="D43" i="237"/>
  <c r="N43" i="237"/>
  <c r="D42" i="237"/>
  <c r="F42" i="237" s="1"/>
  <c r="D33" i="237"/>
  <c r="F33" i="237" s="1"/>
  <c r="E31" i="237"/>
  <c r="F28" i="237"/>
  <c r="G28" i="237" s="1"/>
  <c r="D19" i="237"/>
  <c r="D17" i="237"/>
  <c r="D16" i="237"/>
  <c r="D14" i="237"/>
  <c r="L13" i="237"/>
  <c r="F25" i="237" s="1"/>
  <c r="D13" i="237"/>
  <c r="D10" i="237"/>
  <c r="E8" i="237"/>
  <c r="D8" i="237"/>
  <c r="E10" i="209"/>
  <c r="H13" i="236"/>
  <c r="H12" i="236"/>
  <c r="H14" i="251" s="1"/>
  <c r="H11" i="236"/>
  <c r="E11" i="236"/>
  <c r="E14" i="236" s="1"/>
  <c r="E10" i="236"/>
  <c r="E9" i="236"/>
  <c r="E8" i="236"/>
  <c r="H7" i="236"/>
  <c r="E7" i="236"/>
  <c r="H13" i="227"/>
  <c r="H12" i="227"/>
  <c r="F8" i="238" l="1"/>
  <c r="H8" i="238" s="1"/>
  <c r="F50" i="238"/>
  <c r="H50" i="238" s="1"/>
  <c r="F13" i="240"/>
  <c r="H13" i="240" s="1"/>
  <c r="N13" i="240"/>
  <c r="F47" i="237"/>
  <c r="F49" i="238"/>
  <c r="G49" i="238" s="1"/>
  <c r="E33" i="238"/>
  <c r="F29" i="238"/>
  <c r="H29" i="238" s="1"/>
  <c r="F16" i="238"/>
  <c r="G16" i="238" s="1"/>
  <c r="E46" i="238"/>
  <c r="F48" i="238"/>
  <c r="H48" i="238" s="1"/>
  <c r="F17" i="241"/>
  <c r="G17" i="241" s="1"/>
  <c r="H13" i="229"/>
  <c r="I13" i="229" s="1"/>
  <c r="G11" i="229"/>
  <c r="H30" i="228"/>
  <c r="F56" i="241"/>
  <c r="G56" i="241" s="1"/>
  <c r="G31" i="241"/>
  <c r="I31" i="241" s="1"/>
  <c r="G26" i="241"/>
  <c r="I26" i="241" s="1"/>
  <c r="F55" i="241"/>
  <c r="H55" i="241" s="1"/>
  <c r="G28" i="241"/>
  <c r="I28" i="241" s="1"/>
  <c r="G33" i="241"/>
  <c r="I33" i="241" s="1"/>
  <c r="H17" i="241"/>
  <c r="I17" i="241" s="1"/>
  <c r="H10" i="241"/>
  <c r="I10" i="241" s="1"/>
  <c r="F8" i="241"/>
  <c r="H8" i="241" s="1"/>
  <c r="G21" i="241"/>
  <c r="H21" i="241"/>
  <c r="F46" i="241"/>
  <c r="G16" i="241"/>
  <c r="H16" i="241"/>
  <c r="G29" i="241"/>
  <c r="H29" i="241"/>
  <c r="H32" i="241"/>
  <c r="G32" i="241"/>
  <c r="H57" i="241"/>
  <c r="G57" i="241"/>
  <c r="H13" i="241"/>
  <c r="G13" i="241"/>
  <c r="H43" i="241"/>
  <c r="G43" i="241"/>
  <c r="G14" i="241"/>
  <c r="H14" i="241"/>
  <c r="H27" i="241"/>
  <c r="G27" i="241"/>
  <c r="H35" i="238"/>
  <c r="G35" i="238"/>
  <c r="I35" i="238" s="1"/>
  <c r="F21" i="238"/>
  <c r="H21" i="238" s="1"/>
  <c r="H47" i="237"/>
  <c r="I47" i="237" s="1"/>
  <c r="G47" i="237"/>
  <c r="H28" i="237"/>
  <c r="I28" i="237" s="1"/>
  <c r="F8" i="237"/>
  <c r="F16" i="237"/>
  <c r="H16" i="237" s="1"/>
  <c r="F19" i="237"/>
  <c r="G19" i="237" s="1"/>
  <c r="F43" i="237"/>
  <c r="G43" i="237" s="1"/>
  <c r="E14" i="237"/>
  <c r="F27" i="237"/>
  <c r="G27" i="237" s="1"/>
  <c r="F45" i="237"/>
  <c r="G14" i="229"/>
  <c r="H14" i="229"/>
  <c r="H33" i="228"/>
  <c r="I33" i="228" s="1"/>
  <c r="G32" i="228"/>
  <c r="H32" i="228"/>
  <c r="G12" i="229"/>
  <c r="I12" i="229" s="1"/>
  <c r="H12" i="229"/>
  <c r="H11" i="229"/>
  <c r="H31" i="228"/>
  <c r="I31" i="228" s="1"/>
  <c r="G30" i="228"/>
  <c r="E28" i="238"/>
  <c r="F45" i="238"/>
  <c r="H45" i="238" s="1"/>
  <c r="F32" i="238"/>
  <c r="G32" i="238" s="1"/>
  <c r="E17" i="238"/>
  <c r="F10" i="237"/>
  <c r="H10" i="237" s="1"/>
  <c r="E17" i="237"/>
  <c r="F26" i="237"/>
  <c r="F13" i="239"/>
  <c r="G13" i="239" s="1"/>
  <c r="H12" i="240"/>
  <c r="G12" i="240"/>
  <c r="I12" i="240"/>
  <c r="G11" i="240"/>
  <c r="I11" i="240" s="1"/>
  <c r="G13" i="240"/>
  <c r="I13" i="240" s="1"/>
  <c r="G9" i="240"/>
  <c r="I9" i="240" s="1"/>
  <c r="H12" i="239"/>
  <c r="G12" i="239"/>
  <c r="I12" i="239" s="1"/>
  <c r="H11" i="239"/>
  <c r="G11" i="239"/>
  <c r="I11" i="239" s="1"/>
  <c r="H9" i="239"/>
  <c r="I9" i="239"/>
  <c r="H49" i="238"/>
  <c r="H10" i="238"/>
  <c r="G10" i="238"/>
  <c r="G48" i="238"/>
  <c r="E27" i="238"/>
  <c r="G30" i="238"/>
  <c r="H30" i="238"/>
  <c r="E13" i="238"/>
  <c r="G50" i="238"/>
  <c r="I50" i="238" s="1"/>
  <c r="H33" i="237"/>
  <c r="G33" i="237"/>
  <c r="I33" i="237" s="1"/>
  <c r="F31" i="237"/>
  <c r="E32" i="237"/>
  <c r="G25" i="237"/>
  <c r="H25" i="237"/>
  <c r="H45" i="237"/>
  <c r="G45" i="237"/>
  <c r="I45" i="237" s="1"/>
  <c r="G42" i="237"/>
  <c r="H42" i="237"/>
  <c r="H46" i="237"/>
  <c r="G46" i="237"/>
  <c r="F30" i="237"/>
  <c r="H16" i="236"/>
  <c r="I54" i="238" s="1"/>
  <c r="H14" i="236"/>
  <c r="I42" i="237" l="1"/>
  <c r="G8" i="238"/>
  <c r="I8" i="238" s="1"/>
  <c r="E34" i="238"/>
  <c r="F33" i="238"/>
  <c r="G33" i="238" s="1"/>
  <c r="G45" i="238"/>
  <c r="G29" i="238"/>
  <c r="G21" i="238"/>
  <c r="I21" i="238" s="1"/>
  <c r="H16" i="238"/>
  <c r="I16" i="238" s="1"/>
  <c r="I10" i="238"/>
  <c r="I32" i="228"/>
  <c r="F14" i="237"/>
  <c r="F32" i="237"/>
  <c r="H32" i="237" s="1"/>
  <c r="G8" i="237"/>
  <c r="B13" i="251"/>
  <c r="F17" i="237"/>
  <c r="G17" i="237" s="1"/>
  <c r="I17" i="237" s="1"/>
  <c r="F28" i="238"/>
  <c r="H28" i="238" s="1"/>
  <c r="F27" i="238"/>
  <c r="H27" i="238" s="1"/>
  <c r="I49" i="238"/>
  <c r="F34" i="238"/>
  <c r="H34" i="238" s="1"/>
  <c r="I30" i="238"/>
  <c r="F17" i="238"/>
  <c r="H17" i="238" s="1"/>
  <c r="I48" i="238"/>
  <c r="E14" i="238"/>
  <c r="F46" i="238"/>
  <c r="I27" i="241"/>
  <c r="H56" i="241"/>
  <c r="I56" i="241" s="1"/>
  <c r="G55" i="241"/>
  <c r="I55" i="241" s="1"/>
  <c r="I57" i="241"/>
  <c r="G8" i="241"/>
  <c r="I8" i="241" s="1"/>
  <c r="B4" i="251"/>
  <c r="I32" i="241"/>
  <c r="I14" i="229"/>
  <c r="I11" i="229"/>
  <c r="I30" i="228"/>
  <c r="I29" i="241"/>
  <c r="I21" i="241"/>
  <c r="I16" i="241"/>
  <c r="I14" i="241"/>
  <c r="I43" i="241"/>
  <c r="F35" i="241"/>
  <c r="H46" i="241"/>
  <c r="G46" i="241"/>
  <c r="H43" i="237"/>
  <c r="I43" i="237" s="1"/>
  <c r="H27" i="237"/>
  <c r="I27" i="237" s="1"/>
  <c r="I25" i="237"/>
  <c r="G16" i="237"/>
  <c r="I16" i="237" s="1"/>
  <c r="I45" i="238"/>
  <c r="I29" i="238"/>
  <c r="F13" i="237"/>
  <c r="H19" i="237"/>
  <c r="I19" i="237" s="1"/>
  <c r="G26" i="237"/>
  <c r="H8" i="237"/>
  <c r="I46" i="237"/>
  <c r="H26" i="237"/>
  <c r="G10" i="237"/>
  <c r="I10" i="237" s="1"/>
  <c r="H13" i="239"/>
  <c r="I13" i="239" s="1"/>
  <c r="H32" i="238"/>
  <c r="I32" i="238"/>
  <c r="H17" i="237"/>
  <c r="H33" i="238"/>
  <c r="F13" i="238"/>
  <c r="H31" i="237"/>
  <c r="G31" i="237"/>
  <c r="H30" i="237"/>
  <c r="G30" i="237"/>
  <c r="F49" i="237" l="1"/>
  <c r="G17" i="238"/>
  <c r="G28" i="238"/>
  <c r="I28" i="238" s="1"/>
  <c r="G27" i="238"/>
  <c r="I27" i="238" s="1"/>
  <c r="I8" i="237"/>
  <c r="I26" i="237"/>
  <c r="C13" i="251"/>
  <c r="G32" i="237"/>
  <c r="I32" i="237" s="1"/>
  <c r="N52" i="237"/>
  <c r="B26" i="251" s="1"/>
  <c r="H14" i="237"/>
  <c r="I14" i="237" s="1"/>
  <c r="G14" i="237"/>
  <c r="F14" i="238"/>
  <c r="N48" i="238"/>
  <c r="N49" i="238" s="1"/>
  <c r="G34" i="238"/>
  <c r="I34" i="238" s="1"/>
  <c r="H46" i="238"/>
  <c r="G46" i="238"/>
  <c r="D4" i="251"/>
  <c r="F59" i="241"/>
  <c r="C4" i="251"/>
  <c r="I35" i="241"/>
  <c r="I46" i="241"/>
  <c r="I59" i="241" s="1"/>
  <c r="I49" i="237"/>
  <c r="I31" i="237"/>
  <c r="I33" i="238"/>
  <c r="H13" i="237"/>
  <c r="G13" i="237"/>
  <c r="I13" i="237" s="1"/>
  <c r="I17" i="238"/>
  <c r="G13" i="238"/>
  <c r="H13" i="238"/>
  <c r="I30" i="237"/>
  <c r="F34" i="237" l="1"/>
  <c r="F50" i="237" s="1"/>
  <c r="K49" i="237" s="1"/>
  <c r="D13" i="251"/>
  <c r="E13" i="251" s="1"/>
  <c r="I13" i="238"/>
  <c r="I46" i="238"/>
  <c r="I52" i="238" s="1"/>
  <c r="F52" i="238"/>
  <c r="G14" i="238"/>
  <c r="C14" i="251" s="1"/>
  <c r="H14" i="238"/>
  <c r="I14" i="238" s="1"/>
  <c r="I37" i="238" s="1"/>
  <c r="F37" i="238"/>
  <c r="B14" i="251"/>
  <c r="I60" i="241"/>
  <c r="I62" i="241" s="1"/>
  <c r="E4" i="251"/>
  <c r="F60" i="241"/>
  <c r="K60" i="241" s="1"/>
  <c r="F4" i="251"/>
  <c r="I34" i="237"/>
  <c r="F53" i="238" l="1"/>
  <c r="K49" i="238" s="1"/>
  <c r="I50" i="237"/>
  <c r="I52" i="237" s="1"/>
  <c r="F13" i="251"/>
  <c r="I53" i="238"/>
  <c r="I55" i="238" s="1"/>
  <c r="F14" i="251"/>
  <c r="D14" i="251"/>
  <c r="E14" i="251" s="1"/>
  <c r="G4" i="251"/>
  <c r="I4" i="251"/>
  <c r="J4" i="251" s="1"/>
  <c r="E13" i="235"/>
  <c r="D13" i="235"/>
  <c r="F13" i="235" s="1"/>
  <c r="D12" i="235"/>
  <c r="F12" i="235" s="1"/>
  <c r="D11" i="235"/>
  <c r="F11" i="235" s="1"/>
  <c r="F9" i="235"/>
  <c r="H9" i="235" s="1"/>
  <c r="D9" i="235"/>
  <c r="F8" i="235"/>
  <c r="H8" i="235" s="1"/>
  <c r="E8" i="235"/>
  <c r="D8" i="235"/>
  <c r="E13" i="234"/>
  <c r="D13" i="234"/>
  <c r="F13" i="234" s="1"/>
  <c r="D12" i="234"/>
  <c r="F12" i="234" s="1"/>
  <c r="D11" i="234"/>
  <c r="F11" i="234" s="1"/>
  <c r="D9" i="234"/>
  <c r="F9" i="234" s="1"/>
  <c r="E8" i="234"/>
  <c r="D8" i="234"/>
  <c r="F8" i="234" s="1"/>
  <c r="E46" i="233"/>
  <c r="D46" i="233"/>
  <c r="F46" i="233" s="1"/>
  <c r="F45" i="233"/>
  <c r="E45" i="233"/>
  <c r="D45" i="233"/>
  <c r="E44" i="233"/>
  <c r="D44" i="233"/>
  <c r="F44" i="233" s="1"/>
  <c r="E42" i="233"/>
  <c r="D42" i="233"/>
  <c r="F42" i="233" s="1"/>
  <c r="E41" i="233"/>
  <c r="D41" i="233"/>
  <c r="F41" i="233" s="1"/>
  <c r="D32" i="233"/>
  <c r="F32" i="233" s="1"/>
  <c r="H31" i="233"/>
  <c r="G31" i="233"/>
  <c r="I31" i="233" s="1"/>
  <c r="F31" i="233"/>
  <c r="F30" i="233"/>
  <c r="H30" i="233" s="1"/>
  <c r="H29" i="233"/>
  <c r="G29" i="233"/>
  <c r="I29" i="233" s="1"/>
  <c r="F29" i="233"/>
  <c r="F27" i="233"/>
  <c r="H27" i="233" s="1"/>
  <c r="H26" i="233"/>
  <c r="G26" i="233"/>
  <c r="I26" i="233" s="1"/>
  <c r="F26" i="233"/>
  <c r="F25" i="233"/>
  <c r="H25" i="233" s="1"/>
  <c r="H24" i="233"/>
  <c r="G24" i="233"/>
  <c r="I24" i="233" s="1"/>
  <c r="F24" i="233"/>
  <c r="D19" i="233"/>
  <c r="F19" i="233" s="1"/>
  <c r="F17" i="233"/>
  <c r="E17" i="233"/>
  <c r="D17" i="233"/>
  <c r="F16" i="233"/>
  <c r="G16" i="233" s="1"/>
  <c r="D16" i="233"/>
  <c r="E14" i="233"/>
  <c r="D14" i="233"/>
  <c r="F14" i="233" s="1"/>
  <c r="L13" i="233"/>
  <c r="D13" i="233"/>
  <c r="F13" i="233" s="1"/>
  <c r="F10" i="233"/>
  <c r="D10" i="233"/>
  <c r="E8" i="233"/>
  <c r="F8" i="233" s="1"/>
  <c r="D8" i="233"/>
  <c r="D41" i="225"/>
  <c r="D42" i="225"/>
  <c r="E48" i="232"/>
  <c r="N48" i="232" s="1"/>
  <c r="D48" i="232"/>
  <c r="F48" i="232" s="1"/>
  <c r="E47" i="232"/>
  <c r="D47" i="232"/>
  <c r="E46" i="232"/>
  <c r="N46" i="232" s="1"/>
  <c r="D46" i="232"/>
  <c r="D44" i="232"/>
  <c r="E43" i="232"/>
  <c r="D43" i="232"/>
  <c r="F43" i="232" s="1"/>
  <c r="D34" i="232"/>
  <c r="F34" i="232" s="1"/>
  <c r="E30" i="232"/>
  <c r="F30" i="232" s="1"/>
  <c r="G30" i="232" s="1"/>
  <c r="F28" i="232"/>
  <c r="E19" i="232"/>
  <c r="D19" i="232"/>
  <c r="D17" i="232"/>
  <c r="E16" i="232"/>
  <c r="D16" i="232"/>
  <c r="F16" i="232" s="1"/>
  <c r="D14" i="232"/>
  <c r="L13" i="232"/>
  <c r="D13" i="232"/>
  <c r="D10" i="232"/>
  <c r="F10" i="232" s="1"/>
  <c r="E8" i="232"/>
  <c r="N8" i="232" s="1"/>
  <c r="D8" i="232"/>
  <c r="F8" i="232" s="1"/>
  <c r="E24" i="232" l="1"/>
  <c r="E31" i="232"/>
  <c r="N31" i="232" s="1"/>
  <c r="N30" i="232"/>
  <c r="F47" i="232"/>
  <c r="H47" i="232" s="1"/>
  <c r="N47" i="232"/>
  <c r="E17" i="232"/>
  <c r="N17" i="232" s="1"/>
  <c r="N16" i="232"/>
  <c r="E44" i="232"/>
  <c r="N44" i="232" s="1"/>
  <c r="N43" i="232"/>
  <c r="F19" i="232"/>
  <c r="G19" i="232" s="1"/>
  <c r="N19" i="232"/>
  <c r="F46" i="232"/>
  <c r="G46" i="232" s="1"/>
  <c r="I46" i="232" s="1"/>
  <c r="I13" i="251"/>
  <c r="J13" i="251" s="1"/>
  <c r="G13" i="251"/>
  <c r="G14" i="251"/>
  <c r="I14" i="251"/>
  <c r="J14" i="251" s="1"/>
  <c r="F31" i="232"/>
  <c r="H31" i="232" s="1"/>
  <c r="F32" i="232"/>
  <c r="F44" i="232"/>
  <c r="G44" i="232" s="1"/>
  <c r="E25" i="232"/>
  <c r="F17" i="232"/>
  <c r="H17" i="232" s="1"/>
  <c r="H11" i="235"/>
  <c r="G11" i="235"/>
  <c r="I11" i="235" s="1"/>
  <c r="G12" i="235"/>
  <c r="I12" i="235" s="1"/>
  <c r="H12" i="235"/>
  <c r="F14" i="235" s="1"/>
  <c r="H13" i="235"/>
  <c r="I13" i="235" s="1"/>
  <c r="G13" i="235"/>
  <c r="G9" i="235"/>
  <c r="I9" i="235" s="1"/>
  <c r="G8" i="235"/>
  <c r="I8" i="235" s="1"/>
  <c r="I14" i="235" s="1"/>
  <c r="H8" i="234"/>
  <c r="G8" i="234"/>
  <c r="F14" i="234" s="1"/>
  <c r="I8" i="234"/>
  <c r="H9" i="234"/>
  <c r="G9" i="234"/>
  <c r="I9" i="234" s="1"/>
  <c r="I12" i="234"/>
  <c r="H12" i="234"/>
  <c r="G12" i="234"/>
  <c r="G11" i="234"/>
  <c r="I11" i="234"/>
  <c r="H11" i="234"/>
  <c r="I13" i="234"/>
  <c r="H13" i="234"/>
  <c r="G13" i="234"/>
  <c r="H8" i="233"/>
  <c r="G8" i="233"/>
  <c r="I8" i="233" s="1"/>
  <c r="H19" i="233"/>
  <c r="G19" i="233"/>
  <c r="I19" i="233" s="1"/>
  <c r="I44" i="233"/>
  <c r="H44" i="233"/>
  <c r="G44" i="233"/>
  <c r="G10" i="233"/>
  <c r="H10" i="233"/>
  <c r="F33" i="233" s="1"/>
  <c r="G13" i="233"/>
  <c r="H13" i="233"/>
  <c r="I13" i="233"/>
  <c r="G32" i="233"/>
  <c r="H32" i="233"/>
  <c r="I32" i="233"/>
  <c r="H14" i="233"/>
  <c r="G14" i="233"/>
  <c r="I14" i="233" s="1"/>
  <c r="G41" i="233"/>
  <c r="F48" i="233" s="1"/>
  <c r="F49" i="233" s="1"/>
  <c r="K49" i="233" s="1"/>
  <c r="H41" i="233"/>
  <c r="G46" i="233"/>
  <c r="I46" i="233"/>
  <c r="H46" i="233"/>
  <c r="I42" i="233"/>
  <c r="H42" i="233"/>
  <c r="G42" i="233"/>
  <c r="G17" i="233"/>
  <c r="I17" i="233" s="1"/>
  <c r="G45" i="233"/>
  <c r="I45" i="233" s="1"/>
  <c r="H17" i="233"/>
  <c r="H45" i="233"/>
  <c r="H16" i="233"/>
  <c r="I16" i="233"/>
  <c r="G25" i="233"/>
  <c r="I25" i="233" s="1"/>
  <c r="G27" i="233"/>
  <c r="I27" i="233" s="1"/>
  <c r="G30" i="233"/>
  <c r="I30" i="233" s="1"/>
  <c r="H43" i="232"/>
  <c r="G43" i="232"/>
  <c r="I43" i="232" s="1"/>
  <c r="H16" i="232"/>
  <c r="G16" i="232"/>
  <c r="H48" i="232"/>
  <c r="G48" i="232"/>
  <c r="I48" i="232" s="1"/>
  <c r="H10" i="232"/>
  <c r="G10" i="232"/>
  <c r="G34" i="232"/>
  <c r="H34" i="232"/>
  <c r="G32" i="232"/>
  <c r="H32" i="232"/>
  <c r="I32" i="232" s="1"/>
  <c r="H8" i="232"/>
  <c r="G8" i="232"/>
  <c r="H46" i="232"/>
  <c r="H30" i="232"/>
  <c r="I30" i="232" s="1"/>
  <c r="F24" i="232"/>
  <c r="G28" i="232"/>
  <c r="H28" i="232"/>
  <c r="E13" i="232"/>
  <c r="E10" i="227"/>
  <c r="E9" i="227"/>
  <c r="E8" i="227"/>
  <c r="H7" i="227"/>
  <c r="H20" i="251" s="1"/>
  <c r="E7" i="227"/>
  <c r="F25" i="232" l="1"/>
  <c r="N25" i="232"/>
  <c r="I28" i="232"/>
  <c r="H44" i="232"/>
  <c r="I44" i="232" s="1"/>
  <c r="I50" i="232" s="1"/>
  <c r="E14" i="232"/>
  <c r="N13" i="232"/>
  <c r="N24" i="232"/>
  <c r="E27" i="232"/>
  <c r="I34" i="232"/>
  <c r="H19" i="232"/>
  <c r="I19" i="232" s="1"/>
  <c r="G47" i="232"/>
  <c r="I47" i="232" s="1"/>
  <c r="G31" i="232"/>
  <c r="I31" i="232" s="1"/>
  <c r="I8" i="232"/>
  <c r="F13" i="232"/>
  <c r="H25" i="232"/>
  <c r="G17" i="232"/>
  <c r="I17" i="232" s="1"/>
  <c r="G25" i="232"/>
  <c r="I25" i="232" s="1"/>
  <c r="I16" i="232"/>
  <c r="I20" i="251"/>
  <c r="J20" i="251" s="1"/>
  <c r="I10" i="232"/>
  <c r="I14" i="234"/>
  <c r="I10" i="233"/>
  <c r="I33" i="233" s="1"/>
  <c r="I41" i="233"/>
  <c r="I48" i="233" s="1"/>
  <c r="H24" i="232"/>
  <c r="G24" i="232"/>
  <c r="H13" i="232"/>
  <c r="G13" i="232"/>
  <c r="I13" i="232" s="1"/>
  <c r="F50" i="232"/>
  <c r="E17" i="229"/>
  <c r="D17" i="229"/>
  <c r="D16" i="229"/>
  <c r="F16" i="229" s="1"/>
  <c r="H15" i="229"/>
  <c r="F15" i="229"/>
  <c r="G15" i="229" s="1"/>
  <c r="D15" i="229"/>
  <c r="D9" i="229"/>
  <c r="F9" i="229" s="1"/>
  <c r="D8" i="229"/>
  <c r="E51" i="228"/>
  <c r="D51" i="228"/>
  <c r="E50" i="228"/>
  <c r="D50" i="228"/>
  <c r="E49" i="228"/>
  <c r="D49" i="228"/>
  <c r="D47" i="228"/>
  <c r="E46" i="228"/>
  <c r="D46" i="228"/>
  <c r="D37" i="228"/>
  <c r="F37" i="228" s="1"/>
  <c r="F34" i="228"/>
  <c r="F28" i="228"/>
  <c r="D19" i="228"/>
  <c r="F19" i="228" s="1"/>
  <c r="E17" i="228"/>
  <c r="D17" i="228"/>
  <c r="D16" i="228"/>
  <c r="F16" i="228" s="1"/>
  <c r="D14" i="228"/>
  <c r="L13" i="228"/>
  <c r="F27" i="228" s="1"/>
  <c r="D13" i="228"/>
  <c r="F13" i="228" s="1"/>
  <c r="E10" i="228"/>
  <c r="D10" i="228"/>
  <c r="E8" i="228"/>
  <c r="D8" i="228"/>
  <c r="F8" i="228" s="1"/>
  <c r="E10" i="225"/>
  <c r="H11" i="227"/>
  <c r="E11" i="227"/>
  <c r="E13" i="226"/>
  <c r="D13" i="226"/>
  <c r="D12" i="226"/>
  <c r="F12" i="226" s="1"/>
  <c r="D11" i="226"/>
  <c r="F11" i="226" s="1"/>
  <c r="H11" i="226" s="1"/>
  <c r="D9" i="226"/>
  <c r="F9" i="226" s="1"/>
  <c r="D8" i="226"/>
  <c r="E46" i="225"/>
  <c r="D46" i="225"/>
  <c r="E45" i="225"/>
  <c r="D45" i="225"/>
  <c r="E44" i="225"/>
  <c r="D44" i="225"/>
  <c r="E41" i="225"/>
  <c r="E42" i="225" s="1"/>
  <c r="D32" i="225"/>
  <c r="F32" i="225" s="1"/>
  <c r="F29" i="225"/>
  <c r="F27" i="225"/>
  <c r="D19" i="225"/>
  <c r="D17" i="225"/>
  <c r="E17" i="225"/>
  <c r="D16" i="225"/>
  <c r="D14" i="225"/>
  <c r="L13" i="225"/>
  <c r="D13" i="225"/>
  <c r="D10" i="225"/>
  <c r="E8" i="225"/>
  <c r="D8" i="225"/>
  <c r="F14" i="232" l="1"/>
  <c r="N14" i="232"/>
  <c r="I24" i="232"/>
  <c r="N27" i="232"/>
  <c r="F27" i="232"/>
  <c r="E26" i="232"/>
  <c r="F51" i="228"/>
  <c r="F17" i="229"/>
  <c r="G17" i="229" s="1"/>
  <c r="N17" i="229"/>
  <c r="F49" i="228"/>
  <c r="G49" i="228" s="1"/>
  <c r="I49" i="228" s="1"/>
  <c r="H22" i="251"/>
  <c r="H19" i="227"/>
  <c r="I52" i="232" s="1"/>
  <c r="H17" i="227"/>
  <c r="F46" i="228"/>
  <c r="G46" i="228" s="1"/>
  <c r="F50" i="228"/>
  <c r="H50" i="228" s="1"/>
  <c r="G28" i="228"/>
  <c r="H28" i="228"/>
  <c r="F10" i="228"/>
  <c r="G10" i="228" s="1"/>
  <c r="F17" i="228"/>
  <c r="I49" i="233"/>
  <c r="I51" i="233" s="1"/>
  <c r="F8" i="225"/>
  <c r="I15" i="229"/>
  <c r="G16" i="228"/>
  <c r="H16" i="228"/>
  <c r="F25" i="228"/>
  <c r="H25" i="228" s="1"/>
  <c r="G51" i="228"/>
  <c r="H51" i="228"/>
  <c r="G17" i="228"/>
  <c r="H17" i="228"/>
  <c r="H49" i="228"/>
  <c r="G13" i="228"/>
  <c r="H13" i="228"/>
  <c r="H16" i="229"/>
  <c r="G16" i="229"/>
  <c r="G27" i="228"/>
  <c r="H27" i="228"/>
  <c r="H17" i="229"/>
  <c r="H9" i="229"/>
  <c r="G9" i="229"/>
  <c r="I9" i="229"/>
  <c r="G19" i="228"/>
  <c r="H19" i="228"/>
  <c r="H34" i="228"/>
  <c r="G34" i="228"/>
  <c r="I34" i="228" s="1"/>
  <c r="H8" i="228"/>
  <c r="G8" i="228"/>
  <c r="H37" i="228"/>
  <c r="G37" i="228"/>
  <c r="E47" i="228"/>
  <c r="E14" i="228"/>
  <c r="F13" i="226"/>
  <c r="H13" i="226" s="1"/>
  <c r="F41" i="225"/>
  <c r="G41" i="225" s="1"/>
  <c r="F10" i="225"/>
  <c r="G10" i="225" s="1"/>
  <c r="F17" i="225"/>
  <c r="G17" i="225" s="1"/>
  <c r="F46" i="225"/>
  <c r="G46" i="225" s="1"/>
  <c r="F19" i="225"/>
  <c r="H19" i="225" s="1"/>
  <c r="F30" i="225"/>
  <c r="H30" i="225" s="1"/>
  <c r="F45" i="225"/>
  <c r="H45" i="225" s="1"/>
  <c r="F44" i="225"/>
  <c r="G44" i="225" s="1"/>
  <c r="G11" i="226"/>
  <c r="I11" i="226" s="1"/>
  <c r="H29" i="225"/>
  <c r="G29" i="225"/>
  <c r="F42" i="225"/>
  <c r="H42" i="225" s="1"/>
  <c r="F16" i="225"/>
  <c r="H16" i="225" s="1"/>
  <c r="E17" i="227"/>
  <c r="G9" i="226"/>
  <c r="H9" i="226"/>
  <c r="H8" i="225"/>
  <c r="G8" i="225"/>
  <c r="G32" i="225"/>
  <c r="H32" i="225"/>
  <c r="G27" i="225"/>
  <c r="G12" i="226"/>
  <c r="H27" i="225"/>
  <c r="H12" i="226"/>
  <c r="E11" i="224"/>
  <c r="G11" i="224" s="1"/>
  <c r="G12" i="224" s="1"/>
  <c r="D8" i="224"/>
  <c r="G8" i="224"/>
  <c r="D9" i="224"/>
  <c r="G9" i="224"/>
  <c r="D10" i="224"/>
  <c r="G10" i="224"/>
  <c r="D11" i="224"/>
  <c r="G27" i="232" l="1"/>
  <c r="H27" i="232"/>
  <c r="I27" i="232"/>
  <c r="N26" i="232"/>
  <c r="N50" i="232" s="1"/>
  <c r="N51" i="232" s="1"/>
  <c r="F26" i="232"/>
  <c r="H14" i="232"/>
  <c r="G14" i="232"/>
  <c r="F47" i="228"/>
  <c r="I51" i="228"/>
  <c r="F14" i="228"/>
  <c r="I28" i="228"/>
  <c r="H46" i="228"/>
  <c r="I46" i="228" s="1"/>
  <c r="I16" i="228"/>
  <c r="G50" i="228"/>
  <c r="I50" i="228" s="1"/>
  <c r="I8" i="228"/>
  <c r="H23" i="251"/>
  <c r="H24" i="251" s="1"/>
  <c r="B7" i="250" s="1"/>
  <c r="I41" i="222"/>
  <c r="I27" i="228"/>
  <c r="I17" i="228"/>
  <c r="I37" i="228"/>
  <c r="E8" i="229"/>
  <c r="E8" i="239"/>
  <c r="E8" i="240"/>
  <c r="I13" i="228"/>
  <c r="G25" i="228"/>
  <c r="I25" i="228" s="1"/>
  <c r="H10" i="228"/>
  <c r="I10" i="228" s="1"/>
  <c r="H41" i="225"/>
  <c r="I41" i="225" s="1"/>
  <c r="I16" i="229"/>
  <c r="I17" i="229"/>
  <c r="F26" i="228"/>
  <c r="H26" i="228" s="1"/>
  <c r="I19" i="228"/>
  <c r="G47" i="228"/>
  <c r="F53" i="228" s="1"/>
  <c r="H47" i="228"/>
  <c r="E36" i="228"/>
  <c r="F35" i="228"/>
  <c r="H14" i="228"/>
  <c r="G14" i="228"/>
  <c r="G13" i="226"/>
  <c r="I13" i="226" s="1"/>
  <c r="I9" i="226"/>
  <c r="I12" i="226"/>
  <c r="I32" i="225"/>
  <c r="H46" i="225"/>
  <c r="I46" i="225" s="1"/>
  <c r="G19" i="225"/>
  <c r="I19" i="225" s="1"/>
  <c r="H44" i="225"/>
  <c r="I44" i="225" s="1"/>
  <c r="H10" i="225"/>
  <c r="I10" i="225" s="1"/>
  <c r="G45" i="225"/>
  <c r="I45" i="225" s="1"/>
  <c r="I8" i="225"/>
  <c r="H17" i="225"/>
  <c r="I17" i="225" s="1"/>
  <c r="F31" i="225"/>
  <c r="H31" i="225" s="1"/>
  <c r="G30" i="225"/>
  <c r="I30" i="225" s="1"/>
  <c r="I27" i="225"/>
  <c r="G42" i="225"/>
  <c r="I42" i="225" s="1"/>
  <c r="I29" i="225"/>
  <c r="G16" i="225"/>
  <c r="I16" i="225" s="1"/>
  <c r="F13" i="225"/>
  <c r="E14" i="225"/>
  <c r="F14" i="225" s="1"/>
  <c r="D12" i="224"/>
  <c r="I14" i="232" l="1"/>
  <c r="G26" i="232"/>
  <c r="C22" i="251" s="1"/>
  <c r="H26" i="232"/>
  <c r="I26" i="232" s="1"/>
  <c r="B22" i="251"/>
  <c r="D22" i="251"/>
  <c r="F8" i="240"/>
  <c r="B14" i="252" s="1"/>
  <c r="N8" i="240"/>
  <c r="N14" i="240" s="1"/>
  <c r="N52" i="228"/>
  <c r="N53" i="228" s="1"/>
  <c r="F8" i="239"/>
  <c r="B13" i="252" s="1"/>
  <c r="N8" i="239"/>
  <c r="N14" i="239" s="1"/>
  <c r="F8" i="229"/>
  <c r="N8" i="229"/>
  <c r="N18" i="229" s="1"/>
  <c r="F36" i="228"/>
  <c r="B12" i="251" s="1"/>
  <c r="G26" i="228"/>
  <c r="I26" i="228" s="1"/>
  <c r="G8" i="240"/>
  <c r="C14" i="252" s="1"/>
  <c r="H8" i="240"/>
  <c r="I47" i="228"/>
  <c r="I53" i="228" s="1"/>
  <c r="G36" i="228"/>
  <c r="H36" i="228"/>
  <c r="H35" i="228"/>
  <c r="D12" i="251" s="1"/>
  <c r="G35" i="228"/>
  <c r="I14" i="228"/>
  <c r="G31" i="225"/>
  <c r="I31" i="225" s="1"/>
  <c r="F48" i="225"/>
  <c r="I48" i="225"/>
  <c r="G14" i="225"/>
  <c r="H14" i="225"/>
  <c r="I14" i="225" s="1"/>
  <c r="G13" i="225"/>
  <c r="H13" i="225"/>
  <c r="F24" i="225"/>
  <c r="F26" i="225"/>
  <c r="F12" i="223"/>
  <c r="D12" i="223"/>
  <c r="D11" i="223"/>
  <c r="F11" i="223" s="1"/>
  <c r="F9" i="223"/>
  <c r="H9" i="223" s="1"/>
  <c r="D9" i="223"/>
  <c r="D8" i="223"/>
  <c r="E37" i="222"/>
  <c r="D37" i="222"/>
  <c r="F37" i="222" s="1"/>
  <c r="E36" i="222"/>
  <c r="F36" i="222" s="1"/>
  <c r="D36" i="222"/>
  <c r="E35" i="222"/>
  <c r="D35" i="222"/>
  <c r="F35" i="222" s="1"/>
  <c r="E32" i="222"/>
  <c r="E33" i="222" s="1"/>
  <c r="F33" i="222" s="1"/>
  <c r="E23" i="222"/>
  <c r="F23" i="222" s="1"/>
  <c r="D23" i="222"/>
  <c r="E22" i="222"/>
  <c r="D22" i="222"/>
  <c r="F22" i="222" s="1"/>
  <c r="D20" i="222"/>
  <c r="D19" i="222"/>
  <c r="D17" i="222"/>
  <c r="E16" i="222"/>
  <c r="E17" i="222" s="1"/>
  <c r="F17" i="222" s="1"/>
  <c r="D16" i="222"/>
  <c r="D14" i="222"/>
  <c r="L13" i="222"/>
  <c r="E13" i="222" s="1"/>
  <c r="D13" i="222"/>
  <c r="F13" i="222" s="1"/>
  <c r="F10" i="222"/>
  <c r="D10" i="222"/>
  <c r="E8" i="222"/>
  <c r="D8" i="222"/>
  <c r="F8" i="222" s="1"/>
  <c r="E22" i="251" l="1"/>
  <c r="F35" i="232"/>
  <c r="F51" i="232" s="1"/>
  <c r="K51" i="232" s="1"/>
  <c r="I35" i="232"/>
  <c r="H8" i="229"/>
  <c r="D12" i="252" s="1"/>
  <c r="B12" i="252"/>
  <c r="I8" i="240"/>
  <c r="D14" i="252"/>
  <c r="E14" i="252" s="1"/>
  <c r="E13" i="252"/>
  <c r="F18" i="229"/>
  <c r="G8" i="229"/>
  <c r="H8" i="239"/>
  <c r="D13" i="252" s="1"/>
  <c r="G8" i="239"/>
  <c r="C13" i="252" s="1"/>
  <c r="C12" i="251"/>
  <c r="E12" i="251" s="1"/>
  <c r="I8" i="239"/>
  <c r="F14" i="239"/>
  <c r="F14" i="240"/>
  <c r="F38" i="228"/>
  <c r="F54" i="228" s="1"/>
  <c r="K53" i="228" s="1"/>
  <c r="I35" i="228"/>
  <c r="I36" i="228"/>
  <c r="I13" i="225"/>
  <c r="F25" i="225"/>
  <c r="E8" i="226"/>
  <c r="G26" i="225"/>
  <c r="H26" i="225"/>
  <c r="G24" i="225"/>
  <c r="H24" i="225"/>
  <c r="F32" i="222"/>
  <c r="G32" i="222" s="1"/>
  <c r="F16" i="222"/>
  <c r="H8" i="222"/>
  <c r="G8" i="222"/>
  <c r="I8" i="222" s="1"/>
  <c r="G17" i="222"/>
  <c r="H17" i="222"/>
  <c r="H33" i="222"/>
  <c r="G33" i="222"/>
  <c r="I33" i="222" s="1"/>
  <c r="G13" i="222"/>
  <c r="H13" i="222"/>
  <c r="I13" i="222" s="1"/>
  <c r="E19" i="222"/>
  <c r="E8" i="223" s="1"/>
  <c r="F8" i="223" s="1"/>
  <c r="E20" i="222"/>
  <c r="F20" i="222" s="1"/>
  <c r="E14" i="222"/>
  <c r="F14" i="222" s="1"/>
  <c r="H11" i="223"/>
  <c r="G11" i="223"/>
  <c r="I11" i="223" s="1"/>
  <c r="H37" i="222"/>
  <c r="G37" i="222"/>
  <c r="I37" i="222"/>
  <c r="F19" i="222"/>
  <c r="H35" i="222"/>
  <c r="G35" i="222"/>
  <c r="I35" i="222" s="1"/>
  <c r="H22" i="222"/>
  <c r="G22" i="222"/>
  <c r="I22" i="222" s="1"/>
  <c r="G23" i="222"/>
  <c r="H23" i="222"/>
  <c r="H16" i="222"/>
  <c r="G16" i="222"/>
  <c r="I16" i="222" s="1"/>
  <c r="G36" i="222"/>
  <c r="I36" i="222" s="1"/>
  <c r="H36" i="222"/>
  <c r="G9" i="223"/>
  <c r="I9" i="223" s="1"/>
  <c r="G10" i="222"/>
  <c r="I10" i="222" s="1"/>
  <c r="H10" i="222"/>
  <c r="G12" i="223"/>
  <c r="H32" i="222"/>
  <c r="I32" i="222" s="1"/>
  <c r="H12" i="223"/>
  <c r="I51" i="232" l="1"/>
  <c r="I53" i="232" s="1"/>
  <c r="F22" i="251"/>
  <c r="I14" i="239"/>
  <c r="F13" i="252"/>
  <c r="I14" i="240"/>
  <c r="F14" i="252"/>
  <c r="I8" i="229"/>
  <c r="C12" i="252"/>
  <c r="E12" i="252" s="1"/>
  <c r="I38" i="228"/>
  <c r="I26" i="225"/>
  <c r="I24" i="225"/>
  <c r="F8" i="226"/>
  <c r="G25" i="225"/>
  <c r="H25" i="225"/>
  <c r="I12" i="223"/>
  <c r="I17" i="222"/>
  <c r="F39" i="222"/>
  <c r="I23" i="222"/>
  <c r="H20" i="222"/>
  <c r="G20" i="222"/>
  <c r="I20" i="222" s="1"/>
  <c r="H8" i="223"/>
  <c r="G8" i="223"/>
  <c r="F13" i="223" s="1"/>
  <c r="H19" i="222"/>
  <c r="G19" i="222"/>
  <c r="I39" i="222"/>
  <c r="H14" i="222"/>
  <c r="G14" i="222"/>
  <c r="G22" i="251" l="1"/>
  <c r="I22" i="251"/>
  <c r="J22" i="251" s="1"/>
  <c r="I18" i="229"/>
  <c r="F12" i="252"/>
  <c r="I13" i="252"/>
  <c r="J13" i="252" s="1"/>
  <c r="G13" i="252"/>
  <c r="I14" i="252"/>
  <c r="J14" i="252" s="1"/>
  <c r="G14" i="252"/>
  <c r="I54" i="228"/>
  <c r="I56" i="228" s="1"/>
  <c r="F12" i="251"/>
  <c r="F33" i="225"/>
  <c r="F49" i="225" s="1"/>
  <c r="K49" i="225" s="1"/>
  <c r="I25" i="225"/>
  <c r="I33" i="225" s="1"/>
  <c r="I49" i="225" s="1"/>
  <c r="I51" i="225" s="1"/>
  <c r="G8" i="226"/>
  <c r="H8" i="226"/>
  <c r="F24" i="222"/>
  <c r="F40" i="222" s="1"/>
  <c r="K40" i="222" s="1"/>
  <c r="I19" i="222"/>
  <c r="I14" i="222"/>
  <c r="I24" i="222" s="1"/>
  <c r="I40" i="222" s="1"/>
  <c r="I42" i="222" s="1"/>
  <c r="I8" i="223"/>
  <c r="I13" i="223" s="1"/>
  <c r="I12" i="252" l="1"/>
  <c r="J12" i="252" s="1"/>
  <c r="G12" i="252"/>
  <c r="G12" i="251"/>
  <c r="I12" i="251"/>
  <c r="I8" i="226"/>
  <c r="J12" i="251" l="1"/>
  <c r="F14" i="226"/>
  <c r="I14" i="226" l="1"/>
  <c r="D24" i="209" l="1"/>
  <c r="D23" i="209"/>
  <c r="E23" i="209"/>
  <c r="D20" i="209"/>
  <c r="D19" i="209"/>
  <c r="D12" i="210" l="1"/>
  <c r="F12" i="210" s="1"/>
  <c r="D11" i="210"/>
  <c r="F11" i="210" s="1"/>
  <c r="H11" i="210" s="1"/>
  <c r="D9" i="210"/>
  <c r="F9" i="210" s="1"/>
  <c r="D8" i="210"/>
  <c r="E39" i="209"/>
  <c r="D39" i="209"/>
  <c r="E38" i="209"/>
  <c r="D38" i="209"/>
  <c r="E37" i="209"/>
  <c r="D37" i="209"/>
  <c r="E34" i="209"/>
  <c r="D17" i="209"/>
  <c r="E16" i="209"/>
  <c r="D16" i="209"/>
  <c r="D14" i="209"/>
  <c r="L13" i="209"/>
  <c r="D13" i="209"/>
  <c r="D10" i="209"/>
  <c r="F10" i="209" s="1"/>
  <c r="E8" i="209"/>
  <c r="D8" i="209"/>
  <c r="E17" i="209" l="1"/>
  <c r="E35" i="209"/>
  <c r="F34" i="209"/>
  <c r="G34" i="209" s="1"/>
  <c r="G9" i="210"/>
  <c r="H9" i="210"/>
  <c r="I9" i="210" s="1"/>
  <c r="G11" i="210"/>
  <c r="I11" i="210" s="1"/>
  <c r="F38" i="209"/>
  <c r="H38" i="209" s="1"/>
  <c r="F8" i="209"/>
  <c r="F39" i="209"/>
  <c r="H39" i="209" s="1"/>
  <c r="F37" i="209"/>
  <c r="H37" i="209" s="1"/>
  <c r="F35" i="209"/>
  <c r="G35" i="209" s="1"/>
  <c r="F23" i="209"/>
  <c r="H23" i="209" s="1"/>
  <c r="E24" i="209"/>
  <c r="F16" i="209"/>
  <c r="G16" i="209" s="1"/>
  <c r="H12" i="210"/>
  <c r="G12" i="210"/>
  <c r="I12" i="210" s="1"/>
  <c r="F17" i="209"/>
  <c r="H10" i="209"/>
  <c r="G10" i="209"/>
  <c r="E13" i="209"/>
  <c r="F24" i="209" l="1"/>
  <c r="H24" i="209" s="1"/>
  <c r="G8" i="209"/>
  <c r="H8" i="209"/>
  <c r="G38" i="209"/>
  <c r="I38" i="209" s="1"/>
  <c r="E19" i="209"/>
  <c r="E20" i="209"/>
  <c r="G23" i="209"/>
  <c r="I23" i="209" s="1"/>
  <c r="G37" i="209"/>
  <c r="I37" i="209" s="1"/>
  <c r="G39" i="209"/>
  <c r="I39" i="209" s="1"/>
  <c r="H35" i="209"/>
  <c r="I35" i="209" s="1"/>
  <c r="I10" i="209"/>
  <c r="I8" i="209"/>
  <c r="G24" i="209"/>
  <c r="I24" i="209" s="1"/>
  <c r="H16" i="209"/>
  <c r="I16" i="209" s="1"/>
  <c r="H34" i="209"/>
  <c r="I34" i="209" s="1"/>
  <c r="E14" i="209"/>
  <c r="G17" i="209"/>
  <c r="H17" i="209"/>
  <c r="F13" i="209"/>
  <c r="F14" i="209" l="1"/>
  <c r="N39" i="209"/>
  <c r="F41" i="209"/>
  <c r="B18" i="250" s="1"/>
  <c r="I41" i="209"/>
  <c r="I17" i="209"/>
  <c r="F20" i="209"/>
  <c r="G14" i="209"/>
  <c r="H14" i="209"/>
  <c r="I14" i="209" s="1"/>
  <c r="G13" i="209"/>
  <c r="H13" i="209"/>
  <c r="B21" i="250" l="1"/>
  <c r="B22" i="250" s="1"/>
  <c r="B27" i="251"/>
  <c r="I13" i="209"/>
  <c r="F19" i="209"/>
  <c r="E8" i="210"/>
  <c r="O8" i="210" s="1"/>
  <c r="O13" i="210" s="1"/>
  <c r="G20" i="209"/>
  <c r="H20" i="209"/>
  <c r="B9" i="251" l="1"/>
  <c r="B10" i="251"/>
  <c r="B8" i="251"/>
  <c r="I20" i="209"/>
  <c r="F8" i="210"/>
  <c r="H19" i="209"/>
  <c r="G19" i="209"/>
  <c r="D10" i="251" l="1"/>
  <c r="D9" i="251"/>
  <c r="D8" i="251"/>
  <c r="D23" i="251" s="1"/>
  <c r="D24" i="251" s="1"/>
  <c r="E10" i="251"/>
  <c r="B9" i="252"/>
  <c r="B10" i="252"/>
  <c r="B8" i="252"/>
  <c r="B23" i="251"/>
  <c r="B24" i="251" s="1"/>
  <c r="C10" i="251"/>
  <c r="C9" i="251"/>
  <c r="C8" i="251"/>
  <c r="C23" i="251" s="1"/>
  <c r="C24" i="251" s="1"/>
  <c r="E9" i="251"/>
  <c r="H8" i="210"/>
  <c r="G8" i="210"/>
  <c r="I19" i="209"/>
  <c r="E8" i="251" l="1"/>
  <c r="E23" i="251" s="1"/>
  <c r="E24" i="251" s="1"/>
  <c r="C8" i="252"/>
  <c r="C10" i="252"/>
  <c r="C9" i="252"/>
  <c r="E9" i="252" s="1"/>
  <c r="B23" i="252"/>
  <c r="B24" i="252" s="1"/>
  <c r="F42" i="209"/>
  <c r="K40" i="209" s="1"/>
  <c r="B19" i="250"/>
  <c r="B3" i="250"/>
  <c r="B14" i="250" s="1"/>
  <c r="D9" i="252"/>
  <c r="D10" i="252"/>
  <c r="D8" i="252"/>
  <c r="D23" i="252" s="1"/>
  <c r="D24" i="252" s="1"/>
  <c r="I26" i="209"/>
  <c r="F10" i="251"/>
  <c r="F9" i="251"/>
  <c r="I8" i="210"/>
  <c r="E10" i="252" l="1"/>
  <c r="I42" i="209"/>
  <c r="I44" i="209" s="1"/>
  <c r="F8" i="251"/>
  <c r="E8" i="252"/>
  <c r="E23" i="252" s="1"/>
  <c r="G10" i="251"/>
  <c r="I10" i="251"/>
  <c r="J10" i="251" s="1"/>
  <c r="F9" i="252"/>
  <c r="F8" i="252"/>
  <c r="F10" i="252"/>
  <c r="C23" i="252"/>
  <c r="C24" i="252" s="1"/>
  <c r="G9" i="251"/>
  <c r="I9" i="251"/>
  <c r="J9" i="251" s="1"/>
  <c r="F13" i="210"/>
  <c r="I8" i="252" l="1"/>
  <c r="G8" i="252"/>
  <c r="F24" i="252"/>
  <c r="F23" i="252"/>
  <c r="B4" i="250"/>
  <c r="B16" i="250" s="1"/>
  <c r="E24" i="252"/>
  <c r="I8" i="251"/>
  <c r="G8" i="251"/>
  <c r="G23" i="251" s="1"/>
  <c r="F23" i="251"/>
  <c r="F24" i="251" s="1"/>
  <c r="I10" i="252"/>
  <c r="J10" i="252" s="1"/>
  <c r="G10" i="252"/>
  <c r="I9" i="252"/>
  <c r="J9" i="252" s="1"/>
  <c r="G9" i="252"/>
  <c r="I13" i="210"/>
  <c r="J8" i="251" l="1"/>
  <c r="J23" i="251" s="1"/>
  <c r="I23" i="251"/>
  <c r="I24" i="251" s="1"/>
  <c r="G24" i="251"/>
  <c r="B5" i="250"/>
  <c r="G23" i="252"/>
  <c r="J8" i="252"/>
  <c r="J23" i="252" s="1"/>
  <c r="J24" i="252" s="1"/>
  <c r="I23" i="252"/>
  <c r="I24" i="252"/>
  <c r="G24" i="252" l="1"/>
  <c r="B6" i="250"/>
  <c r="J24" i="251"/>
  <c r="B10" i="250" s="1"/>
  <c r="B9" i="250"/>
</calcChain>
</file>

<file path=xl/sharedStrings.xml><?xml version="1.0" encoding="utf-8"?>
<sst xmlns="http://schemas.openxmlformats.org/spreadsheetml/2006/main" count="1909" uniqueCount="468">
  <si>
    <t>No new process gas units</t>
  </si>
  <si>
    <t>Existing Boilers -- number of boilers with monitor</t>
  </si>
  <si>
    <t>New Boilers -- number of boilers with monitor</t>
  </si>
  <si>
    <t>Large Liquid</t>
  </si>
  <si>
    <t>Criteria for Monitor Counts:</t>
  </si>
  <si>
    <t>1) Solid or Liquid fuel</t>
  </si>
  <si>
    <t>2) Design Capacity &gt;10</t>
  </si>
  <si>
    <t>3a) Bag Leak Detection -TCI &gt;0, HCL Control Selected not "DIFF", FF-TCI &gt;0; or</t>
  </si>
  <si>
    <t>3) Opacity -TCI &gt;0</t>
  </si>
  <si>
    <t>4) HCL Control Selected not "Scrubber"</t>
  </si>
  <si>
    <t>3) HCL Control Selected = "Scrubber"</t>
  </si>
  <si>
    <t>4) WS Monitoring -TCI &gt;0</t>
  </si>
  <si>
    <t>3) FF-TCI = "ACI"</t>
  </si>
  <si>
    <t>4) ACI Carbon Rate (TCI) &gt;0</t>
  </si>
  <si>
    <t>Large Solid</t>
  </si>
  <si>
    <t>Opacity vs. Bag Leak Detection vs. Wet Scrubber vs. ACI</t>
  </si>
  <si>
    <t>BLD</t>
  </si>
  <si>
    <t>Opacity</t>
  </si>
  <si>
    <t>Wet Scrubber</t>
  </si>
  <si>
    <t>Small Solid</t>
  </si>
  <si>
    <t>Small Liquid</t>
  </si>
  <si>
    <t>Small Gas</t>
  </si>
  <si>
    <t>(A)</t>
  </si>
  <si>
    <t>(B)</t>
  </si>
  <si>
    <t>(C)</t>
  </si>
  <si>
    <t>(F)</t>
  </si>
  <si>
    <t>(E)</t>
  </si>
  <si>
    <t>Large Gas (Gas 1 - NG only)</t>
  </si>
  <si>
    <t>Large Gas (Gas 1 - Other)</t>
  </si>
  <si>
    <t>Large Gas (Gas 2)</t>
  </si>
  <si>
    <t>Number of Responses</t>
  </si>
  <si>
    <t>ACI</t>
  </si>
  <si>
    <t>Burden Item</t>
  </si>
  <si>
    <t>Technical</t>
  </si>
  <si>
    <t>Clerical</t>
  </si>
  <si>
    <t>Total</t>
  </si>
  <si>
    <t>O2</t>
  </si>
  <si>
    <t>no control costs for small units</t>
  </si>
  <si>
    <t>no control costs for gas 1 units</t>
  </si>
  <si>
    <t>O2 monitor costs</t>
  </si>
  <si>
    <t>Initial</t>
  </si>
  <si>
    <t>Annual</t>
  </si>
  <si>
    <t>DIFF</t>
  </si>
  <si>
    <t>Also, not limited use</t>
  </si>
  <si>
    <t>no new liquid units</t>
  </si>
  <si>
    <t>4) EXCLUDE units &gt;=250 that install PM CEMS</t>
  </si>
  <si>
    <t>5) EXCLUDE units &gt;=250 that install PM CEMS</t>
  </si>
  <si>
    <t>3a) DIFF Monitoring -TCI &gt;0, HCL Control Selected = "DIFF", DIFF TCI &gt;0</t>
  </si>
  <si>
    <t>ARS - agree, new solid units are biomass and therefore will not have PM CEMS.</t>
  </si>
  <si>
    <t>More ACI for liquid (due to increase in Hg limit)</t>
  </si>
  <si>
    <t>More BLD for liquid (due to increase in Hg limit)</t>
  </si>
  <si>
    <t>More opacity monitors (~50 more)</t>
  </si>
  <si>
    <t>Fewer PM CPMS  (~80 fewer)</t>
  </si>
  <si>
    <t>PM CPMS</t>
  </si>
  <si>
    <t>Total Costs</t>
  </si>
  <si>
    <t>Year 1</t>
  </si>
  <si>
    <t>Year 2</t>
  </si>
  <si>
    <t>Year 3</t>
  </si>
  <si>
    <t>Total Labor Hours</t>
  </si>
  <si>
    <t>Average</t>
  </si>
  <si>
    <t>Subtotal for Recordkeeping Requirements</t>
  </si>
  <si>
    <t>Assumptions:</t>
  </si>
  <si>
    <t>Year</t>
  </si>
  <si>
    <t>Technical Hours</t>
  </si>
  <si>
    <t>Management Hours</t>
  </si>
  <si>
    <t>Clerical Hours</t>
  </si>
  <si>
    <t>Labor Costs</t>
  </si>
  <si>
    <t>Total Hours</t>
  </si>
  <si>
    <t>Labor Rates:</t>
  </si>
  <si>
    <t>Management</t>
  </si>
  <si>
    <t>Number of Units</t>
  </si>
  <si>
    <t>(D)</t>
  </si>
  <si>
    <t>(G)</t>
  </si>
  <si>
    <t>(H)</t>
  </si>
  <si>
    <t>Non-Labor Costs</t>
  </si>
  <si>
    <t>Existing Sources</t>
  </si>
  <si>
    <t>New Sources</t>
  </si>
  <si>
    <t>NA</t>
  </si>
  <si>
    <r>
      <t xml:space="preserve">Total Capital and O&amp;M Cost (rounded) </t>
    </r>
    <r>
      <rPr>
        <b/>
        <vertAlign val="superscript"/>
        <sz val="10"/>
        <rFont val="Times New Roman"/>
        <family val="1"/>
      </rPr>
      <t>f</t>
    </r>
  </si>
  <si>
    <t>Non-Labor (Annualized Capital/Startup Cost + Annual O&amp;M Cost) Costs</t>
  </si>
  <si>
    <t>Existing</t>
  </si>
  <si>
    <t>TOTAL</t>
  </si>
  <si>
    <t>Continuous Monitoring Device</t>
  </si>
  <si>
    <t>Capital/Startup Cost for One Respondent</t>
  </si>
  <si>
    <t>Total Capital/Startup Cost,  (B X C)</t>
  </si>
  <si>
    <t>Annual O&amp;M Costs for One Respondent</t>
  </si>
  <si>
    <t>Subtotal for Reporting Requirements</t>
  </si>
  <si>
    <t>Activity</t>
  </si>
  <si>
    <t>(A)
Hours per Occurrence</t>
  </si>
  <si>
    <t>(B)
Occurrences/ Respondent/ Year</t>
  </si>
  <si>
    <t>(C)
Hours/ Respondent/ Year 
(A x B)</t>
  </si>
  <si>
    <r>
      <t>(D)
Respondents/
Year</t>
    </r>
    <r>
      <rPr>
        <vertAlign val="superscript"/>
        <sz val="10"/>
        <rFont val="Times New Roman"/>
        <family val="1"/>
      </rPr>
      <t>a</t>
    </r>
  </si>
  <si>
    <t>(E)
Technical Hours/Year 
(C x D)</t>
  </si>
  <si>
    <t>(F) Managerial Hours/Year 
(E x 0.05)</t>
  </si>
  <si>
    <t>(G) 
Clerical Hours/Year 
(E x 0.10)</t>
  </si>
  <si>
    <r>
      <t>(H)
Cost/ Year</t>
    </r>
    <r>
      <rPr>
        <vertAlign val="superscript"/>
        <sz val="10"/>
        <color theme="1"/>
        <rFont val="Times New Roman"/>
        <family val="1"/>
      </rPr>
      <t>b</t>
    </r>
  </si>
  <si>
    <t xml:space="preserve">1. APPLICATIONS </t>
  </si>
  <si>
    <t xml:space="preserve">2. SURVEY AND STUDIES </t>
  </si>
  <si>
    <t>3.ACQUISITION, INSTALLATION, AND UTILIZATION OF TECHNOLOGY AND SYSTEMS</t>
  </si>
  <si>
    <t>4. REPORT REQUIREMENTS</t>
  </si>
  <si>
    <t>A. Familiarize with regulatory requirement</t>
  </si>
  <si>
    <t>B. Required Activities</t>
  </si>
  <si>
    <t>Number of kilns</t>
  </si>
  <si>
    <r>
      <t xml:space="preserve">New, Reconstructed, Modified Sources - Testing </t>
    </r>
    <r>
      <rPr>
        <vertAlign val="superscript"/>
        <sz val="10"/>
        <color theme="1"/>
        <rFont val="Times New Roman"/>
        <family val="1"/>
      </rPr>
      <t>c</t>
    </r>
  </si>
  <si>
    <t xml:space="preserve">New </t>
  </si>
  <si>
    <t>Reconstructed/modified</t>
  </si>
  <si>
    <r>
      <t xml:space="preserve">Existing Sources - Annual Testing </t>
    </r>
    <r>
      <rPr>
        <vertAlign val="superscript"/>
        <sz val="10"/>
        <color theme="1"/>
        <rFont val="Times New Roman"/>
        <family val="1"/>
      </rPr>
      <t>d</t>
    </r>
  </si>
  <si>
    <r>
      <t xml:space="preserve">New and Existing Sources - Monitoring </t>
    </r>
    <r>
      <rPr>
        <vertAlign val="superscript"/>
        <sz val="10"/>
        <color theme="1"/>
        <rFont val="Times New Roman"/>
        <family val="1"/>
      </rPr>
      <t>e</t>
    </r>
  </si>
  <si>
    <t>C. Create Information (Included in 4B)</t>
  </si>
  <si>
    <t>D. Gather Existing Information (Included in 4E)</t>
  </si>
  <si>
    <t>E. Write Report</t>
  </si>
  <si>
    <t>New, Reconstructed, Modified Sources</t>
  </si>
  <si>
    <t>Notification of Demonstration of CEMS</t>
  </si>
  <si>
    <t>Notification of Initial Performance Test</t>
  </si>
  <si>
    <t>Report of Performance Tests</t>
  </si>
  <si>
    <t>5. RECORDKEEPING REQUIREMENTS</t>
  </si>
  <si>
    <t xml:space="preserve">B. Plan Activities </t>
  </si>
  <si>
    <t xml:space="preserve">C. Implement Activities </t>
  </si>
  <si>
    <t xml:space="preserve">D. Record Data </t>
  </si>
  <si>
    <t>E. Time to Transmit or Disclose Information</t>
  </si>
  <si>
    <t>Data Collection</t>
  </si>
  <si>
    <t>F. Time to Train Personnel</t>
  </si>
  <si>
    <t xml:space="preserve">G. Time for Audits </t>
  </si>
  <si>
    <r>
      <t xml:space="preserve">Total Labor Burden and Cost (rounded) </t>
    </r>
    <r>
      <rPr>
        <b/>
        <vertAlign val="superscript"/>
        <sz val="10"/>
        <color rgb="FF000000"/>
        <rFont val="Times New Roman"/>
        <family val="1"/>
      </rPr>
      <t>f</t>
    </r>
  </si>
  <si>
    <t xml:space="preserve">hr/response  </t>
  </si>
  <si>
    <r>
      <t xml:space="preserve">Grand TOTAL (rounded) </t>
    </r>
    <r>
      <rPr>
        <b/>
        <vertAlign val="superscript"/>
        <sz val="10"/>
        <rFont val="Times New Roman"/>
        <family val="1"/>
      </rPr>
      <t>f</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</si>
  <si>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</si>
  <si>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t>EPA person- hours per occurrence</t>
  </si>
  <si>
    <t>No. of occurrences per plant per year</t>
  </si>
  <si>
    <t>EPA person- hours per plant per year</t>
  </si>
  <si>
    <r>
      <t xml:space="preserve">Plants per year  </t>
    </r>
    <r>
      <rPr>
        <b/>
        <vertAlign val="superscript"/>
        <sz val="12"/>
        <rFont val="Times New Roman"/>
        <family val="1"/>
      </rPr>
      <t>a</t>
    </r>
  </si>
  <si>
    <t>Technical person- hours per year</t>
  </si>
  <si>
    <t>Management person-hours per year</t>
  </si>
  <si>
    <t>Clerical person-hours per year</t>
  </si>
  <si>
    <r>
      <t xml:space="preserve">Cost, $ </t>
    </r>
    <r>
      <rPr>
        <b/>
        <vertAlign val="superscript"/>
        <sz val="12"/>
        <rFont val="Times New Roman"/>
        <family val="1"/>
      </rPr>
      <t>b</t>
    </r>
  </si>
  <si>
    <t>(C=AxB)</t>
  </si>
  <si>
    <t>(E=CxD)</t>
  </si>
  <si>
    <t>(Ex0.05)</t>
  </si>
  <si>
    <t>(Ex0.1)</t>
  </si>
  <si>
    <r>
      <t xml:space="preserve">    Initial performance tests </t>
    </r>
    <r>
      <rPr>
        <vertAlign val="superscript"/>
        <sz val="10"/>
        <rFont val="Times New Roman"/>
        <family val="1"/>
      </rPr>
      <t>c</t>
    </r>
  </si>
  <si>
    <r>
      <t xml:space="preserve">    Repeat performance test </t>
    </r>
    <r>
      <rPr>
        <vertAlign val="superscript"/>
        <sz val="10"/>
        <rFont val="Times New Roman"/>
        <family val="1"/>
      </rPr>
      <t>d</t>
    </r>
  </si>
  <si>
    <t xml:space="preserve">    Report Review</t>
  </si>
  <si>
    <r>
      <t xml:space="preserve">         Notification of performance test </t>
    </r>
    <r>
      <rPr>
        <vertAlign val="superscript"/>
        <sz val="10"/>
        <rFont val="Times New Roman"/>
        <family val="1"/>
      </rPr>
      <t>e</t>
    </r>
  </si>
  <si>
    <r>
      <t xml:space="preserve">         Review test results/CEMS Results </t>
    </r>
    <r>
      <rPr>
        <vertAlign val="superscript"/>
        <sz val="10"/>
        <rFont val="Times New Roman"/>
        <family val="1"/>
      </rPr>
      <t>e</t>
    </r>
  </si>
  <si>
    <r>
      <t xml:space="preserve">TOTAL (rounded) </t>
    </r>
    <r>
      <rPr>
        <b/>
        <vertAlign val="superscript"/>
        <sz val="10"/>
        <rFont val="Times New Roman"/>
        <family val="1"/>
      </rPr>
      <t>f</t>
    </r>
  </si>
  <si>
    <r>
      <t>c</t>
    </r>
    <r>
      <rPr>
        <sz val="10"/>
        <rFont val="Times New Roman"/>
        <family val="1"/>
      </rPr>
      <t xml:space="preserve">  We have assumed that EPA personnel will attend the initial performance tests for facilities that are re-constructed or modified, but will not attend the annual performance tests for existing facilities.</t>
    </r>
  </si>
  <si>
    <r>
      <t>d</t>
    </r>
    <r>
      <rPr>
        <sz val="10"/>
        <rFont val="Times New Roman"/>
        <family val="1"/>
      </rPr>
      <t xml:space="preserve">  We have assumed that 5 percent of respondents would repeat performance test due to failure, but that EPA would not attend repeat performance tests.</t>
    </r>
  </si>
  <si>
    <r>
      <rPr>
        <vertAlign val="superscript"/>
        <sz val="10"/>
        <rFont val="Times New Roman"/>
        <family val="1"/>
      </rPr>
      <t>f</t>
    </r>
    <r>
      <rPr>
        <sz val="10"/>
        <rFont val="Times New Roman"/>
        <family val="1"/>
      </rPr>
      <t xml:space="preserve">  Totals have been rounded to 3 significant figures.  Figures may not add exactly due to rounding.</t>
    </r>
  </si>
  <si>
    <t xml:space="preserve">Number of New Respondents </t>
  </si>
  <si>
    <t>Number of Respondents  with O&amp;M</t>
  </si>
  <si>
    <t>Total O&amp;M, (E X F)</t>
  </si>
  <si>
    <t>Initial CEMS testing</t>
  </si>
  <si>
    <t xml:space="preserve">Capital/Startup Cost for One Respondent </t>
  </si>
  <si>
    <t>Number of New Respondents</t>
  </si>
  <si>
    <r>
      <t xml:space="preserve">Total Capital/Startup Cost </t>
    </r>
    <r>
      <rPr>
        <vertAlign val="superscript"/>
        <sz val="10"/>
        <color rgb="FF000000"/>
        <rFont val="Times New Roman"/>
        <family val="1"/>
      </rPr>
      <t>a</t>
    </r>
    <r>
      <rPr>
        <sz val="10"/>
        <color rgb="FF000000"/>
        <rFont val="Times New Roman"/>
        <family val="1"/>
      </rPr>
      <t xml:space="preserve">
(B X C)</t>
    </r>
  </si>
  <si>
    <t>Number of Respondents with O&amp;M</t>
  </si>
  <si>
    <t>Total O&amp;M
(E X F)</t>
  </si>
  <si>
    <t>Performance Tests</t>
  </si>
  <si>
    <t>Monitoring Equipment</t>
  </si>
  <si>
    <t>File Cabinets</t>
  </si>
  <si>
    <r>
      <t xml:space="preserve">Inspection of Emission Control Systems </t>
    </r>
    <r>
      <rPr>
        <vertAlign val="superscript"/>
        <sz val="10"/>
        <color rgb="FF000000"/>
        <rFont val="Times New Roman"/>
        <family val="1"/>
      </rPr>
      <t>b</t>
    </r>
  </si>
  <si>
    <r>
      <t xml:space="preserve">Total </t>
    </r>
    <r>
      <rPr>
        <vertAlign val="superscript"/>
        <sz val="10"/>
        <color rgb="FF000000"/>
        <rFont val="Times New Roman"/>
        <family val="1"/>
      </rPr>
      <t>c</t>
    </r>
  </si>
  <si>
    <r>
      <t>a</t>
    </r>
    <r>
      <rPr>
        <sz val="10"/>
        <color rgb="FF000000"/>
        <rFont val="Times New Roman"/>
        <family val="1"/>
      </rPr>
      <t xml:space="preserve"> No new sources are expected and all existing sources have fully implemented capital costs to comply with the current standards. Therefore, no additional capital/start-up costs are expected.</t>
    </r>
  </si>
  <si>
    <r>
      <t>c</t>
    </r>
    <r>
      <rPr>
        <sz val="10"/>
        <color theme="1"/>
        <rFont val="Times New Roman"/>
        <family val="1"/>
      </rPr>
      <t xml:space="preserve"> Totals have been rounded to 3 significant figures. Figures may not add exactly due to rounding.</t>
    </r>
  </si>
  <si>
    <t>Repeat NOx Performance Test</t>
  </si>
  <si>
    <t xml:space="preserve">Repeat NOx Performance Test </t>
  </si>
  <si>
    <t>Other EDITS:  change PM to NOx</t>
  </si>
  <si>
    <r>
      <t>c</t>
    </r>
    <r>
      <rPr>
        <sz val="10"/>
        <color theme="1"/>
        <rFont val="Times New Roman"/>
        <family val="1"/>
      </rPr>
      <t xml:space="preserve">  New kilns test for NOx. We have assumed that 5 percent of respondents would repeat initial performance test due to failure.</t>
    </r>
  </si>
  <si>
    <t>Initial NOx Performance Test (kiln)</t>
  </si>
  <si>
    <t>Notification of Semi-annual Performance Test</t>
  </si>
  <si>
    <t>Semi-annual NOx Performance Test (kiln)</t>
  </si>
  <si>
    <t>Records of Performance Tests</t>
  </si>
  <si>
    <t>These rates were updated 12/21/21 to match the rates from the Office of Personnel Management (OPM), 2021 General Schedule.</t>
  </si>
  <si>
    <t xml:space="preserve">         Review performance test results</t>
  </si>
  <si>
    <r>
      <t>b</t>
    </r>
    <r>
      <rPr>
        <sz val="10"/>
        <rFont val="Times New Roman"/>
        <family val="1"/>
      </rPr>
      <t xml:space="preserve">  This cost is based on the following labor rates which incorporates a 1.6 benefits multiplication factor to account for government overhead expenses:  Managerial rate of $69.04 (GS-13, Step 5, $43.15 + 60%), Technical rate of $51.23 (GS-12, Step 1, $32.02 + 60%), and Clerical rate of $27.73 (GS-6, Step 3, $17.33 + 60%).  These rates are from the Office of Personnel Management (OPM) “2021 General Schedule” which excludes locality rates of pay. </t>
    </r>
  </si>
  <si>
    <r>
      <t>c</t>
    </r>
    <r>
      <rPr>
        <sz val="10"/>
        <rFont val="Times New Roman"/>
        <family val="1"/>
      </rPr>
      <t xml:space="preserve">  We have assumed that EPA personnel will attend the initial performance tests for facilities that are re-constructed or modified, but will not attend the semi-annual performance tests for existing facilities.</t>
    </r>
  </si>
  <si>
    <r>
      <rPr>
        <vertAlign val="superscript"/>
        <sz val="10"/>
        <rFont val="Times New Roman"/>
        <family val="1"/>
      </rPr>
      <t>e</t>
    </r>
    <r>
      <rPr>
        <sz val="10"/>
        <rFont val="Times New Roman"/>
        <family val="1"/>
      </rPr>
      <t xml:space="preserve">  Modified or reconstructed facilities conduct initial testing, and existing facilities (kilns) conduct semi-annual testing.</t>
    </r>
  </si>
  <si>
    <t>Cement and Concrete Manufacturing</t>
  </si>
  <si>
    <t>Glass and Glass Product Manufacturing</t>
  </si>
  <si>
    <r>
      <t>a</t>
    </r>
    <r>
      <rPr>
        <sz val="10"/>
        <rFont val="Times New Roman"/>
        <family val="1"/>
      </rPr>
      <t xml:space="preserve">  We have assumed that there are approximately 44 respondents with furnaces and that 10% of the existing facilities will be re-constructed or modified. </t>
    </r>
  </si>
  <si>
    <t>These rates were updated 12/21/21 to match the United States Department of Labor, Bureau of Labor Statistics, June 2021, “Table 2. Civilian Workers, by occupational and industry group</t>
  </si>
  <si>
    <r>
      <t>d</t>
    </r>
    <r>
      <rPr>
        <sz val="10"/>
        <rFont val="Times New Roman"/>
        <family val="1"/>
      </rPr>
      <t xml:space="preserve">  The rule requires existing kilns re-test semi-annually for NOx. </t>
    </r>
  </si>
  <si>
    <r>
      <t>b</t>
    </r>
    <r>
      <rPr>
        <sz val="10"/>
        <color theme="1"/>
        <rFont val="Times New Roman"/>
        <family val="1"/>
      </rPr>
      <t xml:space="preserve">  This ICR uses the following labor rates: $157.61 per hour for Executive, Administrative, and Managerial labor; $123.94 per hour for Technical labor, and $62.51 per hour for Clerical labor.  These rates are from the United States Department of Labor, Bureau of Labor Statistics, June 2021, “Table 2. Civilian Workers, by Occupational and Industry group.”  The rates are from column 1, “Total Compensation.”  The rates have been increased by 110% to account for the benefit packages available to those employed by private industry.</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</si>
  <si>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t>
    </r>
  </si>
  <si>
    <r>
      <t xml:space="preserve">Total Labor Burden and Cost (rounded) </t>
    </r>
    <r>
      <rPr>
        <b/>
        <vertAlign val="superscript"/>
        <sz val="10"/>
        <color rgb="FF000000"/>
        <rFont val="Times New Roman"/>
        <family val="1"/>
      </rPr>
      <t>e</t>
    </r>
  </si>
  <si>
    <r>
      <t xml:space="preserve">Total Capital and O&amp;M Cost (rounded) </t>
    </r>
    <r>
      <rPr>
        <b/>
        <vertAlign val="superscript"/>
        <sz val="10"/>
        <rFont val="Times New Roman"/>
        <family val="1"/>
      </rPr>
      <t>e</t>
    </r>
  </si>
  <si>
    <r>
      <t xml:space="preserve">Grand TOTAL (rounded) </t>
    </r>
    <r>
      <rPr>
        <b/>
        <vertAlign val="superscript"/>
        <sz val="10"/>
        <rFont val="Times New Roman"/>
        <family val="1"/>
      </rPr>
      <t>e</t>
    </r>
  </si>
  <si>
    <t>Basic Chemical Manufacturing; Petroleum and Coal Products Manufacturing; Pulp, Paper, and Paperboard Manufacturing</t>
  </si>
  <si>
    <t>Total Capital and O&amp;M</t>
  </si>
  <si>
    <r>
      <t>a</t>
    </r>
    <r>
      <rPr>
        <sz val="10"/>
        <color theme="1"/>
        <rFont val="Times New Roman"/>
        <family val="1"/>
      </rPr>
      <t xml:space="preserve">  We have assumed that there are approximately 55 respondents operating boilers and that 10% of the existing facilities will have new construction/reconstruction.</t>
    </r>
  </si>
  <si>
    <t>Daily Calibration Drift Tests - NOx CEMS</t>
  </si>
  <si>
    <r>
      <t>e</t>
    </r>
    <r>
      <rPr>
        <sz val="10"/>
        <color theme="1"/>
        <rFont val="Times New Roman"/>
        <family val="1"/>
      </rPr>
      <t xml:space="preserve">  Calibration drift checks on the air flow sensor on the NOx CEMS are performed daily. </t>
    </r>
  </si>
  <si>
    <r>
      <t>c</t>
    </r>
    <r>
      <rPr>
        <sz val="10"/>
        <color theme="1"/>
        <rFont val="Times New Roman"/>
        <family val="1"/>
      </rPr>
      <t xml:space="preserve">  New boilers test for NOx. We have assumed that 5 percent of respondents would repeat initial performance test due to failure.</t>
    </r>
  </si>
  <si>
    <t>Initial NOx Performance Test (boiler)</t>
  </si>
  <si>
    <r>
      <t xml:space="preserve">Existing Sources - Initial Testing </t>
    </r>
    <r>
      <rPr>
        <vertAlign val="superscript"/>
        <sz val="10"/>
        <color theme="1"/>
        <rFont val="Times New Roman"/>
        <family val="1"/>
      </rPr>
      <t>d</t>
    </r>
  </si>
  <si>
    <r>
      <t>d</t>
    </r>
    <r>
      <rPr>
        <sz val="10"/>
        <rFont val="Times New Roman"/>
        <family val="1"/>
      </rPr>
      <t xml:space="preserve">  The rule requires existing boilers to conduct an initial compliance test within 90 days from the installation of the pollution control equipment used to comply with the NOx emission limits. We have assumed that 5 percent of respondents would repeat annual performance test due to failure.</t>
    </r>
  </si>
  <si>
    <r>
      <t>a</t>
    </r>
    <r>
      <rPr>
        <sz val="10"/>
        <rFont val="Times New Roman"/>
        <family val="1"/>
      </rPr>
      <t xml:space="preserve">  We have assumed that there are approximately 55 respondents with boilers and that 10% of the existing facilities will be re-constructed or modified. </t>
    </r>
  </si>
  <si>
    <r>
      <rPr>
        <vertAlign val="superscript"/>
        <sz val="10"/>
        <rFont val="Times New Roman"/>
        <family val="1"/>
      </rPr>
      <t>e</t>
    </r>
    <r>
      <rPr>
        <sz val="10"/>
        <rFont val="Times New Roman"/>
        <family val="1"/>
      </rPr>
      <t xml:space="preserve">  Modified, reconstructed, and existing facilities conduct initial testing.</t>
    </r>
  </si>
  <si>
    <t>Report of Initial Performance Test Results</t>
  </si>
  <si>
    <t>Quarterly Electronic Reports to Administrator</t>
  </si>
  <si>
    <t xml:space="preserve">         Review quarterly electronic summary reports</t>
  </si>
  <si>
    <t>Basic Chemical Manufacturing; Petroleum and Coal Products Manufacturing; and Pulp, Paper, and Paperboard Manufacturing</t>
  </si>
  <si>
    <t>Source:  Boilers</t>
  </si>
  <si>
    <t>Source:  Kilns</t>
  </si>
  <si>
    <t>Source:  Furnaces</t>
  </si>
  <si>
    <t>Number of furnaces</t>
  </si>
  <si>
    <t>Number of Boilers</t>
  </si>
  <si>
    <r>
      <t>a</t>
    </r>
    <r>
      <rPr>
        <sz val="10"/>
        <color theme="1"/>
        <rFont val="Times New Roman"/>
        <family val="1"/>
      </rPr>
      <t xml:space="preserve">  We have assumed that there are approximately 26 respondents operating boilers and that 10% of the existing facilities will have new construction/reconstruction.</t>
    </r>
  </si>
  <si>
    <r>
      <t>a</t>
    </r>
    <r>
      <rPr>
        <sz val="10"/>
        <rFont val="Times New Roman"/>
        <family val="1"/>
      </rPr>
      <t xml:space="preserve">  We have assumed that there are approximately 26 respondents with boilers and that 10% of the existing facilities will be re-constructed or modified. </t>
    </r>
  </si>
  <si>
    <t>Year 1,  Boilers</t>
  </si>
  <si>
    <t>Year 2,  Boilers</t>
  </si>
  <si>
    <t>Year 3,  Boilers</t>
  </si>
  <si>
    <t>Records of Montly Fuel Use</t>
  </si>
  <si>
    <t>(a) initial</t>
  </si>
  <si>
    <t>(b) annual</t>
  </si>
  <si>
    <t>NOx Continuous Emission Monitors</t>
  </si>
  <si>
    <r>
      <t>a</t>
    </r>
    <r>
      <rPr>
        <sz val="10"/>
        <color theme="1"/>
        <rFont val="Times New Roman"/>
        <family val="1"/>
      </rPr>
      <t xml:space="preserve">  We have assumed that there are approximately 47 respondents operating kilns and that 10% of the existing facilities will have new construction/reconstruction.</t>
    </r>
  </si>
  <si>
    <r>
      <t>a</t>
    </r>
    <r>
      <rPr>
        <sz val="10"/>
        <rFont val="Times New Roman"/>
        <family val="1"/>
      </rPr>
      <t xml:space="preserve">  We have assumed that there are approximately 47 respondents with kilns and that 10% of the existing facilities will be re-constructed or modified. </t>
    </r>
  </si>
  <si>
    <t>Iron and Steel Mills and Ferroalloy Manufacturing</t>
  </si>
  <si>
    <t>Year 1, Sources: Boilers, Furnaces, Coke Ovens, Windbox</t>
  </si>
  <si>
    <t>Year 2, Sources: Boilers, Furnaces, Coke Ovens, Windbox</t>
  </si>
  <si>
    <t>Year 3, Sources: Boilers, Furnaces, Coke Ovens, Windbox</t>
  </si>
  <si>
    <t>Work Plan For Basic Oxygen Process Furnaces</t>
  </si>
  <si>
    <t>Review of Work Plan For Emission Units Not Identified in (d)(a)(i)(2) or (3) [refer to pg. 17 of Reg Text.doc]</t>
  </si>
  <si>
    <t>For Taconite Kilns with Existing low-NOx burners, Submit Demonstration Report</t>
  </si>
  <si>
    <t xml:space="preserve">For Taconite Kilns with no Existing low-NOx burners, Submit Work Plan </t>
  </si>
  <si>
    <t>[se Monday to Gina- how many estimated sources?]</t>
  </si>
  <si>
    <t>Review Demonstration Report For Taconite Kilns with Existing low-NOx burners</t>
  </si>
  <si>
    <t xml:space="preserve">Review Work Plan For Taconite Kilns with no Existing low-NOx burners </t>
  </si>
  <si>
    <t>Review of Work Plan for Basic Oxygen Process Furnaces</t>
  </si>
  <si>
    <t>CEMS Recordkeeping</t>
  </si>
  <si>
    <t>Initial Performance Evaluation of NOx CEMS</t>
  </si>
  <si>
    <t>Repeat Performance Evaluation of NOx CEMS</t>
  </si>
  <si>
    <t>Notification of Initial Performance Evaluation of NOx CEMS</t>
  </si>
  <si>
    <t>Report of Performance Evaluation of NOx CEMS</t>
  </si>
  <si>
    <t>Report of Initial Performance Evaluation of NOx CEMS Test Results</t>
  </si>
  <si>
    <r>
      <t xml:space="preserve">    Initial Performance Evaluation of NOx CEMS </t>
    </r>
    <r>
      <rPr>
        <vertAlign val="superscript"/>
        <sz val="10"/>
        <rFont val="Times New Roman"/>
        <family val="1"/>
      </rPr>
      <t>c</t>
    </r>
  </si>
  <si>
    <r>
      <t xml:space="preserve">    Repeat Performance Evaluation of NOx CEMS </t>
    </r>
    <r>
      <rPr>
        <vertAlign val="superscript"/>
        <sz val="10"/>
        <rFont val="Times New Roman"/>
        <family val="1"/>
      </rPr>
      <t>d</t>
    </r>
  </si>
  <si>
    <r>
      <t xml:space="preserve">Notification of Performance Evaluation of NOx CEMS </t>
    </r>
    <r>
      <rPr>
        <vertAlign val="superscript"/>
        <sz val="10"/>
        <rFont val="Times New Roman"/>
        <family val="1"/>
      </rPr>
      <t>e</t>
    </r>
  </si>
  <si>
    <r>
      <t xml:space="preserve">Review test results/CEMS Performance Evaluation Results </t>
    </r>
    <r>
      <rPr>
        <vertAlign val="superscript"/>
        <sz val="10"/>
        <rFont val="Times New Roman"/>
        <family val="1"/>
      </rPr>
      <t>e</t>
    </r>
  </si>
  <si>
    <r>
      <t xml:space="preserve">    Notification of Performance Evaluation of NOx CEMS </t>
    </r>
    <r>
      <rPr>
        <vertAlign val="superscript"/>
        <sz val="10"/>
        <rFont val="Times New Roman"/>
        <family val="1"/>
      </rPr>
      <t>e</t>
    </r>
  </si>
  <si>
    <r>
      <t xml:space="preserve">   Review test results/CEMS Performance Evaluation Results </t>
    </r>
    <r>
      <rPr>
        <vertAlign val="superscript"/>
        <sz val="10"/>
        <rFont val="Times New Roman"/>
        <family val="1"/>
      </rPr>
      <t>e</t>
    </r>
  </si>
  <si>
    <t>Pipeline Transportation of Natural Gas</t>
  </si>
  <si>
    <t>Year 1, Reciprocating Internal Combustion Engines (RICE)</t>
  </si>
  <si>
    <t>CEDRI electronic submittal of NOx CEMS Report and Excess Emissions Report</t>
  </si>
  <si>
    <t>[12/28/21-  se soon to Gina on the # of taconite mills, then subtract that # from the 35 units currently shown]</t>
  </si>
  <si>
    <t>Submit Quarterly Electronic Reports to Administrator of NOx Emission Rates data, Excess Emissions, Missing and Excluded Data, "F" factor, and other CEMS data.</t>
  </si>
  <si>
    <t xml:space="preserve">         Review quarterly electronic summary reports of NOx Emission Rates data, Excess Emissions, Missing and Excluded Data, "F" factor, and other CEMS data.</t>
  </si>
  <si>
    <t>Year 2, Reciprocating Internal Combustion Engines (RICE)</t>
  </si>
  <si>
    <t>Year 3, Reciprocating Internal Combustion Engines (RICE)</t>
  </si>
  <si>
    <t>Create and Store Maintenance Plan</t>
  </si>
  <si>
    <t>Records of Engine Maintenance Conducted</t>
  </si>
  <si>
    <t>Create and Store Engine Maintenance Plan</t>
  </si>
  <si>
    <t xml:space="preserve">    Daily monitoring of catalyst inlet temperature</t>
  </si>
  <si>
    <t xml:space="preserve">    Monthly monitoring of pressure drop across catalyst</t>
  </si>
  <si>
    <t>Source:  RICE</t>
  </si>
  <si>
    <t>Install CPMS</t>
  </si>
  <si>
    <t xml:space="preserve">    Prepare CPMS site-specific monitoring plan to address monitoring system design, data collection, and QA/QC.</t>
  </si>
  <si>
    <t xml:space="preserve">Number of Respondents </t>
  </si>
  <si>
    <t xml:space="preserve">    Collect and record the CPMS monitoring parameters</t>
  </si>
  <si>
    <t xml:space="preserve">    Collect and record the CPMS monitoring parameters.</t>
  </si>
  <si>
    <t>Number of RICE</t>
  </si>
  <si>
    <t xml:space="preserve">      Engines Anticipated with SCR or NSCR</t>
  </si>
  <si>
    <t xml:space="preserve">      Engines Anticipated with no SCR or NSCR</t>
  </si>
  <si>
    <t>Annual CPMS Performance Evaluation</t>
  </si>
  <si>
    <t>Repeat Annual CPMS Performance Evaluation</t>
  </si>
  <si>
    <r>
      <t xml:space="preserve">Existing Sources - Annual CPMS Performance Evaluation </t>
    </r>
    <r>
      <rPr>
        <vertAlign val="superscript"/>
        <sz val="10"/>
        <color theme="1"/>
        <rFont val="Times New Roman"/>
        <family val="1"/>
      </rPr>
      <t>d</t>
    </r>
  </si>
  <si>
    <r>
      <t>d</t>
    </r>
    <r>
      <rPr>
        <sz val="10"/>
        <rFont val="Times New Roman"/>
        <family val="1"/>
      </rPr>
      <t xml:space="preserve">  We have assumed that 5 percent of respondents would repeat annual CPMS performance evaluation due to failure.</t>
    </r>
  </si>
  <si>
    <r>
      <t xml:space="preserve">New, Reconstructed, Modified Sources - Annual CPMS Performance Evaluation </t>
    </r>
    <r>
      <rPr>
        <vertAlign val="superscript"/>
        <sz val="10"/>
        <color theme="1"/>
        <rFont val="Times New Roman"/>
        <family val="1"/>
      </rPr>
      <t>c</t>
    </r>
  </si>
  <si>
    <t>Note:  New is assumed to be .84% of existing, per RICE MACT ICR data.</t>
  </si>
  <si>
    <r>
      <t>a</t>
    </r>
    <r>
      <rPr>
        <sz val="10"/>
        <color theme="1"/>
        <rFont val="Times New Roman"/>
        <family val="1"/>
      </rPr>
      <t xml:space="preserve">  We have assumed that there are approximately 307 respondents operating RICE and that 10% of the existing facilities will have new construction/reconstruction.</t>
    </r>
  </si>
  <si>
    <r>
      <t>c</t>
    </r>
    <r>
      <rPr>
        <sz val="10"/>
        <color theme="1"/>
        <rFont val="Times New Roman"/>
        <family val="1"/>
      </rPr>
      <t xml:space="preserve">  New RICE CPMS performance evaluation conducted annually. We have assumed that 5 percent of respondents would repeat annual CPMS performance evaluation due to failure.</t>
    </r>
  </si>
  <si>
    <t>Report of Performance Test</t>
  </si>
  <si>
    <t>Semi-Annual Report Submitted to Administrator of Compliance Statement, SubSection 52.41(d) performance test</t>
  </si>
  <si>
    <t>F. Time to Train Personnel of 1st year Existing Sources</t>
  </si>
  <si>
    <t>F. Time to Train Personnel of New Sources</t>
  </si>
  <si>
    <t xml:space="preserve">    Records of Annual CPMS Performance Evaluation</t>
  </si>
  <si>
    <t>Records of Hours of Operation</t>
  </si>
  <si>
    <r>
      <t>a</t>
    </r>
    <r>
      <rPr>
        <sz val="10"/>
        <rFont val="Times New Roman"/>
        <family val="1"/>
      </rPr>
      <t xml:space="preserve">  We have assumed that there are approximately 307 respondents with kilns and that 10% of the existing facilities will be re-constructed or modified. </t>
    </r>
  </si>
  <si>
    <r>
      <rPr>
        <vertAlign val="superscript"/>
        <sz val="10"/>
        <rFont val="Times New Roman"/>
        <family val="1"/>
      </rPr>
      <t>e</t>
    </r>
    <r>
      <rPr>
        <sz val="10"/>
        <rFont val="Times New Roman"/>
        <family val="1"/>
      </rPr>
      <t xml:space="preserve">  Only facilities with no SCR or NSCR will conduct annual CPMS performance evaluations.</t>
    </r>
  </si>
  <si>
    <r>
      <t xml:space="preserve">    Repeat annual CPMS performance evaluations </t>
    </r>
    <r>
      <rPr>
        <vertAlign val="superscript"/>
        <sz val="10"/>
        <rFont val="Times New Roman"/>
        <family val="1"/>
      </rPr>
      <t>d</t>
    </r>
  </si>
  <si>
    <r>
      <t xml:space="preserve">    annual CPMS performance evaluations </t>
    </r>
    <r>
      <rPr>
        <vertAlign val="superscript"/>
        <sz val="10"/>
        <rFont val="Times New Roman"/>
        <family val="1"/>
      </rPr>
      <t>c</t>
    </r>
  </si>
  <si>
    <r>
      <t xml:space="preserve">         Notification of annual CPMS performance evaluations </t>
    </r>
    <r>
      <rPr>
        <vertAlign val="superscript"/>
        <sz val="10"/>
        <rFont val="Times New Roman"/>
        <family val="1"/>
      </rPr>
      <t>e</t>
    </r>
  </si>
  <si>
    <r>
      <t xml:space="preserve">         Review of Semi-annual reports </t>
    </r>
    <r>
      <rPr>
        <vertAlign val="superscript"/>
        <sz val="10"/>
        <rFont val="Times New Roman"/>
        <family val="1"/>
      </rPr>
      <t>g</t>
    </r>
  </si>
  <si>
    <r>
      <rPr>
        <vertAlign val="superscript"/>
        <sz val="10"/>
        <rFont val="Times New Roman"/>
        <family val="1"/>
      </rPr>
      <t>g</t>
    </r>
    <r>
      <rPr>
        <sz val="10"/>
        <rFont val="Times New Roman"/>
        <family val="1"/>
      </rPr>
      <t xml:space="preserve">  138 facilities operate 307 existing RICE units.</t>
    </r>
  </si>
  <si>
    <t>CPMS</t>
  </si>
  <si>
    <t>Pulp, Paper, and Paperboard Mills</t>
  </si>
  <si>
    <t>Cement and Concrete Product Manufacturing</t>
  </si>
  <si>
    <t>Basic Chemical Manufacturing</t>
  </si>
  <si>
    <t>Petroleum and Coal Products Manufacturing</t>
  </si>
  <si>
    <t>Managerial Hours</t>
  </si>
  <si>
    <t>Industry Sector &amp;
Year</t>
  </si>
  <si>
    <t>Summary of Annual Respondent Burden and Cost by Industry Sector –  Federal Implementation Plan Addressing Regional Ozone Transport for the 2015 Primary Ozone National Ambient Air Quality Standard: Transport Obligations for non-Electric Generating Units</t>
  </si>
  <si>
    <t>Summary of Annual Agency Burden and Cost by Industry Sector -  Federal Implementation Plan Addressing Regional Ozone Transport for the 2015 Primary Ozone National Ambient Air Quality Standard: Transport Obligations for non-Electric Generating Units</t>
  </si>
  <si>
    <r>
      <t>b</t>
    </r>
    <r>
      <rPr>
        <sz val="10"/>
        <color rgb="FF000000"/>
        <rFont val="Times New Roman"/>
        <family val="1"/>
      </rPr>
      <t xml:space="preserve"> We estimate 34 glass manufacturing facilities with 44 affected furnaces. . We assume that annual inspections of emission control systems will require 8 hours per inspection at the current labor rate for technical personnel ($123.94/hr) for each of the 22 affected furnaces with a control device ($123.94 x 8 = $992 (rounded)).</t>
    </r>
  </si>
  <si>
    <t>Basic Chemical Manufacturing; Petroleum and Coal Products Manufacturing; Pulp, Paper, and Paperboard Mills</t>
  </si>
  <si>
    <t>Annual Respondent Hours:</t>
  </si>
  <si>
    <t>Annual Agency Hours:</t>
  </si>
  <si>
    <t>No. of  Industry Respondents:</t>
  </si>
  <si>
    <t>Industry</t>
  </si>
  <si>
    <t>Emissions Source Group</t>
  </si>
  <si>
    <t>Boilers - &lt; 10 Million BTU/hr; Industrial Processes - Kiln</t>
  </si>
  <si>
    <t/>
  </si>
  <si>
    <t>Industrial Processes - Kiln</t>
  </si>
  <si>
    <t>Industrial Processes - Preheater Kiln</t>
  </si>
  <si>
    <t>Industrial Processes - Preheater/Precalciner Kiln</t>
  </si>
  <si>
    <t>Industrial Processes - Container Glass: Melting Furnace</t>
  </si>
  <si>
    <t>Industrial Processes - Flat Glass: Melting Furnace</t>
  </si>
  <si>
    <t>Industrial Processes - Furnace: General</t>
  </si>
  <si>
    <t>Industrial Processes - Pressed and Blown Glass: Melting Furnace</t>
  </si>
  <si>
    <t>Boilers - &gt; 100 Million BTU/hr</t>
  </si>
  <si>
    <t>Boilers - &gt; 100 Million BTU/hr; Boilers - Blast Furnace Gas</t>
  </si>
  <si>
    <t>Boilers - &gt; 100 Million BTU/hr; Boilers - Coke Oven Gas</t>
  </si>
  <si>
    <t>Boilers - Blast Furnace Gas</t>
  </si>
  <si>
    <t>Boilers - Blast Furnace Gas; Industrial Processes - Sintering: Windbox; Industrial Processes - Blast Furnace: Casting/Tapping: Local Evacuation; Industrial Processes - Process Gas: Process Heaters</t>
  </si>
  <si>
    <t>Boilers - Coke Oven Gas</t>
  </si>
  <si>
    <t>Boilers - Coke Oven Gas; Boilers - &gt; 100 Million BTU/hr</t>
  </si>
  <si>
    <t>Industrial Processes - Basic Oxygen Furnace (BOF): Open Hood Stack</t>
  </si>
  <si>
    <t>Industrial Processes - Basic Oxygen Furnace (BOF): Open Hood Stack; Industrial Processes - General</t>
  </si>
  <si>
    <t>Industrial Processes - Basic Oxygen Furnace (BOF): Top Blown Furnace: Primary</t>
  </si>
  <si>
    <t>Industrial Processes - Blast Furnace: Casting/Tapping: Local Evacuation</t>
  </si>
  <si>
    <t>Industrial Processes - General</t>
  </si>
  <si>
    <t>Industrial Processes - General; Industrial Processes - Coke Oven or Blast Furnace</t>
  </si>
  <si>
    <t>Industrial Processes - Other Not Classified</t>
  </si>
  <si>
    <t>Industrial Processes - Sintering: Windbox</t>
  </si>
  <si>
    <t>Internal Combustion Engines - 2-cycle Clean Burn</t>
  </si>
  <si>
    <t>Internal Combustion Engines - 2-cycle Lean Burn</t>
  </si>
  <si>
    <t>Internal Combustion Engines - 4-cycle Lean Burn</t>
  </si>
  <si>
    <t>Internal Combustion Engines - 4-cycle Rich Burn</t>
  </si>
  <si>
    <t>Internal Combustion Engines - Reciprocating</t>
  </si>
  <si>
    <t>Internal Combustion Engines - Turbine</t>
  </si>
  <si>
    <t>Boilers - 10-100 Million BTU/hr</t>
  </si>
  <si>
    <t>Boilers - Cogeneration</t>
  </si>
  <si>
    <t>Boilers - Distillate Oil - Grades 1 and 2: Boiler</t>
  </si>
  <si>
    <t>Boilers - Petroleum Refinery Gas</t>
  </si>
  <si>
    <t>Boilers - Subbituminous Coal: Traveling Grate (Overfeed) Stoker</t>
  </si>
  <si>
    <t>Boilers - Boiler, &gt;= 100 Million BTU/hr</t>
  </si>
  <si>
    <t>Boilers - Bituminous Coal: Cyclone Furnace</t>
  </si>
  <si>
    <t>Boilers - Bituminous Coal: Pulverized Coal: Dry Bottom</t>
  </si>
  <si>
    <t>Boilers - Bituminous Coal: Pulverized Coal: Dry Bottom; Boilers - &gt; 100 Million BTU/hr</t>
  </si>
  <si>
    <t>Boilers - Bituminous Coal: Spreader Stoker</t>
  </si>
  <si>
    <t>Boilers - Fluid Catalytic Cracking Unit with CO Boiler: Natural Gas</t>
  </si>
  <si>
    <t>Boilers - Subbituminous Coal: Boiler, Spreader Stoker</t>
  </si>
  <si>
    <t>Boilers - Subbituminous Coal: Spreader Stoker</t>
  </si>
  <si>
    <t>Present Worth Total Costs</t>
  </si>
  <si>
    <t>Discount rate at 3.25% from Larry Sorrells in June 2020</t>
  </si>
  <si>
    <t>Present value costs</t>
  </si>
  <si>
    <t>2nd year rate</t>
  </si>
  <si>
    <t>3rd year rate</t>
  </si>
  <si>
    <t>Annual Respondent Labor Cost (Present Worth):</t>
  </si>
  <si>
    <t>Annual Agency Labor Cost (Present Worth):</t>
  </si>
  <si>
    <t>Present Worth Labor Costs</t>
  </si>
  <si>
    <t>Industry Sector</t>
  </si>
  <si>
    <t>Number of Facilities</t>
  </si>
  <si>
    <t>Number of Sources</t>
  </si>
  <si>
    <t>Pipeline and Transportation of Natural Gas Idustry Sector:</t>
  </si>
  <si>
    <t>Cement and Concrete Product Manufacturing Industry Sector:</t>
  </si>
  <si>
    <t>Iron and Steel Mills and Ferroalloy Manufacturing Industry Sector:</t>
  </si>
  <si>
    <t>Glass and Glass Product Manufacturing Industry Sector:</t>
  </si>
  <si>
    <t>Basic Chemical Manufacturing Industry Sector:</t>
  </si>
  <si>
    <t>Petroleum and Coal Products Manufacturing Industry Sector:</t>
  </si>
  <si>
    <t>Pulp, Paper, and Paperboard Mills Industry Sector:</t>
  </si>
  <si>
    <t xml:space="preserve">Note:  the totals, as shown, update automatically </t>
  </si>
  <si>
    <t>No. of Agency Respondents (States):</t>
  </si>
  <si>
    <t>Annual Hours/Industry Respondent:</t>
  </si>
  <si>
    <t>Annual Cost/Industry Respondent:</t>
  </si>
  <si>
    <t>Annual Hours/Agency Respondent:</t>
  </si>
  <si>
    <t>Annual Cost/Agency Respondent:</t>
  </si>
  <si>
    <r>
      <t>Work Plan For Emission Units Not Identified in (d)(a)(i)(2) or (3) [refer to pg. 17 of Reg Text.doc]</t>
    </r>
    <r>
      <rPr>
        <vertAlign val="superscript"/>
        <sz val="11"/>
        <color theme="1"/>
        <rFont val="Times New Roman"/>
        <family val="1"/>
      </rPr>
      <t>f</t>
    </r>
  </si>
  <si>
    <r>
      <t xml:space="preserve">Total Labor Burden and Cost (rounded) </t>
    </r>
    <r>
      <rPr>
        <b/>
        <vertAlign val="superscript"/>
        <sz val="10"/>
        <color rgb="FF000000"/>
        <rFont val="Times New Roman"/>
        <family val="1"/>
      </rPr>
      <t>g</t>
    </r>
  </si>
  <si>
    <r>
      <t xml:space="preserve">Total Capital and O&amp;M Cost (rounded) </t>
    </r>
    <r>
      <rPr>
        <b/>
        <vertAlign val="superscript"/>
        <sz val="10"/>
        <rFont val="Times New Roman"/>
        <family val="1"/>
      </rPr>
      <t>g</t>
    </r>
  </si>
  <si>
    <r>
      <t xml:space="preserve">Grand TOTAL (rounded) </t>
    </r>
    <r>
      <rPr>
        <b/>
        <vertAlign val="superscript"/>
        <sz val="10"/>
        <rFont val="Times New Roman"/>
        <family val="1"/>
      </rPr>
      <t>g</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</si>
  <si>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</si>
  <si>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f</t>
    </r>
    <r>
      <rPr>
        <sz val="10"/>
        <color theme="1"/>
        <rFont val="Times New Roman"/>
        <family val="1"/>
      </rPr>
      <t xml:space="preserve">  Estimated number of taconite production kilns located in Minnesota and Michigan.</t>
    </r>
  </si>
  <si>
    <r>
      <t>NOx Continuous Emission Monitors</t>
    </r>
    <r>
      <rPr>
        <vertAlign val="superscript"/>
        <sz val="10"/>
        <color theme="1"/>
        <rFont val="Times New Roman"/>
        <family val="1"/>
      </rPr>
      <t>a</t>
    </r>
  </si>
  <si>
    <r>
      <t>Initial O2 or CO2 Monitors</t>
    </r>
    <r>
      <rPr>
        <vertAlign val="superscript"/>
        <sz val="10"/>
        <color theme="1"/>
        <rFont val="Times New Roman"/>
        <family val="1"/>
      </rPr>
      <t>a</t>
    </r>
  </si>
  <si>
    <r>
      <rPr>
        <vertAlign val="superscript"/>
        <sz val="11"/>
        <color theme="1"/>
        <rFont val="Calibri"/>
        <family val="2"/>
        <scheme val="minor"/>
      </rPr>
      <t>a</t>
    </r>
    <r>
      <rPr>
        <sz val="11"/>
        <color theme="1"/>
        <rFont val="Calibri"/>
        <family val="2"/>
        <scheme val="minor"/>
      </rPr>
      <t>10 percent of 55 Respondents are assumed to have existing NOx CEMS and existing O2 or CO2 monitors installed.</t>
    </r>
  </si>
  <si>
    <r>
      <t>Submit Written Request to Administrator documenting Initial Performance Test and an Alternative Monitoring Plan (Alternative to CEMS).</t>
    </r>
    <r>
      <rPr>
        <vertAlign val="superscript"/>
        <sz val="10"/>
        <color theme="1"/>
        <rFont val="Times New Roman"/>
        <family val="1"/>
      </rPr>
      <t>f</t>
    </r>
  </si>
  <si>
    <r>
      <rPr>
        <vertAlign val="superscript"/>
        <sz val="10"/>
        <color theme="1"/>
        <rFont val="Times New Roman"/>
        <family val="1"/>
      </rPr>
      <t>f</t>
    </r>
    <r>
      <rPr>
        <sz val="10"/>
        <color theme="1"/>
        <rFont val="Times New Roman"/>
        <family val="1"/>
      </rPr>
      <t xml:space="preserve">  10 percent of respondents are assumed to submit a written request to Administrator for an alternative monitoring procedure (instead of use of CEMS).</t>
    </r>
  </si>
  <si>
    <r>
      <t>(a) initial</t>
    </r>
    <r>
      <rPr>
        <vertAlign val="superscript"/>
        <sz val="10"/>
        <color theme="1"/>
        <rFont val="Times New Roman"/>
        <family val="1"/>
      </rPr>
      <t>a</t>
    </r>
  </si>
  <si>
    <r>
      <t>(b) annual</t>
    </r>
    <r>
      <rPr>
        <vertAlign val="superscript"/>
        <sz val="10"/>
        <color theme="1"/>
        <rFont val="Times New Roman"/>
        <family val="1"/>
      </rPr>
      <t>b</t>
    </r>
  </si>
  <si>
    <t>Total Respondent Cost (Present Worth)</t>
  </si>
  <si>
    <t>Total Annual Respondent Cost (Present Worth)</t>
  </si>
  <si>
    <t>No. of Responses</t>
  </si>
  <si>
    <t>SUM</t>
  </si>
  <si>
    <t>Sum</t>
  </si>
  <si>
    <t>No. of Respones</t>
  </si>
  <si>
    <t>Number of Respones</t>
  </si>
  <si>
    <t>Sum without CEMS</t>
  </si>
  <si>
    <t>Total No. of Industry Responses</t>
  </si>
  <si>
    <t>Annual No. of Industry Responses</t>
  </si>
  <si>
    <t>Annual Respondent Non-Labor Cost ($)</t>
  </si>
  <si>
    <t>Annual Agency Non-Labor Cost ($)</t>
  </si>
  <si>
    <t>Annual Industry Respondent Recordkeeping Hours:</t>
  </si>
  <si>
    <t>Annual Industry Respondent Reporting Hours:</t>
  </si>
  <si>
    <t>Assumed Existing EPA-Certified RICE</t>
  </si>
  <si>
    <t>Assumed Existing Non EPA-Certified RICE</t>
  </si>
  <si>
    <t>Assumed New RICE with SCR or NSCR</t>
  </si>
  <si>
    <t>Assumed New RICE with no SCR or NSCR</t>
  </si>
  <si>
    <t>Assumed Existing RICE with SCR or NSCR</t>
  </si>
  <si>
    <t>Assumed Existing RICE with no SCR or NSCR</t>
  </si>
  <si>
    <t>Assumed 25% of Existing Population per ECHO database.</t>
  </si>
  <si>
    <r>
      <t xml:space="preserve">Existing Sources - Annual CPMS Performance Evaluation and Performance Testing </t>
    </r>
    <r>
      <rPr>
        <vertAlign val="superscript"/>
        <sz val="10"/>
        <color theme="1"/>
        <rFont val="Times New Roman"/>
        <family val="1"/>
      </rPr>
      <t>d</t>
    </r>
  </si>
  <si>
    <t>Non EPA-Certified Engine Performance Testing</t>
  </si>
  <si>
    <t>Repeat Non EPA-Certified Engine Performance Testing</t>
  </si>
  <si>
    <t>Notification of Non EPA-Certified Engine Performance Test</t>
  </si>
  <si>
    <t>Report of Non EPA-Certified Engine Performance Test Results via CEDRI or analogous electronic reporting</t>
  </si>
  <si>
    <t>Semi-Annual Report submitted via CEDRI or analogous electronic reporting</t>
  </si>
  <si>
    <t>Report of Performance Test Results via CEDRI or analogous electronic reporting</t>
  </si>
  <si>
    <t>Report of Semi-Annual Performance Test Results via CEDRI or analogous electronic reporting</t>
  </si>
  <si>
    <t>Recordkeeping of NOx emission rate, operating days data, CEMS data</t>
  </si>
  <si>
    <t>Quarterly Accuracy Assessment</t>
  </si>
  <si>
    <t>Note:  Assumed that 40% of Taconite Kilns have no existing low-NOx burners.</t>
  </si>
  <si>
    <t>Total no. of Taconite kilns</t>
  </si>
  <si>
    <t>Taconite kilns with existing low-NOx burners (at effective date of rule)</t>
  </si>
  <si>
    <t>Taconite kilns with no existing low-NOx burners (at effective date of rule)</t>
  </si>
  <si>
    <t>Initial Performance Testing of Taconite Kilns with no existing low-NOx burners (within 5 years of effective date of rule)</t>
  </si>
  <si>
    <t>Repeat Performance Testing of Taconite Kilns with no existing low-NOx burners (within 5 years of effective date of rule)</t>
  </si>
  <si>
    <t>Report of Taconite Kiln Performance Testing submitted via CEDRI or analogous electronic reporting (Kilns with no existing low-NOx burners at effective date of rule)</t>
  </si>
  <si>
    <t>Initial NOx Performance Test (furnaces)</t>
  </si>
  <si>
    <t>Semi-annual NOx Performance Test (furnaces)</t>
  </si>
  <si>
    <r>
      <t>d</t>
    </r>
    <r>
      <rPr>
        <sz val="10"/>
        <rFont val="Times New Roman"/>
        <family val="1"/>
      </rPr>
      <t xml:space="preserve">  The rule requires existing furnaces re-test semi-annually for NOx.  Existing furnaces are assumed to not have existing CEMS installed. </t>
    </r>
  </si>
  <si>
    <r>
      <t>c</t>
    </r>
    <r>
      <rPr>
        <sz val="10"/>
        <color theme="1"/>
        <rFont val="Times New Roman"/>
        <family val="1"/>
      </rPr>
      <t xml:space="preserve">  New furnaces test for NOx. We have assumed that 5 percent of respondents would repeat initial performance test due to failure.</t>
    </r>
  </si>
  <si>
    <r>
      <t>a</t>
    </r>
    <r>
      <rPr>
        <sz val="10"/>
        <color theme="1"/>
        <rFont val="Times New Roman"/>
        <family val="1"/>
      </rPr>
      <t xml:space="preserve">  We have assumed that there are approximately 44 respondents operating furnaces and that 10% of the existing facilities will have new construction/reconstruction.</t>
    </r>
  </si>
  <si>
    <t>Report of Semi-annual Performance Test Results submitted via CEDRI or analogous electronic reporting</t>
  </si>
  <si>
    <t>Report of Performance Tests submitted via CEDRI or analogous electronic reporting</t>
  </si>
  <si>
    <t>Submit Quarterly Electronic Reports to of NOx Emission Rates data, Excess Emissions, Missing and Excluded Data, "F" factor, and other CEMS data.</t>
  </si>
  <si>
    <t>Submit Quarterly Electronic Reports via CEDRI or analogous electronic reporting to EPA of NOx Emission Rates data, Excess Emissions, Missing and Excluded Data, "F" factor, and other CEMS data.</t>
  </si>
  <si>
    <t>Report of Initial Performance Test Results submitted via CEDRI or analogous electronic reporting</t>
  </si>
  <si>
    <t>Table 2: Annual Respondent Burden and Cost – Federal Implementation Plan Addressing Regional Ozone Transport for the 2015 Primary Ozone NAAQS: Transport Obligations for non-EGUs</t>
  </si>
  <si>
    <t>Table 3: Annual Respondent Burden and Cost – Federal Implementation Plan Addressing Regional Ozone Transport for the 2015 Primary Ozone NAAQS: Transport Obligations for non-EGUs</t>
  </si>
  <si>
    <t>Table 4: Annual Respondent Burden and Cost – Federal Implementation Plan Addressing Regional Ozone Transport for the 2015 Primary Ozone NAAQS: Transport Obligations for non-EGUs</t>
  </si>
  <si>
    <t>Table 5: Annual Respondent Burden and Cost – Federal Implementation Plan Addressing Regional Ozone Transport for the 2015 Primary Ozone NAAQS: Transport Obligations for non-EGUs</t>
  </si>
  <si>
    <t>Table 6: Annual Respondent Burden and Cost – Federal Implementation Plan Addressing Regional Ozone Transport for the 2015 Primary Ozone NAAQS: Transport Obligations for non-EGUs</t>
  </si>
  <si>
    <t>Table 7:  Capital/Startup vs. Operation and Maintenance (O&amp;M) Costs</t>
  </si>
  <si>
    <t>Table 8: Annual Respondent Burden and Cost – Federal Implementation Plan Addressing Regional Ozone Transport for the 2015 Primary Ozone NAAQS: Transport Obligations for non-EGUs</t>
  </si>
  <si>
    <t>Table 9: Annual Respondent Burden and Cost – Federal Implementation Plan Addressing Regional Ozone Transport for the 2015 Primary Ozone NAAQS: Transport Obligations for non-EGUs</t>
  </si>
  <si>
    <t>Table 10: Annual Respondent Burden and Cost – Federal Implementation Plan Addressing Regional Ozone Transport for the 2015 Primary Ozone NAAQS: Transport Obligations for non-EGUs</t>
  </si>
  <si>
    <t>Table 11:  Average Annual EPA Burden and Cost - Federal Implementation Plan Addressing Regional Ozone Transport for the 2015 Primary Ozone NAAQS: Transport Obligations for non-EGUs</t>
  </si>
  <si>
    <t>Table 12:  Average Annual EPA Burden and Cost - Federal Implementation Plan Addressing Regional Ozone Transport for the 2015 Primary Ozone NAAQS: Transport Obligations for non-EGUs</t>
  </si>
  <si>
    <t>Table 13:  Average Annual EPA Burden and Cost - Federal Implementation Plan Addressing Regional Ozone Transport for the 2015 Primary Ozone NAAQS: Transport Obligations for non-EGUs</t>
  </si>
  <si>
    <t>Table 14: Capital/Startup vs. Operation and Maintenance (O&amp;M) Costs</t>
  </si>
  <si>
    <t>Table 15: Annual Respondent Burden and Cost – Federal Implementation Plan Addressing Regional Ozone Transport for the 2015 Primary Ozone NAAQS: Transport Obligations for non-EGUs</t>
  </si>
  <si>
    <t>Table 16:  Average Annual EPA Burden and Cost -   Federal Implementation Plan Addressing Regional Ozone Transport for the 2015 Primary Ozone NAAQS: Transport Obligations for non-EGUs</t>
  </si>
  <si>
    <t>Table 17: Annual Respondent Burden and Cost –  Federal Implementation Plan Addressing Regional Ozone Transport for the 2015 Primary Ozone NAAQS: Transport Obligations for non-EGUs</t>
  </si>
  <si>
    <t>Table 18:  Average Annual EPA Burden and Cost -   Federal Implementation Plan Addressing Regional Ozone Transport for the 2015 Primary Ozone NAAQS: Transport Obligations for non-EGUs</t>
  </si>
  <si>
    <t>Table 19:  Capital/Startup vs. Operation and Maintenance (O&amp;M) Costs</t>
  </si>
  <si>
    <t>Table 20: Annual Respondent Burden and Cost – Federal Implementation Plan Addressing Regional Ozone Transport for the 2015 Primary Ozone NAAQS: Transport Obligations for non-EGUs</t>
  </si>
  <si>
    <t>Table 21: Annual Respondent Burden and Cost – Federal Implementation Plan Addressing Regional Ozone Transport for the 2015 Primary Ozone NAAQS: Transport Obligations for non-EGUs</t>
  </si>
  <si>
    <t>Table 22: Annual Respondent Burden and Cost – Federal Implementation Plan Addressing Regional Ozone Transport for the 2015 Primary Ozone NAAQS: Transport Obligations for non-EGUs</t>
  </si>
  <si>
    <t>Table 23:  Average Annual EPA Burden and Cost - Federal Implementation Plan Addressing Regional Ozone Transport for the 2015 Primary Ozone NAAQS: Transport Obligations for non-EGUs</t>
  </si>
  <si>
    <t>Table 24:  Average Annual EPA Burden and Cost - Federal Implementation Plan Addressing Regional Ozone Transport for the 2015 Primary Ozone NAAQS: Transport Obligations for non-EGUs</t>
  </si>
  <si>
    <t>Table 25:  Average Annual EPA Burden and Cost - Federal Implementation Plan Addressing Regional Ozone Transport for the 2015 Primary Ozone NAAQS: Transport Obligations for non-EGUs</t>
  </si>
  <si>
    <t>Table 26:  Capital/Startup vs. Operation and Maintenance (O&amp;M) Costs</t>
  </si>
  <si>
    <t xml:space="preserve">Table 1: Year 1, Respondent Burden and Cost – Pipeline Transportation of Natural Gas, RICE </t>
  </si>
  <si>
    <t>Records of Monthly Fuel Use, Average Hourly NOx emission rates, 30-day average NOx emission rates, Excess Emissions data,  Missed monitoring day data, "F" factor, and CEMS monitoring data.</t>
  </si>
  <si>
    <t>Records of Monthly Fuel Use</t>
  </si>
  <si>
    <t>Assumed Units with Existing CEMS</t>
  </si>
  <si>
    <t>Assumed Units without Existing CEMS</t>
  </si>
  <si>
    <t>a  Initial Annual Capital purchase and O&amp;M Cost of $568 (year 2010) was obtained from EC/R, Inc. Memo dated August 8, 2010 and adjusted to a 2023 cost of $724.</t>
  </si>
  <si>
    <t>b  Annual CPMS cost is assumed to be 70% of initial CPMS cost; Annual Capital purchase and O&amp;M Cost of $507 (year 2010) adjusted to a 2023 cost of $724.</t>
  </si>
  <si>
    <r>
      <t>(a) initial</t>
    </r>
    <r>
      <rPr>
        <vertAlign val="superscript"/>
        <sz val="11"/>
        <color theme="1"/>
        <rFont val="Times New Roman"/>
        <family val="1"/>
      </rPr>
      <t>a</t>
    </r>
  </si>
  <si>
    <t>a Initial annual capital and O&amp;M cost ($116,459) from Portland Cement ICR (2019) and adjusted to 2023 cost.</t>
  </si>
  <si>
    <t>b Initial annual capital and O&amp;M cost ($116,459) from Portland Cement ICR (2019) and adjusted to 2023 cost.</t>
  </si>
  <si>
    <r>
      <t>(a) initial</t>
    </r>
    <r>
      <rPr>
        <vertAlign val="superscript"/>
        <sz val="11"/>
        <color theme="1"/>
        <rFont val="Times New Roman"/>
        <family val="1"/>
      </rPr>
      <t>b</t>
    </r>
  </si>
  <si>
    <r>
      <t>(b) annual</t>
    </r>
    <r>
      <rPr>
        <vertAlign val="superscript"/>
        <sz val="10"/>
        <color theme="1"/>
        <rFont val="Times New Roman"/>
        <family val="1"/>
      </rPr>
      <t>c</t>
    </r>
  </si>
  <si>
    <t>b Annual capital and O&amp;M cost ($53,600) from Boiler 5D MACT ICR (2010 ) and adjusted to 2023 cost.</t>
  </si>
  <si>
    <t>c Annual capital and O&amp;M cost ($53,600) from Boiler 5D MACT ICR (2010 ) and adjusted to 2023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</si>
</sst>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General_)"/>
    <numFmt numFmtId="167" formatCode="0.0"/>
    <numFmt numFmtId="168" formatCode="_(&quot;$&quot;* #,##0_);_(&quot;$&quot;* \(#,##0\);_(&quot;$&quot;* &quot;-&quot;??_);_(@_)"/>
    <numFmt numFmtId="169" formatCode="_(* #,##0_);_(* \(#,##0\);_(* &quot;-&quot;??_);_(@_)"/>
    <numFmt numFmtId="170" formatCode="_(* #,##0.000000_);_(* \(#,##0.000000\);_(* &quot;-&quot;??_);_(@_)"/>
    <numFmt numFmtId="171" formatCode="0.0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name val="Arial"/>
      <family val="2"/>
    </font>
    <font>
      <b/>
      <sz val="10"/>
      <name val="Arial"/>
      <family val="2"/>
    </font>
    <font>
      <sz val="10"/>
      <name val="Times New Roman"/>
      <family val="1"/>
    </font>
    <font>
      <sz val="10"/>
      <name val="Arial"/>
      <family val="2"/>
    </font>
    <font>
      <b/>
      <sz val="12"/>
      <name val="Times New Roman"/>
      <family val="1"/>
    </font>
    <font>
      <sz val="11"/>
      <name val="Calibri"/>
      <family val="2"/>
      <scheme val="minor"/>
    </font>
    <font>
      <sz val="10"/>
      <color rgb="FFFF0000"/>
      <name val="Times New Roman"/>
      <family val="1"/>
    </font>
    <font>
      <b/>
      <sz val="10"/>
      <name val="Times New Roman"/>
      <family val="1"/>
    </font>
    <font>
      <sz val="10"/>
      <color rgb="FF000000"/>
      <name val="Times New Roman"/>
      <family val="1"/>
    </font>
    <font>
      <b/>
      <sz val="10"/>
      <color rgb="FFFF0000"/>
      <name val="Times New Roman"/>
      <family val="1"/>
    </font>
    <font>
      <b/>
      <vertAlign val="superscript"/>
      <sz val="10"/>
      <name val="Times New Roman"/>
      <family val="1"/>
    </font>
    <font>
      <b/>
      <i/>
      <sz val="10"/>
      <name val="Times New Roman"/>
      <family val="1"/>
    </font>
    <font>
      <vertAlign val="superscript"/>
      <sz val="10"/>
      <name val="Times New Roman"/>
      <family val="1"/>
    </font>
    <font>
      <sz val="10"/>
      <color theme="1"/>
      <name val="Times New Roman"/>
      <family val="1"/>
    </font>
    <font>
      <sz val="11"/>
      <color rgb="FF9C0006"/>
      <name val="Calibri"/>
      <family val="2"/>
      <scheme val="minor"/>
    </font>
    <font>
      <sz val="10"/>
      <color theme="1"/>
      <name val="Arial"/>
      <family val="2"/>
    </font>
    <font>
      <b/>
      <sz val="12"/>
      <color theme="1"/>
      <name val="Times New Roman"/>
      <family val="1"/>
    </font>
    <font>
      <b/>
      <sz val="10"/>
      <color theme="1"/>
      <name val="Times New Roman"/>
      <family val="1"/>
    </font>
    <font>
      <vertAlign val="superscript"/>
      <sz val="10"/>
      <color theme="1"/>
      <name val="Times New Roman"/>
      <family val="1"/>
    </font>
    <font>
      <b/>
      <sz val="10"/>
      <color rgb="FF000000"/>
      <name val="Times New Roman"/>
      <family val="1"/>
    </font>
    <font>
      <vertAlign val="superscript"/>
      <sz val="10"/>
      <color rgb="FF000000"/>
      <name val="Times New Roman"/>
      <family val="1"/>
    </font>
    <font>
      <b/>
      <i/>
      <sz val="10"/>
      <color theme="1"/>
      <name val="Times New Roman"/>
      <family val="1"/>
    </font>
    <font>
      <b/>
      <vertAlign val="superscript"/>
      <sz val="10"/>
      <color rgb="FF000000"/>
      <name val="Times New Roman"/>
      <family val="1"/>
    </font>
    <font>
      <i/>
      <sz val="10"/>
      <color theme="1"/>
      <name val="Times New Roman"/>
      <family val="1"/>
    </font>
    <font>
      <i/>
      <u/>
      <sz val="10"/>
      <color theme="1"/>
      <name val="Times New Roman"/>
      <family val="1"/>
    </font>
    <font>
      <b/>
      <vertAlign val="superscript"/>
      <sz val="12"/>
      <name val="Times New Roman"/>
      <family val="1"/>
    </font>
    <font>
      <sz val="11"/>
      <name val="Times New Roman"/>
      <family val="1"/>
    </font>
    <font>
      <vertAlign val="superscript"/>
      <sz val="12"/>
      <name val="Times New Roman"/>
      <family val="1"/>
    </font>
    <font>
      <sz val="8"/>
      <name val="Calibri"/>
      <family val="2"/>
    </font>
    <font>
      <b/>
      <sz val="12"/>
      <color rgb="FF000000"/>
      <name val="Times New Roman"/>
      <family val="1"/>
    </font>
    <font>
      <sz val="8"/>
      <name val="Arial"/>
      <family val="2"/>
    </font>
    <font>
      <b/>
      <sz val="11"/>
      <color theme="1"/>
      <name val="Calibri"/>
      <family val="2"/>
      <scheme val="minor"/>
    </font>
    <font>
      <sz val="11"/>
      <color rgb="FF000000"/>
      <name val="Calibri"/>
      <family val="2"/>
    </font>
    <font>
      <b/>
      <sz val="11"/>
      <color rgb="FF000000"/>
      <name val="Calibri"/>
      <family val="2"/>
    </font>
    <font>
      <i/>
      <sz val="10"/>
      <name val="Arial"/>
      <family val="2"/>
    </font>
    <font>
      <b/>
      <sz val="12"/>
      <name val="Arial"/>
      <family val="2"/>
    </font>
    <font>
      <vertAlign val="superscript"/>
      <sz val="11"/>
      <color theme="1"/>
      <name val="Times New Roman"/>
      <family val="1"/>
    </font>
    <font>
      <vertAlign val="superscript"/>
      <sz val="11"/>
      <color theme="1"/>
      <name val="Calibri"/>
      <family val="2"/>
      <scheme val="minor"/>
    </font>
    <font>
      <sz val="10"/>
      <color theme="1"/>
      <name val="Calibri"/>
      <family val="2"/>
      <scheme val="minor"/>
    </font>
  </fonts>
  <fills count="13">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rgb="FFFFC7CE"/>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diagonal/>
    </border>
    <border>
      <left/>
      <right style="medium">
        <color rgb="FFFFFFFF"/>
      </right>
      <top/>
      <bottom/>
      <diagonal/>
    </border>
    <border>
      <left/>
      <right style="medium">
        <color rgb="FF000000"/>
      </right>
      <top/>
      <bottom/>
      <diagonal/>
    </border>
    <border>
      <left/>
      <right/>
      <top/>
      <bottom style="thin">
        <color rgb="FF000000"/>
      </bottom>
      <diagonal/>
    </border>
    <border>
      <left style="thin">
        <color indexed="64"/>
      </left>
      <right style="medium">
        <color rgb="FFFFFFFF"/>
      </right>
      <top/>
      <bottom style="thin">
        <color indexed="64"/>
      </bottom>
      <diagonal/>
    </border>
  </borders>
  <cellStyleXfs count="22">
    <xf numFmtId="0" fontId="0" fillId="0" borderId="0"/>
    <xf numFmtId="0" fontId="9" fillId="0" borderId="0"/>
    <xf numFmtId="0" fontId="15"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8" fillId="0" borderId="0"/>
    <xf numFmtId="0" fontId="10" fillId="0" borderId="0"/>
    <xf numFmtId="43" fontId="10" fillId="0" borderId="0" applyFont="0" applyFill="0" applyBorder="0" applyAlignment="0" applyProtection="0"/>
    <xf numFmtId="0" fontId="8" fillId="0" borderId="0"/>
    <xf numFmtId="0" fontId="10" fillId="0" borderId="0"/>
    <xf numFmtId="44" fontId="10" fillId="0" borderId="0" applyFont="0" applyFill="0" applyBorder="0" applyAlignment="0" applyProtection="0"/>
    <xf numFmtId="0" fontId="10" fillId="0" borderId="0"/>
    <xf numFmtId="0" fontId="26" fillId="10" borderId="0" applyNumberFormat="0" applyBorder="0" applyAlignment="0" applyProtection="0"/>
    <xf numFmtId="0" fontId="27" fillId="0" borderId="0"/>
    <xf numFmtId="0" fontId="7" fillId="0" borderId="0"/>
    <xf numFmtId="0" fontId="6" fillId="0" borderId="0"/>
    <xf numFmtId="44" fontId="6" fillId="0" borderId="0" applyFont="0" applyFill="0" applyBorder="0" applyAlignment="0" applyProtection="0"/>
    <xf numFmtId="43" fontId="6" fillId="0" borderId="0" applyFont="0" applyFill="0" applyBorder="0" applyAlignment="0" applyProtection="0"/>
    <xf numFmtId="0" fontId="5" fillId="0" borderId="0"/>
    <xf numFmtId="0" fontId="5" fillId="0" borderId="0"/>
    <xf numFmtId="0" fontId="44" fillId="0" borderId="0"/>
  </cellStyleXfs>
  <cellXfs count="398">
    <xf numFmtId="0" fontId="0" fillId="0" borderId="0" xfId="0"/>
    <xf numFmtId="0" fontId="13" fillId="0" borderId="0" xfId="0" applyFont="1"/>
    <xf numFmtId="0" fontId="13" fillId="0" borderId="0" xfId="0" applyFont="1" applyFill="1"/>
    <xf numFmtId="0" fontId="10" fillId="0" borderId="0" xfId="0" applyFont="1" applyFill="1"/>
    <xf numFmtId="0" fontId="10" fillId="0" borderId="0" xfId="0" applyFont="1"/>
    <xf numFmtId="0" fontId="13" fillId="4" borderId="1" xfId="0" applyFont="1" applyFill="1" applyBorder="1" applyAlignment="1">
      <alignment horizontal="center"/>
    </xf>
    <xf numFmtId="0" fontId="13" fillId="3" borderId="1" xfId="0" applyFont="1" applyFill="1" applyBorder="1" applyAlignment="1">
      <alignment horizontal="center"/>
    </xf>
    <xf numFmtId="0" fontId="13" fillId="5" borderId="1" xfId="0" applyFont="1" applyFill="1" applyBorder="1" applyAlignment="1">
      <alignment horizontal="center"/>
    </xf>
    <xf numFmtId="0" fontId="13" fillId="6" borderId="1" xfId="0" applyFont="1" applyFill="1" applyBorder="1" applyAlignment="1">
      <alignment horizontal="center"/>
    </xf>
    <xf numFmtId="0" fontId="13" fillId="7" borderId="1" xfId="0" applyFont="1" applyFill="1" applyBorder="1" applyAlignment="1">
      <alignment horizontal="center"/>
    </xf>
    <xf numFmtId="0" fontId="13" fillId="9" borderId="1" xfId="2" applyFont="1" applyFill="1" applyBorder="1" applyAlignment="1">
      <alignment horizontal="center"/>
    </xf>
    <xf numFmtId="0" fontId="13" fillId="8" borderId="1" xfId="2" applyFont="1" applyFill="1" applyBorder="1" applyAlignment="1">
      <alignment horizontal="center"/>
    </xf>
    <xf numFmtId="0" fontId="10" fillId="9" borderId="1" xfId="2" applyFont="1" applyFill="1" applyBorder="1" applyAlignment="1">
      <alignment horizontal="center"/>
    </xf>
    <xf numFmtId="0" fontId="10" fillId="4" borderId="1" xfId="2" applyFont="1" applyFill="1" applyBorder="1" applyAlignment="1">
      <alignment horizontal="center"/>
    </xf>
    <xf numFmtId="0" fontId="0" fillId="0" borderId="0" xfId="0" applyFont="1"/>
    <xf numFmtId="0" fontId="0" fillId="2" borderId="1" xfId="0" applyFont="1" applyFill="1" applyBorder="1"/>
    <xf numFmtId="0" fontId="0" fillId="0" borderId="1" xfId="0" applyFont="1" applyFill="1" applyBorder="1"/>
    <xf numFmtId="0" fontId="0" fillId="0" borderId="0" xfId="0" applyFont="1" applyAlignment="1">
      <alignment horizontal="center"/>
    </xf>
    <xf numFmtId="0" fontId="0" fillId="0" borderId="0" xfId="0" applyFont="1" applyFill="1" applyAlignment="1">
      <alignment horizontal="center"/>
    </xf>
    <xf numFmtId="0" fontId="0" fillId="2" borderId="1" xfId="0" applyFont="1" applyFill="1" applyBorder="1" applyAlignment="1">
      <alignment horizontal="center"/>
    </xf>
    <xf numFmtId="0" fontId="10" fillId="4" borderId="1" xfId="7" applyFont="1" applyFill="1" applyBorder="1" applyAlignment="1">
      <alignment horizontal="center"/>
    </xf>
    <xf numFmtId="0" fontId="10" fillId="3" borderId="1" xfId="7" applyFont="1" applyFill="1" applyBorder="1" applyAlignment="1">
      <alignment horizontal="center"/>
    </xf>
    <xf numFmtId="0" fontId="10" fillId="5" borderId="1" xfId="7" applyFont="1" applyFill="1" applyBorder="1" applyAlignment="1">
      <alignment horizontal="center"/>
    </xf>
    <xf numFmtId="0" fontId="10" fillId="6" borderId="1" xfId="7" applyFont="1" applyFill="1" applyBorder="1" applyAlignment="1">
      <alignment horizontal="center"/>
    </xf>
    <xf numFmtId="0" fontId="10" fillId="7" borderId="1" xfId="7" applyFont="1" applyFill="1" applyBorder="1" applyAlignment="1">
      <alignment horizontal="center"/>
    </xf>
    <xf numFmtId="0" fontId="0" fillId="0" borderId="0" xfId="0" applyFont="1" applyFill="1"/>
    <xf numFmtId="0" fontId="17" fillId="0" borderId="0" xfId="1" applyFont="1"/>
    <xf numFmtId="0" fontId="10" fillId="3" borderId="1" xfId="2" applyFont="1" applyFill="1" applyBorder="1" applyAlignment="1">
      <alignment horizontal="center"/>
    </xf>
    <xf numFmtId="0" fontId="10" fillId="5" borderId="1" xfId="2" applyFont="1" applyFill="1" applyBorder="1" applyAlignment="1">
      <alignment horizontal="center"/>
    </xf>
    <xf numFmtId="0" fontId="10" fillId="6" borderId="1" xfId="2" applyFont="1" applyFill="1" applyBorder="1" applyAlignment="1">
      <alignment horizontal="center"/>
    </xf>
    <xf numFmtId="0" fontId="10" fillId="7" borderId="1" xfId="2" applyFont="1" applyFill="1" applyBorder="1" applyAlignment="1">
      <alignment horizontal="center"/>
    </xf>
    <xf numFmtId="0" fontId="10" fillId="8" borderId="1" xfId="2" applyFont="1" applyFill="1" applyBorder="1" applyAlignment="1">
      <alignment horizontal="center"/>
    </xf>
    <xf numFmtId="0" fontId="10" fillId="0" borderId="0" xfId="2" applyFont="1" applyFill="1"/>
    <xf numFmtId="0" fontId="0" fillId="7" borderId="1" xfId="0" applyFont="1" applyFill="1" applyBorder="1"/>
    <xf numFmtId="0" fontId="0" fillId="0" borderId="1" xfId="0" applyFont="1" applyBorder="1"/>
    <xf numFmtId="3" fontId="14" fillId="0" borderId="1" xfId="0" applyNumberFormat="1" applyFont="1" applyFill="1" applyBorder="1" applyAlignment="1">
      <alignment horizontal="center"/>
    </xf>
    <xf numFmtId="0" fontId="14" fillId="0" borderId="0" xfId="0" applyFont="1" applyBorder="1"/>
    <xf numFmtId="3" fontId="14" fillId="0" borderId="3" xfId="0" applyNumberFormat="1" applyFont="1" applyBorder="1" applyAlignment="1">
      <alignment horizontal="center"/>
    </xf>
    <xf numFmtId="165" fontId="14" fillId="0" borderId="3" xfId="0" applyNumberFormat="1" applyFont="1" applyBorder="1" applyAlignment="1">
      <alignment horizontal="center"/>
    </xf>
    <xf numFmtId="165" fontId="14" fillId="0" borderId="1" xfId="0" applyNumberFormat="1" applyFont="1" applyBorder="1" applyAlignment="1">
      <alignment horizontal="center"/>
    </xf>
    <xf numFmtId="0" fontId="20" fillId="0" borderId="0" xfId="0" applyFont="1"/>
    <xf numFmtId="165" fontId="14" fillId="0" borderId="1" xfId="0" applyNumberFormat="1" applyFont="1" applyFill="1" applyBorder="1" applyAlignment="1">
      <alignment horizontal="center"/>
    </xf>
    <xf numFmtId="166" fontId="14" fillId="0" borderId="9" xfId="0" applyNumberFormat="1" applyFont="1" applyBorder="1" applyAlignment="1">
      <alignment horizontal="center" vertical="center" wrapText="1"/>
    </xf>
    <xf numFmtId="166" fontId="14" fillId="0" borderId="3" xfId="0" applyNumberFormat="1" applyFont="1" applyBorder="1" applyAlignment="1">
      <alignment horizontal="center"/>
    </xf>
    <xf numFmtId="166" fontId="14" fillId="0" borderId="1" xfId="0" applyNumberFormat="1" applyFont="1" applyBorder="1" applyAlignment="1">
      <alignment horizontal="center"/>
    </xf>
    <xf numFmtId="3" fontId="14" fillId="0" borderId="6" xfId="0" applyNumberFormat="1" applyFont="1" applyBorder="1" applyAlignment="1">
      <alignment horizontal="center"/>
    </xf>
    <xf numFmtId="165" fontId="14" fillId="0" borderId="6" xfId="0" applyNumberFormat="1" applyFont="1" applyBorder="1" applyAlignment="1">
      <alignment horizontal="center"/>
    </xf>
    <xf numFmtId="166" fontId="14" fillId="0" borderId="10" xfId="0" applyNumberFormat="1" applyFont="1" applyBorder="1" applyAlignment="1">
      <alignment horizontal="center" vertical="center" wrapText="1"/>
    </xf>
    <xf numFmtId="166" fontId="14" fillId="11" borderId="9" xfId="13" applyNumberFormat="1" applyFont="1" applyFill="1" applyBorder="1" applyAlignment="1">
      <alignment horizontal="center" vertical="center" wrapText="1"/>
    </xf>
    <xf numFmtId="166" fontId="14" fillId="11" borderId="10" xfId="13" applyNumberFormat="1" applyFont="1" applyFill="1" applyBorder="1" applyAlignment="1">
      <alignment horizontal="center" vertical="center" wrapText="1"/>
    </xf>
    <xf numFmtId="165" fontId="14" fillId="11" borderId="3" xfId="13" applyNumberFormat="1" applyFont="1" applyFill="1" applyBorder="1" applyAlignment="1">
      <alignment horizontal="center"/>
    </xf>
    <xf numFmtId="165" fontId="14" fillId="11" borderId="6" xfId="13" applyNumberFormat="1" applyFont="1" applyFill="1" applyBorder="1" applyAlignment="1">
      <alignment horizontal="center"/>
    </xf>
    <xf numFmtId="3" fontId="14" fillId="0" borderId="3" xfId="0" applyNumberFormat="1" applyFont="1" applyFill="1" applyBorder="1" applyAlignment="1">
      <alignment horizontal="center"/>
    </xf>
    <xf numFmtId="165" fontId="14" fillId="0" borderId="6" xfId="13" applyNumberFormat="1" applyFont="1" applyFill="1" applyBorder="1" applyAlignment="1">
      <alignment horizontal="center"/>
    </xf>
    <xf numFmtId="0" fontId="14" fillId="0" borderId="0" xfId="14" applyFont="1"/>
    <xf numFmtId="0" fontId="16" fillId="0" borderId="0" xfId="14" applyFont="1"/>
    <xf numFmtId="4" fontId="14" fillId="0" borderId="0" xfId="14" applyNumberFormat="1" applyFont="1"/>
    <xf numFmtId="0" fontId="28" fillId="0" borderId="0" xfId="14" applyFont="1"/>
    <xf numFmtId="0" fontId="14" fillId="0" borderId="1" xfId="15" applyFont="1" applyBorder="1" applyAlignment="1">
      <alignment horizontal="center" vertical="center" wrapText="1"/>
    </xf>
    <xf numFmtId="0" fontId="14" fillId="0" borderId="0" xfId="15" applyFont="1"/>
    <xf numFmtId="0" fontId="19" fillId="0" borderId="1" xfId="15" applyFont="1" applyBorder="1" applyAlignment="1">
      <alignment vertical="center" wrapText="1"/>
    </xf>
    <xf numFmtId="0" fontId="17" fillId="0" borderId="0" xfId="15" applyFont="1"/>
    <xf numFmtId="0" fontId="17" fillId="0" borderId="0" xfId="15" applyFont="1" applyAlignment="1">
      <alignment horizontal="center"/>
    </xf>
    <xf numFmtId="0" fontId="17" fillId="0" borderId="1" xfId="15" applyFont="1" applyBorder="1" applyAlignment="1">
      <alignment vertical="top" wrapText="1" indent="1"/>
    </xf>
    <xf numFmtId="0" fontId="38" fillId="0" borderId="0" xfId="15" applyFont="1"/>
    <xf numFmtId="0" fontId="14" fillId="0" borderId="1" xfId="15" applyFont="1" applyBorder="1" applyAlignment="1">
      <alignment horizontal="left" vertical="center" wrapText="1" indent="1"/>
    </xf>
    <xf numFmtId="0" fontId="14" fillId="0" borderId="1" xfId="15" applyFont="1" applyBorder="1" applyAlignment="1">
      <alignment horizontal="left" vertical="center" wrapText="1"/>
    </xf>
    <xf numFmtId="6" fontId="19" fillId="0" borderId="1" xfId="15" applyNumberFormat="1" applyFont="1" applyBorder="1" applyAlignment="1">
      <alignment vertical="center" wrapText="1"/>
    </xf>
    <xf numFmtId="0" fontId="19" fillId="0" borderId="0" xfId="15" applyFont="1" applyAlignment="1">
      <alignment vertical="center"/>
    </xf>
    <xf numFmtId="4" fontId="17" fillId="0" borderId="0" xfId="15" applyNumberFormat="1" applyFont="1"/>
    <xf numFmtId="0" fontId="40" fillId="0" borderId="0" xfId="15" applyFont="1" applyAlignment="1">
      <alignment vertical="center"/>
    </xf>
    <xf numFmtId="0" fontId="19" fillId="0" borderId="1" xfId="15" applyFont="1" applyBorder="1" applyAlignment="1">
      <alignment horizontal="center" vertical="center" wrapText="1"/>
    </xf>
    <xf numFmtId="0" fontId="25" fillId="0" borderId="0" xfId="20" applyFont="1"/>
    <xf numFmtId="0" fontId="29" fillId="0" borderId="1" xfId="20" applyFont="1" applyBorder="1" applyAlignment="1">
      <alignment horizontal="center" vertical="center" wrapText="1"/>
    </xf>
    <xf numFmtId="0" fontId="25" fillId="0" borderId="1" xfId="20" applyFont="1" applyBorder="1" applyAlignment="1">
      <alignment horizontal="center" vertical="center" wrapText="1"/>
    </xf>
    <xf numFmtId="0" fontId="14" fillId="0" borderId="1" xfId="20" applyFont="1" applyBorder="1" applyAlignment="1">
      <alignment horizontal="center" vertical="center" wrapText="1"/>
    </xf>
    <xf numFmtId="0" fontId="21" fillId="0" borderId="0" xfId="20" applyFont="1" applyAlignment="1">
      <alignment wrapText="1"/>
    </xf>
    <xf numFmtId="0" fontId="25" fillId="0" borderId="1" xfId="20" applyFont="1" applyBorder="1" applyAlignment="1">
      <alignment vertical="center" wrapText="1"/>
    </xf>
    <xf numFmtId="0" fontId="14" fillId="0" borderId="1" xfId="20" applyFont="1" applyBorder="1" applyAlignment="1">
      <alignment horizontal="right" vertical="center" wrapText="1"/>
    </xf>
    <xf numFmtId="0" fontId="25" fillId="0" borderId="1" xfId="20" applyFont="1" applyBorder="1" applyAlignment="1">
      <alignment horizontal="right" vertical="center" wrapText="1"/>
    </xf>
    <xf numFmtId="0" fontId="14" fillId="0" borderId="1" xfId="20" applyFont="1" applyBorder="1"/>
    <xf numFmtId="0" fontId="14" fillId="0" borderId="0" xfId="20" applyFont="1"/>
    <xf numFmtId="6" fontId="25" fillId="0" borderId="1" xfId="20" applyNumberFormat="1" applyFont="1" applyBorder="1" applyAlignment="1">
      <alignment horizontal="right" vertical="center" wrapText="1"/>
    </xf>
    <xf numFmtId="0" fontId="18" fillId="0" borderId="0" xfId="20" applyFont="1"/>
    <xf numFmtId="0" fontId="25" fillId="0" borderId="1" xfId="20" applyFont="1" applyBorder="1" applyAlignment="1">
      <alignment horizontal="left" vertical="center" indent="1"/>
    </xf>
    <xf numFmtId="8" fontId="25" fillId="0" borderId="1" xfId="20" applyNumberFormat="1" applyFont="1" applyBorder="1" applyAlignment="1">
      <alignment horizontal="right" vertical="center" wrapText="1"/>
    </xf>
    <xf numFmtId="0" fontId="25" fillId="0" borderId="0" xfId="20" applyFont="1" applyAlignment="1">
      <alignment wrapText="1"/>
    </xf>
    <xf numFmtId="0" fontId="25" fillId="0" borderId="1" xfId="20" applyFont="1" applyBorder="1"/>
    <xf numFmtId="0" fontId="35" fillId="0" borderId="1" xfId="20" applyFont="1" applyBorder="1" applyAlignment="1">
      <alignment horizontal="left" vertical="center" indent="1"/>
    </xf>
    <xf numFmtId="0" fontId="14" fillId="0" borderId="1" xfId="20" applyFont="1" applyBorder="1" applyAlignment="1">
      <alignment horizontal="center" vertical="center"/>
    </xf>
    <xf numFmtId="3" fontId="25" fillId="0" borderId="1" xfId="20" applyNumberFormat="1" applyFont="1" applyBorder="1" applyAlignment="1">
      <alignment horizontal="center" vertical="center" wrapText="1"/>
    </xf>
    <xf numFmtId="0" fontId="14" fillId="0" borderId="1" xfId="20" applyFont="1" applyBorder="1" applyAlignment="1">
      <alignment horizontal="left" vertical="center" indent="2"/>
    </xf>
    <xf numFmtId="0" fontId="25" fillId="0" borderId="1" xfId="20" applyFont="1" applyBorder="1" applyAlignment="1">
      <alignment horizontal="left" vertical="center" indent="2"/>
    </xf>
    <xf numFmtId="0" fontId="25" fillId="0" borderId="3" xfId="20" applyFont="1" applyBorder="1" applyAlignment="1">
      <alignment horizontal="center" vertical="center" wrapText="1"/>
    </xf>
    <xf numFmtId="0" fontId="14" fillId="0" borderId="3" xfId="20" applyFont="1" applyBorder="1" applyAlignment="1">
      <alignment horizontal="center" vertical="center" wrapText="1"/>
    </xf>
    <xf numFmtId="0" fontId="14" fillId="0" borderId="3" xfId="20" applyFont="1" applyBorder="1" applyAlignment="1">
      <alignment horizontal="center" vertical="center"/>
    </xf>
    <xf numFmtId="0" fontId="14" fillId="0" borderId="1" xfId="20" applyFont="1" applyBorder="1" applyAlignment="1">
      <alignment horizontal="right" vertical="center"/>
    </xf>
    <xf numFmtId="0" fontId="36" fillId="0" borderId="1" xfId="20" applyFont="1" applyBorder="1" applyAlignment="1">
      <alignment horizontal="left" vertical="center" indent="1"/>
    </xf>
    <xf numFmtId="0" fontId="25" fillId="0" borderId="1" xfId="20" applyFont="1" applyBorder="1" applyAlignment="1">
      <alignment horizontal="left" vertical="center" wrapText="1" indent="2"/>
    </xf>
    <xf numFmtId="0" fontId="33" fillId="0" borderId="1" xfId="20" applyFont="1" applyBorder="1" applyAlignment="1">
      <alignment horizontal="left" vertical="center" wrapText="1"/>
    </xf>
    <xf numFmtId="0" fontId="33" fillId="0" borderId="3" xfId="20" applyFont="1" applyBorder="1" applyAlignment="1">
      <alignment horizontal="right" vertical="center" wrapText="1"/>
    </xf>
    <xf numFmtId="0" fontId="23" fillId="0" borderId="3" xfId="20" applyFont="1" applyBorder="1" applyAlignment="1">
      <alignment horizontal="right" vertical="center" wrapText="1"/>
    </xf>
    <xf numFmtId="0" fontId="23" fillId="0" borderId="3" xfId="20" applyFont="1" applyBorder="1" applyAlignment="1">
      <alignment horizontal="right" vertical="center"/>
    </xf>
    <xf numFmtId="6" fontId="33" fillId="0" borderId="1" xfId="20" applyNumberFormat="1" applyFont="1" applyBorder="1" applyAlignment="1">
      <alignment horizontal="right" vertical="center" wrapText="1"/>
    </xf>
    <xf numFmtId="0" fontId="33" fillId="0" borderId="1" xfId="20" applyFont="1" applyBorder="1" applyAlignment="1">
      <alignment horizontal="right" vertical="center" wrapText="1"/>
    </xf>
    <xf numFmtId="0" fontId="23" fillId="0" borderId="1" xfId="20" applyFont="1" applyBorder="1" applyAlignment="1">
      <alignment horizontal="right" vertical="center" wrapText="1"/>
    </xf>
    <xf numFmtId="0" fontId="23" fillId="0" borderId="1" xfId="20" applyFont="1" applyBorder="1" applyAlignment="1">
      <alignment horizontal="right" vertical="center"/>
    </xf>
    <xf numFmtId="0" fontId="31" fillId="0" borderId="1" xfId="20" applyFont="1" applyBorder="1" applyAlignment="1">
      <alignment vertical="center" wrapText="1"/>
    </xf>
    <xf numFmtId="0" fontId="29" fillId="0" borderId="1" xfId="20" applyFont="1" applyBorder="1" applyAlignment="1">
      <alignment horizontal="right" vertical="center" wrapText="1"/>
    </xf>
    <xf numFmtId="3" fontId="19" fillId="0" borderId="1" xfId="20" applyNumberFormat="1" applyFont="1" applyBorder="1" applyAlignment="1">
      <alignment horizontal="center" vertical="center" wrapText="1"/>
    </xf>
    <xf numFmtId="3" fontId="19" fillId="0" borderId="1" xfId="20" applyNumberFormat="1" applyFont="1" applyBorder="1" applyAlignment="1">
      <alignment horizontal="right" vertical="center" wrapText="1"/>
    </xf>
    <xf numFmtId="6" fontId="29" fillId="0" borderId="1" xfId="20" applyNumberFormat="1" applyFont="1" applyBorder="1" applyAlignment="1">
      <alignment horizontal="right" vertical="center" wrapText="1"/>
    </xf>
    <xf numFmtId="1" fontId="25" fillId="0" borderId="0" xfId="20" applyNumberFormat="1" applyFont="1"/>
    <xf numFmtId="0" fontId="19" fillId="0" borderId="1" xfId="20" applyFont="1" applyBorder="1" applyAlignment="1">
      <alignment vertical="center" wrapText="1"/>
    </xf>
    <xf numFmtId="0" fontId="25" fillId="0" borderId="1" xfId="20" applyFont="1" applyBorder="1" applyAlignment="1">
      <alignment horizontal="left" vertical="center" wrapText="1" indent="1"/>
    </xf>
    <xf numFmtId="0" fontId="25" fillId="0" borderId="1" xfId="20" applyFont="1" applyFill="1" applyBorder="1" applyAlignment="1">
      <alignment horizontal="left" vertical="center" wrapText="1" indent="2"/>
    </xf>
    <xf numFmtId="0" fontId="14" fillId="0" borderId="1" xfId="20" applyFont="1" applyFill="1" applyBorder="1" applyAlignment="1">
      <alignment horizontal="center" vertical="center" wrapText="1"/>
    </xf>
    <xf numFmtId="0" fontId="14" fillId="0" borderId="1" xfId="20" applyFont="1" applyFill="1" applyBorder="1" applyAlignment="1">
      <alignment horizontal="left" vertical="center" wrapText="1"/>
    </xf>
    <xf numFmtId="164" fontId="14" fillId="0" borderId="0" xfId="15" applyNumberFormat="1" applyFont="1" applyFill="1" applyBorder="1" applyAlignment="1">
      <alignment horizontal="center" vertical="center" wrapText="1"/>
    </xf>
    <xf numFmtId="165" fontId="20" fillId="0" borderId="1" xfId="20" applyNumberFormat="1" applyFont="1" applyFill="1" applyBorder="1" applyAlignment="1">
      <alignment vertical="center" wrapText="1"/>
    </xf>
    <xf numFmtId="0" fontId="25" fillId="0" borderId="1" xfId="20" applyFont="1" applyBorder="1" applyAlignment="1">
      <alignment wrapText="1"/>
    </xf>
    <xf numFmtId="0" fontId="35" fillId="0" borderId="1" xfId="20" applyFont="1" applyBorder="1" applyAlignment="1">
      <alignment horizontal="left" vertical="center" wrapText="1" indent="1"/>
    </xf>
    <xf numFmtId="166" fontId="14" fillId="0" borderId="10" xfId="0" applyNumberFormat="1" applyFont="1" applyBorder="1" applyAlignment="1">
      <alignment horizontal="left" vertical="top" wrapText="1"/>
    </xf>
    <xf numFmtId="166" fontId="14" fillId="0" borderId="3" xfId="0" applyNumberFormat="1" applyFont="1" applyBorder="1" applyAlignment="1">
      <alignment horizontal="center" wrapText="1"/>
    </xf>
    <xf numFmtId="166" fontId="14" fillId="0" borderId="6" xfId="0" applyNumberFormat="1" applyFont="1" applyBorder="1" applyAlignment="1">
      <alignment horizontal="center" wrapText="1"/>
    </xf>
    <xf numFmtId="166" fontId="14" fillId="0" borderId="3" xfId="0" applyNumberFormat="1" applyFont="1" applyBorder="1" applyAlignment="1">
      <alignment horizontal="left" wrapText="1"/>
    </xf>
    <xf numFmtId="165" fontId="14" fillId="0" borderId="3" xfId="0" applyNumberFormat="1" applyFont="1" applyFill="1" applyBorder="1" applyAlignment="1">
      <alignment horizontal="center"/>
    </xf>
    <xf numFmtId="6" fontId="25" fillId="0" borderId="0" xfId="20" applyNumberFormat="1" applyFont="1"/>
    <xf numFmtId="166" fontId="14" fillId="0" borderId="12" xfId="0" applyNumberFormat="1" applyFont="1" applyBorder="1" applyAlignment="1">
      <alignment horizontal="center" vertical="center" wrapText="1"/>
    </xf>
    <xf numFmtId="0" fontId="20" fillId="0" borderId="7" xfId="0" applyFont="1" applyBorder="1"/>
    <xf numFmtId="0" fontId="20" fillId="0" borderId="13" xfId="0" applyFont="1" applyBorder="1"/>
    <xf numFmtId="0" fontId="14" fillId="11" borderId="13" xfId="13" applyFont="1" applyFill="1" applyBorder="1"/>
    <xf numFmtId="0" fontId="20" fillId="0" borderId="11" xfId="0" applyFont="1" applyBorder="1"/>
    <xf numFmtId="165" fontId="14" fillId="0" borderId="9" xfId="0" applyNumberFormat="1" applyFont="1" applyBorder="1" applyAlignment="1">
      <alignment horizontal="center" vertical="center" wrapText="1"/>
    </xf>
    <xf numFmtId="1" fontId="14" fillId="0" borderId="9" xfId="0" applyNumberFormat="1" applyFont="1" applyBorder="1" applyAlignment="1">
      <alignment horizontal="center" vertical="center" wrapText="1"/>
    </xf>
    <xf numFmtId="0" fontId="10" fillId="0" borderId="0" xfId="0" applyFont="1" applyAlignment="1">
      <alignment horizontal="right" wrapText="1"/>
    </xf>
    <xf numFmtId="0" fontId="45" fillId="0" borderId="20" xfId="21" applyFont="1" applyBorder="1" applyAlignment="1">
      <alignment vertical="center" wrapText="1"/>
    </xf>
    <xf numFmtId="0" fontId="45" fillId="0" borderId="20" xfId="21" applyFont="1" applyBorder="1" applyAlignment="1">
      <alignment horizontal="center" vertical="center" wrapText="1"/>
    </xf>
    <xf numFmtId="0" fontId="44" fillId="0" borderId="0" xfId="21"/>
    <xf numFmtId="0" fontId="44" fillId="0" borderId="0" xfId="21" applyAlignment="1">
      <alignment vertical="center" wrapText="1"/>
    </xf>
    <xf numFmtId="0" fontId="44" fillId="0" borderId="0" xfId="21" applyAlignment="1">
      <alignment horizontal="center" vertical="center" wrapText="1"/>
    </xf>
    <xf numFmtId="49" fontId="10" fillId="0" borderId="0" xfId="0" applyNumberFormat="1" applyFont="1"/>
    <xf numFmtId="0" fontId="15" fillId="0" borderId="0" xfId="2"/>
    <xf numFmtId="0" fontId="15" fillId="0" borderId="0" xfId="2" applyAlignment="1">
      <alignment wrapText="1"/>
    </xf>
    <xf numFmtId="168" fontId="4" fillId="0" borderId="0" xfId="4" applyNumberFormat="1" applyFont="1"/>
    <xf numFmtId="0" fontId="4" fillId="0" borderId="0" xfId="2" applyFont="1"/>
    <xf numFmtId="0" fontId="15" fillId="0" borderId="4" xfId="2" applyBorder="1"/>
    <xf numFmtId="169" fontId="15" fillId="0" borderId="8" xfId="2" applyNumberFormat="1" applyBorder="1" applyAlignment="1">
      <alignment wrapText="1"/>
    </xf>
    <xf numFmtId="170" fontId="15" fillId="0" borderId="8" xfId="2" applyNumberFormat="1" applyBorder="1"/>
    <xf numFmtId="0" fontId="15" fillId="0" borderId="2" xfId="2" applyBorder="1"/>
    <xf numFmtId="168" fontId="43" fillId="0" borderId="8" xfId="4" applyNumberFormat="1" applyFont="1" applyBorder="1"/>
    <xf numFmtId="0" fontId="13" fillId="0" borderId="8" xfId="2" applyFont="1" applyBorder="1"/>
    <xf numFmtId="0" fontId="14" fillId="0" borderId="0" xfId="0" applyFont="1" applyBorder="1" applyAlignment="1">
      <alignment horizontal="center"/>
    </xf>
    <xf numFmtId="0" fontId="14" fillId="0" borderId="1" xfId="0" applyFont="1" applyBorder="1" applyAlignment="1">
      <alignment horizontal="center"/>
    </xf>
    <xf numFmtId="3" fontId="0" fillId="0" borderId="0" xfId="0" applyNumberFormat="1"/>
    <xf numFmtId="165" fontId="0" fillId="0" borderId="0" xfId="0" applyNumberFormat="1"/>
    <xf numFmtId="0" fontId="10" fillId="0" borderId="0" xfId="0" applyFont="1" applyFill="1" applyAlignment="1">
      <alignment horizontal="center" wrapText="1"/>
    </xf>
    <xf numFmtId="0" fontId="0" fillId="0" borderId="0" xfId="0" applyAlignment="1">
      <alignment horizontal="right" wrapText="1"/>
    </xf>
    <xf numFmtId="0" fontId="46" fillId="0" borderId="0" xfId="0" applyFont="1" applyAlignment="1">
      <alignment horizontal="left" wrapText="1"/>
    </xf>
    <xf numFmtId="0" fontId="0" fillId="0" borderId="0" xfId="0" applyAlignment="1">
      <alignment horizontal="center"/>
    </xf>
    <xf numFmtId="0" fontId="47" fillId="12" borderId="1" xfId="0" applyFont="1" applyFill="1" applyBorder="1" applyAlignment="1">
      <alignment horizontal="center"/>
    </xf>
    <xf numFmtId="0" fontId="0" fillId="0" borderId="1" xfId="0" applyBorder="1" applyAlignment="1">
      <alignment horizontal="center"/>
    </xf>
    <xf numFmtId="0" fontId="47" fillId="12" borderId="1" xfId="0" applyFont="1" applyFill="1" applyBorder="1" applyAlignment="1">
      <alignment horizontal="center" wrapText="1"/>
    </xf>
    <xf numFmtId="0" fontId="10" fillId="0" borderId="1" xfId="0" applyFont="1" applyFill="1" applyBorder="1" applyAlignment="1">
      <alignment horizontal="left" wrapText="1"/>
    </xf>
    <xf numFmtId="1" fontId="0" fillId="0" borderId="0" xfId="0" applyNumberFormat="1"/>
    <xf numFmtId="3" fontId="33" fillId="0" borderId="1" xfId="20" applyNumberFormat="1" applyFont="1" applyBorder="1" applyAlignment="1">
      <alignment horizontal="center" vertical="center" wrapText="1"/>
    </xf>
    <xf numFmtId="165" fontId="14" fillId="0" borderId="1" xfId="0" applyNumberFormat="1" applyFont="1" applyFill="1" applyBorder="1" applyAlignment="1">
      <alignment horizontal="right"/>
    </xf>
    <xf numFmtId="0" fontId="14" fillId="0" borderId="0" xfId="15" applyFont="1" applyAlignment="1">
      <alignment wrapText="1"/>
    </xf>
    <xf numFmtId="0" fontId="18" fillId="0" borderId="0" xfId="15" applyFont="1" applyAlignment="1">
      <alignment wrapText="1"/>
    </xf>
    <xf numFmtId="0" fontId="14" fillId="0" borderId="0" xfId="14" applyFont="1" applyAlignment="1">
      <alignment wrapText="1"/>
    </xf>
    <xf numFmtId="1" fontId="14" fillId="0" borderId="0" xfId="0" applyNumberFormat="1" applyFont="1" applyBorder="1"/>
    <xf numFmtId="3" fontId="14" fillId="0" borderId="0" xfId="0" applyNumberFormat="1" applyFont="1" applyBorder="1"/>
    <xf numFmtId="3" fontId="10" fillId="0" borderId="0" xfId="0" applyNumberFormat="1" applyFont="1"/>
    <xf numFmtId="167" fontId="14" fillId="0" borderId="1" xfId="20" applyNumberFormat="1" applyFont="1" applyBorder="1" applyAlignment="1">
      <alignment horizontal="center" vertical="center"/>
    </xf>
    <xf numFmtId="0" fontId="25" fillId="0" borderId="0" xfId="20" applyFont="1" applyFill="1"/>
    <xf numFmtId="165" fontId="14" fillId="0" borderId="3" xfId="13" applyNumberFormat="1" applyFont="1" applyFill="1" applyBorder="1" applyAlignment="1">
      <alignment horizontal="center"/>
    </xf>
    <xf numFmtId="165" fontId="14" fillId="0" borderId="1" xfId="13" applyNumberFormat="1" applyFont="1" applyFill="1" applyBorder="1" applyAlignment="1">
      <alignment horizontal="center"/>
    </xf>
    <xf numFmtId="0" fontId="25" fillId="0" borderId="0" xfId="20" applyFont="1" applyFill="1" applyAlignment="1">
      <alignment wrapText="1"/>
    </xf>
    <xf numFmtId="0" fontId="14" fillId="0" borderId="0" xfId="14" applyNumberFormat="1" applyFont="1" applyAlignment="1"/>
    <xf numFmtId="0" fontId="28" fillId="0" borderId="0" xfId="14" applyNumberFormat="1" applyFont="1" applyAlignment="1"/>
    <xf numFmtId="0" fontId="19" fillId="0" borderId="1" xfId="15" applyFont="1" applyFill="1" applyBorder="1" applyAlignment="1">
      <alignment horizontal="center" vertical="center" wrapText="1"/>
    </xf>
    <xf numFmtId="0" fontId="17" fillId="0" borderId="1" xfId="15" applyFont="1" applyFill="1" applyBorder="1" applyAlignment="1">
      <alignment vertical="top" wrapText="1" indent="1"/>
    </xf>
    <xf numFmtId="0" fontId="17" fillId="0" borderId="0" xfId="15" applyFont="1" applyFill="1"/>
    <xf numFmtId="0" fontId="14" fillId="0" borderId="1" xfId="15" applyFont="1" applyFill="1" applyBorder="1"/>
    <xf numFmtId="164" fontId="14" fillId="0" borderId="1" xfId="15" applyNumberFormat="1" applyFont="1" applyFill="1" applyBorder="1" applyAlignment="1">
      <alignment horizontal="center"/>
    </xf>
    <xf numFmtId="0" fontId="14" fillId="0" borderId="1" xfId="15" applyFont="1" applyFill="1" applyBorder="1" applyAlignment="1">
      <alignment horizontal="center" vertical="center" wrapText="1"/>
    </xf>
    <xf numFmtId="167" fontId="14" fillId="0" borderId="1" xfId="15" applyNumberFormat="1" applyFont="1" applyFill="1" applyBorder="1" applyAlignment="1">
      <alignment horizontal="center" vertical="center" wrapText="1"/>
    </xf>
    <xf numFmtId="8" fontId="14" fillId="0" borderId="1" xfId="15" applyNumberFormat="1" applyFont="1" applyFill="1" applyBorder="1" applyAlignment="1">
      <alignment horizontal="right" vertical="center" wrapText="1" indent="1"/>
    </xf>
    <xf numFmtId="164" fontId="14" fillId="0" borderId="1" xfId="15" applyNumberFormat="1" applyFont="1" applyFill="1" applyBorder="1" applyAlignment="1">
      <alignment horizontal="center" vertical="center" wrapText="1"/>
    </xf>
    <xf numFmtId="1" fontId="14" fillId="0" borderId="1" xfId="15" applyNumberFormat="1" applyFont="1" applyFill="1" applyBorder="1" applyAlignment="1">
      <alignment horizontal="center" vertical="center" wrapText="1"/>
    </xf>
    <xf numFmtId="6" fontId="14" fillId="0" borderId="1" xfId="15" applyNumberFormat="1" applyFont="1" applyFill="1" applyBorder="1" applyAlignment="1">
      <alignment horizontal="right" vertical="center" wrapText="1" indent="1"/>
    </xf>
    <xf numFmtId="0" fontId="14" fillId="0" borderId="1" xfId="15" applyFont="1" applyFill="1" applyBorder="1" applyAlignment="1">
      <alignment horizontal="right" vertical="center" wrapText="1" indent="1"/>
    </xf>
    <xf numFmtId="0" fontId="17" fillId="0" borderId="0" xfId="15" applyFont="1" applyFill="1" applyAlignment="1">
      <alignment horizontal="center"/>
    </xf>
    <xf numFmtId="2" fontId="14" fillId="0" borderId="1" xfId="15" applyNumberFormat="1" applyFont="1" applyFill="1" applyBorder="1" applyAlignment="1">
      <alignment horizontal="center" vertical="center" wrapText="1"/>
    </xf>
    <xf numFmtId="0" fontId="19" fillId="0" borderId="1" xfId="15" applyFont="1" applyFill="1" applyBorder="1" applyAlignment="1">
      <alignment vertical="center" wrapText="1"/>
    </xf>
    <xf numFmtId="3" fontId="19" fillId="0" borderId="1" xfId="15" applyNumberFormat="1" applyFont="1" applyFill="1" applyBorder="1" applyAlignment="1">
      <alignment horizontal="center" vertical="center" wrapText="1"/>
    </xf>
    <xf numFmtId="3" fontId="19" fillId="0" borderId="1" xfId="15" applyNumberFormat="1" applyFont="1" applyFill="1" applyBorder="1" applyAlignment="1">
      <alignment vertical="center" wrapText="1"/>
    </xf>
    <xf numFmtId="6" fontId="19" fillId="0" borderId="1" xfId="15" applyNumberFormat="1" applyFont="1" applyFill="1" applyBorder="1" applyAlignment="1">
      <alignment vertical="center" wrapText="1"/>
    </xf>
    <xf numFmtId="4" fontId="17" fillId="0" borderId="0" xfId="15" applyNumberFormat="1" applyFont="1" applyFill="1"/>
    <xf numFmtId="0" fontId="5" fillId="0" borderId="0" xfId="20" applyFill="1"/>
    <xf numFmtId="0" fontId="28" fillId="0" borderId="0" xfId="15" applyFont="1" applyFill="1" applyAlignment="1">
      <alignment horizontal="left" vertical="top" wrapText="1"/>
    </xf>
    <xf numFmtId="0" fontId="5" fillId="0" borderId="0" xfId="20" applyNumberFormat="1" applyFill="1" applyAlignment="1"/>
    <xf numFmtId="0" fontId="41" fillId="0" borderId="17" xfId="20" applyFont="1" applyFill="1" applyBorder="1" applyAlignment="1">
      <alignment vertical="center" wrapText="1"/>
    </xf>
    <xf numFmtId="0" fontId="20" fillId="0" borderId="18" xfId="20" applyFont="1" applyFill="1" applyBorder="1" applyAlignment="1">
      <alignment vertical="center" wrapText="1"/>
    </xf>
    <xf numFmtId="0" fontId="20" fillId="0" borderId="19" xfId="20" applyFont="1" applyFill="1" applyBorder="1" applyAlignment="1">
      <alignment vertical="center" wrapText="1"/>
    </xf>
    <xf numFmtId="0" fontId="3" fillId="0" borderId="0" xfId="20" applyFont="1" applyFill="1"/>
    <xf numFmtId="0" fontId="20" fillId="0" borderId="17" xfId="20" applyFont="1" applyFill="1" applyBorder="1" applyAlignment="1">
      <alignment horizontal="center" vertical="center" wrapText="1"/>
    </xf>
    <xf numFmtId="0" fontId="20" fillId="0" borderId="18" xfId="20" applyFont="1" applyFill="1" applyBorder="1" applyAlignment="1">
      <alignment horizontal="center" vertical="center" wrapText="1"/>
    </xf>
    <xf numFmtId="0" fontId="20" fillId="0" borderId="19" xfId="20" applyFont="1" applyFill="1" applyBorder="1" applyAlignment="1">
      <alignment horizontal="center" vertical="center" wrapText="1"/>
    </xf>
    <xf numFmtId="0" fontId="20" fillId="0" borderId="1" xfId="20" applyFont="1" applyFill="1" applyBorder="1" applyAlignment="1">
      <alignment vertical="center" wrapText="1"/>
    </xf>
    <xf numFmtId="0" fontId="25" fillId="0" borderId="1" xfId="20" applyFont="1" applyFill="1" applyBorder="1" applyAlignment="1">
      <alignment vertical="center" wrapText="1"/>
    </xf>
    <xf numFmtId="0" fontId="5" fillId="0" borderId="1" xfId="20" applyFill="1" applyBorder="1"/>
    <xf numFmtId="0" fontId="31" fillId="0" borderId="1" xfId="20" applyFont="1" applyFill="1" applyBorder="1" applyAlignment="1">
      <alignment vertical="center" wrapText="1"/>
    </xf>
    <xf numFmtId="165" fontId="5" fillId="0" borderId="0" xfId="20" applyNumberFormat="1" applyFill="1"/>
    <xf numFmtId="0" fontId="5" fillId="0" borderId="0" xfId="20" applyFill="1" applyAlignment="1">
      <alignment horizontal="right"/>
    </xf>
    <xf numFmtId="0" fontId="50" fillId="0" borderId="0" xfId="20" applyFont="1" applyFill="1"/>
    <xf numFmtId="0" fontId="25" fillId="0" borderId="0" xfId="15" applyFont="1" applyFill="1"/>
    <xf numFmtId="0" fontId="29" fillId="0" borderId="1" xfId="20" applyFont="1" applyFill="1" applyBorder="1" applyAlignment="1">
      <alignment horizontal="center" vertical="center" wrapText="1"/>
    </xf>
    <xf numFmtId="0" fontId="25" fillId="0" borderId="1" xfId="20" applyFont="1" applyFill="1" applyBorder="1" applyAlignment="1">
      <alignment horizontal="center" vertical="center" wrapText="1"/>
    </xf>
    <xf numFmtId="0" fontId="21" fillId="0" borderId="0" xfId="20" applyFont="1" applyFill="1" applyAlignment="1">
      <alignment wrapText="1"/>
    </xf>
    <xf numFmtId="0" fontId="14" fillId="0" borderId="1" xfId="20" applyFont="1" applyFill="1" applyBorder="1" applyAlignment="1">
      <alignment horizontal="right" vertical="center" wrapText="1"/>
    </xf>
    <xf numFmtId="0" fontId="25" fillId="0" borderId="1" xfId="20" applyFont="1" applyFill="1" applyBorder="1" applyAlignment="1">
      <alignment horizontal="right" vertical="center" wrapText="1"/>
    </xf>
    <xf numFmtId="0" fontId="14" fillId="0" borderId="1" xfId="20" applyFont="1" applyFill="1" applyBorder="1"/>
    <xf numFmtId="8" fontId="25" fillId="0" borderId="1" xfId="15" applyNumberFormat="1" applyFont="1" applyFill="1" applyBorder="1"/>
    <xf numFmtId="0" fontId="14" fillId="0" borderId="0" xfId="15" applyFont="1" applyFill="1" applyAlignment="1">
      <alignment wrapText="1"/>
    </xf>
    <xf numFmtId="6" fontId="25" fillId="0" borderId="1" xfId="20" applyNumberFormat="1" applyFont="1" applyFill="1" applyBorder="1" applyAlignment="1">
      <alignment horizontal="right" vertical="center" wrapText="1"/>
    </xf>
    <xf numFmtId="0" fontId="18" fillId="0" borderId="0" xfId="15" applyFont="1" applyFill="1"/>
    <xf numFmtId="8" fontId="25" fillId="0" borderId="1" xfId="20" applyNumberFormat="1" applyFont="1" applyFill="1" applyBorder="1" applyAlignment="1">
      <alignment horizontal="right" vertical="center" wrapText="1"/>
    </xf>
    <xf numFmtId="0" fontId="25" fillId="0" borderId="1" xfId="20" applyFont="1" applyFill="1" applyBorder="1"/>
    <xf numFmtId="0" fontId="14" fillId="0" borderId="1" xfId="20" applyFont="1" applyFill="1" applyBorder="1" applyAlignment="1">
      <alignment horizontal="center" vertical="center"/>
    </xf>
    <xf numFmtId="3" fontId="25" fillId="0" borderId="1" xfId="20" applyNumberFormat="1" applyFont="1" applyFill="1" applyBorder="1" applyAlignment="1">
      <alignment horizontal="center" vertical="center" wrapText="1"/>
    </xf>
    <xf numFmtId="0" fontId="18" fillId="0" borderId="0" xfId="20" applyFont="1" applyFill="1"/>
    <xf numFmtId="0" fontId="25" fillId="0" borderId="3" xfId="20" applyFont="1" applyFill="1" applyBorder="1" applyAlignment="1">
      <alignment horizontal="center" vertical="center" wrapText="1"/>
    </xf>
    <xf numFmtId="0" fontId="14" fillId="0" borderId="3" xfId="20" applyFont="1" applyFill="1" applyBorder="1" applyAlignment="1">
      <alignment horizontal="center" vertical="center" wrapText="1"/>
    </xf>
    <xf numFmtId="0" fontId="14" fillId="0" borderId="3" xfId="20" applyFont="1" applyFill="1" applyBorder="1" applyAlignment="1">
      <alignment horizontal="center" vertical="center"/>
    </xf>
    <xf numFmtId="0" fontId="14" fillId="0" borderId="1" xfId="20" applyFont="1" applyFill="1" applyBorder="1" applyAlignment="1">
      <alignment horizontal="right" vertical="center"/>
    </xf>
    <xf numFmtId="0" fontId="33" fillId="0" borderId="1" xfId="20" applyFont="1" applyFill="1" applyBorder="1" applyAlignment="1">
      <alignment horizontal="left" vertical="center" wrapText="1"/>
    </xf>
    <xf numFmtId="0" fontId="33" fillId="0" borderId="3" xfId="20" applyFont="1" applyFill="1" applyBorder="1" applyAlignment="1">
      <alignment horizontal="right" vertical="center" wrapText="1"/>
    </xf>
    <xf numFmtId="0" fontId="23" fillId="0" borderId="3" xfId="20" applyFont="1" applyFill="1" applyBorder="1" applyAlignment="1">
      <alignment horizontal="right" vertical="center" wrapText="1"/>
    </xf>
    <xf numFmtId="0" fontId="23" fillId="0" borderId="3" xfId="20" applyFont="1" applyFill="1" applyBorder="1" applyAlignment="1">
      <alignment horizontal="right" vertical="center"/>
    </xf>
    <xf numFmtId="3" fontId="33" fillId="0" borderId="1" xfId="20" applyNumberFormat="1" applyFont="1" applyFill="1" applyBorder="1" applyAlignment="1">
      <alignment horizontal="center" vertical="center" wrapText="1"/>
    </xf>
    <xf numFmtId="6" fontId="33" fillId="0" borderId="1" xfId="20" applyNumberFormat="1" applyFont="1" applyFill="1" applyBorder="1" applyAlignment="1">
      <alignment horizontal="right" vertical="center" wrapText="1"/>
    </xf>
    <xf numFmtId="0" fontId="33" fillId="0" borderId="1" xfId="20" applyFont="1" applyFill="1" applyBorder="1" applyAlignment="1">
      <alignment horizontal="right" vertical="center" wrapText="1"/>
    </xf>
    <xf numFmtId="0" fontId="23" fillId="0" borderId="1" xfId="20" applyFont="1" applyFill="1" applyBorder="1" applyAlignment="1">
      <alignment horizontal="right" vertical="center" wrapText="1"/>
    </xf>
    <xf numFmtId="0" fontId="23" fillId="0" borderId="1" xfId="20" applyFont="1" applyFill="1" applyBorder="1" applyAlignment="1">
      <alignment horizontal="right" vertical="center"/>
    </xf>
    <xf numFmtId="0" fontId="29" fillId="0" borderId="1" xfId="20" applyFont="1" applyFill="1" applyBorder="1" applyAlignment="1">
      <alignment horizontal="right" vertical="center" wrapText="1"/>
    </xf>
    <xf numFmtId="3" fontId="19" fillId="0" borderId="1" xfId="20" applyNumberFormat="1" applyFont="1" applyFill="1" applyBorder="1" applyAlignment="1">
      <alignment horizontal="center" vertical="center" wrapText="1"/>
    </xf>
    <xf numFmtId="3" fontId="19" fillId="0" borderId="1" xfId="20" applyNumberFormat="1" applyFont="1" applyFill="1" applyBorder="1" applyAlignment="1">
      <alignment horizontal="right" vertical="center" wrapText="1"/>
    </xf>
    <xf numFmtId="6" fontId="29" fillId="0" borderId="1" xfId="20" applyNumberFormat="1" applyFont="1" applyFill="1" applyBorder="1" applyAlignment="1">
      <alignment horizontal="right" vertical="center" wrapText="1"/>
    </xf>
    <xf numFmtId="1" fontId="25" fillId="0" borderId="0" xfId="20" applyNumberFormat="1" applyFont="1" applyFill="1"/>
    <xf numFmtId="0" fontId="19" fillId="0" borderId="1" xfId="20" applyFont="1" applyFill="1" applyBorder="1" applyAlignment="1">
      <alignment vertical="center" wrapText="1"/>
    </xf>
    <xf numFmtId="0" fontId="14" fillId="0" borderId="0" xfId="20" applyFont="1" applyFill="1"/>
    <xf numFmtId="0" fontId="17" fillId="0" borderId="0" xfId="20" applyFont="1" applyFill="1"/>
    <xf numFmtId="0" fontId="17" fillId="0" borderId="0" xfId="20" applyFont="1" applyFill="1" applyAlignment="1">
      <alignment horizontal="center"/>
    </xf>
    <xf numFmtId="0" fontId="19" fillId="0" borderId="1" xfId="20" applyFont="1" applyFill="1" applyBorder="1" applyAlignment="1">
      <alignment horizontal="center" vertical="center" wrapText="1"/>
    </xf>
    <xf numFmtId="0" fontId="38" fillId="0" borderId="0" xfId="20" applyFont="1" applyFill="1"/>
    <xf numFmtId="0" fontId="17" fillId="0" borderId="1" xfId="20" applyFont="1" applyFill="1" applyBorder="1" applyAlignment="1">
      <alignment vertical="top" wrapText="1" indent="1"/>
    </xf>
    <xf numFmtId="0" fontId="14" fillId="0" borderId="1" xfId="20" applyFont="1" applyFill="1" applyBorder="1" applyAlignment="1">
      <alignment horizontal="left" vertical="center" wrapText="1" indent="1"/>
    </xf>
    <xf numFmtId="167" fontId="14" fillId="0" borderId="1" xfId="20" applyNumberFormat="1" applyFont="1" applyFill="1" applyBorder="1" applyAlignment="1">
      <alignment horizontal="center" vertical="center" wrapText="1"/>
    </xf>
    <xf numFmtId="8" fontId="14" fillId="0" borderId="1" xfId="20" applyNumberFormat="1" applyFont="1" applyFill="1" applyBorder="1" applyAlignment="1">
      <alignment horizontal="right" vertical="center" wrapText="1" indent="1"/>
    </xf>
    <xf numFmtId="0" fontId="14" fillId="0" borderId="0" xfId="15" applyFont="1" applyFill="1"/>
    <xf numFmtId="1" fontId="14" fillId="0" borderId="1" xfId="20" applyNumberFormat="1" applyFont="1" applyFill="1" applyBorder="1" applyAlignment="1">
      <alignment horizontal="center" vertical="center" wrapText="1"/>
    </xf>
    <xf numFmtId="6" fontId="14" fillId="0" borderId="1" xfId="20" applyNumberFormat="1" applyFont="1" applyFill="1" applyBorder="1" applyAlignment="1">
      <alignment horizontal="right" vertical="center" wrapText="1" indent="1"/>
    </xf>
    <xf numFmtId="0" fontId="14" fillId="0" borderId="1" xfId="20" applyFont="1" applyFill="1" applyBorder="1" applyAlignment="1">
      <alignment horizontal="right" vertical="center" wrapText="1" indent="1"/>
    </xf>
    <xf numFmtId="2" fontId="14" fillId="0" borderId="1" xfId="20" applyNumberFormat="1" applyFont="1" applyFill="1" applyBorder="1" applyAlignment="1">
      <alignment horizontal="center" vertical="center" wrapText="1"/>
    </xf>
    <xf numFmtId="3" fontId="19" fillId="0" borderId="1" xfId="20" applyNumberFormat="1" applyFont="1" applyFill="1" applyBorder="1" applyAlignment="1">
      <alignment vertical="center" wrapText="1"/>
    </xf>
    <xf numFmtId="6" fontId="19" fillId="0" borderId="1" xfId="20" applyNumberFormat="1" applyFont="1" applyFill="1" applyBorder="1" applyAlignment="1">
      <alignment vertical="center" wrapText="1"/>
    </xf>
    <xf numFmtId="0" fontId="19" fillId="0" borderId="0" xfId="20" applyFont="1" applyFill="1" applyAlignment="1">
      <alignment vertical="center"/>
    </xf>
    <xf numFmtId="4" fontId="17" fillId="0" borderId="0" xfId="20" applyNumberFormat="1" applyFont="1" applyFill="1"/>
    <xf numFmtId="0" fontId="40" fillId="0" borderId="0" xfId="20" applyFont="1" applyFill="1" applyAlignment="1">
      <alignment vertical="center"/>
    </xf>
    <xf numFmtId="0" fontId="25" fillId="0" borderId="0" xfId="19" applyFont="1" applyFill="1"/>
    <xf numFmtId="0" fontId="31" fillId="0" borderId="1" xfId="19" applyFont="1" applyFill="1" applyBorder="1" applyAlignment="1">
      <alignment horizontal="center" vertical="center" wrapText="1"/>
    </xf>
    <xf numFmtId="0" fontId="20" fillId="0" borderId="1" xfId="19" applyFont="1" applyFill="1" applyBorder="1" applyAlignment="1">
      <alignment horizontal="center" vertical="center" wrapText="1"/>
    </xf>
    <xf numFmtId="0" fontId="25" fillId="0" borderId="1" xfId="19" applyFont="1" applyFill="1" applyBorder="1" applyAlignment="1">
      <alignment vertical="center" wrapText="1"/>
    </xf>
    <xf numFmtId="0" fontId="20" fillId="0" borderId="1" xfId="19" applyFont="1" applyFill="1" applyBorder="1" applyAlignment="1">
      <alignment vertical="center" wrapText="1"/>
    </xf>
    <xf numFmtId="6" fontId="20" fillId="0" borderId="1" xfId="19" applyNumberFormat="1" applyFont="1" applyFill="1" applyBorder="1" applyAlignment="1">
      <alignment horizontal="center" vertical="center" wrapText="1"/>
    </xf>
    <xf numFmtId="8" fontId="25" fillId="0" borderId="0" xfId="19" applyNumberFormat="1" applyFont="1" applyFill="1"/>
    <xf numFmtId="164" fontId="18" fillId="0" borderId="0" xfId="19" applyNumberFormat="1" applyFont="1" applyFill="1"/>
    <xf numFmtId="0" fontId="32" fillId="0" borderId="0" xfId="19" applyFont="1" applyFill="1" applyAlignment="1">
      <alignment vertical="center"/>
    </xf>
    <xf numFmtId="0" fontId="30" fillId="0" borderId="0" xfId="19" applyFont="1" applyFill="1" applyAlignment="1">
      <alignment vertical="center"/>
    </xf>
    <xf numFmtId="0" fontId="38" fillId="0" borderId="0" xfId="15" applyFont="1" applyFill="1"/>
    <xf numFmtId="0" fontId="14" fillId="0" borderId="1" xfId="15" applyFont="1" applyFill="1" applyBorder="1" applyAlignment="1">
      <alignment horizontal="left" vertical="center" wrapText="1" indent="1"/>
    </xf>
    <xf numFmtId="0" fontId="14" fillId="0" borderId="1" xfId="15" applyFont="1" applyFill="1" applyBorder="1" applyAlignment="1">
      <alignment horizontal="left" vertical="center" wrapText="1"/>
    </xf>
    <xf numFmtId="0" fontId="19" fillId="0" borderId="0" xfId="15" applyFont="1" applyFill="1" applyAlignment="1">
      <alignment vertical="center"/>
    </xf>
    <xf numFmtId="0" fontId="40" fillId="0" borderId="0" xfId="15" applyFont="1" applyFill="1" applyAlignment="1">
      <alignment vertical="center"/>
    </xf>
    <xf numFmtId="0" fontId="29" fillId="0" borderId="1" xfId="15" applyFont="1" applyFill="1" applyBorder="1" applyAlignment="1">
      <alignment horizontal="center" vertical="center" wrapText="1"/>
    </xf>
    <xf numFmtId="0" fontId="25" fillId="0" borderId="1" xfId="15" applyFont="1" applyFill="1" applyBorder="1" applyAlignment="1">
      <alignment horizontal="center" vertical="center" wrapText="1"/>
    </xf>
    <xf numFmtId="0" fontId="21" fillId="0" borderId="0" xfId="15" applyFont="1" applyFill="1" applyAlignment="1">
      <alignment wrapText="1"/>
    </xf>
    <xf numFmtId="0" fontId="25" fillId="0" borderId="1" xfId="15" applyFont="1" applyFill="1" applyBorder="1" applyAlignment="1">
      <alignment vertical="center" wrapText="1"/>
    </xf>
    <xf numFmtId="0" fontId="14" fillId="0" borderId="1" xfId="15" applyFont="1" applyFill="1" applyBorder="1" applyAlignment="1">
      <alignment horizontal="right" vertical="center" wrapText="1"/>
    </xf>
    <xf numFmtId="0" fontId="25" fillId="0" borderId="1" xfId="15" applyFont="1" applyFill="1" applyBorder="1" applyAlignment="1">
      <alignment horizontal="right" vertical="center" wrapText="1"/>
    </xf>
    <xf numFmtId="6" fontId="25" fillId="0" borderId="1" xfId="15" applyNumberFormat="1" applyFont="1" applyFill="1" applyBorder="1" applyAlignment="1">
      <alignment horizontal="right" vertical="center" wrapText="1"/>
    </xf>
    <xf numFmtId="8" fontId="25" fillId="0" borderId="1" xfId="15" applyNumberFormat="1" applyFont="1" applyFill="1" applyBorder="1" applyAlignment="1">
      <alignment horizontal="right" vertical="center" wrapText="1"/>
    </xf>
    <xf numFmtId="0" fontId="25" fillId="0" borderId="0" xfId="15" applyFont="1" applyFill="1" applyAlignment="1">
      <alignment wrapText="1"/>
    </xf>
    <xf numFmtId="0" fontId="25" fillId="0" borderId="1" xfId="15" applyFont="1" applyFill="1" applyBorder="1"/>
    <xf numFmtId="0" fontId="14" fillId="0" borderId="1" xfId="15" applyFont="1" applyFill="1" applyBorder="1" applyAlignment="1">
      <alignment horizontal="center" vertical="center"/>
    </xf>
    <xf numFmtId="3" fontId="25" fillId="0" borderId="1" xfId="15" applyNumberFormat="1" applyFont="1" applyFill="1" applyBorder="1" applyAlignment="1">
      <alignment horizontal="center" vertical="center" wrapText="1"/>
    </xf>
    <xf numFmtId="0" fontId="14" fillId="0" borderId="1" xfId="15" applyFont="1" applyFill="1" applyBorder="1" applyAlignment="1">
      <alignment horizontal="right" vertical="center"/>
    </xf>
    <xf numFmtId="0" fontId="33" fillId="0" borderId="1" xfId="15" applyFont="1" applyFill="1" applyBorder="1" applyAlignment="1">
      <alignment horizontal="left" vertical="center" wrapText="1"/>
    </xf>
    <xf numFmtId="0" fontId="33" fillId="0" borderId="3" xfId="15" applyFont="1" applyFill="1" applyBorder="1" applyAlignment="1">
      <alignment horizontal="right" vertical="center" wrapText="1"/>
    </xf>
    <xf numFmtId="0" fontId="23" fillId="0" borderId="3" xfId="15" applyFont="1" applyFill="1" applyBorder="1" applyAlignment="1">
      <alignment horizontal="right" vertical="center" wrapText="1"/>
    </xf>
    <xf numFmtId="0" fontId="23" fillId="0" borderId="3" xfId="15" applyFont="1" applyFill="1" applyBorder="1" applyAlignment="1">
      <alignment horizontal="right" vertical="center"/>
    </xf>
    <xf numFmtId="3" fontId="33" fillId="0" borderId="1" xfId="15" applyNumberFormat="1" applyFont="1" applyFill="1" applyBorder="1" applyAlignment="1">
      <alignment horizontal="center" vertical="center" wrapText="1"/>
    </xf>
    <xf numFmtId="6" fontId="33" fillId="0" borderId="1" xfId="15" applyNumberFormat="1" applyFont="1" applyFill="1" applyBorder="1" applyAlignment="1">
      <alignment horizontal="right" vertical="center" wrapText="1"/>
    </xf>
    <xf numFmtId="0" fontId="33" fillId="0" borderId="1" xfId="15" applyFont="1" applyFill="1" applyBorder="1" applyAlignment="1">
      <alignment horizontal="right" vertical="center" wrapText="1"/>
    </xf>
    <xf numFmtId="0" fontId="23" fillId="0" borderId="1" xfId="15" applyFont="1" applyFill="1" applyBorder="1" applyAlignment="1">
      <alignment horizontal="right" vertical="center" wrapText="1"/>
    </xf>
    <xf numFmtId="0" fontId="23" fillId="0" borderId="1" xfId="15" applyFont="1" applyFill="1" applyBorder="1" applyAlignment="1">
      <alignment horizontal="right" vertical="center"/>
    </xf>
    <xf numFmtId="0" fontId="31" fillId="0" borderId="1" xfId="15" applyFont="1" applyFill="1" applyBorder="1" applyAlignment="1">
      <alignment vertical="center" wrapText="1"/>
    </xf>
    <xf numFmtId="0" fontId="29" fillId="0" borderId="1" xfId="15" applyFont="1" applyFill="1" applyBorder="1" applyAlignment="1">
      <alignment horizontal="right" vertical="center" wrapText="1"/>
    </xf>
    <xf numFmtId="3" fontId="19" fillId="0" borderId="1" xfId="15" applyNumberFormat="1" applyFont="1" applyFill="1" applyBorder="1" applyAlignment="1">
      <alignment horizontal="right" vertical="center" wrapText="1"/>
    </xf>
    <xf numFmtId="6" fontId="29" fillId="0" borderId="1" xfId="15" applyNumberFormat="1" applyFont="1" applyFill="1" applyBorder="1" applyAlignment="1">
      <alignment horizontal="right" vertical="center" wrapText="1"/>
    </xf>
    <xf numFmtId="1" fontId="25" fillId="0" borderId="0" xfId="15" applyNumberFormat="1" applyFont="1" applyFill="1"/>
    <xf numFmtId="0" fontId="25" fillId="0" borderId="3" xfId="15" applyFont="1" applyFill="1" applyBorder="1" applyAlignment="1">
      <alignment horizontal="center" vertical="center" wrapText="1"/>
    </xf>
    <xf numFmtId="0" fontId="14" fillId="0" borderId="3" xfId="15" applyFont="1" applyFill="1" applyBorder="1" applyAlignment="1">
      <alignment horizontal="center" vertical="center" wrapText="1"/>
    </xf>
    <xf numFmtId="0" fontId="14" fillId="0" borderId="0" xfId="20" applyFont="1" applyFill="1" applyBorder="1"/>
    <xf numFmtId="0" fontId="35" fillId="0" borderId="0" xfId="20" applyFont="1" applyFill="1" applyAlignment="1">
      <alignment wrapText="1"/>
    </xf>
    <xf numFmtId="0" fontId="35" fillId="0" borderId="0" xfId="20" applyFont="1" applyFill="1"/>
    <xf numFmtId="0" fontId="41" fillId="0" borderId="0" xfId="20" applyFont="1" applyFill="1" applyBorder="1" applyAlignment="1">
      <alignment vertical="center" wrapText="1"/>
    </xf>
    <xf numFmtId="0" fontId="20" fillId="0" borderId="0" xfId="20" applyFont="1" applyFill="1" applyBorder="1" applyAlignment="1">
      <alignment vertical="center" wrapText="1"/>
    </xf>
    <xf numFmtId="0" fontId="20" fillId="0" borderId="21" xfId="20" applyFont="1" applyFill="1" applyBorder="1" applyAlignment="1">
      <alignment horizontal="center" vertical="center" wrapText="1"/>
    </xf>
    <xf numFmtId="0" fontId="5" fillId="0" borderId="0" xfId="20" applyFill="1" applyBorder="1"/>
    <xf numFmtId="0" fontId="20" fillId="0" borderId="0" xfId="20" applyFont="1" applyFill="1" applyBorder="1" applyAlignment="1">
      <alignment horizontal="center" vertical="center" wrapText="1"/>
    </xf>
    <xf numFmtId="171" fontId="25" fillId="0" borderId="1" xfId="20" applyNumberFormat="1" applyFont="1" applyBorder="1" applyAlignment="1">
      <alignment horizontal="center" vertical="center" wrapText="1"/>
    </xf>
    <xf numFmtId="2" fontId="14" fillId="0" borderId="1" xfId="20" applyNumberFormat="1" applyFont="1" applyBorder="1" applyAlignment="1">
      <alignment horizontal="center" vertical="center"/>
    </xf>
    <xf numFmtId="2" fontId="25" fillId="0" borderId="1" xfId="20" applyNumberFormat="1" applyFont="1" applyBorder="1" applyAlignment="1">
      <alignment horizontal="center" vertical="center" wrapText="1"/>
    </xf>
    <xf numFmtId="2" fontId="14" fillId="0" borderId="1" xfId="20" applyNumberFormat="1" applyFont="1" applyBorder="1" applyAlignment="1">
      <alignment horizontal="center" vertical="center" wrapText="1"/>
    </xf>
    <xf numFmtId="0" fontId="25" fillId="0" borderId="1" xfId="20" applyFont="1" applyBorder="1" applyAlignment="1">
      <alignment horizontal="left" vertical="center" wrapText="1"/>
    </xf>
    <xf numFmtId="0" fontId="35" fillId="0" borderId="1" xfId="20" applyFont="1" applyBorder="1" applyAlignment="1">
      <alignment horizontal="left" vertical="center" wrapText="1"/>
    </xf>
    <xf numFmtId="0" fontId="14" fillId="0" borderId="1" xfId="20" applyFont="1" applyBorder="1" applyAlignment="1">
      <alignment horizontal="left" vertical="center" wrapText="1"/>
    </xf>
    <xf numFmtId="0" fontId="36" fillId="0" borderId="1" xfId="20" applyFont="1" applyBorder="1" applyAlignment="1">
      <alignment horizontal="left" vertical="center" wrapText="1"/>
    </xf>
    <xf numFmtId="0" fontId="25" fillId="0" borderId="1" xfId="20" applyFont="1" applyFill="1" applyBorder="1" applyAlignment="1">
      <alignment horizontal="left" vertical="center" wrapText="1"/>
    </xf>
    <xf numFmtId="2" fontId="14" fillId="0" borderId="3" xfId="20" applyNumberFormat="1" applyFont="1" applyBorder="1" applyAlignment="1">
      <alignment horizontal="center" vertical="center"/>
    </xf>
    <xf numFmtId="0" fontId="25" fillId="0" borderId="1" xfId="15" applyFont="1" applyFill="1" applyBorder="1" applyAlignment="1">
      <alignment horizontal="left" vertical="center" wrapText="1"/>
    </xf>
    <xf numFmtId="0" fontId="35" fillId="0" borderId="1" xfId="15" applyFont="1" applyFill="1" applyBorder="1" applyAlignment="1">
      <alignment horizontal="left" vertical="center" wrapText="1"/>
    </xf>
    <xf numFmtId="0" fontId="36" fillId="0" borderId="1" xfId="15" applyFont="1" applyFill="1" applyBorder="1" applyAlignment="1">
      <alignment horizontal="left" vertical="center" wrapText="1"/>
    </xf>
    <xf numFmtId="0" fontId="35" fillId="0" borderId="1" xfId="20" applyFont="1" applyFill="1" applyBorder="1" applyAlignment="1">
      <alignment horizontal="left" vertical="center" wrapText="1"/>
    </xf>
    <xf numFmtId="0" fontId="36" fillId="0" borderId="1" xfId="20" applyFont="1" applyFill="1" applyBorder="1" applyAlignment="1">
      <alignment horizontal="left" vertical="center" wrapText="1"/>
    </xf>
    <xf numFmtId="0" fontId="14" fillId="0" borderId="0" xfId="20" applyFont="1" applyFill="1" applyBorder="1" applyAlignment="1">
      <alignment horizontal="center" vertical="center" wrapText="1"/>
    </xf>
    <xf numFmtId="0" fontId="25" fillId="0" borderId="0" xfId="20" applyFont="1" applyFill="1" applyBorder="1"/>
    <xf numFmtId="0" fontId="2" fillId="0" borderId="0" xfId="20" applyFont="1" applyFill="1"/>
    <xf numFmtId="0" fontId="43" fillId="0" borderId="0" xfId="20" applyFont="1" applyFill="1" applyAlignment="1">
      <alignment horizontal="right"/>
    </xf>
    <xf numFmtId="0" fontId="16" fillId="0" borderId="5" xfId="0" applyFont="1" applyBorder="1" applyAlignment="1">
      <alignment horizontal="left" vertical="top" wrapText="1"/>
    </xf>
    <xf numFmtId="166" fontId="16" fillId="0" borderId="0" xfId="0" applyNumberFormat="1" applyFont="1" applyAlignment="1">
      <alignment horizontal="left" vertical="top" wrapText="1"/>
    </xf>
    <xf numFmtId="0" fontId="16" fillId="0" borderId="0" xfId="14" applyNumberFormat="1" applyFont="1" applyAlignment="1">
      <alignment wrapText="1"/>
    </xf>
    <xf numFmtId="0" fontId="0" fillId="0" borderId="0" xfId="0" applyAlignment="1">
      <alignment wrapText="1"/>
    </xf>
    <xf numFmtId="0" fontId="25" fillId="0" borderId="0" xfId="20" applyFont="1" applyAlignment="1">
      <alignment horizontal="left" vertical="top" wrapText="1"/>
    </xf>
    <xf numFmtId="0" fontId="14" fillId="0" borderId="1" xfId="20" applyFont="1" applyBorder="1" applyAlignment="1">
      <alignment horizontal="center" vertical="top"/>
    </xf>
    <xf numFmtId="3" fontId="29" fillId="0" borderId="1" xfId="20" applyNumberFormat="1" applyFont="1" applyBorder="1" applyAlignment="1">
      <alignment horizontal="center" vertical="center" wrapText="1"/>
    </xf>
    <xf numFmtId="0" fontId="30" fillId="0" borderId="0" xfId="20" applyFont="1" applyAlignment="1">
      <alignment horizontal="left" vertical="center" wrapText="1"/>
    </xf>
    <xf numFmtId="0" fontId="30" fillId="0" borderId="0" xfId="15" applyFont="1" applyAlignment="1">
      <alignment horizontal="left" wrapText="1"/>
    </xf>
    <xf numFmtId="0" fontId="24" fillId="0" borderId="0" xfId="20" applyFont="1" applyAlignment="1">
      <alignment horizontal="left" vertical="center" wrapText="1"/>
    </xf>
    <xf numFmtId="0" fontId="30" fillId="0" borderId="0" xfId="20" applyFont="1" applyAlignment="1">
      <alignment horizontal="left" vertical="center"/>
    </xf>
    <xf numFmtId="0" fontId="14" fillId="0" borderId="0" xfId="15" applyFont="1" applyAlignment="1">
      <alignment horizontal="left" vertical="top"/>
    </xf>
    <xf numFmtId="0" fontId="16" fillId="0" borderId="0" xfId="15" applyFont="1" applyAlignment="1">
      <alignment horizontal="center" vertical="center"/>
    </xf>
    <xf numFmtId="0" fontId="19" fillId="0" borderId="1" xfId="15" applyFont="1" applyBorder="1" applyAlignment="1">
      <alignment horizontal="center" vertical="center" wrapText="1"/>
    </xf>
    <xf numFmtId="0" fontId="14" fillId="0" borderId="1" xfId="15" applyFont="1" applyBorder="1" applyAlignment="1">
      <alignment horizontal="center" vertical="top"/>
    </xf>
    <xf numFmtId="0" fontId="39" fillId="0" borderId="0" xfId="15" applyFont="1" applyAlignment="1">
      <alignment horizontal="left" vertical="top" wrapText="1"/>
    </xf>
    <xf numFmtId="3" fontId="19" fillId="0" borderId="4" xfId="15" applyNumberFormat="1" applyFont="1" applyBorder="1" applyAlignment="1">
      <alignment horizontal="center" vertical="center" wrapText="1"/>
    </xf>
    <xf numFmtId="0" fontId="0" fillId="0" borderId="8" xfId="0" applyBorder="1" applyAlignment="1">
      <alignment vertical="center" wrapText="1"/>
    </xf>
    <xf numFmtId="0" fontId="0" fillId="0" borderId="2" xfId="0" applyBorder="1" applyAlignment="1">
      <alignment vertical="center" wrapText="1"/>
    </xf>
    <xf numFmtId="0" fontId="24" fillId="0" borderId="0" xfId="15" applyFont="1" applyAlignment="1">
      <alignment horizontal="left" vertical="top" wrapText="1"/>
    </xf>
    <xf numFmtId="0" fontId="24" fillId="0" borderId="0" xfId="15" applyFont="1" applyAlignment="1">
      <alignment horizontal="left" vertical="top"/>
    </xf>
    <xf numFmtId="0" fontId="28" fillId="0" borderId="0" xfId="15" applyFont="1" applyFill="1" applyAlignment="1">
      <alignment horizontal="left" vertical="top" wrapText="1"/>
    </xf>
    <xf numFmtId="0" fontId="41" fillId="0" borderId="14" xfId="20" applyNumberFormat="1" applyFont="1" applyFill="1" applyBorder="1" applyAlignment="1">
      <alignment horizontal="left" vertical="center" wrapText="1"/>
    </xf>
    <xf numFmtId="0" fontId="41" fillId="0" borderId="15" xfId="20" applyNumberFormat="1" applyFont="1" applyFill="1" applyBorder="1" applyAlignment="1">
      <alignment horizontal="left" vertical="center" wrapText="1"/>
    </xf>
    <xf numFmtId="0" fontId="41" fillId="0" borderId="16" xfId="20" applyNumberFormat="1" applyFont="1" applyFill="1" applyBorder="1" applyAlignment="1">
      <alignment horizontal="left" vertical="center" wrapText="1"/>
    </xf>
    <xf numFmtId="0" fontId="25" fillId="0" borderId="0" xfId="15" applyFont="1" applyFill="1" applyAlignment="1">
      <alignment horizontal="left" vertical="top" wrapText="1"/>
    </xf>
    <xf numFmtId="0" fontId="30" fillId="0" borderId="0" xfId="15" applyFont="1" applyFill="1" applyAlignment="1">
      <alignment horizontal="left" vertical="center" wrapText="1"/>
    </xf>
    <xf numFmtId="0" fontId="14" fillId="0" borderId="1" xfId="15" applyFont="1" applyFill="1" applyBorder="1" applyAlignment="1">
      <alignment horizontal="center" vertical="top"/>
    </xf>
    <xf numFmtId="3" fontId="29" fillId="0" borderId="1" xfId="15" applyNumberFormat="1" applyFont="1" applyFill="1" applyBorder="1" applyAlignment="1">
      <alignment horizontal="center" vertical="center" wrapText="1"/>
    </xf>
    <xf numFmtId="0" fontId="30" fillId="0" borderId="0" xfId="15" applyFont="1" applyFill="1" applyAlignment="1">
      <alignment horizontal="left" wrapText="1"/>
    </xf>
    <xf numFmtId="0" fontId="24" fillId="0" borderId="0" xfId="15" applyFont="1" applyFill="1" applyAlignment="1">
      <alignment horizontal="left" vertical="center" wrapText="1"/>
    </xf>
    <xf numFmtId="0" fontId="39" fillId="0" borderId="0" xfId="15" applyFont="1" applyFill="1" applyAlignment="1">
      <alignment horizontal="left" vertical="top" wrapText="1"/>
    </xf>
    <xf numFmtId="0" fontId="24" fillId="0" borderId="0" xfId="15" applyFont="1" applyFill="1" applyAlignment="1">
      <alignment horizontal="left" vertical="top" wrapText="1"/>
    </xf>
    <xf numFmtId="0" fontId="24" fillId="0" borderId="0" xfId="15" applyFont="1" applyFill="1" applyAlignment="1">
      <alignment horizontal="left" vertical="top"/>
    </xf>
    <xf numFmtId="0" fontId="14" fillId="0" borderId="0" xfId="15" applyFont="1" applyFill="1" applyAlignment="1">
      <alignment horizontal="left" vertical="top"/>
    </xf>
    <xf numFmtId="0" fontId="16" fillId="0" borderId="0" xfId="15" applyFont="1" applyFill="1" applyAlignment="1">
      <alignment horizontal="left" vertical="top" wrapText="1"/>
    </xf>
    <xf numFmtId="0" fontId="16" fillId="0" borderId="0" xfId="15" applyFont="1" applyFill="1" applyAlignment="1">
      <alignment horizontal="center" vertical="center"/>
    </xf>
    <xf numFmtId="0" fontId="19" fillId="0" borderId="1" xfId="15" applyFont="1" applyFill="1" applyBorder="1" applyAlignment="1">
      <alignment horizontal="center" vertical="center" wrapText="1"/>
    </xf>
    <xf numFmtId="0" fontId="25" fillId="0" borderId="0" xfId="20" applyFont="1" applyFill="1" applyAlignment="1">
      <alignment horizontal="left" vertical="top" wrapText="1"/>
    </xf>
    <xf numFmtId="0" fontId="14" fillId="0" borderId="1" xfId="20" applyFont="1" applyFill="1" applyBorder="1" applyAlignment="1">
      <alignment horizontal="center" vertical="top"/>
    </xf>
    <xf numFmtId="3" fontId="29" fillId="0" borderId="1" xfId="20" applyNumberFormat="1" applyFont="1" applyFill="1" applyBorder="1" applyAlignment="1">
      <alignment horizontal="center" vertical="center" wrapText="1"/>
    </xf>
    <xf numFmtId="0" fontId="30" fillId="0" borderId="0" xfId="20" applyFont="1" applyFill="1" applyAlignment="1">
      <alignment horizontal="left" vertical="center" wrapText="1"/>
    </xf>
    <xf numFmtId="0" fontId="24" fillId="0" borderId="0" xfId="20" applyFont="1" applyFill="1" applyAlignment="1">
      <alignment horizontal="left" vertical="center" wrapText="1"/>
    </xf>
    <xf numFmtId="0" fontId="30" fillId="0" borderId="0" xfId="20" applyFont="1" applyFill="1" applyAlignment="1">
      <alignment horizontal="left" vertical="center"/>
    </xf>
    <xf numFmtId="0" fontId="16" fillId="0" borderId="0" xfId="20" applyFont="1" applyFill="1" applyAlignment="1">
      <alignment horizontal="left" vertical="top" wrapText="1"/>
    </xf>
    <xf numFmtId="0" fontId="16" fillId="0" borderId="0" xfId="20" applyFont="1" applyFill="1" applyAlignment="1">
      <alignment horizontal="center" vertical="center"/>
    </xf>
    <xf numFmtId="0" fontId="19" fillId="0" borderId="1" xfId="20" applyFont="1" applyFill="1" applyBorder="1" applyAlignment="1">
      <alignment horizontal="center" vertical="center" wrapText="1"/>
    </xf>
    <xf numFmtId="0" fontId="14" fillId="0" borderId="0" xfId="20" applyFont="1" applyFill="1" applyAlignment="1">
      <alignment horizontal="left" vertical="top"/>
    </xf>
    <xf numFmtId="0" fontId="24" fillId="0" borderId="0" xfId="20" applyFont="1" applyFill="1" applyAlignment="1">
      <alignment horizontal="left" vertical="top" wrapText="1"/>
    </xf>
    <xf numFmtId="0" fontId="24" fillId="0" borderId="0" xfId="20" applyFont="1" applyFill="1" applyAlignment="1">
      <alignment horizontal="left" vertical="top"/>
    </xf>
    <xf numFmtId="0" fontId="39" fillId="0" borderId="0" xfId="20" applyFont="1" applyFill="1" applyAlignment="1">
      <alignment horizontal="left" vertical="top" wrapText="1"/>
    </xf>
    <xf numFmtId="0" fontId="41" fillId="0" borderId="0" xfId="20" applyFont="1" applyFill="1" applyBorder="1" applyAlignment="1">
      <alignment horizontal="left" vertical="center" wrapText="1"/>
    </xf>
    <xf numFmtId="0" fontId="41" fillId="0" borderId="1" xfId="19" applyFont="1" applyFill="1" applyBorder="1" applyAlignment="1">
      <alignment horizontal="left" vertical="center" wrapText="1"/>
    </xf>
    <xf numFmtId="0" fontId="32" fillId="0" borderId="0" xfId="19" applyFont="1" applyFill="1" applyAlignment="1">
      <alignment vertical="center" wrapText="1"/>
    </xf>
    <xf numFmtId="0" fontId="0" fillId="0" borderId="0" xfId="0" applyFill="1" applyAlignment="1">
      <alignment wrapText="1"/>
    </xf>
    <xf numFmtId="0" fontId="41" fillId="0" borderId="14" xfId="20" applyFont="1" applyFill="1" applyBorder="1" applyAlignment="1">
      <alignment horizontal="left" vertical="center" wrapText="1"/>
    </xf>
    <xf numFmtId="0" fontId="41" fillId="0" borderId="15" xfId="20" applyFont="1" applyFill="1" applyBorder="1" applyAlignment="1">
      <alignment horizontal="left" vertical="center" wrapText="1"/>
    </xf>
  </cellXfs>
  <cellStyles count="22">
    <cellStyle name="Bad" xfId="13" builtinId="27"/>
    <cellStyle name="Comma 2" xfId="3" xr:uid="{00000000-0005-0000-0000-000001000000}"/>
    <cellStyle name="Comma 3" xfId="8" xr:uid="{00000000-0005-0000-0000-000002000000}"/>
    <cellStyle name="Comma 4" xfId="18" xr:uid="{180E7FEA-7921-4E46-A07B-86AAACFEE0BB}"/>
    <cellStyle name="Currency 2" xfId="4" xr:uid="{00000000-0005-0000-0000-000004000000}"/>
    <cellStyle name="Currency 3" xfId="11" xr:uid="{00000000-0005-0000-0000-000005000000}"/>
    <cellStyle name="Currency 4" xfId="17" xr:uid="{EA8E0CB1-FBC1-4FF7-A1F8-54F403FBF235}"/>
    <cellStyle name="Normal" xfId="0" builtinId="0"/>
    <cellStyle name="Normal 2" xfId="2" xr:uid="{00000000-0005-0000-0000-000008000000}"/>
    <cellStyle name="Normal 2 2" xfId="12" xr:uid="{00000000-0005-0000-0000-000009000000}"/>
    <cellStyle name="Normal 2 3" xfId="10" xr:uid="{00000000-0005-0000-0000-00000A000000}"/>
    <cellStyle name="Normal 2 4" xfId="21" xr:uid="{DC7D509F-A2F0-410C-B2E4-7BF716042377}"/>
    <cellStyle name="Normal 3" xfId="1" xr:uid="{00000000-0005-0000-0000-00000B000000}"/>
    <cellStyle name="Normal 3 2" xfId="9" xr:uid="{00000000-0005-0000-0000-00000C000000}"/>
    <cellStyle name="Normal 4" xfId="7" xr:uid="{00000000-0005-0000-0000-00000D000000}"/>
    <cellStyle name="Normal 5" xfId="6" xr:uid="{00000000-0005-0000-0000-00000E000000}"/>
    <cellStyle name="Normal 6" xfId="14" xr:uid="{94D7B3F1-5B31-4BDE-A123-D8A954F84B7D}"/>
    <cellStyle name="Normal 7" xfId="15" xr:uid="{BA97B4B4-61C4-444B-8FC1-C32A7BA80A55}"/>
    <cellStyle name="Normal 7 2" xfId="20" xr:uid="{FA5E6202-544B-4319-B972-14E88B9E16D0}"/>
    <cellStyle name="Normal 8" xfId="16" xr:uid="{2D8207D6-6C10-41EC-B3F1-0EE9EBA0D347}"/>
    <cellStyle name="Normal 9" xfId="19" xr:uid="{6DDA394A-02DF-4630-BBBC-A8F99EB73F6D}"/>
    <cellStyle name="Percent 2" xfId="5"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T63"/>
  <sheetViews>
    <sheetView workbookViewId="0">
      <selection activeCell="H24" sqref="H24"/>
    </sheetView>
  </sheetViews>
  <sheetFormatPr defaultColWidth="9.1796875" defaultRowHeight="12.5" x14ac:dyDescent="0.25"/>
  <cols>
    <col min="1" max="1" width="24.453125" style="14" customWidth="1"/>
    <col min="2" max="3" width="9.1796875" style="14"/>
    <col min="4" max="4" width="13.54296875" style="14" bestFit="1" customWidth="1"/>
    <col min="5" max="7" width="9.1796875" style="14"/>
    <col min="8" max="8" width="9.81640625" style="14" customWidth="1"/>
    <col min="9" max="18" width="9.1796875" style="14"/>
    <col min="19" max="19" width="9" style="14" customWidth="1"/>
    <col min="20" max="20" width="9.1796875" style="14"/>
    <col min="21" max="21" width="9.54296875" style="14" bestFit="1" customWidth="1"/>
    <col min="22" max="16384" width="9.1796875" style="14"/>
  </cols>
  <sheetData>
    <row r="1" spans="1:20" ht="13" x14ac:dyDescent="0.3">
      <c r="A1" s="1" t="s">
        <v>1</v>
      </c>
      <c r="L1" s="1" t="s">
        <v>4</v>
      </c>
      <c r="O1" s="14" t="s">
        <v>43</v>
      </c>
    </row>
    <row r="2" spans="1:20" ht="13" x14ac:dyDescent="0.3">
      <c r="L2" s="1" t="s">
        <v>16</v>
      </c>
      <c r="T2" s="1" t="s">
        <v>42</v>
      </c>
    </row>
    <row r="3" spans="1:20" x14ac:dyDescent="0.25">
      <c r="A3" s="15" t="s">
        <v>15</v>
      </c>
      <c r="B3" s="15"/>
      <c r="C3" s="15"/>
      <c r="D3" s="15"/>
      <c r="E3" s="15"/>
      <c r="F3" s="15"/>
      <c r="G3" s="15"/>
      <c r="H3" s="15"/>
      <c r="I3" s="25"/>
      <c r="J3" s="25"/>
      <c r="K3" s="25"/>
      <c r="L3" s="14" t="s">
        <v>5</v>
      </c>
      <c r="T3" s="4" t="s">
        <v>5</v>
      </c>
    </row>
    <row r="4" spans="1:20" ht="14.5" x14ac:dyDescent="0.35">
      <c r="A4" s="16"/>
      <c r="B4" s="5" t="s">
        <v>16</v>
      </c>
      <c r="C4" s="6" t="s">
        <v>17</v>
      </c>
      <c r="D4" s="7" t="s">
        <v>18</v>
      </c>
      <c r="E4" s="8" t="s">
        <v>31</v>
      </c>
      <c r="F4" s="9" t="s">
        <v>36</v>
      </c>
      <c r="G4" s="10" t="s">
        <v>42</v>
      </c>
      <c r="H4" s="11" t="s">
        <v>53</v>
      </c>
      <c r="I4" s="25"/>
      <c r="J4" s="25"/>
      <c r="K4" s="25"/>
      <c r="L4" s="25" t="s">
        <v>6</v>
      </c>
      <c r="S4" s="26"/>
      <c r="T4" s="3" t="s">
        <v>6</v>
      </c>
    </row>
    <row r="5" spans="1:20" x14ac:dyDescent="0.25">
      <c r="A5" s="16" t="s">
        <v>19</v>
      </c>
      <c r="B5" s="13">
        <v>0</v>
      </c>
      <c r="C5" s="27">
        <v>0</v>
      </c>
      <c r="D5" s="28">
        <v>0</v>
      </c>
      <c r="E5" s="29">
        <v>0</v>
      </c>
      <c r="F5" s="30">
        <v>0</v>
      </c>
      <c r="G5" s="12">
        <v>0</v>
      </c>
      <c r="H5" s="31">
        <v>0</v>
      </c>
      <c r="I5" s="25" t="s">
        <v>37</v>
      </c>
      <c r="J5" s="25"/>
      <c r="K5" s="25"/>
      <c r="L5" s="25" t="s">
        <v>7</v>
      </c>
      <c r="S5" s="32"/>
      <c r="T5" s="3" t="s">
        <v>47</v>
      </c>
    </row>
    <row r="6" spans="1:20" x14ac:dyDescent="0.25">
      <c r="A6" s="16" t="s">
        <v>14</v>
      </c>
      <c r="B6" s="13">
        <v>35</v>
      </c>
      <c r="C6" s="27">
        <v>502</v>
      </c>
      <c r="D6" s="28">
        <v>401</v>
      </c>
      <c r="E6" s="29">
        <v>30</v>
      </c>
      <c r="F6" s="30">
        <v>1088</v>
      </c>
      <c r="G6" s="12">
        <v>76</v>
      </c>
      <c r="H6" s="31">
        <v>207</v>
      </c>
      <c r="I6" s="25"/>
      <c r="J6" s="25"/>
      <c r="K6" s="25"/>
      <c r="L6" s="3" t="s">
        <v>45</v>
      </c>
    </row>
    <row r="7" spans="1:20" x14ac:dyDescent="0.25">
      <c r="A7" s="16" t="s">
        <v>20</v>
      </c>
      <c r="B7" s="13">
        <v>0</v>
      </c>
      <c r="C7" s="27">
        <v>0</v>
      </c>
      <c r="D7" s="28">
        <v>0</v>
      </c>
      <c r="E7" s="29">
        <v>0</v>
      </c>
      <c r="F7" s="30">
        <v>0</v>
      </c>
      <c r="G7" s="12">
        <v>0</v>
      </c>
      <c r="H7" s="31">
        <v>0</v>
      </c>
      <c r="I7" s="25" t="s">
        <v>37</v>
      </c>
      <c r="J7" s="25"/>
      <c r="K7" s="25"/>
      <c r="S7" s="32"/>
      <c r="T7" s="3"/>
    </row>
    <row r="8" spans="1:20" ht="13" x14ac:dyDescent="0.3">
      <c r="A8" s="16" t="s">
        <v>3</v>
      </c>
      <c r="B8" s="13">
        <v>262</v>
      </c>
      <c r="C8" s="27">
        <v>30</v>
      </c>
      <c r="D8" s="28">
        <v>271</v>
      </c>
      <c r="E8" s="29">
        <v>8</v>
      </c>
      <c r="F8" s="30">
        <v>316</v>
      </c>
      <c r="G8" s="12">
        <v>28</v>
      </c>
      <c r="H8" s="31">
        <v>21</v>
      </c>
      <c r="I8" s="25"/>
      <c r="J8" s="25"/>
      <c r="K8" s="25"/>
      <c r="L8" s="2" t="s">
        <v>17</v>
      </c>
      <c r="S8" s="32"/>
    </row>
    <row r="9" spans="1:20" x14ac:dyDescent="0.25">
      <c r="A9" s="16" t="s">
        <v>21</v>
      </c>
      <c r="B9" s="13">
        <v>0</v>
      </c>
      <c r="C9" s="27">
        <v>0</v>
      </c>
      <c r="D9" s="28">
        <v>0</v>
      </c>
      <c r="E9" s="29">
        <v>0</v>
      </c>
      <c r="F9" s="30">
        <v>0</v>
      </c>
      <c r="G9" s="12">
        <v>0</v>
      </c>
      <c r="H9" s="31">
        <v>0</v>
      </c>
      <c r="I9" s="25" t="s">
        <v>38</v>
      </c>
      <c r="J9" s="25"/>
      <c r="K9" s="25"/>
      <c r="L9" s="14" t="s">
        <v>5</v>
      </c>
      <c r="S9" s="32"/>
    </row>
    <row r="10" spans="1:20" x14ac:dyDescent="0.25">
      <c r="A10" s="16" t="s">
        <v>27</v>
      </c>
      <c r="B10" s="13">
        <v>0</v>
      </c>
      <c r="C10" s="27">
        <v>0</v>
      </c>
      <c r="D10" s="28">
        <v>0</v>
      </c>
      <c r="E10" s="29">
        <v>0</v>
      </c>
      <c r="F10" s="30">
        <v>0</v>
      </c>
      <c r="G10" s="12">
        <v>0</v>
      </c>
      <c r="H10" s="31">
        <v>0</v>
      </c>
      <c r="I10" s="25" t="s">
        <v>38</v>
      </c>
      <c r="J10" s="25"/>
      <c r="K10" s="25"/>
      <c r="L10" s="25" t="s">
        <v>6</v>
      </c>
      <c r="S10" s="32"/>
    </row>
    <row r="11" spans="1:20" x14ac:dyDescent="0.25">
      <c r="A11" s="16" t="s">
        <v>28</v>
      </c>
      <c r="B11" s="13">
        <v>0</v>
      </c>
      <c r="C11" s="27">
        <v>0</v>
      </c>
      <c r="D11" s="28">
        <v>0</v>
      </c>
      <c r="E11" s="29">
        <v>0</v>
      </c>
      <c r="F11" s="30">
        <v>0</v>
      </c>
      <c r="G11" s="12">
        <v>0</v>
      </c>
      <c r="H11" s="31">
        <v>0</v>
      </c>
      <c r="I11" s="25" t="s">
        <v>38</v>
      </c>
      <c r="J11" s="25"/>
      <c r="K11" s="25"/>
      <c r="L11" s="25" t="s">
        <v>8</v>
      </c>
      <c r="S11" s="32"/>
    </row>
    <row r="12" spans="1:20" x14ac:dyDescent="0.25">
      <c r="A12" s="16" t="s">
        <v>29</v>
      </c>
      <c r="B12" s="13">
        <v>0</v>
      </c>
      <c r="C12" s="27">
        <v>0</v>
      </c>
      <c r="D12" s="28">
        <v>6</v>
      </c>
      <c r="E12" s="29">
        <v>0</v>
      </c>
      <c r="F12" s="30">
        <v>78</v>
      </c>
      <c r="G12" s="12">
        <v>0</v>
      </c>
      <c r="H12" s="31">
        <v>0</v>
      </c>
      <c r="I12" s="25"/>
      <c r="J12" s="25"/>
      <c r="K12" s="25"/>
      <c r="L12" s="25" t="s">
        <v>9</v>
      </c>
      <c r="S12" s="32"/>
    </row>
    <row r="13" spans="1:20" x14ac:dyDescent="0.25">
      <c r="B13" s="17"/>
      <c r="C13" s="17"/>
      <c r="D13" s="17"/>
      <c r="E13" s="17"/>
      <c r="F13" s="18"/>
      <c r="G13" s="17"/>
      <c r="H13" s="17"/>
      <c r="I13" s="25"/>
      <c r="J13" s="25"/>
      <c r="K13" s="25"/>
      <c r="L13" s="3" t="s">
        <v>46</v>
      </c>
    </row>
    <row r="14" spans="1:20" ht="13" x14ac:dyDescent="0.3">
      <c r="B14" s="17"/>
      <c r="C14" s="17"/>
      <c r="D14" s="17"/>
      <c r="E14" s="17"/>
      <c r="F14" s="18"/>
      <c r="G14" s="17"/>
      <c r="H14" s="17"/>
      <c r="I14" s="25"/>
      <c r="J14" s="25"/>
      <c r="K14" s="25"/>
      <c r="L14" s="2" t="s">
        <v>18</v>
      </c>
    </row>
    <row r="15" spans="1:20" x14ac:dyDescent="0.25">
      <c r="B15" s="17"/>
      <c r="C15" s="17"/>
      <c r="D15" s="17"/>
      <c r="E15" s="17"/>
      <c r="F15" s="18"/>
      <c r="G15" s="17"/>
      <c r="H15" s="17"/>
      <c r="I15" s="25"/>
      <c r="J15" s="25"/>
      <c r="K15" s="25"/>
      <c r="L15" s="14" t="s">
        <v>5</v>
      </c>
    </row>
    <row r="16" spans="1:20" ht="13" x14ac:dyDescent="0.3">
      <c r="A16" s="1" t="s">
        <v>2</v>
      </c>
      <c r="B16" s="17"/>
      <c r="C16" s="17"/>
      <c r="D16" s="17"/>
      <c r="E16" s="17"/>
      <c r="F16" s="18"/>
      <c r="G16" s="17"/>
      <c r="H16" s="17"/>
      <c r="I16" s="25"/>
      <c r="J16" s="25"/>
      <c r="K16" s="25"/>
      <c r="L16" s="25" t="s">
        <v>6</v>
      </c>
    </row>
    <row r="17" spans="1:15" x14ac:dyDescent="0.25">
      <c r="B17" s="17"/>
      <c r="C17" s="17"/>
      <c r="D17" s="17"/>
      <c r="E17" s="17"/>
      <c r="F17" s="18"/>
      <c r="G17" s="17"/>
      <c r="H17" s="17"/>
      <c r="I17" s="25"/>
      <c r="J17" s="25"/>
      <c r="K17" s="25"/>
      <c r="L17" s="25" t="s">
        <v>10</v>
      </c>
    </row>
    <row r="18" spans="1:15" x14ac:dyDescent="0.25">
      <c r="A18" s="15" t="s">
        <v>15</v>
      </c>
      <c r="B18" s="19"/>
      <c r="C18" s="19"/>
      <c r="D18" s="19"/>
      <c r="E18" s="19"/>
      <c r="F18" s="19"/>
      <c r="G18" s="19"/>
      <c r="H18" s="19"/>
      <c r="I18" s="25"/>
      <c r="J18" s="25"/>
      <c r="K18" s="25"/>
      <c r="L18" s="25" t="s">
        <v>11</v>
      </c>
    </row>
    <row r="19" spans="1:15" ht="13" x14ac:dyDescent="0.3">
      <c r="A19" s="16"/>
      <c r="B19" s="5" t="s">
        <v>16</v>
      </c>
      <c r="C19" s="6" t="s">
        <v>17</v>
      </c>
      <c r="D19" s="7" t="s">
        <v>18</v>
      </c>
      <c r="E19" s="8" t="s">
        <v>31</v>
      </c>
      <c r="F19" s="9" t="s">
        <v>36</v>
      </c>
      <c r="G19" s="10" t="s">
        <v>42</v>
      </c>
      <c r="H19" s="11" t="s">
        <v>53</v>
      </c>
      <c r="I19" s="25"/>
      <c r="J19" s="25"/>
      <c r="K19" s="25"/>
      <c r="L19" s="2" t="s">
        <v>31</v>
      </c>
    </row>
    <row r="20" spans="1:15" x14ac:dyDescent="0.25">
      <c r="A20" s="16" t="s">
        <v>19</v>
      </c>
      <c r="B20" s="20">
        <v>0</v>
      </c>
      <c r="C20" s="21">
        <v>0</v>
      </c>
      <c r="D20" s="22">
        <v>0</v>
      </c>
      <c r="E20" s="23">
        <v>0</v>
      </c>
      <c r="F20" s="24">
        <v>0</v>
      </c>
      <c r="G20" s="12">
        <v>0</v>
      </c>
      <c r="H20" s="31">
        <v>0</v>
      </c>
      <c r="I20" s="25" t="s">
        <v>37</v>
      </c>
      <c r="J20" s="25"/>
      <c r="K20" s="25"/>
      <c r="L20" s="14" t="s">
        <v>5</v>
      </c>
    </row>
    <row r="21" spans="1:15" x14ac:dyDescent="0.25">
      <c r="A21" s="16" t="s">
        <v>14</v>
      </c>
      <c r="B21" s="20">
        <v>78</v>
      </c>
      <c r="C21" s="21">
        <v>78</v>
      </c>
      <c r="D21" s="22">
        <v>0</v>
      </c>
      <c r="E21" s="23">
        <v>0</v>
      </c>
      <c r="F21" s="24">
        <v>78</v>
      </c>
      <c r="G21" s="12">
        <v>0</v>
      </c>
      <c r="H21" s="31">
        <v>0</v>
      </c>
      <c r="I21" s="3" t="s">
        <v>48</v>
      </c>
      <c r="J21" s="25"/>
      <c r="K21" s="25"/>
      <c r="L21" s="25" t="s">
        <v>6</v>
      </c>
    </row>
    <row r="22" spans="1:15" x14ac:dyDescent="0.25">
      <c r="A22" s="16" t="s">
        <v>20</v>
      </c>
      <c r="B22" s="20">
        <v>0</v>
      </c>
      <c r="C22" s="21">
        <v>0</v>
      </c>
      <c r="D22" s="22">
        <v>0</v>
      </c>
      <c r="E22" s="23">
        <v>0</v>
      </c>
      <c r="F22" s="24">
        <v>0</v>
      </c>
      <c r="G22" s="12">
        <v>0</v>
      </c>
      <c r="H22" s="31">
        <v>0</v>
      </c>
      <c r="I22" s="3" t="s">
        <v>44</v>
      </c>
      <c r="J22" s="25"/>
      <c r="K22" s="25"/>
      <c r="L22" s="25" t="s">
        <v>12</v>
      </c>
    </row>
    <row r="23" spans="1:15" x14ac:dyDescent="0.25">
      <c r="A23" s="16" t="s">
        <v>3</v>
      </c>
      <c r="B23" s="20">
        <v>0</v>
      </c>
      <c r="C23" s="21">
        <v>0</v>
      </c>
      <c r="D23" s="22">
        <v>0</v>
      </c>
      <c r="E23" s="23">
        <v>0</v>
      </c>
      <c r="F23" s="24">
        <v>0</v>
      </c>
      <c r="G23" s="12">
        <v>0</v>
      </c>
      <c r="H23" s="31">
        <v>0</v>
      </c>
      <c r="I23" s="3" t="s">
        <v>44</v>
      </c>
      <c r="J23" s="25"/>
      <c r="K23" s="25"/>
      <c r="L23" s="25" t="s">
        <v>13</v>
      </c>
    </row>
    <row r="24" spans="1:15" x14ac:dyDescent="0.25">
      <c r="A24" s="16" t="s">
        <v>21</v>
      </c>
      <c r="B24" s="20">
        <v>0</v>
      </c>
      <c r="C24" s="21">
        <v>0</v>
      </c>
      <c r="D24" s="22">
        <v>0</v>
      </c>
      <c r="E24" s="23">
        <v>0</v>
      </c>
      <c r="F24" s="24">
        <v>0</v>
      </c>
      <c r="G24" s="12">
        <v>0</v>
      </c>
      <c r="H24" s="31">
        <v>0</v>
      </c>
      <c r="I24" s="25" t="s">
        <v>38</v>
      </c>
      <c r="J24" s="25"/>
      <c r="K24" s="25"/>
      <c r="L24" s="25"/>
    </row>
    <row r="25" spans="1:15" x14ac:dyDescent="0.25">
      <c r="A25" s="16" t="s">
        <v>27</v>
      </c>
      <c r="B25" s="20">
        <v>0</v>
      </c>
      <c r="C25" s="21">
        <v>0</v>
      </c>
      <c r="D25" s="22">
        <v>0</v>
      </c>
      <c r="E25" s="23">
        <v>0</v>
      </c>
      <c r="F25" s="24">
        <v>0</v>
      </c>
      <c r="G25" s="12">
        <v>0</v>
      </c>
      <c r="H25" s="31">
        <v>0</v>
      </c>
      <c r="I25" s="25" t="s">
        <v>38</v>
      </c>
      <c r="J25" s="25"/>
      <c r="K25" s="25"/>
      <c r="L25" s="25"/>
    </row>
    <row r="26" spans="1:15" x14ac:dyDescent="0.25">
      <c r="A26" s="16" t="s">
        <v>28</v>
      </c>
      <c r="B26" s="20">
        <v>0</v>
      </c>
      <c r="C26" s="21">
        <v>0</v>
      </c>
      <c r="D26" s="22">
        <v>0</v>
      </c>
      <c r="E26" s="23">
        <v>0</v>
      </c>
      <c r="F26" s="24">
        <v>0</v>
      </c>
      <c r="G26" s="12">
        <v>0</v>
      </c>
      <c r="H26" s="31">
        <v>0</v>
      </c>
      <c r="I26" s="25" t="s">
        <v>38</v>
      </c>
      <c r="J26" s="25"/>
      <c r="K26" s="25"/>
      <c r="L26" s="25"/>
    </row>
    <row r="27" spans="1:15" x14ac:dyDescent="0.25">
      <c r="A27" s="16" t="s">
        <v>29</v>
      </c>
      <c r="B27" s="20">
        <v>0</v>
      </c>
      <c r="C27" s="21">
        <v>0</v>
      </c>
      <c r="D27" s="22">
        <v>0</v>
      </c>
      <c r="E27" s="23">
        <v>0</v>
      </c>
      <c r="F27" s="24">
        <v>0</v>
      </c>
      <c r="G27" s="12">
        <v>0</v>
      </c>
      <c r="H27" s="31">
        <v>0</v>
      </c>
      <c r="I27" s="25" t="s">
        <v>0</v>
      </c>
      <c r="J27" s="25"/>
      <c r="K27" s="25"/>
      <c r="L27" s="25"/>
    </row>
    <row r="28" spans="1:15" x14ac:dyDescent="0.25">
      <c r="F28" s="25"/>
      <c r="G28" s="25"/>
      <c r="H28" s="25"/>
      <c r="I28" s="25"/>
      <c r="J28" s="25"/>
    </row>
    <row r="29" spans="1:15" x14ac:dyDescent="0.25">
      <c r="F29" s="25"/>
      <c r="G29" s="25"/>
      <c r="H29" s="25"/>
      <c r="I29" s="25"/>
      <c r="J29" s="25"/>
      <c r="O29" t="s">
        <v>51</v>
      </c>
    </row>
    <row r="30" spans="1:15" x14ac:dyDescent="0.25">
      <c r="F30" s="33" t="s">
        <v>39</v>
      </c>
      <c r="G30" s="33"/>
      <c r="H30" s="25"/>
      <c r="I30" s="25"/>
      <c r="J30" s="25"/>
      <c r="O30" t="s">
        <v>52</v>
      </c>
    </row>
    <row r="31" spans="1:15" x14ac:dyDescent="0.25">
      <c r="F31" s="34" t="s">
        <v>40</v>
      </c>
      <c r="G31" s="34" t="s">
        <v>41</v>
      </c>
      <c r="O31" t="s">
        <v>49</v>
      </c>
    </row>
    <row r="32" spans="1:15" x14ac:dyDescent="0.25">
      <c r="F32" s="34">
        <v>8523</v>
      </c>
      <c r="G32" s="34">
        <v>1436</v>
      </c>
      <c r="O32" t="s">
        <v>50</v>
      </c>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row r="50" spans="1:8" x14ac:dyDescent="0.25">
      <c r="A50"/>
      <c r="B50"/>
      <c r="C50"/>
      <c r="D50"/>
      <c r="E50"/>
      <c r="F50"/>
      <c r="G50"/>
      <c r="H50"/>
    </row>
    <row r="51" spans="1:8" x14ac:dyDescent="0.25">
      <c r="A51"/>
      <c r="B51"/>
      <c r="C51"/>
      <c r="D51"/>
      <c r="E51"/>
      <c r="F51"/>
      <c r="G51"/>
      <c r="H51"/>
    </row>
    <row r="52" spans="1:8" x14ac:dyDescent="0.25">
      <c r="A52"/>
      <c r="B52"/>
      <c r="C52"/>
      <c r="D52"/>
      <c r="E52"/>
      <c r="F52"/>
      <c r="G52"/>
      <c r="H52"/>
    </row>
    <row r="53" spans="1:8" x14ac:dyDescent="0.25">
      <c r="A53"/>
      <c r="B53"/>
      <c r="C53"/>
      <c r="D53"/>
      <c r="E53"/>
      <c r="F53"/>
      <c r="G53"/>
      <c r="H53"/>
    </row>
    <row r="54" spans="1:8" x14ac:dyDescent="0.25">
      <c r="A54"/>
      <c r="B54"/>
      <c r="C54"/>
      <c r="D54"/>
      <c r="E54"/>
      <c r="F54"/>
      <c r="G54"/>
      <c r="H54"/>
    </row>
    <row r="55" spans="1:8" x14ac:dyDescent="0.25">
      <c r="A55"/>
      <c r="B55"/>
      <c r="C55"/>
      <c r="D55"/>
      <c r="E55"/>
      <c r="F55"/>
      <c r="G55"/>
      <c r="H55"/>
    </row>
    <row r="56" spans="1:8" x14ac:dyDescent="0.25">
      <c r="A56"/>
      <c r="B56"/>
      <c r="C56"/>
      <c r="D56"/>
      <c r="E56"/>
      <c r="F56"/>
      <c r="G56"/>
      <c r="H56"/>
    </row>
    <row r="57" spans="1:8" x14ac:dyDescent="0.25">
      <c r="A57"/>
      <c r="B57"/>
      <c r="C57"/>
      <c r="D57"/>
      <c r="E57"/>
      <c r="F57"/>
      <c r="G57"/>
      <c r="H57"/>
    </row>
    <row r="58" spans="1:8" x14ac:dyDescent="0.25">
      <c r="A58"/>
      <c r="B58"/>
      <c r="C58"/>
      <c r="D58"/>
      <c r="E58"/>
      <c r="F58"/>
      <c r="G58"/>
      <c r="H58"/>
    </row>
    <row r="59" spans="1:8" x14ac:dyDescent="0.25">
      <c r="A59"/>
      <c r="B59"/>
      <c r="C59"/>
      <c r="D59"/>
      <c r="E59"/>
      <c r="F59"/>
      <c r="G59"/>
      <c r="H59"/>
    </row>
    <row r="60" spans="1:8" x14ac:dyDescent="0.25">
      <c r="A60"/>
      <c r="B60"/>
      <c r="C60"/>
      <c r="D60"/>
      <c r="E60"/>
      <c r="F60"/>
      <c r="G60"/>
      <c r="H60"/>
    </row>
    <row r="61" spans="1:8" x14ac:dyDescent="0.25">
      <c r="A61"/>
      <c r="B61"/>
      <c r="C61"/>
      <c r="D61"/>
      <c r="E61"/>
      <c r="F61"/>
      <c r="G61"/>
      <c r="H61"/>
    </row>
    <row r="62" spans="1:8" x14ac:dyDescent="0.25">
      <c r="A62"/>
      <c r="B62"/>
      <c r="C62"/>
      <c r="D62"/>
      <c r="E62"/>
      <c r="F62"/>
      <c r="G62"/>
      <c r="H62"/>
    </row>
    <row r="63" spans="1:8" x14ac:dyDescent="0.25">
      <c r="A63"/>
      <c r="B63"/>
      <c r="C63"/>
      <c r="D63"/>
      <c r="E63"/>
      <c r="F63"/>
      <c r="G63"/>
      <c r="H63"/>
    </row>
  </sheetData>
  <phoneticPr fontId="12"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8EFE-632A-4615-BDAA-F5EA1F9B7949}">
  <sheetPr codeName="Sheet10"/>
  <dimension ref="A1:P26"/>
  <sheetViews>
    <sheetView zoomScaleNormal="100" workbookViewId="0">
      <selection activeCell="A17" sqref="A17:I17"/>
    </sheetView>
  </sheetViews>
  <sheetFormatPr defaultColWidth="9.1796875" defaultRowHeight="14.5" x14ac:dyDescent="0.35"/>
  <cols>
    <col min="1" max="1" width="44.90625" style="61" customWidth="1"/>
    <col min="2" max="2" width="9.81640625" style="61" customWidth="1"/>
    <col min="3" max="8" width="9.1796875" style="61"/>
    <col min="9" max="9" width="13.81640625" style="61" customWidth="1"/>
    <col min="10" max="10" width="9.1796875" style="61"/>
    <col min="11" max="11" width="13.1796875" style="62" customWidth="1"/>
    <col min="12" max="12" width="9.1796875" style="61"/>
    <col min="13" max="13" width="21.08984375" style="61" customWidth="1"/>
    <col min="14" max="16384" width="9.1796875" style="61"/>
  </cols>
  <sheetData>
    <row r="1" spans="1:16" ht="15.5" x14ac:dyDescent="0.35">
      <c r="A1" s="57" t="s">
        <v>242</v>
      </c>
      <c r="B1" s="57"/>
      <c r="C1" s="57"/>
      <c r="D1" s="57"/>
      <c r="E1" s="57"/>
      <c r="F1" s="57"/>
      <c r="G1" s="57"/>
      <c r="H1" s="57"/>
      <c r="I1" s="57"/>
    </row>
    <row r="2" spans="1:16" ht="19" customHeight="1" x14ac:dyDescent="0.35">
      <c r="A2" s="57" t="s">
        <v>248</v>
      </c>
      <c r="B2" s="57"/>
      <c r="C2" s="57"/>
      <c r="D2" s="57"/>
      <c r="E2" s="57"/>
      <c r="F2" s="57"/>
      <c r="G2" s="57"/>
      <c r="H2" s="57"/>
      <c r="I2" s="57"/>
    </row>
    <row r="3" spans="1:16" ht="34.5" customHeight="1" x14ac:dyDescent="0.35">
      <c r="A3" s="343" t="s">
        <v>432</v>
      </c>
      <c r="B3" s="344"/>
      <c r="C3" s="344"/>
      <c r="D3" s="344"/>
      <c r="E3" s="344"/>
      <c r="F3" s="344"/>
      <c r="G3" s="344"/>
      <c r="H3" s="344"/>
      <c r="I3" s="179"/>
    </row>
    <row r="4" spans="1:16" ht="15" x14ac:dyDescent="0.35">
      <c r="A4" s="353"/>
      <c r="B4" s="353"/>
      <c r="C4" s="353"/>
      <c r="D4" s="353"/>
      <c r="E4" s="353"/>
      <c r="F4" s="353"/>
      <c r="G4" s="353"/>
      <c r="H4" s="353"/>
      <c r="I4" s="353"/>
    </row>
    <row r="5" spans="1:16" x14ac:dyDescent="0.35">
      <c r="A5" s="354" t="s">
        <v>87</v>
      </c>
      <c r="B5" s="71" t="s">
        <v>22</v>
      </c>
      <c r="C5" s="71" t="s">
        <v>23</v>
      </c>
      <c r="D5" s="71" t="s">
        <v>24</v>
      </c>
      <c r="E5" s="71" t="s">
        <v>71</v>
      </c>
      <c r="F5" s="71" t="s">
        <v>26</v>
      </c>
      <c r="G5" s="71" t="s">
        <v>25</v>
      </c>
      <c r="H5" s="71" t="s">
        <v>72</v>
      </c>
      <c r="I5" s="71" t="s">
        <v>73</v>
      </c>
    </row>
    <row r="6" spans="1:16" ht="65" x14ac:dyDescent="0.35">
      <c r="A6" s="354"/>
      <c r="B6" s="71" t="s">
        <v>127</v>
      </c>
      <c r="C6" s="71" t="s">
        <v>128</v>
      </c>
      <c r="D6" s="71" t="s">
        <v>129</v>
      </c>
      <c r="E6" s="71" t="s">
        <v>130</v>
      </c>
      <c r="F6" s="71" t="s">
        <v>131</v>
      </c>
      <c r="G6" s="71" t="s">
        <v>132</v>
      </c>
      <c r="H6" s="71" t="s">
        <v>133</v>
      </c>
      <c r="I6" s="71" t="s">
        <v>134</v>
      </c>
      <c r="K6" s="355" t="s">
        <v>68</v>
      </c>
      <c r="L6" s="355"/>
      <c r="M6" s="64"/>
    </row>
    <row r="7" spans="1:16" ht="78.5" x14ac:dyDescent="0.35">
      <c r="A7" s="354"/>
      <c r="B7" s="63"/>
      <c r="C7" s="63"/>
      <c r="D7" s="180" t="s">
        <v>135</v>
      </c>
      <c r="E7" s="181"/>
      <c r="F7" s="180" t="s">
        <v>136</v>
      </c>
      <c r="G7" s="180" t="s">
        <v>137</v>
      </c>
      <c r="H7" s="180" t="s">
        <v>138</v>
      </c>
      <c r="I7" s="181"/>
      <c r="J7" s="182"/>
      <c r="K7" s="183" t="s">
        <v>69</v>
      </c>
      <c r="L7" s="184">
        <v>69.040000000000006</v>
      </c>
      <c r="M7" s="167" t="s">
        <v>172</v>
      </c>
      <c r="O7" s="61" t="s">
        <v>386</v>
      </c>
    </row>
    <row r="8" spans="1:16" ht="15.5" x14ac:dyDescent="0.35">
      <c r="A8" s="65" t="s">
        <v>281</v>
      </c>
      <c r="B8" s="58">
        <v>8</v>
      </c>
      <c r="C8" s="58">
        <v>1</v>
      </c>
      <c r="D8" s="185">
        <f>B8*C8</f>
        <v>8</v>
      </c>
      <c r="E8" s="185">
        <f>'RI-Y3'!E13+'RI-Y3'!E16</f>
        <v>150.2516</v>
      </c>
      <c r="F8" s="186">
        <f>D8*E8</f>
        <v>1202.0128</v>
      </c>
      <c r="G8" s="186">
        <f>F8*0.05</f>
        <v>60.100639999999999</v>
      </c>
      <c r="H8" s="186">
        <f>F8*0.1</f>
        <v>120.20128</v>
      </c>
      <c r="I8" s="187">
        <f>(F8*$L$8)+(G8*$L$7)+(H8*$L$9)</f>
        <v>69061.645423999988</v>
      </c>
      <c r="J8" s="182"/>
      <c r="K8" s="183" t="s">
        <v>33</v>
      </c>
      <c r="L8" s="188">
        <v>51.23</v>
      </c>
      <c r="M8" s="59"/>
      <c r="O8" s="61">
        <f>C8*E8</f>
        <v>150.2516</v>
      </c>
    </row>
    <row r="9" spans="1:16" ht="15.5" x14ac:dyDescent="0.35">
      <c r="A9" s="65" t="s">
        <v>280</v>
      </c>
      <c r="B9" s="58">
        <v>8</v>
      </c>
      <c r="C9" s="58">
        <v>1</v>
      </c>
      <c r="D9" s="185">
        <f>B9*C9</f>
        <v>8</v>
      </c>
      <c r="E9" s="185">
        <f>'RI-Y3'!E14+'RI-Y3'!E17</f>
        <v>7.5125799999999998</v>
      </c>
      <c r="F9" s="189">
        <f>D9*E9</f>
        <v>60.100639999999999</v>
      </c>
      <c r="G9" s="189">
        <f>F9*0.05</f>
        <v>3.0050319999999999</v>
      </c>
      <c r="H9" s="189">
        <f>F9*0.1</f>
        <v>6.0100639999999999</v>
      </c>
      <c r="I9" s="190">
        <f>(F9*$L$8)+(G9*$L$7)+(H9*$L$9)</f>
        <v>3453.0822711999995</v>
      </c>
      <c r="J9" s="182"/>
      <c r="K9" s="183" t="s">
        <v>34</v>
      </c>
      <c r="L9" s="188">
        <v>27.73</v>
      </c>
      <c r="M9" s="59"/>
      <c r="O9" s="61">
        <f t="shared" ref="O9:O12" si="0">C9*E9</f>
        <v>7.5125799999999998</v>
      </c>
    </row>
    <row r="10" spans="1:16" x14ac:dyDescent="0.35">
      <c r="A10" s="65" t="s">
        <v>141</v>
      </c>
      <c r="B10" s="58"/>
      <c r="C10" s="58"/>
      <c r="D10" s="185"/>
      <c r="E10" s="185"/>
      <c r="F10" s="186"/>
      <c r="G10" s="186"/>
      <c r="H10" s="186"/>
      <c r="I10" s="191"/>
      <c r="J10" s="182"/>
      <c r="K10" s="192"/>
      <c r="L10" s="182"/>
      <c r="O10" s="61">
        <f t="shared" si="0"/>
        <v>0</v>
      </c>
    </row>
    <row r="11" spans="1:16" ht="28.5" x14ac:dyDescent="0.35">
      <c r="A11" s="66" t="s">
        <v>282</v>
      </c>
      <c r="B11" s="58">
        <v>0.5</v>
      </c>
      <c r="C11" s="58">
        <v>1.1000000000000001</v>
      </c>
      <c r="D11" s="185">
        <f t="shared" ref="D11:D12" si="1">B11*C11</f>
        <v>0.55000000000000004</v>
      </c>
      <c r="E11" s="185">
        <f>E8</f>
        <v>150.2516</v>
      </c>
      <c r="F11" s="186">
        <f t="shared" ref="F11:F12" si="2">D11*E11</f>
        <v>82.638379999999998</v>
      </c>
      <c r="G11" s="186">
        <f t="shared" ref="G11:G12" si="3">F11*0.05</f>
        <v>4.1319189999999999</v>
      </c>
      <c r="H11" s="186">
        <f t="shared" ref="H11:H12" si="4">F11*0.1</f>
        <v>8.2638379999999998</v>
      </c>
      <c r="I11" s="187">
        <f t="shared" ref="I11:I12" si="5">(F11*$L$8)+(G11*$L$7)+(H11*$L$9)</f>
        <v>4747.9881228999993</v>
      </c>
      <c r="J11" s="182"/>
      <c r="K11" s="192"/>
      <c r="L11" s="182"/>
      <c r="O11" s="61">
        <f t="shared" si="0"/>
        <v>165.27676</v>
      </c>
    </row>
    <row r="12" spans="1:16" ht="20.25" customHeight="1" x14ac:dyDescent="0.35">
      <c r="A12" s="66" t="s">
        <v>283</v>
      </c>
      <c r="B12" s="58">
        <v>8</v>
      </c>
      <c r="C12" s="58">
        <v>2</v>
      </c>
      <c r="D12" s="185">
        <f t="shared" si="1"/>
        <v>16</v>
      </c>
      <c r="E12" s="185">
        <v>138</v>
      </c>
      <c r="F12" s="186">
        <f t="shared" si="2"/>
        <v>2208</v>
      </c>
      <c r="G12" s="193">
        <f t="shared" si="3"/>
        <v>110.4</v>
      </c>
      <c r="H12" s="193">
        <f t="shared" si="4"/>
        <v>220.8</v>
      </c>
      <c r="I12" s="187">
        <f t="shared" si="5"/>
        <v>126860.64</v>
      </c>
      <c r="J12" s="182"/>
      <c r="K12" s="192"/>
      <c r="L12" s="182"/>
      <c r="O12" s="61">
        <f t="shared" si="0"/>
        <v>276</v>
      </c>
    </row>
    <row r="13" spans="1:16" ht="15" x14ac:dyDescent="0.35">
      <c r="A13" s="60" t="s">
        <v>144</v>
      </c>
      <c r="B13" s="60"/>
      <c r="C13" s="60"/>
      <c r="D13" s="194"/>
      <c r="E13" s="194"/>
      <c r="F13" s="195">
        <f>ROUND(SUM(F8:H12), -1)</f>
        <v>4090</v>
      </c>
      <c r="G13" s="196"/>
      <c r="H13" s="196"/>
      <c r="I13" s="197">
        <f>ROUND(SUM(I8:I12), -2)</f>
        <v>204100</v>
      </c>
      <c r="J13" s="182"/>
      <c r="K13" s="192"/>
      <c r="L13" s="182"/>
      <c r="O13" s="61">
        <f>SUM(O8:O12)</f>
        <v>599.04093999999998</v>
      </c>
      <c r="P13" s="61" t="s">
        <v>385</v>
      </c>
    </row>
    <row r="14" spans="1:16" x14ac:dyDescent="0.35">
      <c r="A14" s="68"/>
      <c r="D14" s="182"/>
      <c r="E14" s="182"/>
      <c r="F14" s="182"/>
      <c r="G14" s="198"/>
      <c r="H14" s="182"/>
      <c r="I14" s="182"/>
      <c r="J14" s="182"/>
      <c r="K14" s="192"/>
      <c r="L14" s="182"/>
    </row>
    <row r="15" spans="1:16" ht="24.75" customHeight="1" x14ac:dyDescent="0.35">
      <c r="A15" s="68" t="s">
        <v>61</v>
      </c>
      <c r="D15" s="182"/>
      <c r="E15" s="182"/>
      <c r="F15" s="182"/>
      <c r="G15" s="182"/>
      <c r="H15" s="182"/>
      <c r="I15" s="182"/>
      <c r="J15" s="182"/>
      <c r="K15" s="192"/>
      <c r="L15" s="182"/>
    </row>
    <row r="16" spans="1:16" ht="31.5" customHeight="1" x14ac:dyDescent="0.35">
      <c r="A16" s="356" t="s">
        <v>278</v>
      </c>
      <c r="B16" s="356"/>
      <c r="C16" s="356"/>
      <c r="D16" s="356"/>
      <c r="E16" s="356"/>
      <c r="F16" s="356"/>
      <c r="G16" s="356"/>
      <c r="H16" s="356"/>
      <c r="I16" s="356"/>
    </row>
    <row r="17" spans="1:9" ht="45.5" customHeight="1" x14ac:dyDescent="0.35">
      <c r="A17" s="356" t="s">
        <v>174</v>
      </c>
      <c r="B17" s="356"/>
      <c r="C17" s="356"/>
      <c r="D17" s="356"/>
      <c r="E17" s="356"/>
      <c r="F17" s="356"/>
      <c r="G17" s="356"/>
      <c r="H17" s="356"/>
      <c r="I17" s="356"/>
    </row>
    <row r="18" spans="1:9" ht="28.5" customHeight="1" x14ac:dyDescent="0.35">
      <c r="A18" s="360" t="s">
        <v>175</v>
      </c>
      <c r="B18" s="360"/>
      <c r="C18" s="360"/>
      <c r="D18" s="360"/>
      <c r="E18" s="360"/>
      <c r="F18" s="360"/>
      <c r="G18" s="360"/>
      <c r="H18" s="360"/>
      <c r="I18" s="360"/>
    </row>
    <row r="19" spans="1:9" ht="15.5" x14ac:dyDescent="0.35">
      <c r="A19" s="361" t="s">
        <v>146</v>
      </c>
      <c r="B19" s="361"/>
      <c r="C19" s="361"/>
      <c r="D19" s="361"/>
      <c r="E19" s="361"/>
      <c r="F19" s="361"/>
      <c r="G19" s="361"/>
      <c r="H19" s="361"/>
      <c r="I19" s="361"/>
    </row>
    <row r="20" spans="1:9" ht="15.5" x14ac:dyDescent="0.35">
      <c r="A20" s="352" t="s">
        <v>279</v>
      </c>
      <c r="B20" s="352"/>
      <c r="C20" s="352"/>
      <c r="D20" s="352"/>
      <c r="E20" s="352"/>
      <c r="F20" s="352"/>
      <c r="G20" s="352"/>
      <c r="H20" s="352"/>
      <c r="I20" s="352"/>
    </row>
    <row r="21" spans="1:9" ht="15.5" x14ac:dyDescent="0.35">
      <c r="A21" s="352" t="s">
        <v>147</v>
      </c>
      <c r="B21" s="352"/>
      <c r="C21" s="352"/>
      <c r="D21" s="352"/>
      <c r="E21" s="352"/>
      <c r="F21" s="352"/>
      <c r="G21" s="352"/>
      <c r="H21" s="352"/>
      <c r="I21" s="352"/>
    </row>
    <row r="22" spans="1:9" ht="15.5" x14ac:dyDescent="0.35">
      <c r="A22" s="352" t="s">
        <v>284</v>
      </c>
      <c r="B22" s="352"/>
      <c r="C22" s="352"/>
      <c r="D22" s="352"/>
      <c r="E22" s="352"/>
      <c r="F22" s="352"/>
      <c r="G22" s="352"/>
      <c r="H22" s="352"/>
      <c r="I22" s="352"/>
    </row>
    <row r="23" spans="1:9" x14ac:dyDescent="0.35">
      <c r="A23" s="70"/>
    </row>
    <row r="24" spans="1:9" x14ac:dyDescent="0.35">
      <c r="A24" s="70"/>
    </row>
    <row r="25" spans="1:9" x14ac:dyDescent="0.35">
      <c r="A25" s="70"/>
    </row>
    <row r="26" spans="1:9" x14ac:dyDescent="0.35">
      <c r="A26" s="70"/>
    </row>
  </sheetData>
  <mergeCells count="11">
    <mergeCell ref="A19:I19"/>
    <mergeCell ref="A20:I20"/>
    <mergeCell ref="A21:I21"/>
    <mergeCell ref="A22:I22"/>
    <mergeCell ref="A4:I4"/>
    <mergeCell ref="A5:A7"/>
    <mergeCell ref="A3:H3"/>
    <mergeCell ref="K6:L6"/>
    <mergeCell ref="A16:I16"/>
    <mergeCell ref="A17:I17"/>
    <mergeCell ref="A18:I1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0EB57-C522-408E-B1EE-AFA746055269}">
  <sheetPr codeName="Sheet11"/>
  <dimension ref="A1:P26"/>
  <sheetViews>
    <sheetView zoomScaleNormal="100" workbookViewId="0">
      <selection activeCell="A3" sqref="A3:H3"/>
    </sheetView>
  </sheetViews>
  <sheetFormatPr defaultColWidth="9.1796875" defaultRowHeight="14.5" x14ac:dyDescent="0.35"/>
  <cols>
    <col min="1" max="1" width="44.90625" style="61" customWidth="1"/>
    <col min="2" max="2" width="9.81640625" style="61" customWidth="1"/>
    <col min="3" max="8" width="9.1796875" style="61"/>
    <col min="9" max="9" width="13.81640625" style="61" customWidth="1"/>
    <col min="10" max="10" width="9.1796875" style="61"/>
    <col min="11" max="11" width="13.1796875" style="62" customWidth="1"/>
    <col min="12" max="12" width="9.1796875" style="61"/>
    <col min="13" max="13" width="23.36328125" style="61" customWidth="1"/>
    <col min="14" max="16384" width="9.1796875" style="61"/>
  </cols>
  <sheetData>
    <row r="1" spans="1:16" ht="15.5" x14ac:dyDescent="0.35">
      <c r="A1" s="57" t="s">
        <v>242</v>
      </c>
      <c r="B1" s="57"/>
      <c r="C1" s="57"/>
      <c r="D1" s="57"/>
      <c r="E1" s="57"/>
      <c r="F1" s="57"/>
      <c r="G1" s="57"/>
      <c r="H1" s="57"/>
      <c r="I1" s="57"/>
    </row>
    <row r="2" spans="1:16" ht="19" customHeight="1" x14ac:dyDescent="0.35">
      <c r="A2" s="57" t="s">
        <v>249</v>
      </c>
      <c r="B2" s="57"/>
      <c r="C2" s="57"/>
      <c r="D2" s="57"/>
      <c r="E2" s="57"/>
      <c r="F2" s="57"/>
      <c r="G2" s="57"/>
      <c r="H2" s="57"/>
      <c r="I2" s="57"/>
    </row>
    <row r="3" spans="1:16" ht="34.5" customHeight="1" x14ac:dyDescent="0.35">
      <c r="A3" s="343" t="s">
        <v>433</v>
      </c>
      <c r="B3" s="344"/>
      <c r="C3" s="344"/>
      <c r="D3" s="344"/>
      <c r="E3" s="344"/>
      <c r="F3" s="344"/>
      <c r="G3" s="344"/>
      <c r="H3" s="344"/>
      <c r="I3" s="179"/>
    </row>
    <row r="4" spans="1:16" ht="15" x14ac:dyDescent="0.35">
      <c r="A4" s="353"/>
      <c r="B4" s="353"/>
      <c r="C4" s="353"/>
      <c r="D4" s="353"/>
      <c r="E4" s="353"/>
      <c r="F4" s="353"/>
      <c r="G4" s="353"/>
      <c r="H4" s="353"/>
      <c r="I4" s="353"/>
    </row>
    <row r="5" spans="1:16" x14ac:dyDescent="0.35">
      <c r="A5" s="354" t="s">
        <v>87</v>
      </c>
      <c r="B5" s="71" t="s">
        <v>22</v>
      </c>
      <c r="C5" s="71" t="s">
        <v>23</v>
      </c>
      <c r="D5" s="71" t="s">
        <v>24</v>
      </c>
      <c r="E5" s="71" t="s">
        <v>71</v>
      </c>
      <c r="F5" s="71" t="s">
        <v>26</v>
      </c>
      <c r="G5" s="71" t="s">
        <v>25</v>
      </c>
      <c r="H5" s="71" t="s">
        <v>72</v>
      </c>
      <c r="I5" s="71" t="s">
        <v>73</v>
      </c>
    </row>
    <row r="6" spans="1:16" ht="65" x14ac:dyDescent="0.35">
      <c r="A6" s="354"/>
      <c r="B6" s="71" t="s">
        <v>127</v>
      </c>
      <c r="C6" s="71" t="s">
        <v>128</v>
      </c>
      <c r="D6" s="71" t="s">
        <v>129</v>
      </c>
      <c r="E6" s="71" t="s">
        <v>130</v>
      </c>
      <c r="F6" s="71" t="s">
        <v>131</v>
      </c>
      <c r="G6" s="71" t="s">
        <v>132</v>
      </c>
      <c r="H6" s="71" t="s">
        <v>133</v>
      </c>
      <c r="I6" s="71" t="s">
        <v>134</v>
      </c>
      <c r="K6" s="355" t="s">
        <v>68</v>
      </c>
      <c r="L6" s="355"/>
      <c r="M6" s="64"/>
    </row>
    <row r="7" spans="1:16" ht="65.5" x14ac:dyDescent="0.35">
      <c r="A7" s="354"/>
      <c r="B7" s="63"/>
      <c r="C7" s="63"/>
      <c r="D7" s="180" t="s">
        <v>135</v>
      </c>
      <c r="E7" s="181"/>
      <c r="F7" s="180" t="s">
        <v>136</v>
      </c>
      <c r="G7" s="180" t="s">
        <v>137</v>
      </c>
      <c r="H7" s="180" t="s">
        <v>138</v>
      </c>
      <c r="I7" s="181"/>
      <c r="J7" s="182"/>
      <c r="K7" s="183" t="s">
        <v>69</v>
      </c>
      <c r="L7" s="184">
        <v>69.040000000000006</v>
      </c>
      <c r="M7" s="167" t="s">
        <v>172</v>
      </c>
      <c r="O7" s="61" t="s">
        <v>383</v>
      </c>
    </row>
    <row r="8" spans="1:16" ht="15.5" x14ac:dyDescent="0.35">
      <c r="A8" s="65" t="s">
        <v>281</v>
      </c>
      <c r="B8" s="58">
        <v>8</v>
      </c>
      <c r="C8" s="58">
        <v>1</v>
      </c>
      <c r="D8" s="185">
        <f>B8*C8</f>
        <v>8</v>
      </c>
      <c r="E8" s="185">
        <f>'RI-Y3'!E13+'RI-Y3'!E16</f>
        <v>150.2516</v>
      </c>
      <c r="F8" s="186">
        <f>D8*E8</f>
        <v>1202.0128</v>
      </c>
      <c r="G8" s="186">
        <f>F8*0.05</f>
        <v>60.100639999999999</v>
      </c>
      <c r="H8" s="186">
        <f>F8*0.1</f>
        <v>120.20128</v>
      </c>
      <c r="I8" s="187">
        <f>(F8*$L$8)+(G8*$L$7)+(H8*$L$9)</f>
        <v>69061.645423999988</v>
      </c>
      <c r="J8" s="182"/>
      <c r="K8" s="183" t="s">
        <v>33</v>
      </c>
      <c r="L8" s="188">
        <v>51.23</v>
      </c>
      <c r="M8" s="59"/>
      <c r="O8" s="61">
        <f>C8*E8</f>
        <v>150.2516</v>
      </c>
    </row>
    <row r="9" spans="1:16" ht="15.5" x14ac:dyDescent="0.35">
      <c r="A9" s="65" t="s">
        <v>280</v>
      </c>
      <c r="B9" s="58">
        <v>8</v>
      </c>
      <c r="C9" s="58">
        <v>1</v>
      </c>
      <c r="D9" s="185">
        <f>B9*C9</f>
        <v>8</v>
      </c>
      <c r="E9" s="185">
        <f>'RI-Y3'!E14+'RI-Y3'!E17</f>
        <v>7.5125799999999998</v>
      </c>
      <c r="F9" s="189">
        <f>D9*E9</f>
        <v>60.100639999999999</v>
      </c>
      <c r="G9" s="189">
        <f>F9*0.05</f>
        <v>3.0050319999999999</v>
      </c>
      <c r="H9" s="189">
        <f>F9*0.1</f>
        <v>6.0100639999999999</v>
      </c>
      <c r="I9" s="190">
        <f>(F9*$L$8)+(G9*$L$7)+(H9*$L$9)</f>
        <v>3453.0822711999995</v>
      </c>
      <c r="J9" s="182"/>
      <c r="K9" s="183" t="s">
        <v>34</v>
      </c>
      <c r="L9" s="188">
        <v>27.73</v>
      </c>
      <c r="M9" s="59"/>
      <c r="O9" s="61">
        <f t="shared" ref="O9:O12" si="0">C9*E9</f>
        <v>7.5125799999999998</v>
      </c>
    </row>
    <row r="10" spans="1:16" x14ac:dyDescent="0.35">
      <c r="A10" s="65" t="s">
        <v>141</v>
      </c>
      <c r="B10" s="58"/>
      <c r="C10" s="58"/>
      <c r="D10" s="185"/>
      <c r="E10" s="185"/>
      <c r="F10" s="186"/>
      <c r="G10" s="186"/>
      <c r="H10" s="186"/>
      <c r="I10" s="191"/>
      <c r="J10" s="182"/>
      <c r="K10" s="192"/>
      <c r="L10" s="182"/>
      <c r="O10" s="61">
        <f t="shared" si="0"/>
        <v>0</v>
      </c>
    </row>
    <row r="11" spans="1:16" ht="28.5" x14ac:dyDescent="0.35">
      <c r="A11" s="66" t="s">
        <v>282</v>
      </c>
      <c r="B11" s="58">
        <v>0.5</v>
      </c>
      <c r="C11" s="58">
        <v>1.1000000000000001</v>
      </c>
      <c r="D11" s="185">
        <f t="shared" ref="D11:D12" si="1">B11*C11</f>
        <v>0.55000000000000004</v>
      </c>
      <c r="E11" s="185">
        <f>E8</f>
        <v>150.2516</v>
      </c>
      <c r="F11" s="186">
        <f t="shared" ref="F11:F12" si="2">D11*E11</f>
        <v>82.638379999999998</v>
      </c>
      <c r="G11" s="186">
        <f t="shared" ref="G11:G12" si="3">F11*0.05</f>
        <v>4.1319189999999999</v>
      </c>
      <c r="H11" s="186">
        <f t="shared" ref="H11:H12" si="4">F11*0.1</f>
        <v>8.2638379999999998</v>
      </c>
      <c r="I11" s="187">
        <f t="shared" ref="I11:I12" si="5">(F11*$L$8)+(G11*$L$7)+(H11*$L$9)</f>
        <v>4747.9881228999993</v>
      </c>
      <c r="J11" s="182"/>
      <c r="K11" s="192"/>
      <c r="L11" s="182"/>
      <c r="O11" s="61">
        <f t="shared" si="0"/>
        <v>165.27676</v>
      </c>
    </row>
    <row r="12" spans="1:16" ht="20.25" customHeight="1" x14ac:dyDescent="0.35">
      <c r="A12" s="66" t="s">
        <v>283</v>
      </c>
      <c r="B12" s="58">
        <v>8</v>
      </c>
      <c r="C12" s="58">
        <v>2</v>
      </c>
      <c r="D12" s="185">
        <f t="shared" si="1"/>
        <v>16</v>
      </c>
      <c r="E12" s="185">
        <v>138</v>
      </c>
      <c r="F12" s="186">
        <f t="shared" si="2"/>
        <v>2208</v>
      </c>
      <c r="G12" s="193">
        <f t="shared" si="3"/>
        <v>110.4</v>
      </c>
      <c r="H12" s="193">
        <f t="shared" si="4"/>
        <v>220.8</v>
      </c>
      <c r="I12" s="187">
        <f t="shared" si="5"/>
        <v>126860.64</v>
      </c>
      <c r="J12" s="182"/>
      <c r="K12" s="192"/>
      <c r="L12" s="182"/>
      <c r="O12" s="61">
        <f t="shared" si="0"/>
        <v>276</v>
      </c>
    </row>
    <row r="13" spans="1:16" ht="15" x14ac:dyDescent="0.35">
      <c r="A13" s="60" t="s">
        <v>144</v>
      </c>
      <c r="B13" s="60"/>
      <c r="C13" s="60"/>
      <c r="D13" s="194"/>
      <c r="E13" s="194"/>
      <c r="F13" s="195">
        <f>ROUND(SUM(F8:H12), -1)</f>
        <v>4090</v>
      </c>
      <c r="G13" s="196"/>
      <c r="H13" s="196"/>
      <c r="I13" s="197">
        <f>ROUND(SUM(I8:I12), -2)</f>
        <v>204100</v>
      </c>
      <c r="J13" s="182"/>
      <c r="K13" s="192"/>
      <c r="L13" s="182"/>
      <c r="O13" s="61">
        <f>SUM(O8:O12)</f>
        <v>599.04093999999998</v>
      </c>
      <c r="P13" s="61" t="s">
        <v>385</v>
      </c>
    </row>
    <row r="14" spans="1:16" x14ac:dyDescent="0.35">
      <c r="A14" s="68"/>
      <c r="D14" s="182"/>
      <c r="E14" s="182"/>
      <c r="F14" s="182"/>
      <c r="G14" s="198"/>
      <c r="H14" s="182"/>
      <c r="I14" s="182"/>
      <c r="J14" s="182"/>
      <c r="K14" s="192"/>
      <c r="L14" s="182"/>
    </row>
    <row r="15" spans="1:16" ht="24.75" customHeight="1" x14ac:dyDescent="0.35">
      <c r="A15" s="68" t="s">
        <v>61</v>
      </c>
    </row>
    <row r="16" spans="1:16" ht="31.5" customHeight="1" x14ac:dyDescent="0.35">
      <c r="A16" s="356" t="s">
        <v>278</v>
      </c>
      <c r="B16" s="356"/>
      <c r="C16" s="356"/>
      <c r="D16" s="356"/>
      <c r="E16" s="356"/>
      <c r="F16" s="356"/>
      <c r="G16" s="356"/>
      <c r="H16" s="356"/>
      <c r="I16" s="356"/>
    </row>
    <row r="17" spans="1:9" ht="45.5" customHeight="1" x14ac:dyDescent="0.35">
      <c r="A17" s="356" t="s">
        <v>174</v>
      </c>
      <c r="B17" s="356"/>
      <c r="C17" s="356"/>
      <c r="D17" s="356"/>
      <c r="E17" s="356"/>
      <c r="F17" s="356"/>
      <c r="G17" s="356"/>
      <c r="H17" s="356"/>
      <c r="I17" s="356"/>
    </row>
    <row r="18" spans="1:9" ht="28.5" customHeight="1" x14ac:dyDescent="0.35">
      <c r="A18" s="360" t="s">
        <v>175</v>
      </c>
      <c r="B18" s="360"/>
      <c r="C18" s="360"/>
      <c r="D18" s="360"/>
      <c r="E18" s="360"/>
      <c r="F18" s="360"/>
      <c r="G18" s="360"/>
      <c r="H18" s="360"/>
      <c r="I18" s="360"/>
    </row>
    <row r="19" spans="1:9" ht="15.5" x14ac:dyDescent="0.35">
      <c r="A19" s="361" t="s">
        <v>146</v>
      </c>
      <c r="B19" s="361"/>
      <c r="C19" s="361"/>
      <c r="D19" s="361"/>
      <c r="E19" s="361"/>
      <c r="F19" s="361"/>
      <c r="G19" s="361"/>
      <c r="H19" s="361"/>
      <c r="I19" s="361"/>
    </row>
    <row r="20" spans="1:9" ht="15.5" x14ac:dyDescent="0.35">
      <c r="A20" s="352" t="s">
        <v>279</v>
      </c>
      <c r="B20" s="352"/>
      <c r="C20" s="352"/>
      <c r="D20" s="352"/>
      <c r="E20" s="352"/>
      <c r="F20" s="352"/>
      <c r="G20" s="352"/>
      <c r="H20" s="352"/>
      <c r="I20" s="352"/>
    </row>
    <row r="21" spans="1:9" ht="15.5" x14ac:dyDescent="0.35">
      <c r="A21" s="352" t="s">
        <v>147</v>
      </c>
      <c r="B21" s="352"/>
      <c r="C21" s="352"/>
      <c r="D21" s="352"/>
      <c r="E21" s="352"/>
      <c r="F21" s="352"/>
      <c r="G21" s="352"/>
      <c r="H21" s="352"/>
      <c r="I21" s="352"/>
    </row>
    <row r="22" spans="1:9" ht="15.5" x14ac:dyDescent="0.35">
      <c r="A22" s="352" t="s">
        <v>284</v>
      </c>
      <c r="B22" s="352"/>
      <c r="C22" s="352"/>
      <c r="D22" s="352"/>
      <c r="E22" s="352"/>
      <c r="F22" s="352"/>
      <c r="G22" s="352"/>
      <c r="H22" s="352"/>
      <c r="I22" s="352"/>
    </row>
    <row r="23" spans="1:9" x14ac:dyDescent="0.35">
      <c r="A23" s="70"/>
    </row>
    <row r="24" spans="1:9" x14ac:dyDescent="0.35">
      <c r="A24" s="70"/>
    </row>
    <row r="25" spans="1:9" x14ac:dyDescent="0.35">
      <c r="A25" s="70"/>
    </row>
    <row r="26" spans="1:9" x14ac:dyDescent="0.35">
      <c r="A26" s="70"/>
    </row>
  </sheetData>
  <mergeCells count="11">
    <mergeCell ref="A19:I19"/>
    <mergeCell ref="A20:I20"/>
    <mergeCell ref="A21:I21"/>
    <mergeCell ref="A22:I22"/>
    <mergeCell ref="A4:I4"/>
    <mergeCell ref="A5:A7"/>
    <mergeCell ref="A3:H3"/>
    <mergeCell ref="K6:L6"/>
    <mergeCell ref="A16:I16"/>
    <mergeCell ref="A17:I17"/>
    <mergeCell ref="A18:I1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D3037-8AE5-4455-8B30-1B0E7DD42269}">
  <sheetPr codeName="Sheet12"/>
  <dimension ref="A1:I19"/>
  <sheetViews>
    <sheetView workbookViewId="0">
      <selection activeCell="E21" sqref="E21"/>
    </sheetView>
  </sheetViews>
  <sheetFormatPr defaultRowHeight="14.5" x14ac:dyDescent="0.35"/>
  <cols>
    <col min="1" max="1" width="17.7265625" style="199" customWidth="1"/>
    <col min="2" max="2" width="14" style="199" customWidth="1"/>
    <col min="3" max="3" width="13.1796875" style="199" customWidth="1"/>
    <col min="4" max="4" width="12.81640625" style="199" customWidth="1"/>
    <col min="5" max="5" width="11.54296875" style="199" customWidth="1"/>
    <col min="6" max="6" width="11.26953125" style="199" customWidth="1"/>
    <col min="7" max="8" width="16.6328125" style="199" customWidth="1"/>
    <col min="9" max="16384" width="8.7265625" style="199"/>
  </cols>
  <sheetData>
    <row r="1" spans="1:9" ht="15" x14ac:dyDescent="0.35">
      <c r="A1" s="362" t="s">
        <v>242</v>
      </c>
      <c r="B1" s="362"/>
      <c r="C1" s="362"/>
      <c r="D1" s="362"/>
      <c r="E1" s="362"/>
      <c r="F1" s="362"/>
      <c r="G1" s="362"/>
      <c r="H1" s="362"/>
      <c r="I1" s="362"/>
    </row>
    <row r="2" spans="1:9" ht="15" x14ac:dyDescent="0.35">
      <c r="A2" s="200" t="s">
        <v>255</v>
      </c>
      <c r="B2" s="200"/>
      <c r="C2" s="200"/>
      <c r="D2" s="200"/>
      <c r="E2" s="200"/>
      <c r="F2" s="200"/>
      <c r="G2" s="200"/>
    </row>
    <row r="3" spans="1:9" ht="15.5" thickBot="1" x14ac:dyDescent="0.4">
      <c r="A3" s="363" t="s">
        <v>434</v>
      </c>
      <c r="B3" s="364"/>
      <c r="C3" s="364"/>
      <c r="D3" s="364"/>
      <c r="E3" s="364"/>
      <c r="F3" s="364"/>
      <c r="G3" s="365"/>
      <c r="H3" s="201"/>
      <c r="I3" s="201"/>
    </row>
    <row r="4" spans="1:9" ht="15" x14ac:dyDescent="0.35">
      <c r="A4" s="202"/>
      <c r="B4" s="203"/>
      <c r="C4" s="203"/>
      <c r="D4" s="203"/>
      <c r="E4" s="203"/>
      <c r="F4" s="203"/>
      <c r="G4" s="204"/>
      <c r="I4" s="205"/>
    </row>
    <row r="5" spans="1:9" x14ac:dyDescent="0.35">
      <c r="B5" s="206" t="s">
        <v>22</v>
      </c>
      <c r="C5" s="207" t="s">
        <v>23</v>
      </c>
      <c r="D5" s="207" t="s">
        <v>24</v>
      </c>
      <c r="E5" s="207" t="s">
        <v>71</v>
      </c>
      <c r="F5" s="207" t="s">
        <v>26</v>
      </c>
      <c r="G5" s="207" t="s">
        <v>25</v>
      </c>
      <c r="H5" s="208" t="s">
        <v>72</v>
      </c>
    </row>
    <row r="6" spans="1:9" ht="52" x14ac:dyDescent="0.35">
      <c r="A6" s="209" t="s">
        <v>62</v>
      </c>
      <c r="B6" s="209" t="s">
        <v>82</v>
      </c>
      <c r="C6" s="209" t="s">
        <v>83</v>
      </c>
      <c r="D6" s="209" t="s">
        <v>258</v>
      </c>
      <c r="E6" s="209" t="s">
        <v>84</v>
      </c>
      <c r="F6" s="209" t="s">
        <v>85</v>
      </c>
      <c r="G6" s="209" t="s">
        <v>149</v>
      </c>
      <c r="H6" s="209" t="s">
        <v>150</v>
      </c>
    </row>
    <row r="7" spans="1:9" x14ac:dyDescent="0.35">
      <c r="A7" s="209" t="s">
        <v>55</v>
      </c>
      <c r="B7" s="210"/>
      <c r="C7" s="119">
        <v>0</v>
      </c>
      <c r="D7" s="209">
        <v>0</v>
      </c>
      <c r="E7" s="119">
        <f>C7*D7</f>
        <v>0</v>
      </c>
      <c r="F7" s="119">
        <v>0</v>
      </c>
      <c r="G7" s="209"/>
      <c r="H7" s="119">
        <f>F7*G7</f>
        <v>0</v>
      </c>
    </row>
    <row r="8" spans="1:9" x14ac:dyDescent="0.35">
      <c r="A8" s="209" t="s">
        <v>56</v>
      </c>
      <c r="B8" s="210" t="s">
        <v>256</v>
      </c>
      <c r="C8" s="119"/>
      <c r="D8" s="209">
        <v>0</v>
      </c>
      <c r="E8" s="119">
        <f>C8*D8</f>
        <v>0</v>
      </c>
      <c r="F8" s="119">
        <v>0</v>
      </c>
      <c r="G8" s="209">
        <v>149</v>
      </c>
      <c r="H8" s="119">
        <f t="shared" ref="H8:H10" si="0">F8*G8</f>
        <v>0</v>
      </c>
    </row>
    <row r="9" spans="1:9" ht="15.5" x14ac:dyDescent="0.35">
      <c r="A9" s="209" t="s">
        <v>56</v>
      </c>
      <c r="B9" s="210" t="s">
        <v>379</v>
      </c>
      <c r="C9" s="119"/>
      <c r="D9" s="209"/>
      <c r="E9" s="119"/>
      <c r="F9" s="119">
        <v>724</v>
      </c>
      <c r="G9" s="209">
        <v>149</v>
      </c>
      <c r="H9" s="119">
        <f t="shared" si="0"/>
        <v>107876</v>
      </c>
    </row>
    <row r="10" spans="1:9" ht="15.5" x14ac:dyDescent="0.35">
      <c r="A10" s="209" t="s">
        <v>56</v>
      </c>
      <c r="B10" s="210" t="s">
        <v>380</v>
      </c>
      <c r="C10" s="119"/>
      <c r="D10" s="209"/>
      <c r="E10" s="119"/>
      <c r="F10" s="119">
        <v>648</v>
      </c>
      <c r="G10" s="209">
        <v>149</v>
      </c>
      <c r="H10" s="119">
        <f t="shared" si="0"/>
        <v>96552</v>
      </c>
    </row>
    <row r="11" spans="1:9" x14ac:dyDescent="0.35">
      <c r="A11" s="209" t="s">
        <v>57</v>
      </c>
      <c r="B11" s="210" t="s">
        <v>285</v>
      </c>
      <c r="C11" s="119"/>
      <c r="D11" s="209"/>
      <c r="E11" s="119"/>
      <c r="F11" s="119"/>
      <c r="G11" s="209"/>
      <c r="H11" s="119">
        <f>F11*G11</f>
        <v>0</v>
      </c>
    </row>
    <row r="12" spans="1:9" x14ac:dyDescent="0.35">
      <c r="A12" s="209" t="s">
        <v>57</v>
      </c>
      <c r="B12" s="210" t="s">
        <v>213</v>
      </c>
      <c r="C12" s="119">
        <v>0</v>
      </c>
      <c r="D12" s="209"/>
      <c r="E12" s="119"/>
      <c r="F12" s="119"/>
      <c r="G12" s="209"/>
      <c r="H12" s="119">
        <f>F12*G12</f>
        <v>0</v>
      </c>
    </row>
    <row r="13" spans="1:9" x14ac:dyDescent="0.35">
      <c r="A13" s="209" t="s">
        <v>57</v>
      </c>
      <c r="B13" s="210" t="s">
        <v>214</v>
      </c>
      <c r="C13" s="119">
        <v>0</v>
      </c>
      <c r="D13" s="209"/>
      <c r="E13" s="119"/>
      <c r="F13" s="119"/>
      <c r="G13" s="209"/>
      <c r="H13" s="119">
        <f>F13*G13</f>
        <v>0</v>
      </c>
    </row>
    <row r="14" spans="1:9" x14ac:dyDescent="0.35">
      <c r="A14" s="211"/>
      <c r="B14" s="212" t="s">
        <v>81</v>
      </c>
      <c r="C14" s="119"/>
      <c r="D14" s="209"/>
      <c r="E14" s="119">
        <f>ROUND(SUM(E11:E13), -4)</f>
        <v>0</v>
      </c>
      <c r="F14" s="119"/>
      <c r="G14" s="209"/>
      <c r="H14" s="119">
        <f>ROUND(SUM(H7:H13), -4)</f>
        <v>200000</v>
      </c>
    </row>
    <row r="15" spans="1:9" x14ac:dyDescent="0.35">
      <c r="B15" s="213"/>
      <c r="D15" s="213"/>
      <c r="E15" s="213"/>
      <c r="G15" s="213"/>
    </row>
    <row r="16" spans="1:9" x14ac:dyDescent="0.35">
      <c r="B16" s="213"/>
      <c r="D16" s="213"/>
      <c r="F16" s="213"/>
      <c r="G16" s="214" t="s">
        <v>188</v>
      </c>
      <c r="H16" s="213"/>
    </row>
    <row r="17" spans="1:5" x14ac:dyDescent="0.35">
      <c r="B17" s="213"/>
      <c r="E17" s="213"/>
    </row>
    <row r="18" spans="1:5" x14ac:dyDescent="0.35">
      <c r="A18" s="215" t="s">
        <v>459</v>
      </c>
    </row>
    <row r="19" spans="1:5" x14ac:dyDescent="0.35">
      <c r="A19" s="215" t="s">
        <v>460</v>
      </c>
    </row>
  </sheetData>
  <mergeCells count="2">
    <mergeCell ref="A1:I1"/>
    <mergeCell ref="A3:G3"/>
  </mergeCell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3053-CE3C-49CB-9293-70B0107C5A1F}">
  <sheetPr codeName="Sheet13">
    <pageSetUpPr fitToPage="1"/>
  </sheetPr>
  <dimension ref="A1:O50"/>
  <sheetViews>
    <sheetView zoomScaleNormal="100" workbookViewId="0">
      <pane xSplit="9" ySplit="5" topLeftCell="J29" activePane="bottomRight" state="frozen"/>
      <selection activeCell="B22" sqref="B22"/>
      <selection pane="topRight" activeCell="B22" sqref="B22"/>
      <selection pane="bottomLeft" activeCell="B22" sqref="B22"/>
      <selection pane="bottomRight" activeCell="I44" sqref="A1:I44"/>
    </sheetView>
  </sheetViews>
  <sheetFormatPr defaultColWidth="9.1796875" defaultRowHeight="13" x14ac:dyDescent="0.3"/>
  <cols>
    <col min="1" max="1" width="24.54296875" style="216" customWidth="1"/>
    <col min="2" max="2" width="10.1796875" style="216" customWidth="1"/>
    <col min="3" max="3" width="12" style="260" customWidth="1"/>
    <col min="4" max="4" width="11.1796875" style="216" customWidth="1"/>
    <col min="5" max="5" width="12.1796875" style="260" customWidth="1"/>
    <col min="6" max="6" width="10.26953125" style="216" customWidth="1"/>
    <col min="7" max="7" width="11.7265625" style="216" customWidth="1"/>
    <col min="8" max="8" width="11.26953125" style="216" customWidth="1"/>
    <col min="9" max="9" width="14.26953125" style="216" customWidth="1"/>
    <col min="10" max="10" width="7.1796875" style="216" customWidth="1"/>
    <col min="11" max="11" width="19.453125" style="216" customWidth="1"/>
    <col min="12" max="12" width="12.81640625" style="216" customWidth="1"/>
    <col min="13" max="13" width="29.81640625" style="216" customWidth="1"/>
    <col min="14" max="14" width="20.453125" style="216" customWidth="1"/>
    <col min="15" max="15" width="14.1796875" style="216" customWidth="1"/>
    <col min="16" max="16384" width="9.1796875" style="216"/>
  </cols>
  <sheetData>
    <row r="1" spans="1:14" ht="15" x14ac:dyDescent="0.3">
      <c r="A1" s="362" t="s">
        <v>177</v>
      </c>
      <c r="B1" s="362"/>
      <c r="C1" s="362"/>
      <c r="D1" s="362"/>
      <c r="E1" s="362"/>
      <c r="F1" s="362"/>
      <c r="G1" s="362"/>
      <c r="H1" s="362"/>
      <c r="I1" s="362"/>
    </row>
    <row r="2" spans="1:14" ht="15" x14ac:dyDescent="0.3">
      <c r="A2" s="200" t="s">
        <v>203</v>
      </c>
      <c r="B2" s="200"/>
      <c r="C2" s="200"/>
      <c r="D2" s="200"/>
      <c r="E2" s="200"/>
      <c r="F2" s="200"/>
      <c r="G2" s="200"/>
      <c r="H2" s="200"/>
      <c r="I2" s="200"/>
    </row>
    <row r="3" spans="1:14" ht="33" customHeight="1" x14ac:dyDescent="0.3">
      <c r="A3" s="362" t="s">
        <v>442</v>
      </c>
      <c r="B3" s="362"/>
      <c r="C3" s="362"/>
      <c r="D3" s="362"/>
      <c r="E3" s="362"/>
      <c r="F3" s="362"/>
      <c r="G3" s="362"/>
      <c r="H3" s="362"/>
      <c r="I3" s="362"/>
      <c r="K3" s="216" t="s">
        <v>166</v>
      </c>
    </row>
    <row r="5" spans="1:14" ht="65" x14ac:dyDescent="0.3">
      <c r="A5" s="285" t="s">
        <v>32</v>
      </c>
      <c r="B5" s="286" t="s">
        <v>88</v>
      </c>
      <c r="C5" s="185" t="s">
        <v>89</v>
      </c>
      <c r="D5" s="286" t="s">
        <v>90</v>
      </c>
      <c r="E5" s="185" t="s">
        <v>91</v>
      </c>
      <c r="F5" s="286" t="s">
        <v>92</v>
      </c>
      <c r="G5" s="286" t="s">
        <v>93</v>
      </c>
      <c r="H5" s="286" t="s">
        <v>94</v>
      </c>
      <c r="I5" s="286" t="s">
        <v>95</v>
      </c>
      <c r="J5" s="287"/>
      <c r="N5" s="216" t="s">
        <v>383</v>
      </c>
    </row>
    <row r="6" spans="1:14" x14ac:dyDescent="0.3">
      <c r="A6" s="288" t="s">
        <v>96</v>
      </c>
      <c r="B6" s="286" t="s">
        <v>77</v>
      </c>
      <c r="C6" s="289"/>
      <c r="D6" s="290"/>
      <c r="E6" s="289"/>
      <c r="F6" s="290"/>
      <c r="G6" s="290"/>
      <c r="H6" s="290"/>
      <c r="I6" s="290"/>
      <c r="K6" s="368" t="s">
        <v>68</v>
      </c>
      <c r="L6" s="368"/>
      <c r="N6" s="216">
        <f>C6*E6</f>
        <v>0</v>
      </c>
    </row>
    <row r="7" spans="1:14" ht="21.5" customHeight="1" x14ac:dyDescent="0.3">
      <c r="A7" s="288" t="s">
        <v>97</v>
      </c>
      <c r="B7" s="286" t="s">
        <v>77</v>
      </c>
      <c r="C7" s="289"/>
      <c r="D7" s="290"/>
      <c r="E7" s="289"/>
      <c r="F7" s="290"/>
      <c r="G7" s="290"/>
      <c r="H7" s="290"/>
      <c r="I7" s="290"/>
      <c r="K7" s="183" t="s">
        <v>69</v>
      </c>
      <c r="L7" s="223">
        <v>157.61000000000001</v>
      </c>
      <c r="M7" s="224" t="s">
        <v>180</v>
      </c>
      <c r="N7" s="216">
        <f t="shared" ref="N7:N38" si="0">C7*E7</f>
        <v>0</v>
      </c>
    </row>
    <row r="8" spans="1:14" ht="56" customHeight="1" x14ac:dyDescent="0.3">
      <c r="A8" s="288" t="s">
        <v>98</v>
      </c>
      <c r="B8" s="286">
        <v>16</v>
      </c>
      <c r="C8" s="185">
        <v>1</v>
      </c>
      <c r="D8" s="286">
        <f>B8*C8</f>
        <v>16</v>
      </c>
      <c r="E8" s="185">
        <f>L12</f>
        <v>0</v>
      </c>
      <c r="F8" s="286">
        <f>D8*E8</f>
        <v>0</v>
      </c>
      <c r="G8" s="286">
        <f>F8*0.05</f>
        <v>0</v>
      </c>
      <c r="H8" s="286">
        <f>F8*0.1</f>
        <v>0</v>
      </c>
      <c r="I8" s="291">
        <f>F8*$L$8+G8*$L$7+H8*$L$9</f>
        <v>0</v>
      </c>
      <c r="K8" s="183" t="s">
        <v>33</v>
      </c>
      <c r="L8" s="223">
        <v>123.94</v>
      </c>
      <c r="M8" s="226"/>
      <c r="N8" s="216">
        <f t="shared" si="0"/>
        <v>0</v>
      </c>
    </row>
    <row r="9" spans="1:14" x14ac:dyDescent="0.3">
      <c r="A9" s="288" t="s">
        <v>99</v>
      </c>
      <c r="B9" s="286"/>
      <c r="C9" s="185"/>
      <c r="D9" s="286"/>
      <c r="E9" s="185"/>
      <c r="F9" s="286"/>
      <c r="G9" s="286"/>
      <c r="H9" s="286"/>
      <c r="I9" s="290"/>
      <c r="K9" s="183" t="s">
        <v>34</v>
      </c>
      <c r="L9" s="223">
        <v>62.51</v>
      </c>
      <c r="M9" s="226"/>
      <c r="N9" s="216">
        <f t="shared" si="0"/>
        <v>0</v>
      </c>
    </row>
    <row r="10" spans="1:14" ht="26" x14ac:dyDescent="0.3">
      <c r="A10" s="332" t="s">
        <v>100</v>
      </c>
      <c r="B10" s="286">
        <v>1</v>
      </c>
      <c r="C10" s="185">
        <v>1</v>
      </c>
      <c r="D10" s="286">
        <f>B10*C10</f>
        <v>1</v>
      </c>
      <c r="E10" s="185">
        <f>L14</f>
        <v>47</v>
      </c>
      <c r="F10" s="286">
        <f>D10*E10</f>
        <v>47</v>
      </c>
      <c r="G10" s="286">
        <f>F10*0.05</f>
        <v>2.35</v>
      </c>
      <c r="H10" s="286">
        <f>F10*0.1</f>
        <v>4.7</v>
      </c>
      <c r="I10" s="292">
        <f>F10*$L$8+G10*$L$7+H10*$L$9</f>
        <v>6489.3605000000007</v>
      </c>
      <c r="K10" s="293"/>
      <c r="N10" s="216">
        <f t="shared" si="0"/>
        <v>47</v>
      </c>
    </row>
    <row r="11" spans="1:14" ht="15.75" customHeight="1" x14ac:dyDescent="0.3">
      <c r="A11" s="332" t="s">
        <v>101</v>
      </c>
      <c r="B11" s="286"/>
      <c r="C11" s="185"/>
      <c r="D11" s="286"/>
      <c r="E11" s="185"/>
      <c r="F11" s="286"/>
      <c r="G11" s="286"/>
      <c r="H11" s="286"/>
      <c r="I11" s="292"/>
      <c r="K11" s="294"/>
      <c r="L11" s="294" t="s">
        <v>102</v>
      </c>
      <c r="N11" s="216">
        <f t="shared" si="0"/>
        <v>0</v>
      </c>
    </row>
    <row r="12" spans="1:14" ht="28.5" x14ac:dyDescent="0.3">
      <c r="A12" s="333" t="s">
        <v>103</v>
      </c>
      <c r="B12" s="286"/>
      <c r="C12" s="185"/>
      <c r="D12" s="286"/>
      <c r="E12" s="295"/>
      <c r="F12" s="296"/>
      <c r="G12" s="286"/>
      <c r="H12" s="286"/>
      <c r="I12" s="292"/>
      <c r="K12" s="294" t="s">
        <v>104</v>
      </c>
      <c r="L12" s="294">
        <v>0</v>
      </c>
      <c r="N12" s="216">
        <f t="shared" si="0"/>
        <v>0</v>
      </c>
    </row>
    <row r="13" spans="1:14" ht="25" customHeight="1" x14ac:dyDescent="0.3">
      <c r="A13" s="282" t="s">
        <v>168</v>
      </c>
      <c r="B13" s="185">
        <v>24</v>
      </c>
      <c r="C13" s="185">
        <v>2</v>
      </c>
      <c r="D13" s="286">
        <f>B13*C13</f>
        <v>48</v>
      </c>
      <c r="E13" s="295">
        <f t="shared" ref="E13" si="1">L$13</f>
        <v>4.7</v>
      </c>
      <c r="F13" s="296">
        <f>D13*E13</f>
        <v>225.60000000000002</v>
      </c>
      <c r="G13" s="286">
        <f>F13*0.05</f>
        <v>11.280000000000001</v>
      </c>
      <c r="H13" s="286">
        <f>F13*0.1</f>
        <v>22.560000000000002</v>
      </c>
      <c r="I13" s="292">
        <f>F13*$L$8+G13*$L$7+H13*$L$9</f>
        <v>31148.930400000005</v>
      </c>
      <c r="K13" s="294" t="s">
        <v>105</v>
      </c>
      <c r="L13" s="294">
        <f>L12+L14*0.1</f>
        <v>4.7</v>
      </c>
      <c r="N13" s="216">
        <f t="shared" si="0"/>
        <v>9.4</v>
      </c>
    </row>
    <row r="14" spans="1:14" x14ac:dyDescent="0.3">
      <c r="A14" s="282" t="s">
        <v>164</v>
      </c>
      <c r="B14" s="185">
        <v>24</v>
      </c>
      <c r="C14" s="185">
        <v>2</v>
      </c>
      <c r="D14" s="286">
        <f t="shared" ref="D14" si="2">B14*C14</f>
        <v>48</v>
      </c>
      <c r="E14" s="295">
        <f>E13*0.05</f>
        <v>0.23500000000000001</v>
      </c>
      <c r="F14" s="296">
        <f t="shared" ref="F14:F17" si="3">D14*E14</f>
        <v>11.280000000000001</v>
      </c>
      <c r="G14" s="286">
        <f t="shared" ref="G14:G17" si="4">F14*0.05</f>
        <v>0.56400000000000006</v>
      </c>
      <c r="H14" s="286">
        <f t="shared" ref="H14:H17" si="5">F14*0.1</f>
        <v>1.1280000000000001</v>
      </c>
      <c r="I14" s="292">
        <f t="shared" ref="I14:I17" si="6">F14*$L$8+G14*$L$7+H14*$L$9</f>
        <v>1557.44652</v>
      </c>
      <c r="J14" s="293"/>
      <c r="K14" s="294" t="s">
        <v>80</v>
      </c>
      <c r="L14" s="294">
        <v>47</v>
      </c>
      <c r="N14" s="216">
        <f t="shared" si="0"/>
        <v>0.47000000000000003</v>
      </c>
    </row>
    <row r="15" spans="1:14" ht="28.5" x14ac:dyDescent="0.3">
      <c r="A15" s="333" t="s">
        <v>106</v>
      </c>
      <c r="B15" s="286"/>
      <c r="C15" s="185"/>
      <c r="D15" s="286"/>
      <c r="E15" s="185"/>
      <c r="F15" s="296"/>
      <c r="G15" s="286"/>
      <c r="H15" s="286"/>
      <c r="I15" s="292"/>
      <c r="L15" s="293"/>
      <c r="M15" s="293"/>
      <c r="N15" s="216">
        <f t="shared" si="0"/>
        <v>0</v>
      </c>
    </row>
    <row r="16" spans="1:14" ht="26" x14ac:dyDescent="0.3">
      <c r="A16" s="332" t="s">
        <v>170</v>
      </c>
      <c r="B16" s="286">
        <v>24</v>
      </c>
      <c r="C16" s="185">
        <v>2</v>
      </c>
      <c r="D16" s="286">
        <f>B16*C16</f>
        <v>48</v>
      </c>
      <c r="E16" s="295">
        <f t="shared" ref="E16" si="7">L$14</f>
        <v>47</v>
      </c>
      <c r="F16" s="296">
        <f t="shared" si="3"/>
        <v>2256</v>
      </c>
      <c r="G16" s="286">
        <f t="shared" si="4"/>
        <v>112.80000000000001</v>
      </c>
      <c r="H16" s="286">
        <f t="shared" si="5"/>
        <v>225.60000000000002</v>
      </c>
      <c r="I16" s="292">
        <f t="shared" si="6"/>
        <v>311489.304</v>
      </c>
      <c r="J16" s="226"/>
      <c r="N16" s="216">
        <f t="shared" si="0"/>
        <v>94</v>
      </c>
    </row>
    <row r="17" spans="1:14" x14ac:dyDescent="0.3">
      <c r="A17" s="332" t="s">
        <v>165</v>
      </c>
      <c r="B17" s="185">
        <v>24</v>
      </c>
      <c r="C17" s="185">
        <v>2</v>
      </c>
      <c r="D17" s="286">
        <f t="shared" ref="D17" si="8">B17*C17</f>
        <v>48</v>
      </c>
      <c r="E17" s="295">
        <f>E16*0.05</f>
        <v>2.35</v>
      </c>
      <c r="F17" s="296">
        <f t="shared" si="3"/>
        <v>112.80000000000001</v>
      </c>
      <c r="G17" s="286">
        <f t="shared" si="4"/>
        <v>5.6400000000000006</v>
      </c>
      <c r="H17" s="286">
        <f t="shared" si="5"/>
        <v>11.280000000000001</v>
      </c>
      <c r="I17" s="292">
        <f t="shared" si="6"/>
        <v>15574.465200000002</v>
      </c>
      <c r="J17" s="226"/>
      <c r="N17" s="216">
        <f t="shared" si="0"/>
        <v>4.7</v>
      </c>
    </row>
    <row r="18" spans="1:14" ht="26" x14ac:dyDescent="0.3">
      <c r="A18" s="334" t="s">
        <v>111</v>
      </c>
      <c r="B18" s="286"/>
      <c r="C18" s="185"/>
      <c r="D18" s="286"/>
      <c r="E18" s="295"/>
      <c r="F18" s="286"/>
      <c r="G18" s="286"/>
      <c r="H18" s="286"/>
      <c r="I18" s="292"/>
      <c r="N18" s="216">
        <f t="shared" si="0"/>
        <v>0</v>
      </c>
    </row>
    <row r="19" spans="1:14" ht="26" customHeight="1" x14ac:dyDescent="0.3">
      <c r="A19" s="332" t="s">
        <v>113</v>
      </c>
      <c r="B19" s="286">
        <v>2</v>
      </c>
      <c r="C19" s="185">
        <v>1</v>
      </c>
      <c r="D19" s="286">
        <f>B19*C19</f>
        <v>2</v>
      </c>
      <c r="E19" s="295">
        <f>E13</f>
        <v>4.7</v>
      </c>
      <c r="F19" s="286">
        <f t="shared" ref="F19:F20" si="9">D19*E19</f>
        <v>9.4</v>
      </c>
      <c r="G19" s="286">
        <f t="shared" ref="G19:G20" si="10">F19*0.05</f>
        <v>0.47000000000000003</v>
      </c>
      <c r="H19" s="286">
        <f t="shared" ref="H19:H20" si="11">F19*0.1</f>
        <v>0.94000000000000006</v>
      </c>
      <c r="I19" s="292">
        <f t="shared" ref="I19:I20" si="12">F19*$L$8+G19*$L$7+H19*$L$9</f>
        <v>1297.8721</v>
      </c>
      <c r="N19" s="216">
        <f t="shared" si="0"/>
        <v>4.7</v>
      </c>
    </row>
    <row r="20" spans="1:14" ht="39" x14ac:dyDescent="0.3">
      <c r="A20" s="332" t="s">
        <v>408</v>
      </c>
      <c r="B20" s="286">
        <v>2</v>
      </c>
      <c r="C20" s="185">
        <v>2</v>
      </c>
      <c r="D20" s="286">
        <f>B20*C20</f>
        <v>4</v>
      </c>
      <c r="E20" s="295">
        <f>E13</f>
        <v>4.7</v>
      </c>
      <c r="F20" s="286">
        <f t="shared" si="9"/>
        <v>18.8</v>
      </c>
      <c r="G20" s="286">
        <f t="shared" si="10"/>
        <v>0.94000000000000006</v>
      </c>
      <c r="H20" s="286">
        <f t="shared" si="11"/>
        <v>1.8800000000000001</v>
      </c>
      <c r="I20" s="292">
        <f t="shared" si="12"/>
        <v>2595.7442000000001</v>
      </c>
      <c r="N20" s="216">
        <f t="shared" si="0"/>
        <v>9.4</v>
      </c>
    </row>
    <row r="21" spans="1:14" ht="39" x14ac:dyDescent="0.3">
      <c r="A21" s="332" t="s">
        <v>407</v>
      </c>
      <c r="B21" s="286">
        <v>8</v>
      </c>
      <c r="C21" s="185">
        <v>2</v>
      </c>
      <c r="D21" s="286">
        <f>B21*C21</f>
        <v>16</v>
      </c>
      <c r="E21" s="295">
        <f>E14</f>
        <v>0.23500000000000001</v>
      </c>
      <c r="F21" s="286">
        <f t="shared" ref="F21" si="13">D21*E21</f>
        <v>3.7600000000000002</v>
      </c>
      <c r="G21" s="286">
        <f t="shared" ref="G21" si="14">F21*0.05</f>
        <v>0.18800000000000003</v>
      </c>
      <c r="H21" s="286">
        <f t="shared" ref="H21" si="15">F21*0.1</f>
        <v>0.37600000000000006</v>
      </c>
      <c r="I21" s="292">
        <f t="shared" ref="I21" si="16">F21*$L$8+G21*$L$7+H21*$L$9</f>
        <v>519.14884000000006</v>
      </c>
      <c r="N21" s="216">
        <f t="shared" si="0"/>
        <v>0.47000000000000003</v>
      </c>
    </row>
    <row r="22" spans="1:14" x14ac:dyDescent="0.3">
      <c r="A22" s="334" t="s">
        <v>75</v>
      </c>
      <c r="B22" s="290"/>
      <c r="C22" s="289"/>
      <c r="D22" s="290"/>
      <c r="E22" s="297"/>
      <c r="F22" s="290"/>
      <c r="G22" s="290"/>
      <c r="H22" s="290"/>
      <c r="I22" s="290"/>
      <c r="N22" s="216">
        <f t="shared" si="0"/>
        <v>0</v>
      </c>
    </row>
    <row r="23" spans="1:14" ht="26" x14ac:dyDescent="0.3">
      <c r="A23" s="332" t="s">
        <v>169</v>
      </c>
      <c r="B23" s="286">
        <v>2</v>
      </c>
      <c r="C23" s="185">
        <v>2</v>
      </c>
      <c r="D23" s="286">
        <f>B23*C23</f>
        <v>4</v>
      </c>
      <c r="E23" s="295">
        <f>L14</f>
        <v>47</v>
      </c>
      <c r="F23" s="286">
        <f>D23*E23</f>
        <v>188</v>
      </c>
      <c r="G23" s="286">
        <f>F23*0.05</f>
        <v>9.4</v>
      </c>
      <c r="H23" s="286">
        <f>F23*0.1</f>
        <v>18.8</v>
      </c>
      <c r="I23" s="292">
        <f>F23*$L$8+G23*$L$7+H23*$L$9</f>
        <v>25957.442000000003</v>
      </c>
      <c r="N23" s="216">
        <f t="shared" si="0"/>
        <v>94</v>
      </c>
    </row>
    <row r="24" spans="1:14" ht="57" customHeight="1" x14ac:dyDescent="0.3">
      <c r="A24" s="332" t="s">
        <v>409</v>
      </c>
      <c r="B24" s="286">
        <v>2</v>
      </c>
      <c r="C24" s="185">
        <v>2</v>
      </c>
      <c r="D24" s="286">
        <f>B24*C24</f>
        <v>4</v>
      </c>
      <c r="E24" s="295">
        <f>E23</f>
        <v>47</v>
      </c>
      <c r="F24" s="286">
        <f>D24*E24</f>
        <v>188</v>
      </c>
      <c r="G24" s="286">
        <f>F24*0.05</f>
        <v>9.4</v>
      </c>
      <c r="H24" s="286">
        <f>F24*0.1</f>
        <v>18.8</v>
      </c>
      <c r="I24" s="292">
        <f>F24*$L$8+G24*$L$7+H24*$L$9</f>
        <v>25957.442000000003</v>
      </c>
      <c r="N24" s="216">
        <f t="shared" si="0"/>
        <v>94</v>
      </c>
    </row>
    <row r="25" spans="1:14" ht="39" x14ac:dyDescent="0.3">
      <c r="A25" s="332" t="s">
        <v>407</v>
      </c>
      <c r="B25" s="312">
        <v>8</v>
      </c>
      <c r="C25" s="313">
        <v>2</v>
      </c>
      <c r="D25" s="312">
        <f>B25*C25</f>
        <v>16</v>
      </c>
      <c r="E25" s="295">
        <f>E24</f>
        <v>47</v>
      </c>
      <c r="F25" s="286">
        <f>D25*E25</f>
        <v>752</v>
      </c>
      <c r="G25" s="286">
        <f>F25*0.05</f>
        <v>37.6</v>
      </c>
      <c r="H25" s="286">
        <f>F25*0.1</f>
        <v>75.2</v>
      </c>
      <c r="I25" s="292">
        <f>F25*$L$8+G25*$L$7+H25*$L$9</f>
        <v>103829.76800000001</v>
      </c>
      <c r="N25" s="216">
        <f t="shared" si="0"/>
        <v>94</v>
      </c>
    </row>
    <row r="26" spans="1:14" ht="27" x14ac:dyDescent="0.3">
      <c r="A26" s="298" t="s">
        <v>86</v>
      </c>
      <c r="B26" s="299"/>
      <c r="C26" s="300"/>
      <c r="D26" s="299"/>
      <c r="E26" s="301"/>
      <c r="F26" s="302">
        <f>SUM(F8:H25)</f>
        <v>4384.5360000000019</v>
      </c>
      <c r="G26" s="302"/>
      <c r="H26" s="302"/>
      <c r="I26" s="303">
        <f>SUM(I8:I24)</f>
        <v>422587.15575999994</v>
      </c>
      <c r="N26" s="216">
        <f t="shared" si="0"/>
        <v>0</v>
      </c>
    </row>
    <row r="27" spans="1:14" ht="26" x14ac:dyDescent="0.3">
      <c r="A27" s="288" t="s">
        <v>115</v>
      </c>
      <c r="B27" s="290"/>
      <c r="C27" s="289"/>
      <c r="D27" s="290"/>
      <c r="E27" s="297"/>
      <c r="F27" s="290"/>
      <c r="G27" s="290"/>
      <c r="H27" s="290"/>
      <c r="I27" s="290"/>
      <c r="N27" s="216">
        <f t="shared" si="0"/>
        <v>0</v>
      </c>
    </row>
    <row r="28" spans="1:14" ht="26" x14ac:dyDescent="0.3">
      <c r="A28" s="332" t="s">
        <v>100</v>
      </c>
      <c r="B28" s="286"/>
      <c r="C28" s="289"/>
      <c r="D28" s="290"/>
      <c r="E28" s="289"/>
      <c r="F28" s="290"/>
      <c r="G28" s="290"/>
      <c r="H28" s="290"/>
      <c r="I28" s="290"/>
      <c r="N28" s="216">
        <f t="shared" si="0"/>
        <v>0</v>
      </c>
    </row>
    <row r="29" spans="1:14" x14ac:dyDescent="0.3">
      <c r="A29" s="332" t="s">
        <v>116</v>
      </c>
      <c r="B29" s="286"/>
      <c r="C29" s="289"/>
      <c r="D29" s="290"/>
      <c r="E29" s="289"/>
      <c r="F29" s="290"/>
      <c r="G29" s="290"/>
      <c r="H29" s="290"/>
      <c r="I29" s="290"/>
      <c r="N29" s="216">
        <f t="shared" si="0"/>
        <v>0</v>
      </c>
    </row>
    <row r="30" spans="1:14" x14ac:dyDescent="0.3">
      <c r="A30" s="332" t="s">
        <v>117</v>
      </c>
      <c r="B30" s="286"/>
      <c r="C30" s="289"/>
      <c r="D30" s="290"/>
      <c r="E30" s="289"/>
      <c r="F30" s="290"/>
      <c r="G30" s="290"/>
      <c r="H30" s="290"/>
      <c r="I30" s="290"/>
      <c r="N30" s="216">
        <f t="shared" si="0"/>
        <v>0</v>
      </c>
    </row>
    <row r="31" spans="1:14" x14ac:dyDescent="0.3">
      <c r="A31" s="332" t="s">
        <v>118</v>
      </c>
      <c r="B31" s="286" t="s">
        <v>77</v>
      </c>
      <c r="C31" s="289"/>
      <c r="D31" s="290"/>
      <c r="E31" s="289"/>
      <c r="F31" s="290"/>
      <c r="G31" s="290"/>
      <c r="H31" s="290"/>
      <c r="I31" s="290"/>
      <c r="N31" s="216">
        <f t="shared" si="0"/>
        <v>0</v>
      </c>
    </row>
    <row r="32" spans="1:14" ht="26" x14ac:dyDescent="0.3">
      <c r="A32" s="332" t="s">
        <v>119</v>
      </c>
      <c r="B32" s="290"/>
      <c r="C32" s="289"/>
      <c r="D32" s="290"/>
      <c r="E32" s="289"/>
      <c r="F32" s="290"/>
      <c r="G32" s="290"/>
      <c r="H32" s="290"/>
      <c r="I32" s="290"/>
      <c r="N32" s="216">
        <f t="shared" si="0"/>
        <v>0</v>
      </c>
    </row>
    <row r="33" spans="1:15" x14ac:dyDescent="0.3">
      <c r="A33" s="334" t="s">
        <v>75</v>
      </c>
      <c r="B33" s="290"/>
      <c r="C33" s="289"/>
      <c r="D33" s="290"/>
      <c r="E33" s="289"/>
      <c r="F33" s="290"/>
      <c r="G33" s="290"/>
      <c r="H33" s="290"/>
      <c r="I33" s="290"/>
      <c r="N33" s="216">
        <f t="shared" si="0"/>
        <v>0</v>
      </c>
    </row>
    <row r="34" spans="1:15" x14ac:dyDescent="0.3">
      <c r="A34" s="332" t="s">
        <v>120</v>
      </c>
      <c r="B34" s="286">
        <v>0.1</v>
      </c>
      <c r="C34" s="185">
        <v>2</v>
      </c>
      <c r="D34" s="286">
        <v>33</v>
      </c>
      <c r="E34" s="295">
        <f>$L$14</f>
        <v>47</v>
      </c>
      <c r="F34" s="296">
        <f t="shared" ref="F34:F39" si="17">D34*E34</f>
        <v>1551</v>
      </c>
      <c r="G34" s="286">
        <f t="shared" ref="G34:G39" si="18">F34*0.05</f>
        <v>77.550000000000011</v>
      </c>
      <c r="H34" s="286">
        <f t="shared" ref="H34:H39" si="19">F34*0.1</f>
        <v>155.10000000000002</v>
      </c>
      <c r="I34" s="292">
        <f>F34*$L$8+G34*$L$7+H34*$L$9</f>
        <v>214148.8965</v>
      </c>
      <c r="N34" s="216">
        <f t="shared" si="0"/>
        <v>94</v>
      </c>
    </row>
    <row r="35" spans="1:15" x14ac:dyDescent="0.3">
      <c r="A35" s="332" t="s">
        <v>171</v>
      </c>
      <c r="B35" s="286">
        <v>0.1</v>
      </c>
      <c r="C35" s="185">
        <v>2</v>
      </c>
      <c r="D35" s="286">
        <v>24</v>
      </c>
      <c r="E35" s="295">
        <f>E34</f>
        <v>47</v>
      </c>
      <c r="F35" s="296">
        <f t="shared" si="17"/>
        <v>1128</v>
      </c>
      <c r="G35" s="286">
        <f t="shared" si="18"/>
        <v>56.400000000000006</v>
      </c>
      <c r="H35" s="286">
        <f t="shared" si="19"/>
        <v>112.80000000000001</v>
      </c>
      <c r="I35" s="292">
        <f>F35*$L$8+G35*$L$7+H35*$L$9</f>
        <v>155744.652</v>
      </c>
      <c r="N35" s="216">
        <f t="shared" si="0"/>
        <v>94</v>
      </c>
    </row>
    <row r="36" spans="1:15" x14ac:dyDescent="0.3">
      <c r="A36" s="334" t="s">
        <v>76</v>
      </c>
      <c r="B36" s="286"/>
      <c r="C36" s="185"/>
      <c r="D36" s="286"/>
      <c r="E36" s="295"/>
      <c r="F36" s="296"/>
      <c r="G36" s="286"/>
      <c r="H36" s="286"/>
      <c r="I36" s="292"/>
      <c r="N36" s="216">
        <f t="shared" si="0"/>
        <v>0</v>
      </c>
    </row>
    <row r="37" spans="1:15" x14ac:dyDescent="0.3">
      <c r="A37" s="332" t="s">
        <v>120</v>
      </c>
      <c r="B37" s="286">
        <v>1.5</v>
      </c>
      <c r="C37" s="185">
        <v>2</v>
      </c>
      <c r="D37" s="286">
        <f>B37*C37</f>
        <v>3</v>
      </c>
      <c r="E37" s="295">
        <f>$L$12</f>
        <v>0</v>
      </c>
      <c r="F37" s="296">
        <f t="shared" ref="F37:F38" si="20">D37*E37</f>
        <v>0</v>
      </c>
      <c r="G37" s="286">
        <f t="shared" ref="G37:G38" si="21">F37*0.05</f>
        <v>0</v>
      </c>
      <c r="H37" s="286">
        <f t="shared" ref="H37:H38" si="22">F37*0.1</f>
        <v>0</v>
      </c>
      <c r="I37" s="291">
        <f>F37*$L$8+G37*$L$7+H37*$L$9</f>
        <v>0</v>
      </c>
      <c r="N37" s="216">
        <f t="shared" si="0"/>
        <v>0</v>
      </c>
    </row>
    <row r="38" spans="1:15" x14ac:dyDescent="0.3">
      <c r="A38" s="332" t="s">
        <v>171</v>
      </c>
      <c r="B38" s="286">
        <v>0.1</v>
      </c>
      <c r="C38" s="185">
        <v>2</v>
      </c>
      <c r="D38" s="286">
        <f t="shared" ref="D38" si="23">B38*C38</f>
        <v>0.2</v>
      </c>
      <c r="E38" s="295">
        <f>$L$12</f>
        <v>0</v>
      </c>
      <c r="F38" s="296">
        <f t="shared" si="20"/>
        <v>0</v>
      </c>
      <c r="G38" s="286">
        <f t="shared" si="21"/>
        <v>0</v>
      </c>
      <c r="H38" s="286">
        <f t="shared" si="22"/>
        <v>0</v>
      </c>
      <c r="I38" s="291">
        <f>F38*$L$8+G38*$L$7+H38*$L$9</f>
        <v>0</v>
      </c>
      <c r="N38" s="216">
        <f t="shared" si="0"/>
        <v>0</v>
      </c>
    </row>
    <row r="39" spans="1:15" ht="17.25" customHeight="1" x14ac:dyDescent="0.3">
      <c r="A39" s="332" t="s">
        <v>121</v>
      </c>
      <c r="B39" s="286">
        <v>80</v>
      </c>
      <c r="C39" s="185">
        <v>1</v>
      </c>
      <c r="D39" s="286">
        <f t="shared" ref="D39" si="24">B39*C39</f>
        <v>80</v>
      </c>
      <c r="E39" s="295">
        <f>$L$12</f>
        <v>0</v>
      </c>
      <c r="F39" s="296">
        <f t="shared" si="17"/>
        <v>0</v>
      </c>
      <c r="G39" s="286">
        <f t="shared" si="18"/>
        <v>0</v>
      </c>
      <c r="H39" s="286">
        <f t="shared" si="19"/>
        <v>0</v>
      </c>
      <c r="I39" s="291">
        <f>F39*$L$8+G39*$L$7+H39*$L$9</f>
        <v>0</v>
      </c>
      <c r="N39" s="216">
        <f>SUM(N6:N38)</f>
        <v>640.14</v>
      </c>
      <c r="O39" s="216" t="s">
        <v>385</v>
      </c>
    </row>
    <row r="40" spans="1:15" x14ac:dyDescent="0.3">
      <c r="A40" s="332" t="s">
        <v>122</v>
      </c>
      <c r="B40" s="286" t="s">
        <v>77</v>
      </c>
      <c r="C40" s="289"/>
      <c r="D40" s="290"/>
      <c r="E40" s="289"/>
      <c r="F40" s="290"/>
      <c r="G40" s="290"/>
      <c r="H40" s="290"/>
      <c r="I40" s="290"/>
      <c r="K40" s="311">
        <f>F42/212</f>
        <v>35.377358490566039</v>
      </c>
      <c r="L40" s="216" t="s">
        <v>124</v>
      </c>
    </row>
    <row r="41" spans="1:15" ht="27" x14ac:dyDescent="0.3">
      <c r="A41" s="298" t="s">
        <v>60</v>
      </c>
      <c r="B41" s="304"/>
      <c r="C41" s="305"/>
      <c r="D41" s="304"/>
      <c r="E41" s="306"/>
      <c r="F41" s="302">
        <f>SUM(F34:H39)</f>
        <v>3080.8500000000004</v>
      </c>
      <c r="G41" s="302"/>
      <c r="H41" s="302"/>
      <c r="I41" s="303">
        <f>SUM(I34:I40)</f>
        <v>369893.54850000003</v>
      </c>
    </row>
    <row r="42" spans="1:15" ht="28" x14ac:dyDescent="0.3">
      <c r="A42" s="307" t="s">
        <v>184</v>
      </c>
      <c r="B42" s="308"/>
      <c r="C42" s="195"/>
      <c r="D42" s="308"/>
      <c r="E42" s="309"/>
      <c r="F42" s="369">
        <f>ROUND(F41+F26, -2)</f>
        <v>7500</v>
      </c>
      <c r="G42" s="369"/>
      <c r="H42" s="369"/>
      <c r="I42" s="310">
        <f>ROUND(I41+I26, -4)</f>
        <v>790000</v>
      </c>
    </row>
    <row r="43" spans="1:15" ht="28" x14ac:dyDescent="0.3">
      <c r="A43" s="194" t="s">
        <v>185</v>
      </c>
      <c r="B43" s="290"/>
      <c r="C43" s="289"/>
      <c r="D43" s="290"/>
      <c r="E43" s="289"/>
      <c r="F43" s="290"/>
      <c r="G43" s="290"/>
      <c r="H43" s="290"/>
      <c r="I43" s="310">
        <v>0</v>
      </c>
    </row>
    <row r="44" spans="1:15" ht="15" x14ac:dyDescent="0.3">
      <c r="A44" s="194" t="s">
        <v>186</v>
      </c>
      <c r="B44" s="290"/>
      <c r="C44" s="289"/>
      <c r="D44" s="290"/>
      <c r="E44" s="289"/>
      <c r="F44" s="290"/>
      <c r="G44" s="290"/>
      <c r="H44" s="290"/>
      <c r="I44" s="310">
        <f>ROUND(I42+I43, -5)</f>
        <v>800000</v>
      </c>
    </row>
    <row r="45" spans="1:15" ht="10.5" customHeight="1" x14ac:dyDescent="0.3"/>
    <row r="46" spans="1:15" ht="15.5" customHeight="1" x14ac:dyDescent="0.3">
      <c r="A46" s="367" t="s">
        <v>216</v>
      </c>
      <c r="B46" s="367"/>
      <c r="C46" s="367"/>
      <c r="D46" s="367"/>
      <c r="E46" s="367"/>
      <c r="F46" s="367"/>
      <c r="G46" s="367"/>
      <c r="H46" s="367"/>
      <c r="I46" s="367"/>
    </row>
    <row r="47" spans="1:15" ht="39" customHeight="1" x14ac:dyDescent="0.3">
      <c r="A47" s="370" t="s">
        <v>182</v>
      </c>
      <c r="B47" s="370"/>
      <c r="C47" s="370"/>
      <c r="D47" s="370"/>
      <c r="E47" s="370"/>
      <c r="F47" s="370"/>
      <c r="G47" s="370"/>
      <c r="H47" s="370"/>
      <c r="I47" s="370"/>
    </row>
    <row r="48" spans="1:15" ht="18.75" customHeight="1" x14ac:dyDescent="0.3">
      <c r="A48" s="367" t="s">
        <v>167</v>
      </c>
      <c r="B48" s="367"/>
      <c r="C48" s="367"/>
      <c r="D48" s="367"/>
      <c r="E48" s="367"/>
      <c r="F48" s="367"/>
      <c r="G48" s="367"/>
      <c r="H48" s="367"/>
      <c r="I48" s="367"/>
    </row>
    <row r="49" spans="1:9" ht="15.5" x14ac:dyDescent="0.3">
      <c r="A49" s="371" t="s">
        <v>181</v>
      </c>
      <c r="B49" s="371"/>
      <c r="C49" s="371"/>
      <c r="D49" s="371"/>
      <c r="E49" s="371"/>
      <c r="F49" s="371"/>
      <c r="G49" s="371"/>
      <c r="H49" s="371"/>
      <c r="I49" s="371"/>
    </row>
    <row r="50" spans="1:9" ht="21.5" customHeight="1" x14ac:dyDescent="0.3">
      <c r="A50" s="366" t="s">
        <v>183</v>
      </c>
      <c r="B50" s="366"/>
      <c r="C50" s="366"/>
      <c r="D50" s="366"/>
      <c r="E50" s="366"/>
      <c r="F50" s="366"/>
      <c r="G50" s="366"/>
      <c r="H50" s="366"/>
      <c r="I50" s="366"/>
    </row>
  </sheetData>
  <mergeCells count="9">
    <mergeCell ref="A50:I50"/>
    <mergeCell ref="A46:I46"/>
    <mergeCell ref="K6:L6"/>
    <mergeCell ref="F42:H42"/>
    <mergeCell ref="A1:I1"/>
    <mergeCell ref="A3:I3"/>
    <mergeCell ref="A47:I47"/>
    <mergeCell ref="A48:I48"/>
    <mergeCell ref="A49:I49"/>
  </mergeCells>
  <pageMargins left="0.7" right="0.7" top="0.75" bottom="0.75" header="0.3" footer="0.3"/>
  <pageSetup scale="4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8457-30AA-4A09-93DC-20868E2C728A}">
  <sheetPr codeName="Sheet14"/>
  <dimension ref="A1:P26"/>
  <sheetViews>
    <sheetView topLeftCell="A8" workbookViewId="0">
      <selection activeCell="A4" sqref="A4:I4"/>
    </sheetView>
  </sheetViews>
  <sheetFormatPr defaultColWidth="9.1796875" defaultRowHeight="14.5" x14ac:dyDescent="0.35"/>
  <cols>
    <col min="1" max="1" width="39.1796875" style="182" customWidth="1"/>
    <col min="2" max="2" width="9.81640625" style="182" customWidth="1"/>
    <col min="3" max="8" width="9.1796875" style="182"/>
    <col min="9" max="9" width="13.81640625" style="182" customWidth="1"/>
    <col min="10" max="10" width="9.1796875" style="182"/>
    <col min="11" max="11" width="13.1796875" style="192" customWidth="1"/>
    <col min="12" max="12" width="9.1796875" style="182"/>
    <col min="13" max="13" width="18.36328125" style="182" customWidth="1"/>
    <col min="14" max="16384" width="9.1796875" style="182"/>
  </cols>
  <sheetData>
    <row r="1" spans="1:16" ht="15" x14ac:dyDescent="0.35">
      <c r="A1" s="362" t="s">
        <v>177</v>
      </c>
      <c r="B1" s="362"/>
      <c r="C1" s="362"/>
      <c r="D1" s="362"/>
      <c r="E1" s="362"/>
      <c r="F1" s="362"/>
      <c r="G1" s="362"/>
      <c r="H1" s="362"/>
      <c r="I1" s="362"/>
    </row>
    <row r="2" spans="1:16" ht="19" customHeight="1" x14ac:dyDescent="0.35">
      <c r="A2" s="200" t="s">
        <v>203</v>
      </c>
      <c r="B2" s="200"/>
      <c r="C2" s="200"/>
      <c r="D2" s="200"/>
      <c r="E2" s="200"/>
      <c r="F2" s="200"/>
      <c r="G2" s="200"/>
      <c r="H2" s="200"/>
      <c r="I2" s="200"/>
    </row>
    <row r="3" spans="1:16" ht="34.5" customHeight="1" x14ac:dyDescent="0.35">
      <c r="A3" s="376" t="s">
        <v>443</v>
      </c>
      <c r="B3" s="376"/>
      <c r="C3" s="376"/>
      <c r="D3" s="376"/>
      <c r="E3" s="376"/>
      <c r="F3" s="376"/>
      <c r="G3" s="376"/>
      <c r="H3" s="376"/>
      <c r="I3" s="376"/>
    </row>
    <row r="4" spans="1:16" ht="15" x14ac:dyDescent="0.35">
      <c r="A4" s="377"/>
      <c r="B4" s="377"/>
      <c r="C4" s="377"/>
      <c r="D4" s="377"/>
      <c r="E4" s="377"/>
      <c r="F4" s="377"/>
      <c r="G4" s="377"/>
      <c r="H4" s="377"/>
      <c r="I4" s="377"/>
    </row>
    <row r="5" spans="1:16" x14ac:dyDescent="0.35">
      <c r="A5" s="378" t="s">
        <v>87</v>
      </c>
      <c r="B5" s="180" t="s">
        <v>22</v>
      </c>
      <c r="C5" s="180" t="s">
        <v>23</v>
      </c>
      <c r="D5" s="180" t="s">
        <v>24</v>
      </c>
      <c r="E5" s="180" t="s">
        <v>71</v>
      </c>
      <c r="F5" s="180" t="s">
        <v>26</v>
      </c>
      <c r="G5" s="180" t="s">
        <v>25</v>
      </c>
      <c r="H5" s="180" t="s">
        <v>72</v>
      </c>
      <c r="I5" s="180" t="s">
        <v>73</v>
      </c>
    </row>
    <row r="6" spans="1:16" ht="65" x14ac:dyDescent="0.35">
      <c r="A6" s="378"/>
      <c r="B6" s="180" t="s">
        <v>127</v>
      </c>
      <c r="C6" s="180" t="s">
        <v>128</v>
      </c>
      <c r="D6" s="180" t="s">
        <v>129</v>
      </c>
      <c r="E6" s="180" t="s">
        <v>130</v>
      </c>
      <c r="F6" s="180" t="s">
        <v>131</v>
      </c>
      <c r="G6" s="180" t="s">
        <v>132</v>
      </c>
      <c r="H6" s="180" t="s">
        <v>133</v>
      </c>
      <c r="I6" s="180" t="s">
        <v>134</v>
      </c>
      <c r="K6" s="368" t="s">
        <v>68</v>
      </c>
      <c r="L6" s="368"/>
      <c r="M6" s="280"/>
    </row>
    <row r="7" spans="1:16" ht="78.5" x14ac:dyDescent="0.35">
      <c r="A7" s="378"/>
      <c r="B7" s="181"/>
      <c r="C7" s="181"/>
      <c r="D7" s="180" t="s">
        <v>135</v>
      </c>
      <c r="E7" s="181"/>
      <c r="F7" s="180" t="s">
        <v>136</v>
      </c>
      <c r="G7" s="180" t="s">
        <v>137</v>
      </c>
      <c r="H7" s="180" t="s">
        <v>138</v>
      </c>
      <c r="I7" s="181"/>
      <c r="K7" s="183" t="s">
        <v>69</v>
      </c>
      <c r="L7" s="184">
        <v>69.040000000000006</v>
      </c>
      <c r="M7" s="224" t="s">
        <v>172</v>
      </c>
      <c r="O7" s="182" t="s">
        <v>383</v>
      </c>
    </row>
    <row r="8" spans="1:16" ht="15.5" x14ac:dyDescent="0.35">
      <c r="A8" s="281" t="s">
        <v>139</v>
      </c>
      <c r="B8" s="185">
        <v>24</v>
      </c>
      <c r="C8" s="185">
        <v>1</v>
      </c>
      <c r="D8" s="185">
        <f>B8*C8</f>
        <v>24</v>
      </c>
      <c r="E8" s="185">
        <f>CI!E19</f>
        <v>4.7</v>
      </c>
      <c r="F8" s="186">
        <f>D8*E8</f>
        <v>112.80000000000001</v>
      </c>
      <c r="G8" s="186">
        <f>F8*0.05</f>
        <v>5.6400000000000006</v>
      </c>
      <c r="H8" s="186">
        <f>F8*0.1</f>
        <v>11.280000000000001</v>
      </c>
      <c r="I8" s="187">
        <f>(F8*$L$8)+(G8*$L$7)+(H8*$L$9)</f>
        <v>6480.924</v>
      </c>
      <c r="K8" s="183" t="s">
        <v>33</v>
      </c>
      <c r="L8" s="188">
        <v>51.23</v>
      </c>
      <c r="M8" s="260"/>
      <c r="O8" s="182">
        <f>C8*E8</f>
        <v>4.7</v>
      </c>
    </row>
    <row r="9" spans="1:16" ht="15.5" x14ac:dyDescent="0.35">
      <c r="A9" s="281" t="s">
        <v>140</v>
      </c>
      <c r="B9" s="185">
        <v>24</v>
      </c>
      <c r="C9" s="185">
        <v>1</v>
      </c>
      <c r="D9" s="185">
        <f>B9*C9</f>
        <v>24</v>
      </c>
      <c r="E9" s="185">
        <v>0</v>
      </c>
      <c r="F9" s="189">
        <f>D9*E9</f>
        <v>0</v>
      </c>
      <c r="G9" s="189">
        <f>F9*0.05</f>
        <v>0</v>
      </c>
      <c r="H9" s="189">
        <f>F9*0.1</f>
        <v>0</v>
      </c>
      <c r="I9" s="190">
        <f>(F9*$L$8)+(G9*$L$7)+(H9*$L$9)</f>
        <v>0</v>
      </c>
      <c r="K9" s="183" t="s">
        <v>34</v>
      </c>
      <c r="L9" s="188">
        <v>27.73</v>
      </c>
      <c r="M9" s="260"/>
      <c r="O9" s="182">
        <f t="shared" ref="O9:O12" si="0">C9*E9</f>
        <v>0</v>
      </c>
    </row>
    <row r="10" spans="1:16" x14ac:dyDescent="0.35">
      <c r="A10" s="281" t="s">
        <v>141</v>
      </c>
      <c r="B10" s="185"/>
      <c r="C10" s="185"/>
      <c r="D10" s="185"/>
      <c r="E10" s="185"/>
      <c r="F10" s="186"/>
      <c r="G10" s="186"/>
      <c r="H10" s="186"/>
      <c r="I10" s="191"/>
      <c r="O10" s="182">
        <f t="shared" si="0"/>
        <v>0</v>
      </c>
    </row>
    <row r="11" spans="1:16" ht="15.5" x14ac:dyDescent="0.35">
      <c r="A11" s="282" t="s">
        <v>142</v>
      </c>
      <c r="B11" s="185">
        <v>0.5</v>
      </c>
      <c r="C11" s="185">
        <v>1.1000000000000001</v>
      </c>
      <c r="D11" s="185">
        <f t="shared" ref="D11:D12" si="1">B11*C11</f>
        <v>0.55000000000000004</v>
      </c>
      <c r="E11" s="185">
        <v>47</v>
      </c>
      <c r="F11" s="186">
        <f t="shared" ref="F11:F12" si="2">D11*E11</f>
        <v>25.85</v>
      </c>
      <c r="G11" s="186">
        <f t="shared" ref="G11:G12" si="3">F11*0.05</f>
        <v>1.2925000000000002</v>
      </c>
      <c r="H11" s="186">
        <f t="shared" ref="H11:H12" si="4">F11*0.1</f>
        <v>2.5850000000000004</v>
      </c>
      <c r="I11" s="187">
        <f t="shared" ref="I11:I12" si="5">(F11*$L$8)+(G11*$L$7)+(H11*$L$9)</f>
        <v>1485.2117500000002</v>
      </c>
      <c r="O11" s="182">
        <f t="shared" si="0"/>
        <v>51.7</v>
      </c>
    </row>
    <row r="12" spans="1:16" ht="20.25" customHeight="1" x14ac:dyDescent="0.35">
      <c r="A12" s="282" t="s">
        <v>173</v>
      </c>
      <c r="B12" s="185">
        <v>8</v>
      </c>
      <c r="C12" s="185">
        <v>2</v>
      </c>
      <c r="D12" s="185">
        <f t="shared" si="1"/>
        <v>16</v>
      </c>
      <c r="E12" s="185">
        <v>47</v>
      </c>
      <c r="F12" s="186">
        <f t="shared" si="2"/>
        <v>752</v>
      </c>
      <c r="G12" s="193">
        <f t="shared" si="3"/>
        <v>37.6</v>
      </c>
      <c r="H12" s="193">
        <f t="shared" si="4"/>
        <v>75.2</v>
      </c>
      <c r="I12" s="187">
        <f t="shared" si="5"/>
        <v>43206.16</v>
      </c>
      <c r="O12" s="182">
        <f t="shared" si="0"/>
        <v>94</v>
      </c>
    </row>
    <row r="13" spans="1:16" ht="15" x14ac:dyDescent="0.35">
      <c r="A13" s="194" t="s">
        <v>144</v>
      </c>
      <c r="B13" s="194"/>
      <c r="C13" s="194"/>
      <c r="D13" s="194"/>
      <c r="E13" s="194"/>
      <c r="F13" s="195">
        <f>ROUND(SUM(F8:H12), -1)</f>
        <v>1020</v>
      </c>
      <c r="G13" s="196"/>
      <c r="H13" s="196"/>
      <c r="I13" s="197">
        <f>ROUND(SUM(I8:I12), -2)</f>
        <v>51200</v>
      </c>
      <c r="O13" s="182">
        <f>SUM(O8:O12)</f>
        <v>150.4</v>
      </c>
      <c r="P13" s="182" t="s">
        <v>385</v>
      </c>
    </row>
    <row r="14" spans="1:16" x14ac:dyDescent="0.35">
      <c r="A14" s="283"/>
      <c r="G14" s="198"/>
    </row>
    <row r="15" spans="1:16" ht="16" customHeight="1" x14ac:dyDescent="0.35">
      <c r="A15" s="283" t="s">
        <v>61</v>
      </c>
    </row>
    <row r="16" spans="1:16" ht="20" customHeight="1" x14ac:dyDescent="0.35">
      <c r="A16" s="372" t="s">
        <v>217</v>
      </c>
      <c r="B16" s="372"/>
      <c r="C16" s="372"/>
      <c r="D16" s="372"/>
      <c r="E16" s="372"/>
      <c r="F16" s="372"/>
      <c r="G16" s="372"/>
      <c r="H16" s="372"/>
      <c r="I16" s="372"/>
    </row>
    <row r="17" spans="1:9" ht="32.25" customHeight="1" x14ac:dyDescent="0.35">
      <c r="A17" s="372" t="s">
        <v>174</v>
      </c>
      <c r="B17" s="372"/>
      <c r="C17" s="372"/>
      <c r="D17" s="372"/>
      <c r="E17" s="372"/>
      <c r="F17" s="372"/>
      <c r="G17" s="372"/>
      <c r="H17" s="372"/>
      <c r="I17" s="372"/>
    </row>
    <row r="18" spans="1:9" ht="15.5" x14ac:dyDescent="0.35">
      <c r="A18" s="373" t="s">
        <v>175</v>
      </c>
      <c r="B18" s="373"/>
      <c r="C18" s="373"/>
      <c r="D18" s="373"/>
      <c r="E18" s="373"/>
      <c r="F18" s="373"/>
      <c r="G18" s="373"/>
      <c r="H18" s="373"/>
      <c r="I18" s="373"/>
    </row>
    <row r="19" spans="1:9" ht="15.5" x14ac:dyDescent="0.35">
      <c r="A19" s="374" t="s">
        <v>146</v>
      </c>
      <c r="B19" s="374"/>
      <c r="C19" s="374"/>
      <c r="D19" s="374"/>
      <c r="E19" s="374"/>
      <c r="F19" s="374"/>
      <c r="G19" s="374"/>
      <c r="H19" s="374"/>
      <c r="I19" s="374"/>
    </row>
    <row r="20" spans="1:9" ht="15.5" x14ac:dyDescent="0.35">
      <c r="A20" s="375" t="s">
        <v>176</v>
      </c>
      <c r="B20" s="375"/>
      <c r="C20" s="375"/>
      <c r="D20" s="375"/>
      <c r="E20" s="375"/>
      <c r="F20" s="375"/>
      <c r="G20" s="375"/>
      <c r="H20" s="375"/>
      <c r="I20" s="375"/>
    </row>
    <row r="21" spans="1:9" ht="15.5" x14ac:dyDescent="0.35">
      <c r="A21" s="375" t="s">
        <v>147</v>
      </c>
      <c r="B21" s="375"/>
      <c r="C21" s="375"/>
      <c r="D21" s="375"/>
      <c r="E21" s="375"/>
      <c r="F21" s="375"/>
      <c r="G21" s="375"/>
      <c r="H21" s="375"/>
      <c r="I21" s="375"/>
    </row>
    <row r="23" spans="1:9" x14ac:dyDescent="0.35">
      <c r="A23" s="284"/>
    </row>
    <row r="24" spans="1:9" x14ac:dyDescent="0.35">
      <c r="A24" s="284"/>
    </row>
    <row r="25" spans="1:9" x14ac:dyDescent="0.35">
      <c r="A25" s="284"/>
    </row>
    <row r="26" spans="1:9" x14ac:dyDescent="0.35">
      <c r="A26" s="284"/>
    </row>
  </sheetData>
  <mergeCells count="11">
    <mergeCell ref="A1:I1"/>
    <mergeCell ref="A20:I20"/>
    <mergeCell ref="A21:I21"/>
    <mergeCell ref="A3:I3"/>
    <mergeCell ref="A4:I4"/>
    <mergeCell ref="A5:A7"/>
    <mergeCell ref="K6:L6"/>
    <mergeCell ref="A16:I16"/>
    <mergeCell ref="A17:I17"/>
    <mergeCell ref="A18:I18"/>
    <mergeCell ref="A19:I1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B87F-8CD1-437C-9F1A-73ABE2066CE5}">
  <sheetPr codeName="Sheet15">
    <pageSetUpPr fitToPage="1"/>
  </sheetPr>
  <dimension ref="A1:O64"/>
  <sheetViews>
    <sheetView zoomScale="80" zoomScaleNormal="80" workbookViewId="0">
      <pane xSplit="13" ySplit="5" topLeftCell="N6" activePane="bottomRight" state="frozen"/>
      <selection activeCell="B22" sqref="B22"/>
      <selection pane="topRight" activeCell="B22" sqref="B22"/>
      <selection pane="bottomLeft" activeCell="B22" sqref="B22"/>
      <selection pane="bottomRight" activeCell="N5" sqref="N5:N17"/>
    </sheetView>
  </sheetViews>
  <sheetFormatPr defaultColWidth="9.1796875" defaultRowHeight="13" x14ac:dyDescent="0.3"/>
  <cols>
    <col min="1" max="1" width="30.6328125" style="174" customWidth="1"/>
    <col min="2" max="2" width="10.1796875" style="174" customWidth="1"/>
    <col min="3" max="3" width="12" style="251" customWidth="1"/>
    <col min="4" max="4" width="11.1796875" style="174" customWidth="1"/>
    <col min="5" max="5" width="12.1796875" style="251" customWidth="1"/>
    <col min="6" max="6" width="10.26953125" style="174" customWidth="1"/>
    <col min="7" max="7" width="11.7265625" style="174" customWidth="1"/>
    <col min="8" max="8" width="11.26953125" style="174" customWidth="1"/>
    <col min="9" max="9" width="14.26953125" style="174" customWidth="1"/>
    <col min="10" max="10" width="7.1796875" style="174" customWidth="1"/>
    <col min="11" max="11" width="24.6328125" style="174" customWidth="1"/>
    <col min="12" max="12" width="14.7265625" style="174" customWidth="1"/>
    <col min="13" max="13" width="34.7265625" style="174" customWidth="1"/>
    <col min="14" max="14" width="20.453125" style="174" customWidth="1"/>
    <col min="15" max="15" width="14.1796875" style="174" customWidth="1"/>
    <col min="16" max="16384" width="9.1796875" style="174"/>
  </cols>
  <sheetData>
    <row r="1" spans="1:14" s="216" customFormat="1" ht="15" x14ac:dyDescent="0.3">
      <c r="A1" s="362" t="s">
        <v>218</v>
      </c>
      <c r="B1" s="362"/>
      <c r="C1" s="362"/>
      <c r="D1" s="362"/>
      <c r="E1" s="362"/>
      <c r="F1" s="362"/>
      <c r="G1" s="362"/>
      <c r="H1" s="362"/>
      <c r="I1" s="362"/>
    </row>
    <row r="2" spans="1:14" s="216" customFormat="1" ht="45" x14ac:dyDescent="0.3">
      <c r="A2" s="200" t="s">
        <v>219</v>
      </c>
      <c r="B2" s="200"/>
      <c r="C2" s="200"/>
      <c r="D2" s="200"/>
      <c r="E2" s="200"/>
      <c r="F2" s="200"/>
      <c r="G2" s="200"/>
      <c r="H2" s="200"/>
      <c r="I2" s="200"/>
    </row>
    <row r="3" spans="1:14" s="216" customFormat="1" ht="33" customHeight="1" x14ac:dyDescent="0.3">
      <c r="A3" s="362" t="s">
        <v>435</v>
      </c>
      <c r="B3" s="362"/>
      <c r="C3" s="362"/>
      <c r="D3" s="362"/>
      <c r="E3" s="362"/>
      <c r="F3" s="362"/>
      <c r="G3" s="362"/>
      <c r="H3" s="362"/>
      <c r="I3" s="362"/>
    </row>
    <row r="5" spans="1:14" ht="65" x14ac:dyDescent="0.3">
      <c r="A5" s="217" t="s">
        <v>32</v>
      </c>
      <c r="B5" s="218" t="s">
        <v>88</v>
      </c>
      <c r="C5" s="116" t="s">
        <v>89</v>
      </c>
      <c r="D5" s="218" t="s">
        <v>90</v>
      </c>
      <c r="E5" s="116" t="s">
        <v>91</v>
      </c>
      <c r="F5" s="218" t="s">
        <v>92</v>
      </c>
      <c r="G5" s="218" t="s">
        <v>93</v>
      </c>
      <c r="H5" s="218" t="s">
        <v>94</v>
      </c>
      <c r="I5" s="218" t="s">
        <v>95</v>
      </c>
      <c r="J5" s="219"/>
      <c r="N5" s="174" t="s">
        <v>387</v>
      </c>
    </row>
    <row r="6" spans="1:14" x14ac:dyDescent="0.3">
      <c r="A6" s="210" t="s">
        <v>96</v>
      </c>
      <c r="B6" s="218" t="s">
        <v>77</v>
      </c>
      <c r="C6" s="220"/>
      <c r="D6" s="221"/>
      <c r="E6" s="220"/>
      <c r="F6" s="221"/>
      <c r="G6" s="221"/>
      <c r="H6" s="221"/>
      <c r="I6" s="221"/>
      <c r="K6" s="380" t="s">
        <v>68</v>
      </c>
      <c r="L6" s="380"/>
      <c r="N6" s="174">
        <f>C6*E6</f>
        <v>0</v>
      </c>
    </row>
    <row r="7" spans="1:14" ht="24.5" customHeight="1" x14ac:dyDescent="0.3">
      <c r="A7" s="210" t="s">
        <v>97</v>
      </c>
      <c r="B7" s="218" t="s">
        <v>77</v>
      </c>
      <c r="C7" s="220"/>
      <c r="D7" s="221"/>
      <c r="E7" s="220"/>
      <c r="F7" s="221"/>
      <c r="G7" s="221"/>
      <c r="H7" s="221"/>
      <c r="I7" s="221"/>
      <c r="K7" s="222" t="s">
        <v>69</v>
      </c>
      <c r="L7" s="223">
        <v>157.61000000000001</v>
      </c>
      <c r="M7" s="224" t="s">
        <v>180</v>
      </c>
      <c r="N7" s="174">
        <f t="shared" ref="N7:N51" si="0">C7*E7</f>
        <v>0</v>
      </c>
    </row>
    <row r="8" spans="1:14" ht="44.5" customHeight="1" x14ac:dyDescent="0.3">
      <c r="A8" s="210" t="s">
        <v>98</v>
      </c>
      <c r="B8" s="218">
        <v>16</v>
      </c>
      <c r="C8" s="116">
        <v>1</v>
      </c>
      <c r="D8" s="218">
        <f>B8*C8</f>
        <v>16</v>
      </c>
      <c r="E8" s="116">
        <f>L12</f>
        <v>0</v>
      </c>
      <c r="F8" s="218">
        <f>D8*E8</f>
        <v>0</v>
      </c>
      <c r="G8" s="218">
        <f>F8*0.05</f>
        <v>0</v>
      </c>
      <c r="H8" s="218">
        <f>F8*0.1</f>
        <v>0</v>
      </c>
      <c r="I8" s="225">
        <f>F8*$L$8+G8*$L$7+H8*$L$9</f>
        <v>0</v>
      </c>
      <c r="K8" s="222" t="s">
        <v>33</v>
      </c>
      <c r="L8" s="223">
        <v>123.94</v>
      </c>
      <c r="M8" s="226"/>
      <c r="N8" s="174">
        <f t="shared" si="0"/>
        <v>0</v>
      </c>
    </row>
    <row r="9" spans="1:14" x14ac:dyDescent="0.3">
      <c r="A9" s="210" t="s">
        <v>99</v>
      </c>
      <c r="B9" s="218"/>
      <c r="C9" s="116"/>
      <c r="D9" s="218"/>
      <c r="E9" s="116"/>
      <c r="F9" s="218"/>
      <c r="G9" s="218"/>
      <c r="H9" s="218"/>
      <c r="I9" s="221"/>
      <c r="K9" s="222" t="s">
        <v>34</v>
      </c>
      <c r="L9" s="223">
        <v>62.51</v>
      </c>
      <c r="M9" s="226"/>
      <c r="N9" s="174">
        <f t="shared" si="0"/>
        <v>0</v>
      </c>
    </row>
    <row r="10" spans="1:14" ht="26" x14ac:dyDescent="0.3">
      <c r="A10" s="330" t="s">
        <v>100</v>
      </c>
      <c r="B10" s="218">
        <v>20</v>
      </c>
      <c r="C10" s="116">
        <v>1</v>
      </c>
      <c r="D10" s="218">
        <f>B10*C10</f>
        <v>20</v>
      </c>
      <c r="E10" s="116">
        <f>L14</f>
        <v>39</v>
      </c>
      <c r="F10" s="218">
        <f>D10*E10</f>
        <v>780</v>
      </c>
      <c r="G10" s="218">
        <f>F10*0.05</f>
        <v>39</v>
      </c>
      <c r="H10" s="218">
        <f>F10*0.1</f>
        <v>78</v>
      </c>
      <c r="I10" s="227">
        <f>F10*$L$8+G10*$L$7+H10*$L$9</f>
        <v>107695.76999999999</v>
      </c>
      <c r="K10" s="177"/>
      <c r="N10" s="174">
        <f t="shared" si="0"/>
        <v>39</v>
      </c>
    </row>
    <row r="11" spans="1:14" ht="15.75" customHeight="1" x14ac:dyDescent="0.3">
      <c r="A11" s="330" t="s">
        <v>101</v>
      </c>
      <c r="B11" s="218"/>
      <c r="C11" s="116"/>
      <c r="D11" s="218"/>
      <c r="E11" s="116"/>
      <c r="F11" s="218"/>
      <c r="G11" s="218"/>
      <c r="H11" s="218"/>
      <c r="I11" s="227"/>
      <c r="K11" s="228"/>
      <c r="L11" s="228" t="s">
        <v>206</v>
      </c>
      <c r="N11" s="174">
        <f t="shared" si="0"/>
        <v>0</v>
      </c>
    </row>
    <row r="12" spans="1:14" ht="28.5" x14ac:dyDescent="0.3">
      <c r="A12" s="335" t="s">
        <v>103</v>
      </c>
      <c r="B12" s="218"/>
      <c r="C12" s="116"/>
      <c r="D12" s="218"/>
      <c r="E12" s="229"/>
      <c r="F12" s="230"/>
      <c r="G12" s="218"/>
      <c r="H12" s="218"/>
      <c r="I12" s="227"/>
      <c r="K12" s="228" t="s">
        <v>104</v>
      </c>
      <c r="L12" s="228">
        <v>0</v>
      </c>
      <c r="N12" s="174">
        <f t="shared" si="0"/>
        <v>0</v>
      </c>
    </row>
    <row r="13" spans="1:14" ht="31" customHeight="1" x14ac:dyDescent="0.3">
      <c r="A13" s="117" t="s">
        <v>231</v>
      </c>
      <c r="B13" s="116">
        <v>24</v>
      </c>
      <c r="C13" s="116">
        <v>2</v>
      </c>
      <c r="D13" s="218">
        <f>B13*C13</f>
        <v>48</v>
      </c>
      <c r="E13" s="229">
        <v>0</v>
      </c>
      <c r="F13" s="230">
        <f>D13*E13</f>
        <v>0</v>
      </c>
      <c r="G13" s="218">
        <f>F13*0.05</f>
        <v>0</v>
      </c>
      <c r="H13" s="218">
        <f>F13*0.1</f>
        <v>0</v>
      </c>
      <c r="I13" s="227">
        <f>F13*$L$8+G13*$L$7+H13*$L$9</f>
        <v>0</v>
      </c>
      <c r="K13" s="228" t="s">
        <v>105</v>
      </c>
      <c r="L13" s="228">
        <f>L12+L14*0.1</f>
        <v>3.9000000000000004</v>
      </c>
      <c r="N13" s="174">
        <f t="shared" si="0"/>
        <v>0</v>
      </c>
    </row>
    <row r="14" spans="1:14" ht="26" x14ac:dyDescent="0.3">
      <c r="A14" s="117" t="s">
        <v>232</v>
      </c>
      <c r="B14" s="116">
        <v>24</v>
      </c>
      <c r="C14" s="116">
        <v>2</v>
      </c>
      <c r="D14" s="218">
        <f t="shared" ref="D14" si="1">B14*C14</f>
        <v>48</v>
      </c>
      <c r="E14" s="229">
        <f>E13*0.05</f>
        <v>0</v>
      </c>
      <c r="F14" s="230">
        <f t="shared" ref="F14:F19" si="2">D14*E14</f>
        <v>0</v>
      </c>
      <c r="G14" s="218">
        <f t="shared" ref="G14:G19" si="3">F14*0.05</f>
        <v>0</v>
      </c>
      <c r="H14" s="218">
        <f t="shared" ref="H14:H19" si="4">F14*0.1</f>
        <v>0</v>
      </c>
      <c r="I14" s="227">
        <f t="shared" ref="I14:I19" si="5">F14*$L$8+G14*$L$7+H14*$L$9</f>
        <v>0</v>
      </c>
      <c r="J14" s="177"/>
      <c r="K14" s="228" t="s">
        <v>80</v>
      </c>
      <c r="L14" s="228">
        <v>39</v>
      </c>
      <c r="N14" s="174">
        <f t="shared" si="0"/>
        <v>0</v>
      </c>
    </row>
    <row r="15" spans="1:14" ht="15.5" x14ac:dyDescent="0.3">
      <c r="A15" s="335" t="s">
        <v>194</v>
      </c>
      <c r="B15" s="218"/>
      <c r="C15" s="116"/>
      <c r="D15" s="218"/>
      <c r="E15" s="116"/>
      <c r="F15" s="230"/>
      <c r="G15" s="218"/>
      <c r="H15" s="218"/>
      <c r="I15" s="227"/>
      <c r="L15" s="177"/>
      <c r="M15" s="177"/>
      <c r="N15" s="174">
        <f t="shared" si="0"/>
        <v>0</v>
      </c>
    </row>
    <row r="16" spans="1:14" ht="26" x14ac:dyDescent="0.3">
      <c r="A16" s="330" t="s">
        <v>231</v>
      </c>
      <c r="B16" s="218">
        <v>24</v>
      </c>
      <c r="C16" s="116">
        <v>2</v>
      </c>
      <c r="D16" s="218">
        <f>B16*C16</f>
        <v>48</v>
      </c>
      <c r="E16" s="229">
        <v>0</v>
      </c>
      <c r="F16" s="230">
        <f t="shared" si="2"/>
        <v>0</v>
      </c>
      <c r="G16" s="218">
        <f t="shared" si="3"/>
        <v>0</v>
      </c>
      <c r="H16" s="218">
        <f t="shared" si="4"/>
        <v>0</v>
      </c>
      <c r="I16" s="227">
        <f t="shared" si="5"/>
        <v>0</v>
      </c>
      <c r="J16" s="231"/>
      <c r="N16" s="174">
        <f t="shared" si="0"/>
        <v>0</v>
      </c>
    </row>
    <row r="17" spans="1:14" ht="26" x14ac:dyDescent="0.3">
      <c r="A17" s="330" t="s">
        <v>232</v>
      </c>
      <c r="B17" s="116">
        <v>24</v>
      </c>
      <c r="C17" s="116">
        <v>2</v>
      </c>
      <c r="D17" s="218">
        <f t="shared" ref="D17" si="6">B17*C17</f>
        <v>48</v>
      </c>
      <c r="E17" s="229">
        <f>E16*0.05</f>
        <v>0</v>
      </c>
      <c r="F17" s="230">
        <f t="shared" si="2"/>
        <v>0</v>
      </c>
      <c r="G17" s="218">
        <f t="shared" si="3"/>
        <v>0</v>
      </c>
      <c r="H17" s="218">
        <f t="shared" si="4"/>
        <v>0</v>
      </c>
      <c r="I17" s="227">
        <f t="shared" si="5"/>
        <v>0</v>
      </c>
      <c r="J17" s="231"/>
      <c r="N17" s="174">
        <f t="shared" si="0"/>
        <v>0</v>
      </c>
    </row>
    <row r="18" spans="1:14" ht="28.5" x14ac:dyDescent="0.3">
      <c r="A18" s="335" t="s">
        <v>107</v>
      </c>
      <c r="B18" s="232"/>
      <c r="C18" s="233"/>
      <c r="D18" s="232"/>
      <c r="E18" s="234"/>
      <c r="F18" s="230"/>
      <c r="G18" s="218"/>
      <c r="H18" s="218"/>
      <c r="I18" s="227"/>
      <c r="N18" s="174">
        <f t="shared" si="0"/>
        <v>0</v>
      </c>
    </row>
    <row r="19" spans="1:14" ht="26" x14ac:dyDescent="0.3">
      <c r="A19" s="330" t="s">
        <v>190</v>
      </c>
      <c r="B19" s="218">
        <v>0.3</v>
      </c>
      <c r="C19" s="116">
        <v>330</v>
      </c>
      <c r="D19" s="218">
        <f>B19*C19</f>
        <v>99</v>
      </c>
      <c r="E19" s="229">
        <v>0</v>
      </c>
      <c r="F19" s="230">
        <f t="shared" si="2"/>
        <v>0</v>
      </c>
      <c r="G19" s="218">
        <f t="shared" si="3"/>
        <v>0</v>
      </c>
      <c r="H19" s="218">
        <f t="shared" si="4"/>
        <v>0</v>
      </c>
      <c r="I19" s="227">
        <f t="shared" si="5"/>
        <v>0</v>
      </c>
      <c r="N19" s="174">
        <f t="shared" si="0"/>
        <v>0</v>
      </c>
    </row>
    <row r="20" spans="1:14" x14ac:dyDescent="0.3">
      <c r="A20" s="330" t="s">
        <v>411</v>
      </c>
      <c r="B20" s="218"/>
      <c r="C20" s="116"/>
      <c r="D20" s="218"/>
      <c r="E20" s="229"/>
      <c r="F20" s="230"/>
      <c r="G20" s="218"/>
      <c r="H20" s="218"/>
      <c r="I20" s="227"/>
      <c r="N20" s="174">
        <f t="shared" si="0"/>
        <v>0</v>
      </c>
    </row>
    <row r="21" spans="1:14" x14ac:dyDescent="0.3">
      <c r="A21" s="330" t="s">
        <v>108</v>
      </c>
      <c r="B21" s="218"/>
      <c r="C21" s="220"/>
      <c r="D21" s="221"/>
      <c r="E21" s="235"/>
      <c r="F21" s="221"/>
      <c r="G21" s="221"/>
      <c r="H21" s="221"/>
      <c r="I21" s="221"/>
      <c r="N21" s="174">
        <f t="shared" si="0"/>
        <v>0</v>
      </c>
    </row>
    <row r="22" spans="1:14" ht="26" x14ac:dyDescent="0.3">
      <c r="A22" s="330" t="s">
        <v>109</v>
      </c>
      <c r="B22" s="218"/>
      <c r="C22" s="220"/>
      <c r="D22" s="221"/>
      <c r="E22" s="235"/>
      <c r="F22" s="221"/>
      <c r="G22" s="221"/>
      <c r="H22" s="221"/>
      <c r="I22" s="221"/>
      <c r="N22" s="174">
        <f t="shared" si="0"/>
        <v>0</v>
      </c>
    </row>
    <row r="23" spans="1:14" x14ac:dyDescent="0.3">
      <c r="A23" s="330" t="s">
        <v>110</v>
      </c>
      <c r="B23" s="221"/>
      <c r="C23" s="220"/>
      <c r="D23" s="221"/>
      <c r="E23" s="235"/>
      <c r="F23" s="221"/>
      <c r="G23" s="221"/>
      <c r="H23" s="221"/>
      <c r="I23" s="221"/>
      <c r="N23" s="174">
        <f t="shared" si="0"/>
        <v>0</v>
      </c>
    </row>
    <row r="24" spans="1:14" ht="26.5" customHeight="1" x14ac:dyDescent="0.3">
      <c r="A24" s="336" t="s">
        <v>111</v>
      </c>
      <c r="B24" s="218"/>
      <c r="C24" s="116"/>
      <c r="D24" s="218"/>
      <c r="E24" s="229"/>
      <c r="F24" s="218"/>
      <c r="G24" s="218"/>
      <c r="H24" s="218"/>
      <c r="I24" s="227"/>
      <c r="N24" s="174">
        <f t="shared" si="0"/>
        <v>0</v>
      </c>
    </row>
    <row r="25" spans="1:14" ht="26.5" customHeight="1" x14ac:dyDescent="0.3">
      <c r="A25" s="330" t="s">
        <v>112</v>
      </c>
      <c r="B25" s="218">
        <v>2</v>
      </c>
      <c r="C25" s="116">
        <v>1</v>
      </c>
      <c r="D25" s="218">
        <v>2</v>
      </c>
      <c r="E25" s="229">
        <v>0</v>
      </c>
      <c r="F25" s="218">
        <f t="shared" ref="F25:F28" si="7">D25*E25</f>
        <v>0</v>
      </c>
      <c r="G25" s="218">
        <f t="shared" ref="G25:G28" si="8">F25*0.05</f>
        <v>0</v>
      </c>
      <c r="H25" s="218">
        <f t="shared" ref="H25:H28" si="9">F25*0.1</f>
        <v>0</v>
      </c>
      <c r="I25" s="227">
        <f t="shared" ref="I25:I28" si="10">F25*$L$8+G25*$L$7+H25*$L$9</f>
        <v>0</v>
      </c>
      <c r="N25" s="174">
        <f t="shared" si="0"/>
        <v>0</v>
      </c>
    </row>
    <row r="26" spans="1:14" ht="26" x14ac:dyDescent="0.3">
      <c r="A26" s="330" t="s">
        <v>233</v>
      </c>
      <c r="B26" s="218">
        <v>2</v>
      </c>
      <c r="C26" s="116">
        <v>1</v>
      </c>
      <c r="D26" s="218">
        <v>2</v>
      </c>
      <c r="E26" s="229">
        <v>0</v>
      </c>
      <c r="F26" s="218">
        <f t="shared" si="7"/>
        <v>0</v>
      </c>
      <c r="G26" s="218">
        <f t="shared" si="8"/>
        <v>0</v>
      </c>
      <c r="H26" s="218">
        <f t="shared" si="9"/>
        <v>0</v>
      </c>
      <c r="I26" s="227">
        <f t="shared" si="10"/>
        <v>0</v>
      </c>
      <c r="N26" s="174">
        <f t="shared" si="0"/>
        <v>0</v>
      </c>
    </row>
    <row r="27" spans="1:14" ht="26" x14ac:dyDescent="0.3">
      <c r="A27" s="330" t="s">
        <v>234</v>
      </c>
      <c r="B27" s="218">
        <v>2</v>
      </c>
      <c r="C27" s="116">
        <v>1</v>
      </c>
      <c r="D27" s="218">
        <v>2</v>
      </c>
      <c r="E27" s="229">
        <v>0</v>
      </c>
      <c r="F27" s="218">
        <f t="shared" si="7"/>
        <v>0</v>
      </c>
      <c r="G27" s="218">
        <f t="shared" si="8"/>
        <v>0</v>
      </c>
      <c r="H27" s="218">
        <f t="shared" si="9"/>
        <v>0</v>
      </c>
      <c r="I27" s="227">
        <f t="shared" si="10"/>
        <v>0</v>
      </c>
      <c r="N27" s="174">
        <f t="shared" si="0"/>
        <v>0</v>
      </c>
    </row>
    <row r="28" spans="1:14" ht="26" x14ac:dyDescent="0.3">
      <c r="A28" s="330" t="s">
        <v>199</v>
      </c>
      <c r="B28" s="218">
        <v>24</v>
      </c>
      <c r="C28" s="116">
        <v>4</v>
      </c>
      <c r="D28" s="218">
        <v>48</v>
      </c>
      <c r="E28" s="229">
        <v>0</v>
      </c>
      <c r="F28" s="218">
        <f t="shared" si="7"/>
        <v>0</v>
      </c>
      <c r="G28" s="218">
        <f t="shared" si="8"/>
        <v>0</v>
      </c>
      <c r="H28" s="218">
        <f t="shared" si="9"/>
        <v>0</v>
      </c>
      <c r="I28" s="225">
        <f t="shared" si="10"/>
        <v>0</v>
      </c>
      <c r="N28" s="174">
        <f t="shared" si="0"/>
        <v>0</v>
      </c>
    </row>
    <row r="29" spans="1:14" ht="56" customHeight="1" x14ac:dyDescent="0.3">
      <c r="A29" s="336" t="s">
        <v>75</v>
      </c>
      <c r="B29" s="221"/>
      <c r="C29" s="220"/>
      <c r="D29" s="221"/>
      <c r="E29" s="235"/>
      <c r="F29" s="221"/>
      <c r="G29" s="221"/>
      <c r="H29" s="221"/>
      <c r="I29" s="221"/>
      <c r="K29" s="337"/>
      <c r="N29" s="174">
        <f t="shared" si="0"/>
        <v>0</v>
      </c>
    </row>
    <row r="30" spans="1:14" ht="52" customHeight="1" x14ac:dyDescent="0.3">
      <c r="A30" s="330" t="s">
        <v>368</v>
      </c>
      <c r="B30" s="218">
        <v>10</v>
      </c>
      <c r="C30" s="116">
        <v>1</v>
      </c>
      <c r="D30" s="218">
        <v>2</v>
      </c>
      <c r="E30" s="116">
        <v>20</v>
      </c>
      <c r="F30" s="218">
        <f t="shared" ref="F30:F36" si="11">D30*E30</f>
        <v>40</v>
      </c>
      <c r="G30" s="218">
        <f t="shared" ref="G30:G36" si="12">F30*0.05</f>
        <v>2</v>
      </c>
      <c r="H30" s="218">
        <f t="shared" ref="H30:H36" si="13">F30*0.1</f>
        <v>4</v>
      </c>
      <c r="I30" s="227">
        <f t="shared" ref="I30:I37" si="14">F30*$L$8+G30*$L$7+H30*$L$9</f>
        <v>5522.8600000000006</v>
      </c>
      <c r="K30" s="338"/>
      <c r="N30" s="174">
        <f t="shared" si="0"/>
        <v>20</v>
      </c>
    </row>
    <row r="31" spans="1:14" ht="26" x14ac:dyDescent="0.3">
      <c r="A31" s="330" t="s">
        <v>222</v>
      </c>
      <c r="B31" s="218">
        <v>10</v>
      </c>
      <c r="C31" s="116">
        <v>1</v>
      </c>
      <c r="D31" s="218">
        <v>2</v>
      </c>
      <c r="E31" s="116">
        <v>4</v>
      </c>
      <c r="F31" s="218">
        <f t="shared" si="11"/>
        <v>8</v>
      </c>
      <c r="G31" s="218">
        <f t="shared" si="12"/>
        <v>0.4</v>
      </c>
      <c r="H31" s="218">
        <f t="shared" si="13"/>
        <v>0.8</v>
      </c>
      <c r="I31" s="227">
        <f t="shared" si="14"/>
        <v>1104.5720000000001</v>
      </c>
      <c r="K31" s="337"/>
      <c r="N31" s="174">
        <f t="shared" si="0"/>
        <v>4</v>
      </c>
    </row>
    <row r="32" spans="1:14" ht="46" customHeight="1" x14ac:dyDescent="0.3">
      <c r="A32" s="330" t="s">
        <v>224</v>
      </c>
      <c r="B32" s="218">
        <v>5</v>
      </c>
      <c r="C32" s="116">
        <v>1</v>
      </c>
      <c r="D32" s="218">
        <v>2</v>
      </c>
      <c r="E32" s="116">
        <v>9</v>
      </c>
      <c r="F32" s="218">
        <f t="shared" si="11"/>
        <v>18</v>
      </c>
      <c r="G32" s="218">
        <f t="shared" si="12"/>
        <v>0.9</v>
      </c>
      <c r="H32" s="218">
        <f t="shared" si="13"/>
        <v>1.8</v>
      </c>
      <c r="I32" s="227">
        <f t="shared" si="14"/>
        <v>2485.2870000000003</v>
      </c>
      <c r="K32" s="337"/>
      <c r="N32" s="174">
        <f t="shared" si="0"/>
        <v>9</v>
      </c>
    </row>
    <row r="33" spans="1:14" ht="33.5" customHeight="1" x14ac:dyDescent="0.3">
      <c r="A33" s="330" t="s">
        <v>225</v>
      </c>
      <c r="B33" s="218">
        <v>10</v>
      </c>
      <c r="C33" s="116">
        <v>1</v>
      </c>
      <c r="D33" s="218">
        <v>2</v>
      </c>
      <c r="E33" s="116">
        <v>6</v>
      </c>
      <c r="F33" s="218">
        <f t="shared" si="11"/>
        <v>12</v>
      </c>
      <c r="G33" s="218">
        <f t="shared" si="12"/>
        <v>0.60000000000000009</v>
      </c>
      <c r="H33" s="218">
        <f t="shared" si="13"/>
        <v>1.2000000000000002</v>
      </c>
      <c r="I33" s="227">
        <f t="shared" si="14"/>
        <v>1656.8579999999999</v>
      </c>
      <c r="K33" s="316" t="s">
        <v>412</v>
      </c>
      <c r="N33" s="174">
        <f t="shared" si="0"/>
        <v>6</v>
      </c>
    </row>
    <row r="34" spans="1:14" x14ac:dyDescent="0.3">
      <c r="A34" s="330" t="s">
        <v>112</v>
      </c>
      <c r="B34" s="218">
        <v>2</v>
      </c>
      <c r="C34" s="116">
        <v>1</v>
      </c>
      <c r="D34" s="218">
        <v>2</v>
      </c>
      <c r="E34" s="229">
        <v>0</v>
      </c>
      <c r="F34" s="218">
        <f t="shared" si="11"/>
        <v>0</v>
      </c>
      <c r="G34" s="218">
        <f t="shared" si="12"/>
        <v>0</v>
      </c>
      <c r="H34" s="218">
        <f t="shared" si="13"/>
        <v>0</v>
      </c>
      <c r="I34" s="227">
        <f t="shared" si="14"/>
        <v>0</v>
      </c>
      <c r="N34" s="174">
        <f t="shared" si="0"/>
        <v>0</v>
      </c>
    </row>
    <row r="35" spans="1:14" ht="26" x14ac:dyDescent="0.3">
      <c r="A35" s="330" t="s">
        <v>233</v>
      </c>
      <c r="B35" s="218">
        <v>2</v>
      </c>
      <c r="C35" s="116">
        <v>1</v>
      </c>
      <c r="D35" s="218">
        <v>2</v>
      </c>
      <c r="E35" s="229">
        <f>E34</f>
        <v>0</v>
      </c>
      <c r="F35" s="218">
        <f t="shared" si="11"/>
        <v>0</v>
      </c>
      <c r="G35" s="218">
        <f t="shared" si="12"/>
        <v>0</v>
      </c>
      <c r="H35" s="218">
        <f t="shared" si="13"/>
        <v>0</v>
      </c>
      <c r="I35" s="227">
        <f t="shared" si="14"/>
        <v>0</v>
      </c>
      <c r="N35" s="174">
        <f t="shared" si="0"/>
        <v>0</v>
      </c>
    </row>
    <row r="36" spans="1:14" ht="26" x14ac:dyDescent="0.3">
      <c r="A36" s="330" t="s">
        <v>235</v>
      </c>
      <c r="B36" s="218">
        <v>2</v>
      </c>
      <c r="C36" s="116">
        <v>1</v>
      </c>
      <c r="D36" s="218">
        <v>2</v>
      </c>
      <c r="E36" s="229">
        <f>E35</f>
        <v>0</v>
      </c>
      <c r="F36" s="218">
        <f t="shared" si="11"/>
        <v>0</v>
      </c>
      <c r="G36" s="218">
        <f t="shared" si="12"/>
        <v>0</v>
      </c>
      <c r="H36" s="218">
        <f t="shared" si="13"/>
        <v>0</v>
      </c>
      <c r="I36" s="227">
        <f t="shared" si="14"/>
        <v>0</v>
      </c>
      <c r="N36" s="174">
        <f t="shared" si="0"/>
        <v>0</v>
      </c>
    </row>
    <row r="37" spans="1:14" ht="43.5" customHeight="1" x14ac:dyDescent="0.3">
      <c r="A37" s="330" t="s">
        <v>244</v>
      </c>
      <c r="B37" s="218">
        <v>2</v>
      </c>
      <c r="C37" s="116">
        <v>4</v>
      </c>
      <c r="D37" s="218">
        <f t="shared" ref="D37" si="15">B37*C37</f>
        <v>8</v>
      </c>
      <c r="E37" s="229">
        <v>0</v>
      </c>
      <c r="F37" s="218">
        <f t="shared" ref="F37" si="16">D37*E37</f>
        <v>0</v>
      </c>
      <c r="G37" s="218">
        <f t="shared" ref="G37" si="17">F37*0.05</f>
        <v>0</v>
      </c>
      <c r="H37" s="218">
        <f t="shared" ref="H37" si="18">F37*0.1</f>
        <v>0</v>
      </c>
      <c r="I37" s="227">
        <f t="shared" si="14"/>
        <v>0</v>
      </c>
      <c r="N37" s="174">
        <f t="shared" si="0"/>
        <v>0</v>
      </c>
    </row>
    <row r="38" spans="1:14" ht="13.5" x14ac:dyDescent="0.3">
      <c r="A38" s="236" t="s">
        <v>86</v>
      </c>
      <c r="B38" s="237"/>
      <c r="C38" s="238"/>
      <c r="D38" s="237"/>
      <c r="E38" s="239"/>
      <c r="F38" s="240">
        <f>SUM(F8:H37)</f>
        <v>986.69999999999993</v>
      </c>
      <c r="G38" s="240"/>
      <c r="H38" s="240"/>
      <c r="I38" s="241">
        <f>SUM(I8:I37)</f>
        <v>118465.34699999998</v>
      </c>
      <c r="N38" s="174">
        <f t="shared" si="0"/>
        <v>0</v>
      </c>
    </row>
    <row r="39" spans="1:14" ht="26" x14ac:dyDescent="0.3">
      <c r="A39" s="210" t="s">
        <v>115</v>
      </c>
      <c r="B39" s="221"/>
      <c r="C39" s="220"/>
      <c r="D39" s="221"/>
      <c r="E39" s="235"/>
      <c r="F39" s="221"/>
      <c r="G39" s="221"/>
      <c r="H39" s="221"/>
      <c r="I39" s="221"/>
      <c r="N39" s="174">
        <f t="shared" si="0"/>
        <v>0</v>
      </c>
    </row>
    <row r="40" spans="1:14" ht="26" x14ac:dyDescent="0.3">
      <c r="A40" s="330" t="s">
        <v>100</v>
      </c>
      <c r="B40" s="218"/>
      <c r="C40" s="220"/>
      <c r="D40" s="221"/>
      <c r="E40" s="220"/>
      <c r="F40" s="221"/>
      <c r="G40" s="221"/>
      <c r="H40" s="221"/>
      <c r="I40" s="221"/>
      <c r="N40" s="174">
        <f t="shared" si="0"/>
        <v>0</v>
      </c>
    </row>
    <row r="41" spans="1:14" x14ac:dyDescent="0.3">
      <c r="A41" s="330" t="s">
        <v>116</v>
      </c>
      <c r="B41" s="218"/>
      <c r="C41" s="220"/>
      <c r="D41" s="221"/>
      <c r="E41" s="220"/>
      <c r="F41" s="221"/>
      <c r="G41" s="221"/>
      <c r="H41" s="221"/>
      <c r="I41" s="221"/>
      <c r="N41" s="174">
        <f t="shared" si="0"/>
        <v>0</v>
      </c>
    </row>
    <row r="42" spans="1:14" x14ac:dyDescent="0.3">
      <c r="A42" s="330" t="s">
        <v>117</v>
      </c>
      <c r="B42" s="218"/>
      <c r="C42" s="220"/>
      <c r="D42" s="221"/>
      <c r="E42" s="220"/>
      <c r="F42" s="221"/>
      <c r="G42" s="221"/>
      <c r="H42" s="221"/>
      <c r="I42" s="221"/>
      <c r="N42" s="174">
        <f t="shared" si="0"/>
        <v>0</v>
      </c>
    </row>
    <row r="43" spans="1:14" x14ac:dyDescent="0.3">
      <c r="A43" s="330" t="s">
        <v>118</v>
      </c>
      <c r="B43" s="218" t="s">
        <v>77</v>
      </c>
      <c r="C43" s="220"/>
      <c r="D43" s="221"/>
      <c r="E43" s="220"/>
      <c r="F43" s="221"/>
      <c r="G43" s="221"/>
      <c r="H43" s="221"/>
      <c r="I43" s="221"/>
      <c r="N43" s="174">
        <f t="shared" si="0"/>
        <v>0</v>
      </c>
    </row>
    <row r="44" spans="1:14" ht="26" x14ac:dyDescent="0.3">
      <c r="A44" s="330" t="s">
        <v>119</v>
      </c>
      <c r="B44" s="221"/>
      <c r="C44" s="220"/>
      <c r="D44" s="221"/>
      <c r="E44" s="220"/>
      <c r="F44" s="221"/>
      <c r="G44" s="221"/>
      <c r="H44" s="221"/>
      <c r="I44" s="221"/>
      <c r="N44" s="174">
        <f t="shared" si="0"/>
        <v>0</v>
      </c>
    </row>
    <row r="45" spans="1:14" x14ac:dyDescent="0.3">
      <c r="A45" s="336" t="s">
        <v>75</v>
      </c>
      <c r="B45" s="221"/>
      <c r="C45" s="220"/>
      <c r="D45" s="221"/>
      <c r="E45" s="220"/>
      <c r="F45" s="221"/>
      <c r="G45" s="221"/>
      <c r="H45" s="221"/>
      <c r="I45" s="221"/>
      <c r="N45" s="174">
        <f t="shared" si="0"/>
        <v>0</v>
      </c>
    </row>
    <row r="46" spans="1:14" ht="39.5" customHeight="1" x14ac:dyDescent="0.3">
      <c r="A46" s="330" t="s">
        <v>120</v>
      </c>
      <c r="B46" s="218">
        <v>0.1</v>
      </c>
      <c r="C46" s="116">
        <v>330</v>
      </c>
      <c r="D46" s="218">
        <f t="shared" ref="D46:D51" si="19">B46*C46</f>
        <v>33</v>
      </c>
      <c r="E46" s="229">
        <f>$L$14</f>
        <v>39</v>
      </c>
      <c r="F46" s="230">
        <f t="shared" ref="F46:F51" si="20">D46*E46</f>
        <v>1287</v>
      </c>
      <c r="G46" s="218">
        <f t="shared" ref="G46:G51" si="21">F46*0.05</f>
        <v>64.350000000000009</v>
      </c>
      <c r="H46" s="218">
        <f t="shared" ref="H46:H51" si="22">F46*0.1</f>
        <v>128.70000000000002</v>
      </c>
      <c r="I46" s="227">
        <f>F46*$L$8+G46*$L$7+H46*$L$9</f>
        <v>177698.02050000001</v>
      </c>
      <c r="N46" s="174">
        <f t="shared" si="0"/>
        <v>12870</v>
      </c>
    </row>
    <row r="47" spans="1:14" ht="33.5" customHeight="1" x14ac:dyDescent="0.3">
      <c r="A47" s="330" t="s">
        <v>410</v>
      </c>
      <c r="B47" s="218">
        <v>0.1</v>
      </c>
      <c r="C47" s="116">
        <v>330</v>
      </c>
      <c r="D47" s="218">
        <f t="shared" si="19"/>
        <v>33</v>
      </c>
      <c r="E47" s="229">
        <f>E46</f>
        <v>39</v>
      </c>
      <c r="F47" s="230">
        <f t="shared" si="20"/>
        <v>1287</v>
      </c>
      <c r="G47" s="218">
        <f t="shared" si="21"/>
        <v>64.350000000000009</v>
      </c>
      <c r="H47" s="218">
        <f t="shared" si="22"/>
        <v>128.70000000000002</v>
      </c>
      <c r="I47" s="227">
        <f>F47*$L$8+G47*$L$7+H47*$L$9</f>
        <v>177698.02050000001</v>
      </c>
      <c r="N47" s="174">
        <f t="shared" si="0"/>
        <v>12870</v>
      </c>
    </row>
    <row r="48" spans="1:14" x14ac:dyDescent="0.3">
      <c r="A48" s="336" t="s">
        <v>76</v>
      </c>
      <c r="B48" s="218"/>
      <c r="C48" s="116"/>
      <c r="D48" s="218"/>
      <c r="E48" s="229"/>
      <c r="F48" s="230"/>
      <c r="G48" s="218"/>
      <c r="H48" s="218"/>
      <c r="I48" s="227"/>
      <c r="N48" s="174">
        <f t="shared" si="0"/>
        <v>0</v>
      </c>
    </row>
    <row r="49" spans="1:15" ht="19" customHeight="1" x14ac:dyDescent="0.3">
      <c r="A49" s="330" t="s">
        <v>120</v>
      </c>
      <c r="B49" s="218">
        <v>1.5</v>
      </c>
      <c r="C49" s="116">
        <v>330</v>
      </c>
      <c r="D49" s="218">
        <f>B49*C49</f>
        <v>495</v>
      </c>
      <c r="E49" s="229">
        <f>$L$12</f>
        <v>0</v>
      </c>
      <c r="F49" s="230">
        <f t="shared" ref="F49:F50" si="23">D49*E49</f>
        <v>0</v>
      </c>
      <c r="G49" s="218">
        <f t="shared" ref="G49:G50" si="24">F49*0.05</f>
        <v>0</v>
      </c>
      <c r="H49" s="218">
        <f t="shared" ref="H49:H50" si="25">F49*0.1</f>
        <v>0</v>
      </c>
      <c r="I49" s="225">
        <f>F49*$L$8+G49*$L$7+H49*$L$9</f>
        <v>0</v>
      </c>
      <c r="N49" s="174">
        <f t="shared" si="0"/>
        <v>0</v>
      </c>
    </row>
    <row r="50" spans="1:15" ht="17.5" customHeight="1" x14ac:dyDescent="0.3">
      <c r="A50" s="330" t="s">
        <v>230</v>
      </c>
      <c r="B50" s="218">
        <v>0.1</v>
      </c>
      <c r="C50" s="116">
        <v>330</v>
      </c>
      <c r="D50" s="218">
        <f t="shared" ref="D50" si="26">B50*C50</f>
        <v>33</v>
      </c>
      <c r="E50" s="229">
        <f>$L$12</f>
        <v>0</v>
      </c>
      <c r="F50" s="230">
        <f t="shared" si="23"/>
        <v>0</v>
      </c>
      <c r="G50" s="218">
        <f t="shared" si="24"/>
        <v>0</v>
      </c>
      <c r="H50" s="218">
        <f t="shared" si="25"/>
        <v>0</v>
      </c>
      <c r="I50" s="225">
        <f>F50*$L$8+G50*$L$7+H50*$L$9</f>
        <v>0</v>
      </c>
      <c r="N50" s="174">
        <f t="shared" si="0"/>
        <v>0</v>
      </c>
    </row>
    <row r="51" spans="1:15" x14ac:dyDescent="0.3">
      <c r="A51" s="330" t="s">
        <v>121</v>
      </c>
      <c r="B51" s="218">
        <v>80</v>
      </c>
      <c r="C51" s="116">
        <v>1</v>
      </c>
      <c r="D51" s="218">
        <f t="shared" si="19"/>
        <v>80</v>
      </c>
      <c r="E51" s="229">
        <f>$L$12</f>
        <v>0</v>
      </c>
      <c r="F51" s="230">
        <f t="shared" si="20"/>
        <v>0</v>
      </c>
      <c r="G51" s="218">
        <f t="shared" si="21"/>
        <v>0</v>
      </c>
      <c r="H51" s="218">
        <f t="shared" si="22"/>
        <v>0</v>
      </c>
      <c r="I51" s="225">
        <f>F51*$L$8+G51*$L$7+H51*$L$9</f>
        <v>0</v>
      </c>
      <c r="N51" s="174">
        <f t="shared" si="0"/>
        <v>0</v>
      </c>
    </row>
    <row r="52" spans="1:15" ht="17.25" customHeight="1" x14ac:dyDescent="0.3">
      <c r="A52" s="330" t="s">
        <v>122</v>
      </c>
      <c r="B52" s="218" t="s">
        <v>77</v>
      </c>
      <c r="C52" s="220"/>
      <c r="D52" s="221"/>
      <c r="E52" s="220"/>
      <c r="F52" s="221"/>
      <c r="G52" s="221"/>
      <c r="H52" s="221"/>
      <c r="I52" s="221"/>
      <c r="N52" s="174">
        <f>SUM(N6:N51)</f>
        <v>25818</v>
      </c>
      <c r="O52" s="174" t="s">
        <v>385</v>
      </c>
    </row>
    <row r="53" spans="1:15" ht="27" x14ac:dyDescent="0.3">
      <c r="A53" s="236" t="s">
        <v>60</v>
      </c>
      <c r="B53" s="242"/>
      <c r="C53" s="243"/>
      <c r="D53" s="242"/>
      <c r="E53" s="244"/>
      <c r="F53" s="240">
        <f>SUM(F46:H51)</f>
        <v>2960.1</v>
      </c>
      <c r="G53" s="240"/>
      <c r="H53" s="240"/>
      <c r="I53" s="241">
        <f>SUM(I46:I52)</f>
        <v>355396.04100000003</v>
      </c>
      <c r="K53" s="249">
        <f>F54/212</f>
        <v>18.39622641509434</v>
      </c>
      <c r="L53" s="174" t="s">
        <v>124</v>
      </c>
      <c r="N53" s="174">
        <f>N52-N45-N46</f>
        <v>12948</v>
      </c>
      <c r="O53" s="174" t="s">
        <v>388</v>
      </c>
    </row>
    <row r="54" spans="1:15" ht="28" x14ac:dyDescent="0.3">
      <c r="A54" s="212" t="s">
        <v>369</v>
      </c>
      <c r="B54" s="245"/>
      <c r="C54" s="246"/>
      <c r="D54" s="245"/>
      <c r="E54" s="247"/>
      <c r="F54" s="381">
        <f>ROUND(F53+F38, -2)</f>
        <v>3900</v>
      </c>
      <c r="G54" s="381"/>
      <c r="H54" s="381"/>
      <c r="I54" s="248">
        <f>ROUND(I53+I38, -4)</f>
        <v>470000</v>
      </c>
    </row>
    <row r="55" spans="1:15" ht="28" x14ac:dyDescent="0.3">
      <c r="A55" s="250" t="s">
        <v>370</v>
      </c>
      <c r="B55" s="221"/>
      <c r="C55" s="220"/>
      <c r="D55" s="221"/>
      <c r="E55" s="220"/>
      <c r="F55" s="221"/>
      <c r="G55" s="221"/>
      <c r="H55" s="221"/>
      <c r="I55" s="248">
        <v>0</v>
      </c>
    </row>
    <row r="56" spans="1:15" ht="15" x14ac:dyDescent="0.3">
      <c r="A56" s="250" t="s">
        <v>371</v>
      </c>
      <c r="B56" s="221"/>
      <c r="C56" s="220"/>
      <c r="D56" s="221"/>
      <c r="E56" s="220"/>
      <c r="F56" s="221"/>
      <c r="G56" s="221"/>
      <c r="H56" s="221"/>
      <c r="I56" s="248">
        <f>ROUND(I54+I55, -5)</f>
        <v>500000</v>
      </c>
    </row>
    <row r="58" spans="1:15" ht="28" customHeight="1" x14ac:dyDescent="0.3">
      <c r="A58" s="382" t="s">
        <v>207</v>
      </c>
      <c r="B58" s="382"/>
      <c r="C58" s="382"/>
      <c r="D58" s="382"/>
      <c r="E58" s="382"/>
      <c r="F58" s="382"/>
      <c r="G58" s="382"/>
      <c r="H58" s="382"/>
      <c r="I58" s="382"/>
    </row>
    <row r="59" spans="1:15" ht="57" customHeight="1" x14ac:dyDescent="0.3">
      <c r="A59" s="370" t="s">
        <v>182</v>
      </c>
      <c r="B59" s="370"/>
      <c r="C59" s="370"/>
      <c r="D59" s="370"/>
      <c r="E59" s="370"/>
      <c r="F59" s="370"/>
      <c r="G59" s="370"/>
      <c r="H59" s="370"/>
      <c r="I59" s="370"/>
    </row>
    <row r="60" spans="1:15" ht="24" customHeight="1" x14ac:dyDescent="0.3">
      <c r="A60" s="382" t="s">
        <v>192</v>
      </c>
      <c r="B60" s="382"/>
      <c r="C60" s="382"/>
      <c r="D60" s="382"/>
      <c r="E60" s="382"/>
      <c r="F60" s="382"/>
      <c r="G60" s="382"/>
      <c r="H60" s="382"/>
      <c r="I60" s="382"/>
    </row>
    <row r="61" spans="1:15" ht="15.5" x14ac:dyDescent="0.3">
      <c r="A61" s="383" t="s">
        <v>195</v>
      </c>
      <c r="B61" s="383"/>
      <c r="C61" s="383"/>
      <c r="D61" s="383"/>
      <c r="E61" s="383"/>
      <c r="F61" s="383"/>
      <c r="G61" s="383"/>
      <c r="H61" s="383"/>
      <c r="I61" s="383"/>
    </row>
    <row r="62" spans="1:15" ht="18.75" customHeight="1" x14ac:dyDescent="0.3">
      <c r="A62" s="384" t="s">
        <v>191</v>
      </c>
      <c r="B62" s="384"/>
      <c r="C62" s="384"/>
      <c r="D62" s="384"/>
      <c r="E62" s="384"/>
      <c r="F62" s="384"/>
      <c r="G62" s="384"/>
      <c r="H62" s="384"/>
      <c r="I62" s="384"/>
    </row>
    <row r="63" spans="1:15" ht="18.75" customHeight="1" x14ac:dyDescent="0.3">
      <c r="A63" s="379" t="s">
        <v>373</v>
      </c>
      <c r="B63" s="379"/>
      <c r="C63" s="379"/>
      <c r="D63" s="379"/>
      <c r="E63" s="379"/>
      <c r="F63" s="379"/>
      <c r="G63" s="379"/>
      <c r="H63" s="379"/>
      <c r="I63" s="379"/>
    </row>
    <row r="64" spans="1:15" ht="24.5" customHeight="1" x14ac:dyDescent="0.3">
      <c r="A64" s="379" t="s">
        <v>372</v>
      </c>
      <c r="B64" s="379"/>
      <c r="C64" s="379"/>
      <c r="D64" s="379"/>
      <c r="E64" s="379"/>
      <c r="F64" s="379"/>
      <c r="G64" s="379"/>
      <c r="H64" s="379"/>
      <c r="I64" s="379"/>
    </row>
  </sheetData>
  <mergeCells count="11">
    <mergeCell ref="A64:I64"/>
    <mergeCell ref="A63:I63"/>
    <mergeCell ref="A1:I1"/>
    <mergeCell ref="A3:I3"/>
    <mergeCell ref="K6:L6"/>
    <mergeCell ref="F54:H54"/>
    <mergeCell ref="A58:I58"/>
    <mergeCell ref="A59:I59"/>
    <mergeCell ref="A60:I60"/>
    <mergeCell ref="A61:I61"/>
    <mergeCell ref="A62:I62"/>
  </mergeCells>
  <pageMargins left="0.7" right="0.7" top="0.75" bottom="0.75" header="0.3" footer="0.3"/>
  <pageSetup scale="3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D2D9B-7D5C-4775-BB00-243B9CA78860}">
  <sheetPr codeName="Sheet16">
    <pageSetUpPr fitToPage="1"/>
  </sheetPr>
  <dimension ref="A1:O59"/>
  <sheetViews>
    <sheetView zoomScale="90" zoomScaleNormal="90" workbookViewId="0">
      <pane xSplit="13" ySplit="5" topLeftCell="N41" activePane="bottomRight" state="frozen"/>
      <selection activeCell="B22" sqref="B22"/>
      <selection pane="topRight" activeCell="B22" sqref="B22"/>
      <selection pane="bottomLeft" activeCell="B22" sqref="B22"/>
      <selection pane="bottomRight" activeCell="P5" sqref="P5"/>
    </sheetView>
  </sheetViews>
  <sheetFormatPr defaultColWidth="9.1796875" defaultRowHeight="13" x14ac:dyDescent="0.3"/>
  <cols>
    <col min="1" max="1" width="27" style="174" customWidth="1"/>
    <col min="2" max="2" width="10.1796875" style="174" customWidth="1"/>
    <col min="3" max="3" width="12" style="251" customWidth="1"/>
    <col min="4" max="4" width="11.1796875" style="174" customWidth="1"/>
    <col min="5" max="5" width="12.1796875" style="251" customWidth="1"/>
    <col min="6" max="6" width="10.26953125" style="174" customWidth="1"/>
    <col min="7" max="7" width="11.7265625" style="174" customWidth="1"/>
    <col min="8" max="8" width="11.26953125" style="174" customWidth="1"/>
    <col min="9" max="9" width="14.26953125" style="174" customWidth="1"/>
    <col min="10" max="10" width="7.1796875" style="174" customWidth="1"/>
    <col min="11" max="11" width="19.453125" style="174" customWidth="1"/>
    <col min="12" max="12" width="14.7265625" style="174" customWidth="1"/>
    <col min="13" max="13" width="34.1796875" style="174" customWidth="1"/>
    <col min="14" max="14" width="20.453125" style="174" customWidth="1"/>
    <col min="15" max="15" width="14.1796875" style="174" customWidth="1"/>
    <col min="16" max="16384" width="9.1796875" style="174"/>
  </cols>
  <sheetData>
    <row r="1" spans="1:14" s="216" customFormat="1" ht="15" x14ac:dyDescent="0.3">
      <c r="A1" s="362" t="s">
        <v>218</v>
      </c>
      <c r="B1" s="362"/>
      <c r="C1" s="362"/>
      <c r="D1" s="362"/>
      <c r="E1" s="362"/>
      <c r="F1" s="362"/>
      <c r="G1" s="362"/>
      <c r="H1" s="362"/>
      <c r="I1" s="362"/>
    </row>
    <row r="2" spans="1:14" s="216" customFormat="1" ht="45" x14ac:dyDescent="0.3">
      <c r="A2" s="200" t="s">
        <v>220</v>
      </c>
      <c r="B2" s="200"/>
      <c r="C2" s="200"/>
      <c r="D2" s="200"/>
      <c r="E2" s="200"/>
      <c r="F2" s="200"/>
      <c r="G2" s="200"/>
      <c r="H2" s="200"/>
      <c r="I2" s="200"/>
    </row>
    <row r="3" spans="1:14" s="216" customFormat="1" ht="33" customHeight="1" x14ac:dyDescent="0.3">
      <c r="A3" s="362" t="s">
        <v>436</v>
      </c>
      <c r="B3" s="362"/>
      <c r="C3" s="362"/>
      <c r="D3" s="362"/>
      <c r="E3" s="362"/>
      <c r="F3" s="362"/>
      <c r="G3" s="362"/>
      <c r="H3" s="362"/>
      <c r="I3" s="362"/>
    </row>
    <row r="5" spans="1:14" ht="65" x14ac:dyDescent="0.3">
      <c r="A5" s="217" t="s">
        <v>32</v>
      </c>
      <c r="B5" s="218" t="s">
        <v>88</v>
      </c>
      <c r="C5" s="116" t="s">
        <v>89</v>
      </c>
      <c r="D5" s="218" t="s">
        <v>90</v>
      </c>
      <c r="E5" s="116" t="s">
        <v>91</v>
      </c>
      <c r="F5" s="218" t="s">
        <v>92</v>
      </c>
      <c r="G5" s="218" t="s">
        <v>93</v>
      </c>
      <c r="H5" s="218" t="s">
        <v>94</v>
      </c>
      <c r="I5" s="218" t="s">
        <v>95</v>
      </c>
      <c r="J5" s="219"/>
      <c r="N5" s="174" t="s">
        <v>383</v>
      </c>
    </row>
    <row r="6" spans="1:14" x14ac:dyDescent="0.3">
      <c r="A6" s="210" t="s">
        <v>96</v>
      </c>
      <c r="B6" s="218" t="s">
        <v>77</v>
      </c>
      <c r="C6" s="220"/>
      <c r="D6" s="221"/>
      <c r="E6" s="220"/>
      <c r="F6" s="221"/>
      <c r="G6" s="221"/>
      <c r="H6" s="221"/>
      <c r="I6" s="221"/>
      <c r="K6" s="380" t="s">
        <v>68</v>
      </c>
      <c r="L6" s="380"/>
      <c r="N6" s="174">
        <f>C6*E6</f>
        <v>0</v>
      </c>
    </row>
    <row r="7" spans="1:14" ht="45.5" customHeight="1" x14ac:dyDescent="0.3">
      <c r="A7" s="210" t="s">
        <v>97</v>
      </c>
      <c r="B7" s="218" t="s">
        <v>77</v>
      </c>
      <c r="C7" s="220"/>
      <c r="D7" s="221"/>
      <c r="E7" s="220"/>
      <c r="F7" s="221"/>
      <c r="G7" s="221"/>
      <c r="H7" s="221"/>
      <c r="I7" s="221"/>
      <c r="K7" s="222" t="s">
        <v>69</v>
      </c>
      <c r="L7" s="223">
        <v>157.61000000000001</v>
      </c>
      <c r="M7" s="224" t="s">
        <v>180</v>
      </c>
      <c r="N7" s="174">
        <f t="shared" ref="N7:N51" si="0">C7*E7</f>
        <v>0</v>
      </c>
    </row>
    <row r="8" spans="1:14" ht="49.5" customHeight="1" x14ac:dyDescent="0.3">
      <c r="A8" s="210" t="s">
        <v>98</v>
      </c>
      <c r="B8" s="218">
        <v>16</v>
      </c>
      <c r="C8" s="116">
        <v>1</v>
      </c>
      <c r="D8" s="218">
        <f>B8*C8</f>
        <v>16</v>
      </c>
      <c r="E8" s="116">
        <f>L12</f>
        <v>0</v>
      </c>
      <c r="F8" s="218">
        <f>D8*E8</f>
        <v>0</v>
      </c>
      <c r="G8" s="218">
        <f>F8*0.05</f>
        <v>0</v>
      </c>
      <c r="H8" s="218">
        <f>F8*0.1</f>
        <v>0</v>
      </c>
      <c r="I8" s="225">
        <f>F8*$L$8+G8*$L$7+H8*$L$9</f>
        <v>0</v>
      </c>
      <c r="K8" s="222" t="s">
        <v>33</v>
      </c>
      <c r="L8" s="223">
        <v>123.94</v>
      </c>
      <c r="M8" s="226"/>
      <c r="N8" s="174">
        <f t="shared" si="0"/>
        <v>0</v>
      </c>
    </row>
    <row r="9" spans="1:14" ht="17.5" customHeight="1" x14ac:dyDescent="0.3">
      <c r="A9" s="210" t="s">
        <v>99</v>
      </c>
      <c r="B9" s="218"/>
      <c r="C9" s="116"/>
      <c r="D9" s="218"/>
      <c r="E9" s="116"/>
      <c r="F9" s="218"/>
      <c r="G9" s="218"/>
      <c r="H9" s="218"/>
      <c r="I9" s="221"/>
      <c r="K9" s="222" t="s">
        <v>34</v>
      </c>
      <c r="L9" s="223">
        <v>62.51</v>
      </c>
      <c r="M9" s="226"/>
      <c r="N9" s="174">
        <f t="shared" si="0"/>
        <v>0</v>
      </c>
    </row>
    <row r="10" spans="1:14" ht="26" x14ac:dyDescent="0.3">
      <c r="A10" s="330" t="s">
        <v>100</v>
      </c>
      <c r="B10" s="218">
        <v>20</v>
      </c>
      <c r="C10" s="116">
        <v>1</v>
      </c>
      <c r="D10" s="218">
        <f>B10*C10</f>
        <v>20</v>
      </c>
      <c r="E10" s="116">
        <v>0</v>
      </c>
      <c r="F10" s="218">
        <f>D10*E10</f>
        <v>0</v>
      </c>
      <c r="G10" s="218">
        <f>F10*0.05</f>
        <v>0</v>
      </c>
      <c r="H10" s="218">
        <f>F10*0.1</f>
        <v>0</v>
      </c>
      <c r="I10" s="227">
        <f>F10*$L$8+G10*$L$7+H10*$L$9</f>
        <v>0</v>
      </c>
      <c r="K10" s="177"/>
      <c r="N10" s="174">
        <f t="shared" si="0"/>
        <v>0</v>
      </c>
    </row>
    <row r="11" spans="1:14" ht="15.75" customHeight="1" x14ac:dyDescent="0.3">
      <c r="A11" s="330" t="s">
        <v>101</v>
      </c>
      <c r="B11" s="218"/>
      <c r="C11" s="116"/>
      <c r="D11" s="218"/>
      <c r="E11" s="116"/>
      <c r="F11" s="218"/>
      <c r="G11" s="218"/>
      <c r="H11" s="218"/>
      <c r="I11" s="227"/>
      <c r="K11" s="228"/>
      <c r="L11" s="228" t="s">
        <v>206</v>
      </c>
      <c r="N11" s="174">
        <f t="shared" si="0"/>
        <v>0</v>
      </c>
    </row>
    <row r="12" spans="1:14" ht="28.5" x14ac:dyDescent="0.3">
      <c r="A12" s="335" t="s">
        <v>103</v>
      </c>
      <c r="B12" s="218"/>
      <c r="C12" s="116"/>
      <c r="D12" s="218"/>
      <c r="E12" s="229"/>
      <c r="F12" s="230"/>
      <c r="G12" s="218"/>
      <c r="H12" s="218"/>
      <c r="I12" s="227"/>
      <c r="K12" s="228" t="s">
        <v>104</v>
      </c>
      <c r="L12" s="228">
        <v>0</v>
      </c>
      <c r="N12" s="174">
        <f t="shared" si="0"/>
        <v>0</v>
      </c>
    </row>
    <row r="13" spans="1:14" ht="24.5" customHeight="1" x14ac:dyDescent="0.3">
      <c r="A13" s="117" t="s">
        <v>231</v>
      </c>
      <c r="B13" s="116">
        <v>24</v>
      </c>
      <c r="C13" s="116">
        <v>2</v>
      </c>
      <c r="D13" s="218">
        <f>B13*C13</f>
        <v>48</v>
      </c>
      <c r="E13" s="229">
        <v>0</v>
      </c>
      <c r="F13" s="230">
        <f>D13*E13</f>
        <v>0</v>
      </c>
      <c r="G13" s="218">
        <f>F13*0.05</f>
        <v>0</v>
      </c>
      <c r="H13" s="218">
        <f>F13*0.1</f>
        <v>0</v>
      </c>
      <c r="I13" s="227">
        <f>F13*$L$8+G13*$L$7+H13*$L$9</f>
        <v>0</v>
      </c>
      <c r="K13" s="228" t="s">
        <v>105</v>
      </c>
      <c r="L13" s="228">
        <f>L12+L14*0.1</f>
        <v>3.9000000000000004</v>
      </c>
      <c r="N13" s="174">
        <f t="shared" si="0"/>
        <v>0</v>
      </c>
    </row>
    <row r="14" spans="1:14" ht="26" x14ac:dyDescent="0.3">
      <c r="A14" s="117" t="s">
        <v>232</v>
      </c>
      <c r="B14" s="116">
        <v>24</v>
      </c>
      <c r="C14" s="116">
        <v>2</v>
      </c>
      <c r="D14" s="218">
        <f t="shared" ref="D14" si="1">B14*C14</f>
        <v>48</v>
      </c>
      <c r="E14" s="229">
        <f>E13*0.05</f>
        <v>0</v>
      </c>
      <c r="F14" s="230">
        <f t="shared" ref="F14:F19" si="2">D14*E14</f>
        <v>0</v>
      </c>
      <c r="G14" s="218">
        <f t="shared" ref="G14:G19" si="3">F14*0.05</f>
        <v>0</v>
      </c>
      <c r="H14" s="218">
        <f t="shared" ref="H14:H19" si="4">F14*0.1</f>
        <v>0</v>
      </c>
      <c r="I14" s="227">
        <f t="shared" ref="I14:I19" si="5">F14*$L$8+G14*$L$7+H14*$L$9</f>
        <v>0</v>
      </c>
      <c r="J14" s="177"/>
      <c r="K14" s="228" t="s">
        <v>80</v>
      </c>
      <c r="L14" s="228">
        <v>39</v>
      </c>
      <c r="N14" s="174">
        <f t="shared" si="0"/>
        <v>0</v>
      </c>
    </row>
    <row r="15" spans="1:14" ht="28.5" x14ac:dyDescent="0.3">
      <c r="A15" s="335" t="s">
        <v>194</v>
      </c>
      <c r="B15" s="218"/>
      <c r="C15" s="116"/>
      <c r="D15" s="218"/>
      <c r="E15" s="116"/>
      <c r="F15" s="230"/>
      <c r="G15" s="218"/>
      <c r="H15" s="218"/>
      <c r="I15" s="227"/>
      <c r="L15" s="177"/>
      <c r="M15" s="177"/>
      <c r="N15" s="174">
        <f t="shared" si="0"/>
        <v>0</v>
      </c>
    </row>
    <row r="16" spans="1:14" ht="26" x14ac:dyDescent="0.3">
      <c r="A16" s="330" t="s">
        <v>231</v>
      </c>
      <c r="B16" s="218">
        <v>24</v>
      </c>
      <c r="C16" s="116">
        <v>2</v>
      </c>
      <c r="D16" s="218">
        <f>B16*C16</f>
        <v>48</v>
      </c>
      <c r="E16" s="229">
        <v>0</v>
      </c>
      <c r="F16" s="230">
        <f t="shared" si="2"/>
        <v>0</v>
      </c>
      <c r="G16" s="218">
        <f t="shared" si="3"/>
        <v>0</v>
      </c>
      <c r="H16" s="218">
        <f t="shared" si="4"/>
        <v>0</v>
      </c>
      <c r="I16" s="227">
        <f t="shared" si="5"/>
        <v>0</v>
      </c>
      <c r="J16" s="231"/>
      <c r="N16" s="174">
        <f t="shared" si="0"/>
        <v>0</v>
      </c>
    </row>
    <row r="17" spans="1:14" ht="26" x14ac:dyDescent="0.3">
      <c r="A17" s="330" t="s">
        <v>232</v>
      </c>
      <c r="B17" s="116">
        <v>24</v>
      </c>
      <c r="C17" s="116">
        <v>2</v>
      </c>
      <c r="D17" s="218">
        <f t="shared" ref="D17" si="6">B17*C17</f>
        <v>48</v>
      </c>
      <c r="E17" s="229">
        <f>E16*0.05</f>
        <v>0</v>
      </c>
      <c r="F17" s="230">
        <f t="shared" si="2"/>
        <v>0</v>
      </c>
      <c r="G17" s="218">
        <f t="shared" si="3"/>
        <v>0</v>
      </c>
      <c r="H17" s="218">
        <f t="shared" si="4"/>
        <v>0</v>
      </c>
      <c r="I17" s="227">
        <f t="shared" si="5"/>
        <v>0</v>
      </c>
      <c r="J17" s="231"/>
      <c r="N17" s="174">
        <f t="shared" si="0"/>
        <v>0</v>
      </c>
    </row>
    <row r="18" spans="1:14" ht="28.5" x14ac:dyDescent="0.3">
      <c r="A18" s="335" t="s">
        <v>107</v>
      </c>
      <c r="B18" s="232"/>
      <c r="C18" s="233"/>
      <c r="D18" s="232"/>
      <c r="E18" s="234"/>
      <c r="F18" s="230"/>
      <c r="G18" s="218"/>
      <c r="H18" s="218"/>
      <c r="I18" s="227"/>
      <c r="N18" s="174">
        <f t="shared" si="0"/>
        <v>0</v>
      </c>
    </row>
    <row r="19" spans="1:14" ht="26" x14ac:dyDescent="0.3">
      <c r="A19" s="330" t="s">
        <v>190</v>
      </c>
      <c r="B19" s="218">
        <v>0.3</v>
      </c>
      <c r="C19" s="116">
        <v>330</v>
      </c>
      <c r="D19" s="218">
        <f>B19*C19</f>
        <v>99</v>
      </c>
      <c r="E19" s="229">
        <v>0</v>
      </c>
      <c r="F19" s="230">
        <f t="shared" si="2"/>
        <v>0</v>
      </c>
      <c r="G19" s="218">
        <f t="shared" si="3"/>
        <v>0</v>
      </c>
      <c r="H19" s="218">
        <f t="shared" si="4"/>
        <v>0</v>
      </c>
      <c r="I19" s="227">
        <f t="shared" si="5"/>
        <v>0</v>
      </c>
      <c r="N19" s="174">
        <f t="shared" si="0"/>
        <v>0</v>
      </c>
    </row>
    <row r="20" spans="1:14" x14ac:dyDescent="0.3">
      <c r="A20" s="330" t="s">
        <v>411</v>
      </c>
      <c r="B20" s="218"/>
      <c r="C20" s="116"/>
      <c r="D20" s="218"/>
      <c r="E20" s="229"/>
      <c r="F20" s="230"/>
      <c r="G20" s="218"/>
      <c r="H20" s="218"/>
      <c r="I20" s="227"/>
      <c r="N20" s="174">
        <f t="shared" si="0"/>
        <v>0</v>
      </c>
    </row>
    <row r="21" spans="1:14" ht="26" x14ac:dyDescent="0.3">
      <c r="A21" s="330" t="s">
        <v>108</v>
      </c>
      <c r="B21" s="218"/>
      <c r="C21" s="220"/>
      <c r="D21" s="221"/>
      <c r="E21" s="235"/>
      <c r="F21" s="221"/>
      <c r="G21" s="221"/>
      <c r="H21" s="221"/>
      <c r="I21" s="221"/>
      <c r="N21" s="174">
        <f t="shared" si="0"/>
        <v>0</v>
      </c>
    </row>
    <row r="22" spans="1:14" ht="26" x14ac:dyDescent="0.3">
      <c r="A22" s="330" t="s">
        <v>109</v>
      </c>
      <c r="B22" s="218"/>
      <c r="C22" s="220"/>
      <c r="D22" s="221"/>
      <c r="E22" s="235"/>
      <c r="F22" s="221"/>
      <c r="G22" s="221"/>
      <c r="H22" s="221"/>
      <c r="I22" s="221"/>
      <c r="N22" s="174">
        <f t="shared" si="0"/>
        <v>0</v>
      </c>
    </row>
    <row r="23" spans="1:14" x14ac:dyDescent="0.3">
      <c r="A23" s="330" t="s">
        <v>110</v>
      </c>
      <c r="B23" s="221"/>
      <c r="C23" s="220"/>
      <c r="D23" s="221"/>
      <c r="E23" s="235"/>
      <c r="F23" s="221"/>
      <c r="G23" s="221"/>
      <c r="H23" s="221"/>
      <c r="I23" s="221"/>
      <c r="N23" s="174">
        <f t="shared" si="0"/>
        <v>0</v>
      </c>
    </row>
    <row r="24" spans="1:14" ht="26" x14ac:dyDescent="0.3">
      <c r="A24" s="336" t="s">
        <v>111</v>
      </c>
      <c r="B24" s="218"/>
      <c r="C24" s="116"/>
      <c r="D24" s="218"/>
      <c r="E24" s="229"/>
      <c r="F24" s="218"/>
      <c r="G24" s="218"/>
      <c r="H24" s="218"/>
      <c r="I24" s="227"/>
      <c r="N24" s="174">
        <f t="shared" si="0"/>
        <v>0</v>
      </c>
    </row>
    <row r="25" spans="1:14" ht="22.5" customHeight="1" x14ac:dyDescent="0.3">
      <c r="A25" s="330" t="s">
        <v>112</v>
      </c>
      <c r="B25" s="218">
        <v>2</v>
      </c>
      <c r="C25" s="116">
        <v>1</v>
      </c>
      <c r="D25" s="218">
        <v>2</v>
      </c>
      <c r="E25" s="229">
        <v>0</v>
      </c>
      <c r="F25" s="218">
        <f t="shared" ref="F25:F28" si="7">D25*E25</f>
        <v>0</v>
      </c>
      <c r="G25" s="218">
        <f t="shared" ref="G25:G28" si="8">F25*0.05</f>
        <v>0</v>
      </c>
      <c r="H25" s="218">
        <f t="shared" ref="H25:H28" si="9">F25*0.1</f>
        <v>0</v>
      </c>
      <c r="I25" s="227">
        <f t="shared" ref="I25:I28" si="10">F25*$L$8+G25*$L$7+H25*$L$9</f>
        <v>0</v>
      </c>
      <c r="N25" s="174">
        <f t="shared" si="0"/>
        <v>0</v>
      </c>
    </row>
    <row r="26" spans="1:14" ht="26" x14ac:dyDescent="0.3">
      <c r="A26" s="330" t="s">
        <v>233</v>
      </c>
      <c r="B26" s="218">
        <v>2</v>
      </c>
      <c r="C26" s="116">
        <v>1</v>
      </c>
      <c r="D26" s="218">
        <v>2</v>
      </c>
      <c r="E26" s="229">
        <v>0</v>
      </c>
      <c r="F26" s="218">
        <f t="shared" si="7"/>
        <v>0</v>
      </c>
      <c r="G26" s="218">
        <f t="shared" si="8"/>
        <v>0</v>
      </c>
      <c r="H26" s="218">
        <f t="shared" si="9"/>
        <v>0</v>
      </c>
      <c r="I26" s="227">
        <f t="shared" si="10"/>
        <v>0</v>
      </c>
      <c r="N26" s="174">
        <f t="shared" si="0"/>
        <v>0</v>
      </c>
    </row>
    <row r="27" spans="1:14" ht="26" x14ac:dyDescent="0.3">
      <c r="A27" s="330" t="s">
        <v>234</v>
      </c>
      <c r="B27" s="218">
        <v>2</v>
      </c>
      <c r="C27" s="116">
        <v>1</v>
      </c>
      <c r="D27" s="218">
        <v>2</v>
      </c>
      <c r="E27" s="229">
        <v>0</v>
      </c>
      <c r="F27" s="218">
        <f t="shared" si="7"/>
        <v>0</v>
      </c>
      <c r="G27" s="218">
        <f t="shared" si="8"/>
        <v>0</v>
      </c>
      <c r="H27" s="218">
        <f t="shared" si="9"/>
        <v>0</v>
      </c>
      <c r="I27" s="227">
        <f t="shared" si="10"/>
        <v>0</v>
      </c>
      <c r="N27" s="174">
        <f t="shared" si="0"/>
        <v>0</v>
      </c>
    </row>
    <row r="28" spans="1:14" ht="26" x14ac:dyDescent="0.3">
      <c r="A28" s="330" t="s">
        <v>199</v>
      </c>
      <c r="B28" s="218">
        <v>24</v>
      </c>
      <c r="C28" s="116">
        <v>4</v>
      </c>
      <c r="D28" s="218">
        <v>48</v>
      </c>
      <c r="E28" s="229">
        <v>0</v>
      </c>
      <c r="F28" s="218">
        <f t="shared" si="7"/>
        <v>0</v>
      </c>
      <c r="G28" s="218">
        <f t="shared" si="8"/>
        <v>0</v>
      </c>
      <c r="H28" s="218">
        <f t="shared" si="9"/>
        <v>0</v>
      </c>
      <c r="I28" s="225">
        <f t="shared" si="10"/>
        <v>0</v>
      </c>
      <c r="N28" s="174">
        <f t="shared" si="0"/>
        <v>0</v>
      </c>
    </row>
    <row r="29" spans="1:14" x14ac:dyDescent="0.3">
      <c r="A29" s="336" t="s">
        <v>75</v>
      </c>
      <c r="B29" s="221"/>
      <c r="C29" s="220"/>
      <c r="D29" s="221"/>
      <c r="E29" s="235"/>
      <c r="F29" s="221"/>
      <c r="G29" s="221"/>
      <c r="H29" s="221"/>
      <c r="I29" s="221"/>
      <c r="N29" s="174">
        <f t="shared" si="0"/>
        <v>0</v>
      </c>
    </row>
    <row r="30" spans="1:14" ht="26" x14ac:dyDescent="0.3">
      <c r="A30" s="330" t="s">
        <v>112</v>
      </c>
      <c r="B30" s="218">
        <v>2</v>
      </c>
      <c r="C30" s="116">
        <v>1</v>
      </c>
      <c r="D30" s="218">
        <v>2</v>
      </c>
      <c r="E30" s="229">
        <v>0</v>
      </c>
      <c r="F30" s="218">
        <f>D30*E30</f>
        <v>0</v>
      </c>
      <c r="G30" s="218">
        <f>F30*0.05</f>
        <v>0</v>
      </c>
      <c r="H30" s="218">
        <f>F30*0.1</f>
        <v>0</v>
      </c>
      <c r="I30" s="227">
        <f>F30*$L$8+G30*$L$7+H30*$L$9</f>
        <v>0</v>
      </c>
      <c r="N30" s="174">
        <f t="shared" si="0"/>
        <v>0</v>
      </c>
    </row>
    <row r="31" spans="1:14" ht="26" x14ac:dyDescent="0.3">
      <c r="A31" s="330" t="s">
        <v>233</v>
      </c>
      <c r="B31" s="218">
        <v>2</v>
      </c>
      <c r="C31" s="116">
        <v>1</v>
      </c>
      <c r="D31" s="218">
        <v>2</v>
      </c>
      <c r="E31" s="229">
        <f>E30</f>
        <v>0</v>
      </c>
      <c r="F31" s="218">
        <f>D31*E31</f>
        <v>0</v>
      </c>
      <c r="G31" s="218">
        <f>F31*0.05</f>
        <v>0</v>
      </c>
      <c r="H31" s="218">
        <f>F31*0.1</f>
        <v>0</v>
      </c>
      <c r="I31" s="227">
        <f>F31*$L$8+G31*$L$7+H31*$L$9</f>
        <v>0</v>
      </c>
      <c r="N31" s="174">
        <f t="shared" si="0"/>
        <v>0</v>
      </c>
    </row>
    <row r="32" spans="1:14" ht="39" x14ac:dyDescent="0.3">
      <c r="A32" s="330" t="s">
        <v>235</v>
      </c>
      <c r="B32" s="218">
        <v>2</v>
      </c>
      <c r="C32" s="116">
        <v>1</v>
      </c>
      <c r="D32" s="218">
        <v>2</v>
      </c>
      <c r="E32" s="229">
        <f>E31</f>
        <v>0</v>
      </c>
      <c r="F32" s="218">
        <f>D32*E32</f>
        <v>0</v>
      </c>
      <c r="G32" s="218">
        <f>F32*0.05</f>
        <v>0</v>
      </c>
      <c r="H32" s="218">
        <f>F32*0.1</f>
        <v>0</v>
      </c>
      <c r="I32" s="227">
        <f>F32*$L$8+G32*$L$7+H32*$L$9</f>
        <v>0</v>
      </c>
      <c r="N32" s="174">
        <f t="shared" si="0"/>
        <v>0</v>
      </c>
    </row>
    <row r="33" spans="1:14" ht="39" customHeight="1" x14ac:dyDescent="0.3">
      <c r="A33" s="330" t="s">
        <v>244</v>
      </c>
      <c r="B33" s="218">
        <v>2</v>
      </c>
      <c r="C33" s="116">
        <v>4</v>
      </c>
      <c r="D33" s="218">
        <f t="shared" ref="D33" si="11">B33*C33</f>
        <v>8</v>
      </c>
      <c r="E33" s="229">
        <v>0</v>
      </c>
      <c r="F33" s="218">
        <f t="shared" ref="F33" si="12">D33*E33</f>
        <v>0</v>
      </c>
      <c r="G33" s="218">
        <f t="shared" ref="G33" si="13">F33*0.05</f>
        <v>0</v>
      </c>
      <c r="H33" s="218">
        <f t="shared" ref="H33" si="14">F33*0.1</f>
        <v>0</v>
      </c>
      <c r="I33" s="227">
        <f>F33*$L$8+G33*$L$7+H33*$L$9</f>
        <v>0</v>
      </c>
      <c r="N33" s="174">
        <f t="shared" si="0"/>
        <v>0</v>
      </c>
    </row>
    <row r="34" spans="1:14" ht="27" x14ac:dyDescent="0.3">
      <c r="A34" s="236" t="s">
        <v>86</v>
      </c>
      <c r="B34" s="237"/>
      <c r="C34" s="238"/>
      <c r="D34" s="237"/>
      <c r="E34" s="239"/>
      <c r="F34" s="240">
        <f>SUM(F8:H33)</f>
        <v>0</v>
      </c>
      <c r="G34" s="240"/>
      <c r="H34" s="240"/>
      <c r="I34" s="241">
        <f>SUM(I8:I33)</f>
        <v>0</v>
      </c>
      <c r="N34" s="174">
        <f t="shared" si="0"/>
        <v>0</v>
      </c>
    </row>
    <row r="35" spans="1:14" ht="26" x14ac:dyDescent="0.3">
      <c r="A35" s="210" t="s">
        <v>115</v>
      </c>
      <c r="B35" s="221"/>
      <c r="C35" s="220"/>
      <c r="D35" s="221"/>
      <c r="E35" s="235"/>
      <c r="F35" s="221"/>
      <c r="G35" s="221"/>
      <c r="H35" s="221"/>
      <c r="I35" s="221"/>
      <c r="N35" s="174">
        <f t="shared" si="0"/>
        <v>0</v>
      </c>
    </row>
    <row r="36" spans="1:14" ht="26" x14ac:dyDescent="0.3">
      <c r="A36" s="330" t="s">
        <v>100</v>
      </c>
      <c r="B36" s="218"/>
      <c r="C36" s="220"/>
      <c r="D36" s="221"/>
      <c r="E36" s="220"/>
      <c r="F36" s="221"/>
      <c r="G36" s="221"/>
      <c r="H36" s="221"/>
      <c r="I36" s="221"/>
      <c r="N36" s="174">
        <f t="shared" si="0"/>
        <v>0</v>
      </c>
    </row>
    <row r="37" spans="1:14" x14ac:dyDescent="0.3">
      <c r="A37" s="330" t="s">
        <v>116</v>
      </c>
      <c r="B37" s="218"/>
      <c r="C37" s="220"/>
      <c r="D37" s="221"/>
      <c r="E37" s="220"/>
      <c r="F37" s="221"/>
      <c r="G37" s="221"/>
      <c r="H37" s="221"/>
      <c r="I37" s="221"/>
      <c r="N37" s="174">
        <f t="shared" si="0"/>
        <v>0</v>
      </c>
    </row>
    <row r="38" spans="1:14" x14ac:dyDescent="0.3">
      <c r="A38" s="330" t="s">
        <v>117</v>
      </c>
      <c r="B38" s="218"/>
      <c r="C38" s="220"/>
      <c r="D38" s="221"/>
      <c r="E38" s="220"/>
      <c r="F38" s="221"/>
      <c r="G38" s="221"/>
      <c r="H38" s="221"/>
      <c r="I38" s="221"/>
      <c r="N38" s="174">
        <f t="shared" si="0"/>
        <v>0</v>
      </c>
    </row>
    <row r="39" spans="1:14" x14ac:dyDescent="0.3">
      <c r="A39" s="330" t="s">
        <v>118</v>
      </c>
      <c r="B39" s="218" t="s">
        <v>77</v>
      </c>
      <c r="C39" s="220"/>
      <c r="D39" s="221"/>
      <c r="E39" s="220"/>
      <c r="F39" s="221"/>
      <c r="G39" s="221"/>
      <c r="H39" s="221"/>
      <c r="I39" s="221"/>
      <c r="N39" s="174">
        <f t="shared" si="0"/>
        <v>0</v>
      </c>
    </row>
    <row r="40" spans="1:14" ht="26" x14ac:dyDescent="0.3">
      <c r="A40" s="330" t="s">
        <v>119</v>
      </c>
      <c r="B40" s="221"/>
      <c r="C40" s="220"/>
      <c r="D40" s="221"/>
      <c r="E40" s="220"/>
      <c r="F40" s="221"/>
      <c r="G40" s="221"/>
      <c r="H40" s="221"/>
      <c r="I40" s="221"/>
      <c r="N40" s="174">
        <f t="shared" si="0"/>
        <v>0</v>
      </c>
    </row>
    <row r="41" spans="1:14" x14ac:dyDescent="0.3">
      <c r="A41" s="336" t="s">
        <v>75</v>
      </c>
      <c r="B41" s="221"/>
      <c r="C41" s="220"/>
      <c r="D41" s="221"/>
      <c r="E41" s="220"/>
      <c r="F41" s="221"/>
      <c r="G41" s="221"/>
      <c r="H41" s="221"/>
      <c r="I41" s="221"/>
      <c r="N41" s="174">
        <f t="shared" si="0"/>
        <v>0</v>
      </c>
    </row>
    <row r="42" spans="1:14" ht="30.5" customHeight="1" x14ac:dyDescent="0.3">
      <c r="A42" s="330" t="s">
        <v>120</v>
      </c>
      <c r="B42" s="218">
        <v>0.1</v>
      </c>
      <c r="C42" s="116">
        <v>330</v>
      </c>
      <c r="D42" s="218">
        <f t="shared" ref="D42:D47" si="15">B42*C42</f>
        <v>33</v>
      </c>
      <c r="E42" s="229">
        <v>39</v>
      </c>
      <c r="F42" s="230">
        <f t="shared" ref="F42:F47" si="16">D42*E42</f>
        <v>1287</v>
      </c>
      <c r="G42" s="218">
        <f t="shared" ref="G42:G47" si="17">F42*0.05</f>
        <v>64.350000000000009</v>
      </c>
      <c r="H42" s="218">
        <f t="shared" ref="H42:H47" si="18">F42*0.1</f>
        <v>128.70000000000002</v>
      </c>
      <c r="I42" s="227">
        <f>F42*$L$8+G42*$L$7+H42*$L$9</f>
        <v>177698.02050000001</v>
      </c>
      <c r="N42" s="174">
        <f t="shared" si="0"/>
        <v>12870</v>
      </c>
    </row>
    <row r="43" spans="1:14" ht="39" x14ac:dyDescent="0.3">
      <c r="A43" s="330" t="s">
        <v>410</v>
      </c>
      <c r="B43" s="218">
        <v>0.1</v>
      </c>
      <c r="C43" s="116">
        <v>330</v>
      </c>
      <c r="D43" s="218">
        <f t="shared" si="15"/>
        <v>33</v>
      </c>
      <c r="E43" s="229">
        <f>E42</f>
        <v>39</v>
      </c>
      <c r="F43" s="230">
        <f t="shared" si="16"/>
        <v>1287</v>
      </c>
      <c r="G43" s="218">
        <f t="shared" si="17"/>
        <v>64.350000000000009</v>
      </c>
      <c r="H43" s="218">
        <f t="shared" si="18"/>
        <v>128.70000000000002</v>
      </c>
      <c r="I43" s="227">
        <f>F43*$L$8+G43*$L$7+H43*$L$9</f>
        <v>177698.02050000001</v>
      </c>
      <c r="N43" s="174">
        <f t="shared" si="0"/>
        <v>12870</v>
      </c>
    </row>
    <row r="44" spans="1:14" x14ac:dyDescent="0.3">
      <c r="A44" s="336" t="s">
        <v>76</v>
      </c>
      <c r="B44" s="218"/>
      <c r="C44" s="116"/>
      <c r="D44" s="218"/>
      <c r="E44" s="229"/>
      <c r="F44" s="230"/>
      <c r="G44" s="218"/>
      <c r="H44" s="218"/>
      <c r="I44" s="227"/>
      <c r="N44" s="174">
        <f t="shared" si="0"/>
        <v>0</v>
      </c>
    </row>
    <row r="45" spans="1:14" x14ac:dyDescent="0.3">
      <c r="A45" s="330" t="s">
        <v>120</v>
      </c>
      <c r="B45" s="218">
        <v>1.5</v>
      </c>
      <c r="C45" s="116">
        <v>330</v>
      </c>
      <c r="D45" s="218">
        <f>B45*C45</f>
        <v>495</v>
      </c>
      <c r="E45" s="229">
        <f>$L$12</f>
        <v>0</v>
      </c>
      <c r="F45" s="230">
        <f t="shared" ref="F45:F46" si="19">D45*E45</f>
        <v>0</v>
      </c>
      <c r="G45" s="218">
        <f t="shared" ref="G45:G46" si="20">F45*0.05</f>
        <v>0</v>
      </c>
      <c r="H45" s="218">
        <f t="shared" ref="H45:H46" si="21">F45*0.1</f>
        <v>0</v>
      </c>
      <c r="I45" s="225">
        <f>F45*$L$8+G45*$L$7+H45*$L$9</f>
        <v>0</v>
      </c>
      <c r="N45" s="174">
        <f t="shared" si="0"/>
        <v>0</v>
      </c>
    </row>
    <row r="46" spans="1:14" x14ac:dyDescent="0.3">
      <c r="A46" s="330" t="s">
        <v>230</v>
      </c>
      <c r="B46" s="218">
        <v>0.1</v>
      </c>
      <c r="C46" s="116">
        <v>330</v>
      </c>
      <c r="D46" s="218">
        <f t="shared" ref="D46" si="22">B46*C46</f>
        <v>33</v>
      </c>
      <c r="E46" s="229">
        <f>$L$12</f>
        <v>0</v>
      </c>
      <c r="F46" s="230">
        <f t="shared" si="19"/>
        <v>0</v>
      </c>
      <c r="G46" s="218">
        <f t="shared" si="20"/>
        <v>0</v>
      </c>
      <c r="H46" s="218">
        <f t="shared" si="21"/>
        <v>0</v>
      </c>
      <c r="I46" s="225">
        <f>F46*$L$8+G46*$L$7+H46*$L$9</f>
        <v>0</v>
      </c>
      <c r="N46" s="174">
        <f t="shared" si="0"/>
        <v>0</v>
      </c>
    </row>
    <row r="47" spans="1:14" x14ac:dyDescent="0.3">
      <c r="A47" s="330" t="s">
        <v>121</v>
      </c>
      <c r="B47" s="218">
        <v>80</v>
      </c>
      <c r="C47" s="116">
        <v>1</v>
      </c>
      <c r="D47" s="218">
        <f t="shared" si="15"/>
        <v>80</v>
      </c>
      <c r="E47" s="229">
        <f>$L$12</f>
        <v>0</v>
      </c>
      <c r="F47" s="230">
        <f t="shared" si="16"/>
        <v>0</v>
      </c>
      <c r="G47" s="218">
        <f t="shared" si="17"/>
        <v>0</v>
      </c>
      <c r="H47" s="218">
        <f t="shared" si="18"/>
        <v>0</v>
      </c>
      <c r="I47" s="225">
        <f>F47*$L$8+G47*$L$7+H47*$L$9</f>
        <v>0</v>
      </c>
      <c r="N47" s="174">
        <f t="shared" si="0"/>
        <v>0</v>
      </c>
    </row>
    <row r="48" spans="1:14" ht="17.25" customHeight="1" x14ac:dyDescent="0.3">
      <c r="A48" s="330" t="s">
        <v>122</v>
      </c>
      <c r="B48" s="218" t="s">
        <v>77</v>
      </c>
      <c r="C48" s="220"/>
      <c r="D48" s="221"/>
      <c r="E48" s="220"/>
      <c r="F48" s="221"/>
      <c r="G48" s="221"/>
      <c r="H48" s="221"/>
      <c r="I48" s="221"/>
      <c r="N48" s="174">
        <f t="shared" si="0"/>
        <v>0</v>
      </c>
    </row>
    <row r="49" spans="1:15" ht="27" x14ac:dyDescent="0.3">
      <c r="A49" s="236" t="s">
        <v>60</v>
      </c>
      <c r="B49" s="242"/>
      <c r="C49" s="243"/>
      <c r="D49" s="242"/>
      <c r="E49" s="244"/>
      <c r="F49" s="240">
        <f>SUM(F42:H47)</f>
        <v>2960.1</v>
      </c>
      <c r="G49" s="240"/>
      <c r="H49" s="240"/>
      <c r="I49" s="241">
        <f>SUM(I42:I48)</f>
        <v>355396.04100000003</v>
      </c>
      <c r="K49" s="249">
        <f>F50/212</f>
        <v>14.150943396226415</v>
      </c>
      <c r="L49" s="174" t="s">
        <v>124</v>
      </c>
      <c r="N49" s="174">
        <f t="shared" si="0"/>
        <v>0</v>
      </c>
    </row>
    <row r="50" spans="1:15" ht="28" x14ac:dyDescent="0.3">
      <c r="A50" s="212" t="s">
        <v>123</v>
      </c>
      <c r="B50" s="245"/>
      <c r="C50" s="246"/>
      <c r="D50" s="245"/>
      <c r="E50" s="247"/>
      <c r="F50" s="381">
        <f>ROUND(F49+F34, -2)</f>
        <v>3000</v>
      </c>
      <c r="G50" s="381"/>
      <c r="H50" s="381"/>
      <c r="I50" s="248">
        <f>ROUND(I49+I34, -4)</f>
        <v>360000</v>
      </c>
      <c r="N50" s="174">
        <f t="shared" si="0"/>
        <v>0</v>
      </c>
    </row>
    <row r="51" spans="1:15" ht="28" x14ac:dyDescent="0.3">
      <c r="A51" s="250" t="s">
        <v>78</v>
      </c>
      <c r="B51" s="221"/>
      <c r="C51" s="220"/>
      <c r="D51" s="221"/>
      <c r="E51" s="220"/>
      <c r="F51" s="221"/>
      <c r="G51" s="221"/>
      <c r="H51" s="221"/>
      <c r="I51" s="248">
        <v>0</v>
      </c>
      <c r="N51" s="174">
        <f t="shared" si="0"/>
        <v>0</v>
      </c>
    </row>
    <row r="52" spans="1:15" ht="15" x14ac:dyDescent="0.3">
      <c r="A52" s="250" t="s">
        <v>125</v>
      </c>
      <c r="B52" s="221"/>
      <c r="C52" s="220"/>
      <c r="D52" s="221"/>
      <c r="E52" s="220"/>
      <c r="F52" s="221"/>
      <c r="G52" s="221"/>
      <c r="H52" s="221"/>
      <c r="I52" s="248">
        <f>ROUND(I50+I51, -5)</f>
        <v>400000</v>
      </c>
      <c r="N52" s="174">
        <f>SUM(N6:N51)</f>
        <v>25740</v>
      </c>
      <c r="O52" s="174" t="s">
        <v>384</v>
      </c>
    </row>
    <row r="54" spans="1:15" ht="21.5" customHeight="1" x14ac:dyDescent="0.3">
      <c r="A54" s="382" t="s">
        <v>207</v>
      </c>
      <c r="B54" s="382"/>
      <c r="C54" s="382"/>
      <c r="D54" s="382"/>
      <c r="E54" s="382"/>
      <c r="F54" s="382"/>
      <c r="G54" s="382"/>
      <c r="H54" s="382"/>
      <c r="I54" s="382"/>
    </row>
    <row r="55" spans="1:15" ht="57" customHeight="1" x14ac:dyDescent="0.3">
      <c r="A55" s="370" t="s">
        <v>182</v>
      </c>
      <c r="B55" s="370"/>
      <c r="C55" s="370"/>
      <c r="D55" s="370"/>
      <c r="E55" s="370"/>
      <c r="F55" s="370"/>
      <c r="G55" s="370"/>
      <c r="H55" s="370"/>
      <c r="I55" s="370"/>
    </row>
    <row r="56" spans="1:15" ht="21.5" customHeight="1" x14ac:dyDescent="0.3">
      <c r="A56" s="382" t="s">
        <v>192</v>
      </c>
      <c r="B56" s="382"/>
      <c r="C56" s="382"/>
      <c r="D56" s="382"/>
      <c r="E56" s="382"/>
      <c r="F56" s="382"/>
      <c r="G56" s="382"/>
      <c r="H56" s="382"/>
      <c r="I56" s="382"/>
    </row>
    <row r="57" spans="1:15" ht="15.5" x14ac:dyDescent="0.3">
      <c r="A57" s="383" t="s">
        <v>195</v>
      </c>
      <c r="B57" s="383"/>
      <c r="C57" s="383"/>
      <c r="D57" s="383"/>
      <c r="E57" s="383"/>
      <c r="F57" s="383"/>
      <c r="G57" s="383"/>
      <c r="H57" s="383"/>
      <c r="I57" s="383"/>
    </row>
    <row r="58" spans="1:15" ht="18.75" customHeight="1" x14ac:dyDescent="0.3">
      <c r="A58" s="384" t="s">
        <v>191</v>
      </c>
      <c r="B58" s="384"/>
      <c r="C58" s="384"/>
      <c r="D58" s="384"/>
      <c r="E58" s="384"/>
      <c r="F58" s="384"/>
      <c r="G58" s="384"/>
      <c r="H58" s="384"/>
      <c r="I58" s="384"/>
    </row>
    <row r="59" spans="1:15" ht="19" customHeight="1" x14ac:dyDescent="0.3">
      <c r="A59" s="379" t="s">
        <v>126</v>
      </c>
      <c r="B59" s="379"/>
      <c r="C59" s="379"/>
      <c r="D59" s="379"/>
      <c r="E59" s="379"/>
      <c r="F59" s="379"/>
      <c r="G59" s="379"/>
      <c r="H59" s="379"/>
      <c r="I59" s="379"/>
    </row>
  </sheetData>
  <mergeCells count="10">
    <mergeCell ref="A59:I59"/>
    <mergeCell ref="A1:I1"/>
    <mergeCell ref="A3:I3"/>
    <mergeCell ref="K6:L6"/>
    <mergeCell ref="F50:H50"/>
    <mergeCell ref="A54:I54"/>
    <mergeCell ref="A55:I55"/>
    <mergeCell ref="A56:I56"/>
    <mergeCell ref="A57:I57"/>
    <mergeCell ref="A58:I58"/>
  </mergeCells>
  <pageMargins left="0.7" right="0.7" top="0.75" bottom="0.75" header="0.3" footer="0.3"/>
  <pageSetup scale="3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624C4-6119-4A47-8EFA-27E2B6DDB228}">
  <sheetPr codeName="Sheet17">
    <pageSetUpPr fitToPage="1"/>
  </sheetPr>
  <dimension ref="A1:O62"/>
  <sheetViews>
    <sheetView zoomScale="90" zoomScaleNormal="90" workbookViewId="0">
      <pane xSplit="13" ySplit="5" topLeftCell="N38" activePane="bottomRight" state="frozen"/>
      <selection activeCell="B22" sqref="B22"/>
      <selection pane="topRight" activeCell="B22" sqref="B22"/>
      <selection pane="bottomLeft" activeCell="B22" sqref="B22"/>
      <selection pane="bottomRight" activeCell="L15" sqref="L15"/>
    </sheetView>
  </sheetViews>
  <sheetFormatPr defaultColWidth="9.1796875" defaultRowHeight="13" x14ac:dyDescent="0.3"/>
  <cols>
    <col min="1" max="1" width="26.81640625" style="174" customWidth="1"/>
    <col min="2" max="2" width="10.1796875" style="174" customWidth="1"/>
    <col min="3" max="3" width="12" style="251" customWidth="1"/>
    <col min="4" max="4" width="11.1796875" style="174" customWidth="1"/>
    <col min="5" max="5" width="12.1796875" style="251" customWidth="1"/>
    <col min="6" max="6" width="10.26953125" style="174" customWidth="1"/>
    <col min="7" max="7" width="11.7265625" style="174" customWidth="1"/>
    <col min="8" max="8" width="11.26953125" style="174" customWidth="1"/>
    <col min="9" max="9" width="14.26953125" style="174" customWidth="1"/>
    <col min="10" max="10" width="7.1796875" style="174" customWidth="1"/>
    <col min="11" max="11" width="25.08984375" style="174" customWidth="1"/>
    <col min="12" max="12" width="14.7265625" style="174" customWidth="1"/>
    <col min="13" max="13" width="30.54296875" style="174" customWidth="1"/>
    <col min="14" max="14" width="20.453125" style="174" customWidth="1"/>
    <col min="15" max="15" width="14.1796875" style="174" customWidth="1"/>
    <col min="16" max="16384" width="9.1796875" style="174"/>
  </cols>
  <sheetData>
    <row r="1" spans="1:14" s="216" customFormat="1" ht="15" x14ac:dyDescent="0.3">
      <c r="A1" s="362" t="s">
        <v>218</v>
      </c>
      <c r="B1" s="362"/>
      <c r="C1" s="362"/>
      <c r="D1" s="362"/>
      <c r="E1" s="362"/>
      <c r="F1" s="362"/>
      <c r="G1" s="362"/>
      <c r="H1" s="362"/>
      <c r="I1" s="362"/>
    </row>
    <row r="2" spans="1:14" s="216" customFormat="1" ht="45" x14ac:dyDescent="0.3">
      <c r="A2" s="200" t="s">
        <v>221</v>
      </c>
      <c r="B2" s="200"/>
      <c r="C2" s="200"/>
      <c r="D2" s="200"/>
      <c r="E2" s="200"/>
      <c r="F2" s="200"/>
      <c r="G2" s="200"/>
      <c r="H2" s="200"/>
      <c r="I2" s="200"/>
    </row>
    <row r="3" spans="1:14" s="216" customFormat="1" ht="33" customHeight="1" x14ac:dyDescent="0.3">
      <c r="A3" s="362" t="s">
        <v>437</v>
      </c>
      <c r="B3" s="362"/>
      <c r="C3" s="362"/>
      <c r="D3" s="362"/>
      <c r="E3" s="362"/>
      <c r="F3" s="362"/>
      <c r="G3" s="362"/>
      <c r="H3" s="362"/>
      <c r="I3" s="362"/>
    </row>
    <row r="5" spans="1:14" ht="65" x14ac:dyDescent="0.3">
      <c r="A5" s="217" t="s">
        <v>32</v>
      </c>
      <c r="B5" s="218" t="s">
        <v>88</v>
      </c>
      <c r="C5" s="116" t="s">
        <v>89</v>
      </c>
      <c r="D5" s="218" t="s">
        <v>90</v>
      </c>
      <c r="E5" s="116" t="s">
        <v>91</v>
      </c>
      <c r="F5" s="218" t="s">
        <v>92</v>
      </c>
      <c r="G5" s="218" t="s">
        <v>93</v>
      </c>
      <c r="H5" s="218" t="s">
        <v>94</v>
      </c>
      <c r="I5" s="218" t="s">
        <v>95</v>
      </c>
      <c r="J5" s="219"/>
      <c r="N5" s="174" t="s">
        <v>383</v>
      </c>
    </row>
    <row r="6" spans="1:14" x14ac:dyDescent="0.3">
      <c r="A6" s="210" t="s">
        <v>96</v>
      </c>
      <c r="B6" s="218" t="s">
        <v>77</v>
      </c>
      <c r="C6" s="220"/>
      <c r="D6" s="221"/>
      <c r="E6" s="220"/>
      <c r="F6" s="221"/>
      <c r="G6" s="221"/>
      <c r="H6" s="221"/>
      <c r="I6" s="221"/>
      <c r="K6" s="380" t="s">
        <v>68</v>
      </c>
      <c r="L6" s="380"/>
      <c r="N6" s="174">
        <f>C6*E6</f>
        <v>0</v>
      </c>
    </row>
    <row r="7" spans="1:14" ht="24.5" customHeight="1" x14ac:dyDescent="0.3">
      <c r="A7" s="210" t="s">
        <v>97</v>
      </c>
      <c r="B7" s="218" t="s">
        <v>77</v>
      </c>
      <c r="C7" s="220"/>
      <c r="D7" s="221"/>
      <c r="E7" s="220"/>
      <c r="F7" s="221"/>
      <c r="G7" s="221"/>
      <c r="H7" s="221"/>
      <c r="I7" s="221"/>
      <c r="K7" s="222" t="s">
        <v>69</v>
      </c>
      <c r="L7" s="223">
        <v>157.61000000000001</v>
      </c>
      <c r="M7" s="224" t="s">
        <v>180</v>
      </c>
      <c r="N7" s="174">
        <f t="shared" ref="N7:N47" si="0">C7*E7</f>
        <v>0</v>
      </c>
    </row>
    <row r="8" spans="1:14" ht="60" customHeight="1" x14ac:dyDescent="0.3">
      <c r="A8" s="210" t="s">
        <v>98</v>
      </c>
      <c r="B8" s="218">
        <v>16</v>
      </c>
      <c r="C8" s="116">
        <v>1</v>
      </c>
      <c r="D8" s="218">
        <f>B8*C8</f>
        <v>16</v>
      </c>
      <c r="E8" s="116">
        <f>L12</f>
        <v>0</v>
      </c>
      <c r="F8" s="218">
        <f>D8*E8</f>
        <v>0</v>
      </c>
      <c r="G8" s="218">
        <f>F8*0.05</f>
        <v>0</v>
      </c>
      <c r="H8" s="218">
        <f>F8*0.1</f>
        <v>0</v>
      </c>
      <c r="I8" s="225">
        <f>F8*$L$8+G8*$L$7+H8*$L$9</f>
        <v>0</v>
      </c>
      <c r="K8" s="222" t="s">
        <v>33</v>
      </c>
      <c r="L8" s="223">
        <v>123.94</v>
      </c>
      <c r="M8" s="226"/>
      <c r="N8" s="174">
        <f t="shared" si="0"/>
        <v>0</v>
      </c>
    </row>
    <row r="9" spans="1:14" x14ac:dyDescent="0.3">
      <c r="A9" s="210" t="s">
        <v>99</v>
      </c>
      <c r="B9" s="218"/>
      <c r="C9" s="116"/>
      <c r="D9" s="218"/>
      <c r="E9" s="116"/>
      <c r="F9" s="218"/>
      <c r="G9" s="218"/>
      <c r="H9" s="218"/>
      <c r="I9" s="221"/>
      <c r="K9" s="222" t="s">
        <v>34</v>
      </c>
      <c r="L9" s="223">
        <v>62.51</v>
      </c>
      <c r="M9" s="226"/>
      <c r="N9" s="174">
        <f t="shared" si="0"/>
        <v>0</v>
      </c>
    </row>
    <row r="10" spans="1:14" ht="26" x14ac:dyDescent="0.3">
      <c r="A10" s="330" t="s">
        <v>100</v>
      </c>
      <c r="B10" s="218">
        <v>20</v>
      </c>
      <c r="C10" s="116">
        <v>1</v>
      </c>
      <c r="D10" s="218">
        <f>B10*C10</f>
        <v>20</v>
      </c>
      <c r="E10" s="116">
        <v>0</v>
      </c>
      <c r="F10" s="218">
        <f>D10*E10</f>
        <v>0</v>
      </c>
      <c r="G10" s="218">
        <f>F10*0.05</f>
        <v>0</v>
      </c>
      <c r="H10" s="218">
        <f>F10*0.1</f>
        <v>0</v>
      </c>
      <c r="I10" s="227">
        <f>F10*$L$8+G10*$L$7+H10*$L$9</f>
        <v>0</v>
      </c>
      <c r="K10" s="177"/>
      <c r="N10" s="174">
        <f t="shared" si="0"/>
        <v>0</v>
      </c>
    </row>
    <row r="11" spans="1:14" ht="15.75" customHeight="1" x14ac:dyDescent="0.3">
      <c r="A11" s="330" t="s">
        <v>101</v>
      </c>
      <c r="B11" s="218"/>
      <c r="C11" s="116"/>
      <c r="D11" s="218"/>
      <c r="E11" s="116"/>
      <c r="F11" s="218"/>
      <c r="G11" s="218"/>
      <c r="H11" s="218"/>
      <c r="I11" s="227"/>
      <c r="K11" s="228"/>
      <c r="L11" s="228" t="s">
        <v>206</v>
      </c>
      <c r="N11" s="174">
        <f t="shared" si="0"/>
        <v>0</v>
      </c>
    </row>
    <row r="12" spans="1:14" ht="28.5" x14ac:dyDescent="0.3">
      <c r="A12" s="335" t="s">
        <v>103</v>
      </c>
      <c r="B12" s="218"/>
      <c r="C12" s="116"/>
      <c r="D12" s="218"/>
      <c r="E12" s="229"/>
      <c r="F12" s="230"/>
      <c r="G12" s="218"/>
      <c r="H12" s="218"/>
      <c r="I12" s="227"/>
      <c r="K12" s="228" t="s">
        <v>104</v>
      </c>
      <c r="L12" s="228">
        <v>0</v>
      </c>
      <c r="N12" s="174">
        <f t="shared" si="0"/>
        <v>0</v>
      </c>
    </row>
    <row r="13" spans="1:14" ht="27" customHeight="1" x14ac:dyDescent="0.3">
      <c r="A13" s="117" t="s">
        <v>231</v>
      </c>
      <c r="B13" s="116">
        <v>24</v>
      </c>
      <c r="C13" s="116">
        <v>2</v>
      </c>
      <c r="D13" s="218">
        <f>B13*C13</f>
        <v>48</v>
      </c>
      <c r="E13" s="229">
        <f t="shared" ref="E13" si="1">L$13</f>
        <v>3.9000000000000004</v>
      </c>
      <c r="F13" s="230">
        <f>D13*E13</f>
        <v>187.20000000000002</v>
      </c>
      <c r="G13" s="218">
        <f>F13*0.05</f>
        <v>9.3600000000000012</v>
      </c>
      <c r="H13" s="218">
        <f>F13*0.1</f>
        <v>18.720000000000002</v>
      </c>
      <c r="I13" s="227">
        <f>F13*$L$8+G13*$L$7+H13*$L$9</f>
        <v>25846.984800000002</v>
      </c>
      <c r="K13" s="228" t="s">
        <v>105</v>
      </c>
      <c r="L13" s="228">
        <f>L12+L14*0.1</f>
        <v>3.9000000000000004</v>
      </c>
      <c r="N13" s="174">
        <f t="shared" si="0"/>
        <v>7.8000000000000007</v>
      </c>
    </row>
    <row r="14" spans="1:14" ht="26" x14ac:dyDescent="0.3">
      <c r="A14" s="117" t="s">
        <v>232</v>
      </c>
      <c r="B14" s="116">
        <v>24</v>
      </c>
      <c r="C14" s="116">
        <v>2</v>
      </c>
      <c r="D14" s="218">
        <f t="shared" ref="D14" si="2">B14*C14</f>
        <v>48</v>
      </c>
      <c r="E14" s="325">
        <f>E13*0.05</f>
        <v>0.19500000000000003</v>
      </c>
      <c r="F14" s="230">
        <f t="shared" ref="F14:F21" si="3">D14*E14</f>
        <v>9.3600000000000012</v>
      </c>
      <c r="G14" s="325">
        <f t="shared" ref="G14:G21" si="4">F14*0.05</f>
        <v>0.46800000000000008</v>
      </c>
      <c r="H14" s="325">
        <f t="shared" ref="H14:H21" si="5">F14*0.1</f>
        <v>0.93600000000000017</v>
      </c>
      <c r="I14" s="227">
        <f t="shared" ref="I14:I21" si="6">F14*$L$8+G14*$L$7+H14*$L$9</f>
        <v>1292.3492400000002</v>
      </c>
      <c r="J14" s="177"/>
      <c r="K14" s="228" t="s">
        <v>80</v>
      </c>
      <c r="L14" s="228">
        <v>39</v>
      </c>
      <c r="N14" s="174">
        <f t="shared" si="0"/>
        <v>0.39000000000000007</v>
      </c>
    </row>
    <row r="15" spans="1:14" ht="28.5" x14ac:dyDescent="0.3">
      <c r="A15" s="335" t="s">
        <v>194</v>
      </c>
      <c r="B15" s="218"/>
      <c r="C15" s="116"/>
      <c r="D15" s="218"/>
      <c r="E15" s="116"/>
      <c r="F15" s="230"/>
      <c r="G15" s="218"/>
      <c r="H15" s="218"/>
      <c r="I15" s="227"/>
      <c r="K15" s="177" t="s">
        <v>413</v>
      </c>
      <c r="L15" s="177">
        <v>15</v>
      </c>
      <c r="M15" s="177"/>
      <c r="N15" s="174">
        <f t="shared" si="0"/>
        <v>0</v>
      </c>
    </row>
    <row r="16" spans="1:14" ht="39" x14ac:dyDescent="0.3">
      <c r="A16" s="330" t="s">
        <v>231</v>
      </c>
      <c r="B16" s="218">
        <v>24</v>
      </c>
      <c r="C16" s="116">
        <v>2</v>
      </c>
      <c r="D16" s="218">
        <f>B16*C16</f>
        <v>48</v>
      </c>
      <c r="E16" s="229">
        <f t="shared" ref="E16" si="7">L$14</f>
        <v>39</v>
      </c>
      <c r="F16" s="230">
        <f t="shared" si="3"/>
        <v>1872</v>
      </c>
      <c r="G16" s="218">
        <f t="shared" si="4"/>
        <v>93.600000000000009</v>
      </c>
      <c r="H16" s="218">
        <f t="shared" si="5"/>
        <v>187.20000000000002</v>
      </c>
      <c r="I16" s="227">
        <f t="shared" si="6"/>
        <v>258469.848</v>
      </c>
      <c r="J16" s="231"/>
      <c r="K16" s="177" t="s">
        <v>414</v>
      </c>
      <c r="L16" s="174">
        <v>9</v>
      </c>
      <c r="N16" s="174">
        <f t="shared" si="0"/>
        <v>78</v>
      </c>
    </row>
    <row r="17" spans="1:14" ht="39" x14ac:dyDescent="0.3">
      <c r="A17" s="330" t="s">
        <v>232</v>
      </c>
      <c r="B17" s="116">
        <v>24</v>
      </c>
      <c r="C17" s="116">
        <v>2</v>
      </c>
      <c r="D17" s="218">
        <f t="shared" ref="D17:D19" si="8">B17*C17</f>
        <v>48</v>
      </c>
      <c r="E17" s="229">
        <f>E16*0.05</f>
        <v>1.9500000000000002</v>
      </c>
      <c r="F17" s="230">
        <f t="shared" si="3"/>
        <v>93.600000000000009</v>
      </c>
      <c r="G17" s="218">
        <f t="shared" si="4"/>
        <v>4.6800000000000006</v>
      </c>
      <c r="H17" s="218">
        <f t="shared" si="5"/>
        <v>9.3600000000000012</v>
      </c>
      <c r="I17" s="227">
        <f t="shared" si="6"/>
        <v>12923.492400000001</v>
      </c>
      <c r="J17" s="231"/>
      <c r="K17" s="177" t="s">
        <v>415</v>
      </c>
      <c r="L17" s="174">
        <v>6</v>
      </c>
      <c r="M17" s="315" t="s">
        <v>412</v>
      </c>
      <c r="N17" s="174">
        <f t="shared" si="0"/>
        <v>3.9000000000000004</v>
      </c>
    </row>
    <row r="18" spans="1:14" ht="52" x14ac:dyDescent="0.3">
      <c r="A18" s="330" t="s">
        <v>416</v>
      </c>
      <c r="B18" s="233">
        <v>24</v>
      </c>
      <c r="C18" s="233">
        <v>1</v>
      </c>
      <c r="D18" s="232">
        <f t="shared" si="8"/>
        <v>24</v>
      </c>
      <c r="E18" s="234">
        <f>L17</f>
        <v>6</v>
      </c>
      <c r="F18" s="230">
        <f t="shared" ref="F18:F19" si="9">D18*E18</f>
        <v>144</v>
      </c>
      <c r="G18" s="218">
        <f t="shared" ref="G18:G19" si="10">F18*0.05</f>
        <v>7.2</v>
      </c>
      <c r="H18" s="218">
        <f t="shared" ref="H18:H19" si="11">F18*0.1</f>
        <v>14.4</v>
      </c>
      <c r="I18" s="227">
        <f t="shared" ref="I18:I19" si="12">F18*$L$8+G18*$L$7+H18*$L$9</f>
        <v>19882.296000000002</v>
      </c>
      <c r="N18" s="174">
        <f t="shared" si="0"/>
        <v>6</v>
      </c>
    </row>
    <row r="19" spans="1:14" ht="52" x14ac:dyDescent="0.3">
      <c r="A19" s="330" t="s">
        <v>417</v>
      </c>
      <c r="B19" s="233">
        <v>24</v>
      </c>
      <c r="C19" s="233">
        <v>1</v>
      </c>
      <c r="D19" s="232">
        <f t="shared" si="8"/>
        <v>24</v>
      </c>
      <c r="E19" s="234">
        <f>E18*0.05</f>
        <v>0.30000000000000004</v>
      </c>
      <c r="F19" s="230">
        <f t="shared" si="9"/>
        <v>7.2000000000000011</v>
      </c>
      <c r="G19" s="218">
        <f t="shared" si="10"/>
        <v>0.3600000000000001</v>
      </c>
      <c r="H19" s="218">
        <f t="shared" si="11"/>
        <v>0.7200000000000002</v>
      </c>
      <c r="I19" s="227">
        <f t="shared" si="12"/>
        <v>994.11480000000017</v>
      </c>
      <c r="N19" s="174">
        <f t="shared" si="0"/>
        <v>0.30000000000000004</v>
      </c>
    </row>
    <row r="20" spans="1:14" ht="28.5" x14ac:dyDescent="0.3">
      <c r="A20" s="335" t="s">
        <v>107</v>
      </c>
      <c r="B20" s="232"/>
      <c r="C20" s="233"/>
      <c r="D20" s="232"/>
      <c r="E20" s="234"/>
      <c r="F20" s="230"/>
      <c r="G20" s="218"/>
      <c r="H20" s="218"/>
      <c r="I20" s="227"/>
      <c r="N20" s="174">
        <f t="shared" si="0"/>
        <v>0</v>
      </c>
    </row>
    <row r="21" spans="1:14" ht="26" x14ac:dyDescent="0.3">
      <c r="A21" s="330" t="s">
        <v>190</v>
      </c>
      <c r="B21" s="218">
        <v>0.3</v>
      </c>
      <c r="C21" s="116">
        <v>330</v>
      </c>
      <c r="D21" s="218">
        <f>B21*C21</f>
        <v>99</v>
      </c>
      <c r="E21" s="229">
        <f>L14</f>
        <v>39</v>
      </c>
      <c r="F21" s="230">
        <f t="shared" si="3"/>
        <v>3861</v>
      </c>
      <c r="G21" s="218">
        <f t="shared" si="4"/>
        <v>193.05</v>
      </c>
      <c r="H21" s="218">
        <f t="shared" si="5"/>
        <v>386.1</v>
      </c>
      <c r="I21" s="227">
        <f t="shared" si="6"/>
        <v>533094.06149999995</v>
      </c>
      <c r="N21" s="174">
        <f t="shared" si="0"/>
        <v>12870</v>
      </c>
    </row>
    <row r="22" spans="1:14" x14ac:dyDescent="0.3">
      <c r="A22" s="330" t="s">
        <v>411</v>
      </c>
      <c r="B22" s="218">
        <v>8</v>
      </c>
      <c r="C22" s="116">
        <v>4</v>
      </c>
      <c r="D22" s="218">
        <f>B22*C22</f>
        <v>32</v>
      </c>
      <c r="E22" s="229">
        <v>39</v>
      </c>
      <c r="F22" s="230">
        <f t="shared" ref="F22" si="13">D22*E22</f>
        <v>1248</v>
      </c>
      <c r="G22" s="325">
        <f t="shared" ref="G22" si="14">F22*0.05</f>
        <v>62.400000000000006</v>
      </c>
      <c r="H22" s="218">
        <f t="shared" ref="H22" si="15">F22*0.1</f>
        <v>124.80000000000001</v>
      </c>
      <c r="I22" s="227">
        <f t="shared" ref="I22" si="16">F22*$L$8+G22*$L$7+H22*$L$9</f>
        <v>172313.23199999999</v>
      </c>
      <c r="N22" s="174">
        <f t="shared" si="0"/>
        <v>156</v>
      </c>
    </row>
    <row r="23" spans="1:14" ht="26" x14ac:dyDescent="0.3">
      <c r="A23" s="330" t="s">
        <v>108</v>
      </c>
      <c r="B23" s="218"/>
      <c r="C23" s="220"/>
      <c r="D23" s="221"/>
      <c r="E23" s="235"/>
      <c r="F23" s="221"/>
      <c r="G23" s="221"/>
      <c r="H23" s="221"/>
      <c r="I23" s="221"/>
      <c r="N23" s="174">
        <f t="shared" si="0"/>
        <v>0</v>
      </c>
    </row>
    <row r="24" spans="1:14" ht="26" x14ac:dyDescent="0.3">
      <c r="A24" s="330" t="s">
        <v>109</v>
      </c>
      <c r="B24" s="218"/>
      <c r="C24" s="220"/>
      <c r="D24" s="221"/>
      <c r="E24" s="235"/>
      <c r="F24" s="221"/>
      <c r="G24" s="221"/>
      <c r="H24" s="221"/>
      <c r="I24" s="221"/>
      <c r="N24" s="174">
        <f t="shared" si="0"/>
        <v>0</v>
      </c>
    </row>
    <row r="25" spans="1:14" ht="26" customHeight="1" x14ac:dyDescent="0.3">
      <c r="A25" s="330" t="s">
        <v>110</v>
      </c>
      <c r="B25" s="221"/>
      <c r="C25" s="220"/>
      <c r="D25" s="221"/>
      <c r="E25" s="235"/>
      <c r="F25" s="221"/>
      <c r="G25" s="221"/>
      <c r="H25" s="221"/>
      <c r="I25" s="221"/>
      <c r="N25" s="174">
        <f t="shared" si="0"/>
        <v>0</v>
      </c>
    </row>
    <row r="26" spans="1:14" ht="26" x14ac:dyDescent="0.3">
      <c r="A26" s="336" t="s">
        <v>111</v>
      </c>
      <c r="B26" s="218"/>
      <c r="C26" s="116"/>
      <c r="D26" s="218"/>
      <c r="E26" s="229"/>
      <c r="F26" s="218"/>
      <c r="G26" s="218"/>
      <c r="H26" s="218"/>
      <c r="I26" s="227"/>
      <c r="N26" s="174">
        <f t="shared" si="0"/>
        <v>0</v>
      </c>
    </row>
    <row r="27" spans="1:14" ht="26" x14ac:dyDescent="0.3">
      <c r="A27" s="330" t="s">
        <v>112</v>
      </c>
      <c r="B27" s="218">
        <v>2</v>
      </c>
      <c r="C27" s="116">
        <v>1</v>
      </c>
      <c r="D27" s="218">
        <v>2</v>
      </c>
      <c r="E27" s="229">
        <f>L13</f>
        <v>3.9000000000000004</v>
      </c>
      <c r="F27" s="218">
        <f t="shared" ref="F27:F30" si="17">D27*E27</f>
        <v>7.8000000000000007</v>
      </c>
      <c r="G27" s="218">
        <f t="shared" ref="G27:G30" si="18">F27*0.05</f>
        <v>0.39000000000000007</v>
      </c>
      <c r="H27" s="218">
        <f t="shared" ref="H27:H30" si="19">F27*0.1</f>
        <v>0.78000000000000014</v>
      </c>
      <c r="I27" s="227">
        <f t="shared" ref="I27:I30" si="20">F27*$L$8+G27*$L$7+H27*$L$9</f>
        <v>1076.9577000000002</v>
      </c>
      <c r="N27" s="174">
        <f t="shared" si="0"/>
        <v>3.9000000000000004</v>
      </c>
    </row>
    <row r="28" spans="1:14" ht="26" x14ac:dyDescent="0.3">
      <c r="A28" s="330" t="s">
        <v>233</v>
      </c>
      <c r="B28" s="218">
        <v>2</v>
      </c>
      <c r="C28" s="116">
        <v>1</v>
      </c>
      <c r="D28" s="218">
        <v>2</v>
      </c>
      <c r="E28" s="229">
        <f>L13</f>
        <v>3.9000000000000004</v>
      </c>
      <c r="F28" s="218">
        <f t="shared" si="17"/>
        <v>7.8000000000000007</v>
      </c>
      <c r="G28" s="218">
        <f t="shared" si="18"/>
        <v>0.39000000000000007</v>
      </c>
      <c r="H28" s="218">
        <f t="shared" si="19"/>
        <v>0.78000000000000014</v>
      </c>
      <c r="I28" s="227">
        <f t="shared" si="20"/>
        <v>1076.9577000000002</v>
      </c>
      <c r="N28" s="174">
        <f t="shared" si="0"/>
        <v>3.9000000000000004</v>
      </c>
    </row>
    <row r="29" spans="1:14" ht="26" x14ac:dyDescent="0.3">
      <c r="A29" s="330" t="s">
        <v>234</v>
      </c>
      <c r="B29" s="218">
        <v>2</v>
      </c>
      <c r="C29" s="116">
        <v>1</v>
      </c>
      <c r="D29" s="218">
        <v>2</v>
      </c>
      <c r="E29" s="229">
        <f>L13</f>
        <v>3.9000000000000004</v>
      </c>
      <c r="F29" s="218">
        <f t="shared" si="17"/>
        <v>7.8000000000000007</v>
      </c>
      <c r="G29" s="218">
        <f t="shared" si="18"/>
        <v>0.39000000000000007</v>
      </c>
      <c r="H29" s="218">
        <f t="shared" si="19"/>
        <v>0.78000000000000014</v>
      </c>
      <c r="I29" s="227">
        <f t="shared" si="20"/>
        <v>1076.9577000000002</v>
      </c>
      <c r="N29" s="174">
        <f t="shared" si="0"/>
        <v>3.9000000000000004</v>
      </c>
    </row>
    <row r="30" spans="1:14" ht="26" x14ac:dyDescent="0.3">
      <c r="A30" s="330" t="s">
        <v>199</v>
      </c>
      <c r="B30" s="218">
        <v>24</v>
      </c>
      <c r="C30" s="116">
        <v>4</v>
      </c>
      <c r="D30" s="218">
        <v>48</v>
      </c>
      <c r="E30" s="229">
        <v>4</v>
      </c>
      <c r="F30" s="218">
        <f t="shared" si="17"/>
        <v>192</v>
      </c>
      <c r="G30" s="218">
        <f t="shared" si="18"/>
        <v>9.6000000000000014</v>
      </c>
      <c r="H30" s="218">
        <f t="shared" si="19"/>
        <v>19.200000000000003</v>
      </c>
      <c r="I30" s="225">
        <f t="shared" si="20"/>
        <v>26509.727999999999</v>
      </c>
      <c r="N30" s="174">
        <f t="shared" si="0"/>
        <v>16</v>
      </c>
    </row>
    <row r="31" spans="1:14" x14ac:dyDescent="0.3">
      <c r="A31" s="336" t="s">
        <v>75</v>
      </c>
      <c r="B31" s="221"/>
      <c r="C31" s="220"/>
      <c r="D31" s="221"/>
      <c r="E31" s="235"/>
      <c r="F31" s="221"/>
      <c r="G31" s="221"/>
      <c r="H31" s="221"/>
      <c r="I31" s="221"/>
      <c r="N31" s="174">
        <f t="shared" si="0"/>
        <v>0</v>
      </c>
    </row>
    <row r="32" spans="1:14" ht="26" x14ac:dyDescent="0.3">
      <c r="A32" s="330" t="s">
        <v>112</v>
      </c>
      <c r="B32" s="218">
        <v>2</v>
      </c>
      <c r="C32" s="116">
        <v>1</v>
      </c>
      <c r="D32" s="218">
        <v>2</v>
      </c>
      <c r="E32" s="229">
        <f>L14</f>
        <v>39</v>
      </c>
      <c r="F32" s="218">
        <f>D32*E32</f>
        <v>78</v>
      </c>
      <c r="G32" s="218">
        <f>F32*0.05</f>
        <v>3.9000000000000004</v>
      </c>
      <c r="H32" s="218">
        <f>F32*0.1</f>
        <v>7.8000000000000007</v>
      </c>
      <c r="I32" s="227">
        <f>F32*$L$8+G32*$L$7+H32*$L$9</f>
        <v>10769.576999999999</v>
      </c>
      <c r="N32" s="174">
        <f t="shared" si="0"/>
        <v>39</v>
      </c>
    </row>
    <row r="33" spans="1:15" ht="27" customHeight="1" x14ac:dyDescent="0.3">
      <c r="A33" s="330" t="s">
        <v>233</v>
      </c>
      <c r="B33" s="218">
        <v>2</v>
      </c>
      <c r="C33" s="116">
        <v>1</v>
      </c>
      <c r="D33" s="218">
        <v>2</v>
      </c>
      <c r="E33" s="229">
        <f>E32</f>
        <v>39</v>
      </c>
      <c r="F33" s="218">
        <f>D33*E33</f>
        <v>78</v>
      </c>
      <c r="G33" s="218">
        <f>F33*0.05</f>
        <v>3.9000000000000004</v>
      </c>
      <c r="H33" s="218">
        <f>F33*0.1</f>
        <v>7.8000000000000007</v>
      </c>
      <c r="I33" s="227">
        <f>F33*$L$8+G33*$L$7+H33*$L$9</f>
        <v>10769.576999999999</v>
      </c>
      <c r="N33" s="174">
        <f t="shared" si="0"/>
        <v>39</v>
      </c>
    </row>
    <row r="34" spans="1:15" ht="39" x14ac:dyDescent="0.3">
      <c r="A34" s="330" t="s">
        <v>235</v>
      </c>
      <c r="B34" s="218">
        <v>2</v>
      </c>
      <c r="C34" s="116">
        <v>1</v>
      </c>
      <c r="D34" s="218">
        <v>2</v>
      </c>
      <c r="E34" s="229">
        <f>E33</f>
        <v>39</v>
      </c>
      <c r="F34" s="218">
        <f>D34*E34</f>
        <v>78</v>
      </c>
      <c r="G34" s="218">
        <f>F34*0.05</f>
        <v>3.9000000000000004</v>
      </c>
      <c r="H34" s="218">
        <f>F34*0.1</f>
        <v>7.8000000000000007</v>
      </c>
      <c r="I34" s="227">
        <f>F34*$L$8+G34*$L$7+H34*$L$9</f>
        <v>10769.576999999999</v>
      </c>
      <c r="N34" s="174">
        <f t="shared" si="0"/>
        <v>39</v>
      </c>
    </row>
    <row r="35" spans="1:15" ht="39" x14ac:dyDescent="0.3">
      <c r="A35" s="330" t="s">
        <v>244</v>
      </c>
      <c r="B35" s="218">
        <v>2</v>
      </c>
      <c r="C35" s="116">
        <v>6</v>
      </c>
      <c r="D35" s="218">
        <f t="shared" ref="D35" si="21">B35*C35</f>
        <v>12</v>
      </c>
      <c r="E35" s="229">
        <v>39</v>
      </c>
      <c r="F35" s="218">
        <f t="shared" ref="F35" si="22">D35*E35</f>
        <v>468</v>
      </c>
      <c r="G35" s="218">
        <f t="shared" ref="G35" si="23">F35*0.05</f>
        <v>23.400000000000002</v>
      </c>
      <c r="H35" s="218">
        <f t="shared" ref="H35" si="24">F35*0.1</f>
        <v>46.800000000000004</v>
      </c>
      <c r="I35" s="227">
        <f>F35*$L$8+G35*$L$7+H35*$L$9</f>
        <v>64617.462</v>
      </c>
      <c r="N35" s="174">
        <f t="shared" si="0"/>
        <v>234</v>
      </c>
    </row>
    <row r="36" spans="1:15" ht="78" x14ac:dyDescent="0.3">
      <c r="A36" s="330" t="s">
        <v>418</v>
      </c>
      <c r="B36" s="232">
        <v>2</v>
      </c>
      <c r="C36" s="233">
        <v>1</v>
      </c>
      <c r="D36" s="218">
        <f t="shared" ref="D36" si="25">B36*C36</f>
        <v>2</v>
      </c>
      <c r="E36" s="229">
        <f>SUM(E18:E19)</f>
        <v>6.3</v>
      </c>
      <c r="F36" s="218">
        <f t="shared" ref="F36" si="26">D36*E36</f>
        <v>12.6</v>
      </c>
      <c r="G36" s="218">
        <f t="shared" ref="G36" si="27">F36*0.05</f>
        <v>0.63</v>
      </c>
      <c r="H36" s="218">
        <f t="shared" ref="H36" si="28">F36*0.1</f>
        <v>1.26</v>
      </c>
      <c r="I36" s="227">
        <f>F36*$L$8+G36*$L$7+H36*$L$9</f>
        <v>1739.7009</v>
      </c>
      <c r="N36" s="174">
        <f t="shared" si="0"/>
        <v>6.3</v>
      </c>
    </row>
    <row r="37" spans="1:15" ht="27" x14ac:dyDescent="0.3">
      <c r="A37" s="236" t="s">
        <v>86</v>
      </c>
      <c r="B37" s="237"/>
      <c r="C37" s="238"/>
      <c r="D37" s="237"/>
      <c r="E37" s="239"/>
      <c r="F37" s="240">
        <f>SUM(F8:H35)</f>
        <v>9590.7239999999929</v>
      </c>
      <c r="G37" s="240"/>
      <c r="H37" s="240"/>
      <c r="I37" s="241">
        <f>SUM(I8:I35)</f>
        <v>1151483.1728400001</v>
      </c>
      <c r="N37" s="174">
        <f t="shared" si="0"/>
        <v>0</v>
      </c>
    </row>
    <row r="38" spans="1:15" ht="26" x14ac:dyDescent="0.3">
      <c r="A38" s="210" t="s">
        <v>115</v>
      </c>
      <c r="B38" s="221"/>
      <c r="C38" s="220"/>
      <c r="D38" s="221"/>
      <c r="E38" s="235"/>
      <c r="F38" s="221"/>
      <c r="G38" s="221"/>
      <c r="H38" s="221"/>
      <c r="I38" s="221"/>
      <c r="N38" s="174">
        <f t="shared" si="0"/>
        <v>0</v>
      </c>
    </row>
    <row r="39" spans="1:15" ht="26" x14ac:dyDescent="0.3">
      <c r="A39" s="330" t="s">
        <v>100</v>
      </c>
      <c r="B39" s="218"/>
      <c r="C39" s="220"/>
      <c r="D39" s="221"/>
      <c r="E39" s="220"/>
      <c r="F39" s="221"/>
      <c r="G39" s="221"/>
      <c r="H39" s="221"/>
      <c r="I39" s="221"/>
      <c r="N39" s="174">
        <f t="shared" si="0"/>
        <v>0</v>
      </c>
    </row>
    <row r="40" spans="1:15" x14ac:dyDescent="0.3">
      <c r="A40" s="330" t="s">
        <v>116</v>
      </c>
      <c r="B40" s="218"/>
      <c r="C40" s="220"/>
      <c r="D40" s="221"/>
      <c r="E40" s="220"/>
      <c r="F40" s="221"/>
      <c r="G40" s="221"/>
      <c r="H40" s="221"/>
      <c r="I40" s="221"/>
      <c r="N40" s="174">
        <f t="shared" si="0"/>
        <v>0</v>
      </c>
    </row>
    <row r="41" spans="1:15" x14ac:dyDescent="0.3">
      <c r="A41" s="330" t="s">
        <v>117</v>
      </c>
      <c r="B41" s="218"/>
      <c r="C41" s="220"/>
      <c r="D41" s="221"/>
      <c r="E41" s="220"/>
      <c r="F41" s="221"/>
      <c r="G41" s="221"/>
      <c r="H41" s="221"/>
      <c r="I41" s="221"/>
      <c r="N41" s="174">
        <f t="shared" si="0"/>
        <v>0</v>
      </c>
    </row>
    <row r="42" spans="1:15" ht="30" customHeight="1" x14ac:dyDescent="0.3">
      <c r="A42" s="330" t="s">
        <v>118</v>
      </c>
      <c r="B42" s="218" t="s">
        <v>77</v>
      </c>
      <c r="C42" s="220"/>
      <c r="D42" s="221"/>
      <c r="E42" s="220"/>
      <c r="F42" s="221"/>
      <c r="G42" s="221"/>
      <c r="H42" s="221"/>
      <c r="I42" s="221"/>
      <c r="N42" s="174">
        <f t="shared" si="0"/>
        <v>0</v>
      </c>
    </row>
    <row r="43" spans="1:15" ht="26" x14ac:dyDescent="0.3">
      <c r="A43" s="330" t="s">
        <v>119</v>
      </c>
      <c r="B43" s="221"/>
      <c r="C43" s="220"/>
      <c r="D43" s="221"/>
      <c r="E43" s="220"/>
      <c r="F43" s="221"/>
      <c r="G43" s="221"/>
      <c r="H43" s="221"/>
      <c r="I43" s="221"/>
      <c r="N43" s="174">
        <f t="shared" si="0"/>
        <v>0</v>
      </c>
    </row>
    <row r="44" spans="1:15" x14ac:dyDescent="0.3">
      <c r="A44" s="336" t="s">
        <v>75</v>
      </c>
      <c r="B44" s="221"/>
      <c r="C44" s="220"/>
      <c r="D44" s="221"/>
      <c r="E44" s="220"/>
      <c r="F44" s="221"/>
      <c r="G44" s="221"/>
      <c r="H44" s="221"/>
      <c r="I44" s="221"/>
      <c r="N44" s="174">
        <f t="shared" si="0"/>
        <v>0</v>
      </c>
    </row>
    <row r="45" spans="1:15" x14ac:dyDescent="0.3">
      <c r="A45" s="330" t="s">
        <v>120</v>
      </c>
      <c r="B45" s="218">
        <v>0.1</v>
      </c>
      <c r="C45" s="116">
        <v>330</v>
      </c>
      <c r="D45" s="218">
        <f t="shared" ref="D45:D50" si="29">B45*C45</f>
        <v>33</v>
      </c>
      <c r="E45" s="229">
        <f>$L$14</f>
        <v>39</v>
      </c>
      <c r="F45" s="230">
        <f t="shared" ref="F45:F50" si="30">D45*E45</f>
        <v>1287</v>
      </c>
      <c r="G45" s="218">
        <f t="shared" ref="G45:G50" si="31">F45*0.05</f>
        <v>64.350000000000009</v>
      </c>
      <c r="H45" s="218">
        <f t="shared" ref="H45:H50" si="32">F45*0.1</f>
        <v>128.70000000000002</v>
      </c>
      <c r="I45" s="227">
        <f>F45*$L$8+G45*$L$7+H45*$L$9</f>
        <v>177698.02050000001</v>
      </c>
      <c r="N45" s="174">
        <f t="shared" si="0"/>
        <v>12870</v>
      </c>
    </row>
    <row r="46" spans="1:15" ht="39" x14ac:dyDescent="0.3">
      <c r="A46" s="330" t="s">
        <v>410</v>
      </c>
      <c r="B46" s="218">
        <v>0.1</v>
      </c>
      <c r="C46" s="116">
        <v>330</v>
      </c>
      <c r="D46" s="218">
        <f t="shared" si="29"/>
        <v>33</v>
      </c>
      <c r="E46" s="229">
        <f>E45</f>
        <v>39</v>
      </c>
      <c r="F46" s="230">
        <f t="shared" si="30"/>
        <v>1287</v>
      </c>
      <c r="G46" s="218">
        <f t="shared" si="31"/>
        <v>64.350000000000009</v>
      </c>
      <c r="H46" s="218">
        <f t="shared" si="32"/>
        <v>128.70000000000002</v>
      </c>
      <c r="I46" s="227">
        <f>F46*$L$8+G46*$L$7+H46*$L$9</f>
        <v>177698.02050000001</v>
      </c>
      <c r="N46" s="174">
        <f t="shared" si="0"/>
        <v>12870</v>
      </c>
    </row>
    <row r="47" spans="1:15" x14ac:dyDescent="0.3">
      <c r="A47" s="336" t="s">
        <v>76</v>
      </c>
      <c r="B47" s="218"/>
      <c r="C47" s="116"/>
      <c r="D47" s="218"/>
      <c r="E47" s="229"/>
      <c r="F47" s="230"/>
      <c r="G47" s="218"/>
      <c r="H47" s="218"/>
      <c r="I47" s="227"/>
      <c r="N47" s="174">
        <f t="shared" si="0"/>
        <v>0</v>
      </c>
    </row>
    <row r="48" spans="1:15" ht="17.25" customHeight="1" x14ac:dyDescent="0.3">
      <c r="A48" s="330" t="s">
        <v>120</v>
      </c>
      <c r="B48" s="218">
        <v>1.5</v>
      </c>
      <c r="C48" s="116">
        <v>330</v>
      </c>
      <c r="D48" s="218">
        <f>B48*C48</f>
        <v>495</v>
      </c>
      <c r="E48" s="229">
        <f>$L$12</f>
        <v>0</v>
      </c>
      <c r="F48" s="230">
        <f t="shared" ref="F48:F49" si="33">D48*E48</f>
        <v>0</v>
      </c>
      <c r="G48" s="218">
        <f t="shared" ref="G48:G49" si="34">F48*0.05</f>
        <v>0</v>
      </c>
      <c r="H48" s="218">
        <f t="shared" ref="H48:H49" si="35">F48*0.1</f>
        <v>0</v>
      </c>
      <c r="I48" s="225">
        <f>F48*$L$8+G48*$L$7+H48*$L$9</f>
        <v>0</v>
      </c>
      <c r="N48" s="174">
        <f>SUM(N6:N47)</f>
        <v>39247.39</v>
      </c>
      <c r="O48" s="174" t="s">
        <v>384</v>
      </c>
    </row>
    <row r="49" spans="1:15" x14ac:dyDescent="0.3">
      <c r="A49" s="330" t="s">
        <v>230</v>
      </c>
      <c r="B49" s="218">
        <v>0.1</v>
      </c>
      <c r="C49" s="116">
        <v>330</v>
      </c>
      <c r="D49" s="218">
        <f t="shared" ref="D49" si="36">B49*C49</f>
        <v>33</v>
      </c>
      <c r="E49" s="229">
        <f>$L$12</f>
        <v>0</v>
      </c>
      <c r="F49" s="230">
        <f t="shared" si="33"/>
        <v>0</v>
      </c>
      <c r="G49" s="218">
        <f t="shared" si="34"/>
        <v>0</v>
      </c>
      <c r="H49" s="218">
        <f t="shared" si="35"/>
        <v>0</v>
      </c>
      <c r="I49" s="225">
        <f>F49*$L$8+G49*$L$7+H49*$L$9</f>
        <v>0</v>
      </c>
      <c r="K49" s="249">
        <f>F53/212</f>
        <v>59.433962264150942</v>
      </c>
      <c r="L49" s="174" t="s">
        <v>124</v>
      </c>
      <c r="N49" s="174">
        <f>N48-N41-N42-N19</f>
        <v>39247.089999999997</v>
      </c>
      <c r="O49" s="174" t="s">
        <v>388</v>
      </c>
    </row>
    <row r="50" spans="1:15" x14ac:dyDescent="0.3">
      <c r="A50" s="330" t="s">
        <v>121</v>
      </c>
      <c r="B50" s="218">
        <v>80</v>
      </c>
      <c r="C50" s="116">
        <v>1</v>
      </c>
      <c r="D50" s="218">
        <f t="shared" si="29"/>
        <v>80</v>
      </c>
      <c r="E50" s="229">
        <f>$L$12</f>
        <v>0</v>
      </c>
      <c r="F50" s="230">
        <f t="shared" si="30"/>
        <v>0</v>
      </c>
      <c r="G50" s="218">
        <f t="shared" si="31"/>
        <v>0</v>
      </c>
      <c r="H50" s="218">
        <f t="shared" si="32"/>
        <v>0</v>
      </c>
      <c r="I50" s="225">
        <f>F50*$L$8+G50*$L$7+H50*$L$9</f>
        <v>0</v>
      </c>
    </row>
    <row r="51" spans="1:15" x14ac:dyDescent="0.3">
      <c r="A51" s="330" t="s">
        <v>122</v>
      </c>
      <c r="B51" s="218" t="s">
        <v>77</v>
      </c>
      <c r="C51" s="220"/>
      <c r="D51" s="221"/>
      <c r="E51" s="220"/>
      <c r="F51" s="221"/>
      <c r="G51" s="221"/>
      <c r="H51" s="221"/>
      <c r="I51" s="221"/>
    </row>
    <row r="52" spans="1:15" ht="27" x14ac:dyDescent="0.3">
      <c r="A52" s="236" t="s">
        <v>60</v>
      </c>
      <c r="B52" s="242"/>
      <c r="C52" s="243"/>
      <c r="D52" s="242"/>
      <c r="E52" s="244"/>
      <c r="F52" s="240">
        <f>SUM(F45:H50)</f>
        <v>2960.1</v>
      </c>
      <c r="G52" s="240"/>
      <c r="H52" s="240"/>
      <c r="I52" s="241">
        <f>SUM(I45:I51)</f>
        <v>355396.04100000003</v>
      </c>
    </row>
    <row r="53" spans="1:15" ht="28" x14ac:dyDescent="0.3">
      <c r="A53" s="212" t="s">
        <v>123</v>
      </c>
      <c r="B53" s="245"/>
      <c r="C53" s="246"/>
      <c r="D53" s="245"/>
      <c r="E53" s="247"/>
      <c r="F53" s="381">
        <f>ROUND(F52+F37, -2)</f>
        <v>12600</v>
      </c>
      <c r="G53" s="381"/>
      <c r="H53" s="381"/>
      <c r="I53" s="248">
        <f>ROUND(I52+I37, -4)</f>
        <v>1510000</v>
      </c>
    </row>
    <row r="54" spans="1:15" ht="30.5" customHeight="1" x14ac:dyDescent="0.3">
      <c r="A54" s="250" t="s">
        <v>78</v>
      </c>
      <c r="B54" s="221"/>
      <c r="C54" s="220"/>
      <c r="D54" s="221"/>
      <c r="E54" s="220"/>
      <c r="F54" s="221"/>
      <c r="G54" s="221"/>
      <c r="H54" s="221"/>
      <c r="I54" s="248">
        <f>ICOM!H16</f>
        <v>7630000</v>
      </c>
    </row>
    <row r="55" spans="1:15" ht="28.5" customHeight="1" x14ac:dyDescent="0.3">
      <c r="A55" s="250" t="s">
        <v>125</v>
      </c>
      <c r="B55" s="221"/>
      <c r="C55" s="220"/>
      <c r="D55" s="221"/>
      <c r="E55" s="220"/>
      <c r="F55" s="221"/>
      <c r="G55" s="221"/>
      <c r="H55" s="221"/>
      <c r="I55" s="248">
        <f>ROUND(I53+I54, -5)</f>
        <v>9100000</v>
      </c>
    </row>
    <row r="56" spans="1:15" ht="11" customHeight="1" x14ac:dyDescent="0.3"/>
    <row r="57" spans="1:15" ht="21.5" customHeight="1" x14ac:dyDescent="0.3">
      <c r="A57" s="382" t="s">
        <v>207</v>
      </c>
      <c r="B57" s="382"/>
      <c r="C57" s="382"/>
      <c r="D57" s="382"/>
      <c r="E57" s="382"/>
      <c r="F57" s="382"/>
      <c r="G57" s="382"/>
      <c r="H57" s="382"/>
      <c r="I57" s="382"/>
    </row>
    <row r="58" spans="1:15" ht="41" customHeight="1" x14ac:dyDescent="0.3">
      <c r="A58" s="370" t="s">
        <v>182</v>
      </c>
      <c r="B58" s="370"/>
      <c r="C58" s="370"/>
      <c r="D58" s="370"/>
      <c r="E58" s="370"/>
      <c r="F58" s="370"/>
      <c r="G58" s="370"/>
      <c r="H58" s="370"/>
      <c r="I58" s="370"/>
    </row>
    <row r="59" spans="1:15" ht="15.5" x14ac:dyDescent="0.3">
      <c r="A59" s="382" t="s">
        <v>192</v>
      </c>
      <c r="B59" s="382"/>
      <c r="C59" s="382"/>
      <c r="D59" s="382"/>
      <c r="E59" s="382"/>
      <c r="F59" s="382"/>
      <c r="G59" s="382"/>
      <c r="H59" s="382"/>
      <c r="I59" s="382"/>
    </row>
    <row r="60" spans="1:15" ht="15.5" x14ac:dyDescent="0.3">
      <c r="A60" s="383" t="s">
        <v>195</v>
      </c>
      <c r="B60" s="383"/>
      <c r="C60" s="383"/>
      <c r="D60" s="383"/>
      <c r="E60" s="383"/>
      <c r="F60" s="383"/>
      <c r="G60" s="383"/>
      <c r="H60" s="383"/>
      <c r="I60" s="383"/>
    </row>
    <row r="61" spans="1:15" ht="15.5" x14ac:dyDescent="0.3">
      <c r="A61" s="384" t="s">
        <v>191</v>
      </c>
      <c r="B61" s="384"/>
      <c r="C61" s="384"/>
      <c r="D61" s="384"/>
      <c r="E61" s="384"/>
      <c r="F61" s="384"/>
      <c r="G61" s="384"/>
      <c r="H61" s="384"/>
      <c r="I61" s="384"/>
    </row>
    <row r="62" spans="1:15" ht="21.5" customHeight="1" x14ac:dyDescent="0.3">
      <c r="A62" s="379" t="s">
        <v>126</v>
      </c>
      <c r="B62" s="379"/>
      <c r="C62" s="379"/>
      <c r="D62" s="379"/>
      <c r="E62" s="379"/>
      <c r="F62" s="379"/>
      <c r="G62" s="379"/>
      <c r="H62" s="379"/>
      <c r="I62" s="379"/>
    </row>
  </sheetData>
  <mergeCells count="10">
    <mergeCell ref="A62:I62"/>
    <mergeCell ref="A1:I1"/>
    <mergeCell ref="A3:I3"/>
    <mergeCell ref="K6:L6"/>
    <mergeCell ref="F53:H53"/>
    <mergeCell ref="A57:I57"/>
    <mergeCell ref="A58:I58"/>
    <mergeCell ref="A59:I59"/>
    <mergeCell ref="A60:I60"/>
    <mergeCell ref="A61:I61"/>
  </mergeCells>
  <pageMargins left="0.7" right="0.7" top="0.75" bottom="0.75" header="0.3" footer="0.3"/>
  <pageSetup scale="3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B257-2CB8-4A38-B83A-86A1003F1762}">
  <sheetPr codeName="Sheet18"/>
  <dimension ref="A1:O31"/>
  <sheetViews>
    <sheetView workbookViewId="0">
      <pane xSplit="12" ySplit="6" topLeftCell="M13" activePane="bottomRight" state="frozen"/>
      <selection activeCell="B22" sqref="B22"/>
      <selection pane="topRight" activeCell="B22" sqref="B22"/>
      <selection pane="bottomLeft" activeCell="B22" sqref="B22"/>
      <selection pane="bottomRight" activeCell="A4" sqref="A4:I4"/>
    </sheetView>
  </sheetViews>
  <sheetFormatPr defaultColWidth="9.1796875" defaultRowHeight="14.5" x14ac:dyDescent="0.35"/>
  <cols>
    <col min="1" max="1" width="39.1796875" style="252" customWidth="1"/>
    <col min="2" max="2" width="9.81640625" style="252" customWidth="1"/>
    <col min="3" max="8" width="9.1796875" style="252"/>
    <col min="9" max="9" width="13.81640625" style="252" customWidth="1"/>
    <col min="10" max="10" width="9.1796875" style="252"/>
    <col min="11" max="11" width="27.453125" style="253" customWidth="1"/>
    <col min="12" max="12" width="9.1796875" style="252"/>
    <col min="13" max="13" width="25" style="252" customWidth="1"/>
    <col min="14" max="16384" width="9.1796875" style="252"/>
  </cols>
  <sheetData>
    <row r="1" spans="1:14" s="216" customFormat="1" ht="15" customHeight="1" x14ac:dyDescent="0.3">
      <c r="A1" s="362" t="s">
        <v>218</v>
      </c>
      <c r="B1" s="362"/>
      <c r="C1" s="362"/>
      <c r="D1" s="362"/>
      <c r="E1" s="362"/>
      <c r="F1" s="362"/>
      <c r="G1" s="362"/>
      <c r="H1" s="362"/>
      <c r="I1" s="362"/>
    </row>
    <row r="2" spans="1:14" s="216" customFormat="1" ht="30" x14ac:dyDescent="0.3">
      <c r="A2" s="200" t="s">
        <v>219</v>
      </c>
      <c r="B2" s="200"/>
      <c r="C2" s="200"/>
      <c r="D2" s="200"/>
      <c r="E2" s="200"/>
      <c r="F2" s="200"/>
      <c r="G2" s="200"/>
      <c r="H2" s="200"/>
      <c r="I2" s="200"/>
    </row>
    <row r="3" spans="1:14" ht="36.75" customHeight="1" x14ac:dyDescent="0.35">
      <c r="A3" s="385" t="s">
        <v>438</v>
      </c>
      <c r="B3" s="385"/>
      <c r="C3" s="385"/>
      <c r="D3" s="385"/>
      <c r="E3" s="385"/>
      <c r="F3" s="385"/>
      <c r="G3" s="385"/>
      <c r="H3" s="385"/>
      <c r="I3" s="385"/>
    </row>
    <row r="4" spans="1:14" ht="15" x14ac:dyDescent="0.35">
      <c r="A4" s="386"/>
      <c r="B4" s="386"/>
      <c r="C4" s="386"/>
      <c r="D4" s="386"/>
      <c r="E4" s="386"/>
      <c r="F4" s="386"/>
      <c r="G4" s="386"/>
      <c r="H4" s="386"/>
      <c r="I4" s="386"/>
    </row>
    <row r="5" spans="1:14" x14ac:dyDescent="0.35">
      <c r="A5" s="387" t="s">
        <v>87</v>
      </c>
      <c r="B5" s="254" t="s">
        <v>22</v>
      </c>
      <c r="C5" s="254" t="s">
        <v>23</v>
      </c>
      <c r="D5" s="254" t="s">
        <v>24</v>
      </c>
      <c r="E5" s="254" t="s">
        <v>71</v>
      </c>
      <c r="F5" s="254" t="s">
        <v>26</v>
      </c>
      <c r="G5" s="254" t="s">
        <v>25</v>
      </c>
      <c r="H5" s="254" t="s">
        <v>72</v>
      </c>
      <c r="I5" s="254" t="s">
        <v>73</v>
      </c>
    </row>
    <row r="6" spans="1:14" ht="65" x14ac:dyDescent="0.35">
      <c r="A6" s="387"/>
      <c r="B6" s="254" t="s">
        <v>127</v>
      </c>
      <c r="C6" s="254" t="s">
        <v>128</v>
      </c>
      <c r="D6" s="254" t="s">
        <v>129</v>
      </c>
      <c r="E6" s="254" t="s">
        <v>130</v>
      </c>
      <c r="F6" s="254" t="s">
        <v>131</v>
      </c>
      <c r="G6" s="254" t="s">
        <v>132</v>
      </c>
      <c r="H6" s="254" t="s">
        <v>133</v>
      </c>
      <c r="I6" s="254" t="s">
        <v>134</v>
      </c>
    </row>
    <row r="7" spans="1:14" x14ac:dyDescent="0.35">
      <c r="A7" s="387"/>
      <c r="B7" s="256"/>
      <c r="C7" s="256"/>
      <c r="D7" s="254" t="s">
        <v>135</v>
      </c>
      <c r="E7" s="256"/>
      <c r="F7" s="254" t="s">
        <v>136</v>
      </c>
      <c r="G7" s="254" t="s">
        <v>137</v>
      </c>
      <c r="H7" s="254" t="s">
        <v>138</v>
      </c>
      <c r="I7" s="256"/>
      <c r="K7" s="380" t="s">
        <v>68</v>
      </c>
      <c r="L7" s="380"/>
      <c r="M7" s="255"/>
      <c r="N7" s="252" t="s">
        <v>383</v>
      </c>
    </row>
    <row r="8" spans="1:14" ht="65.5" x14ac:dyDescent="0.35">
      <c r="A8" s="257" t="s">
        <v>236</v>
      </c>
      <c r="B8" s="116">
        <v>24</v>
      </c>
      <c r="C8" s="116">
        <v>1</v>
      </c>
      <c r="D8" s="116">
        <f>B8*C8</f>
        <v>24</v>
      </c>
      <c r="E8" s="116">
        <f>'II-Y1'!E26</f>
        <v>0</v>
      </c>
      <c r="F8" s="258">
        <f>D8*E8</f>
        <v>0</v>
      </c>
      <c r="G8" s="258">
        <f>F8*0.05</f>
        <v>0</v>
      </c>
      <c r="H8" s="258">
        <f>F8*0.1</f>
        <v>0</v>
      </c>
      <c r="I8" s="259">
        <f>(F8*$L$9)+(G8*$L$8)+(H8*$L$10)</f>
        <v>0</v>
      </c>
      <c r="K8" s="222" t="s">
        <v>69</v>
      </c>
      <c r="L8" s="184">
        <v>69.040000000000006</v>
      </c>
      <c r="M8" s="224" t="s">
        <v>172</v>
      </c>
      <c r="N8" s="252">
        <f>C8*E8</f>
        <v>0</v>
      </c>
    </row>
    <row r="9" spans="1:14" ht="28.5" x14ac:dyDescent="0.35">
      <c r="A9" s="115" t="s">
        <v>237</v>
      </c>
      <c r="B9" s="116">
        <v>24</v>
      </c>
      <c r="C9" s="116">
        <v>1</v>
      </c>
      <c r="D9" s="116">
        <f>B9*C9</f>
        <v>24</v>
      </c>
      <c r="E9" s="116">
        <v>0</v>
      </c>
      <c r="F9" s="261">
        <f>D9*E9</f>
        <v>0</v>
      </c>
      <c r="G9" s="261">
        <f>F9*0.05</f>
        <v>0</v>
      </c>
      <c r="H9" s="261">
        <f>F9*0.1</f>
        <v>0</v>
      </c>
      <c r="I9" s="262">
        <f>(F9*$L$9)+(G9*$L$8)+(H9*$L$10)</f>
        <v>0</v>
      </c>
      <c r="K9" s="222" t="s">
        <v>33</v>
      </c>
      <c r="L9" s="188">
        <v>51.23</v>
      </c>
      <c r="M9" s="260"/>
      <c r="N9" s="252">
        <f t="shared" ref="N9:N17" si="0">C9*E9</f>
        <v>0</v>
      </c>
    </row>
    <row r="10" spans="1:14" x14ac:dyDescent="0.35">
      <c r="A10" s="257" t="s">
        <v>141</v>
      </c>
      <c r="B10" s="116"/>
      <c r="C10" s="116"/>
      <c r="D10" s="116"/>
      <c r="E10" s="116"/>
      <c r="F10" s="258"/>
      <c r="G10" s="258"/>
      <c r="H10" s="258"/>
      <c r="I10" s="263"/>
      <c r="K10" s="222" t="s">
        <v>34</v>
      </c>
      <c r="L10" s="188">
        <v>27.73</v>
      </c>
      <c r="M10" s="260"/>
      <c r="N10" s="252">
        <f t="shared" si="0"/>
        <v>0</v>
      </c>
    </row>
    <row r="11" spans="1:14" ht="45.5" customHeight="1" x14ac:dyDescent="0.35">
      <c r="A11" s="115" t="s">
        <v>223</v>
      </c>
      <c r="B11" s="116">
        <v>8</v>
      </c>
      <c r="C11" s="116">
        <v>1</v>
      </c>
      <c r="D11" s="116">
        <f t="shared" ref="D11:D12" si="1">B11*C11</f>
        <v>8</v>
      </c>
      <c r="E11" s="116">
        <v>20</v>
      </c>
      <c r="F11" s="258">
        <f t="shared" ref="F11:F12" si="2">D11*E11</f>
        <v>160</v>
      </c>
      <c r="G11" s="264">
        <f t="shared" ref="G11:G12" si="3">F11*0.05</f>
        <v>8</v>
      </c>
      <c r="H11" s="264">
        <f t="shared" ref="H11:H12" si="4">F11*0.1</f>
        <v>16</v>
      </c>
      <c r="I11" s="259">
        <f t="shared" ref="I11:I12" si="5">(F11*$L$9)+(G11*$L$8)+(H11*$L$10)</f>
        <v>9192.7999999999993</v>
      </c>
      <c r="K11" s="116" t="s">
        <v>245</v>
      </c>
      <c r="L11" s="118"/>
      <c r="M11" s="260"/>
      <c r="N11" s="252">
        <f t="shared" si="0"/>
        <v>20</v>
      </c>
    </row>
    <row r="12" spans="1:14" ht="26" x14ac:dyDescent="0.35">
      <c r="A12" s="115" t="s">
        <v>229</v>
      </c>
      <c r="B12" s="116">
        <v>8</v>
      </c>
      <c r="C12" s="116">
        <v>1</v>
      </c>
      <c r="D12" s="116">
        <f t="shared" si="1"/>
        <v>8</v>
      </c>
      <c r="E12" s="116">
        <v>4</v>
      </c>
      <c r="F12" s="258">
        <f t="shared" si="2"/>
        <v>32</v>
      </c>
      <c r="G12" s="264">
        <f t="shared" si="3"/>
        <v>1.6</v>
      </c>
      <c r="H12" s="264">
        <f t="shared" si="4"/>
        <v>3.2</v>
      </c>
      <c r="I12" s="259">
        <f t="shared" si="5"/>
        <v>1838.56</v>
      </c>
      <c r="K12" s="314"/>
      <c r="L12" s="118"/>
      <c r="M12" s="260"/>
      <c r="N12" s="252">
        <f t="shared" si="0"/>
        <v>4</v>
      </c>
    </row>
    <row r="13" spans="1:14" ht="28" customHeight="1" x14ac:dyDescent="0.35">
      <c r="A13" s="115" t="s">
        <v>227</v>
      </c>
      <c r="B13" s="116">
        <v>8</v>
      </c>
      <c r="C13" s="116">
        <v>1</v>
      </c>
      <c r="D13" s="116">
        <f t="shared" ref="D13:D14" si="6">B13*C13</f>
        <v>8</v>
      </c>
      <c r="E13" s="116">
        <v>8</v>
      </c>
      <c r="F13" s="258">
        <f t="shared" ref="F13:F14" si="7">D13*E13</f>
        <v>64</v>
      </c>
      <c r="G13" s="264">
        <f t="shared" ref="G13:G14" si="8">F13*0.05</f>
        <v>3.2</v>
      </c>
      <c r="H13" s="264">
        <f t="shared" ref="H13:H14" si="9">F13*0.1</f>
        <v>6.4</v>
      </c>
      <c r="I13" s="259">
        <f t="shared" ref="I13:I14" si="10">(F13*$L$9)+(G13*$L$8)+(H13*$L$10)</f>
        <v>3677.12</v>
      </c>
      <c r="K13" s="116" t="s">
        <v>226</v>
      </c>
      <c r="L13" s="118"/>
      <c r="M13" s="260"/>
      <c r="N13" s="252">
        <f t="shared" si="0"/>
        <v>8</v>
      </c>
    </row>
    <row r="14" spans="1:14" ht="24" customHeight="1" x14ac:dyDescent="0.35">
      <c r="A14" s="115" t="s">
        <v>228</v>
      </c>
      <c r="B14" s="116">
        <v>8</v>
      </c>
      <c r="C14" s="116">
        <v>1</v>
      </c>
      <c r="D14" s="116">
        <f t="shared" si="6"/>
        <v>8</v>
      </c>
      <c r="E14" s="116">
        <v>7</v>
      </c>
      <c r="F14" s="258">
        <f t="shared" si="7"/>
        <v>56</v>
      </c>
      <c r="G14" s="264">
        <f t="shared" si="8"/>
        <v>2.8000000000000003</v>
      </c>
      <c r="H14" s="264">
        <f t="shared" si="9"/>
        <v>5.6000000000000005</v>
      </c>
      <c r="I14" s="259">
        <f t="shared" si="10"/>
        <v>3217.4799999999996</v>
      </c>
      <c r="K14" s="116" t="s">
        <v>226</v>
      </c>
      <c r="L14" s="118"/>
      <c r="M14" s="260"/>
      <c r="N14" s="252">
        <f t="shared" si="0"/>
        <v>7</v>
      </c>
    </row>
    <row r="15" spans="1:14" ht="28.5" x14ac:dyDescent="0.35">
      <c r="A15" s="115" t="s">
        <v>238</v>
      </c>
      <c r="B15" s="116">
        <v>0.5</v>
      </c>
      <c r="C15" s="116">
        <v>1.1000000000000001</v>
      </c>
      <c r="D15" s="116">
        <f t="shared" ref="D15:D17" si="11">B15*C15</f>
        <v>0.55000000000000004</v>
      </c>
      <c r="E15" s="116">
        <v>39</v>
      </c>
      <c r="F15" s="258">
        <f t="shared" ref="F15:F17" si="12">D15*E15</f>
        <v>21.450000000000003</v>
      </c>
      <c r="G15" s="258">
        <f t="shared" ref="G15:G17" si="13">F15*0.05</f>
        <v>1.0725000000000002</v>
      </c>
      <c r="H15" s="258">
        <f t="shared" ref="H15:H17" si="14">F15*0.1</f>
        <v>2.1450000000000005</v>
      </c>
      <c r="I15" s="259">
        <f t="shared" ref="I15:I17" si="15">(F15*$L$9)+(G15*$L$8)+(H15*$L$10)</f>
        <v>1232.40975</v>
      </c>
      <c r="N15" s="252">
        <f t="shared" si="0"/>
        <v>42.900000000000006</v>
      </c>
    </row>
    <row r="16" spans="1:14" ht="28.5" x14ac:dyDescent="0.35">
      <c r="A16" s="115" t="s">
        <v>239</v>
      </c>
      <c r="B16" s="116">
        <v>8</v>
      </c>
      <c r="C16" s="116">
        <v>1</v>
      </c>
      <c r="D16" s="116">
        <f t="shared" si="11"/>
        <v>8</v>
      </c>
      <c r="E16" s="116">
        <v>39</v>
      </c>
      <c r="F16" s="258">
        <f t="shared" si="12"/>
        <v>312</v>
      </c>
      <c r="G16" s="264">
        <f t="shared" si="13"/>
        <v>15.600000000000001</v>
      </c>
      <c r="H16" s="264">
        <f t="shared" si="14"/>
        <v>31.200000000000003</v>
      </c>
      <c r="I16" s="259">
        <f t="shared" si="15"/>
        <v>17925.96</v>
      </c>
      <c r="N16" s="252">
        <f t="shared" si="0"/>
        <v>39</v>
      </c>
    </row>
    <row r="17" spans="1:15" x14ac:dyDescent="0.35">
      <c r="A17" s="117" t="s">
        <v>200</v>
      </c>
      <c r="B17" s="116">
        <v>8</v>
      </c>
      <c r="C17" s="116">
        <v>4</v>
      </c>
      <c r="D17" s="116">
        <f t="shared" si="11"/>
        <v>32</v>
      </c>
      <c r="E17" s="116">
        <f>'II-Y1'!E37</f>
        <v>0</v>
      </c>
      <c r="F17" s="261">
        <f t="shared" si="12"/>
        <v>0</v>
      </c>
      <c r="G17" s="258">
        <f t="shared" si="13"/>
        <v>0</v>
      </c>
      <c r="H17" s="258">
        <f t="shared" si="14"/>
        <v>0</v>
      </c>
      <c r="I17" s="259">
        <f t="shared" si="15"/>
        <v>0</v>
      </c>
      <c r="N17" s="252">
        <f t="shared" si="0"/>
        <v>0</v>
      </c>
    </row>
    <row r="18" spans="1:15" ht="20.25" customHeight="1" x14ac:dyDescent="0.35">
      <c r="A18" s="250" t="s">
        <v>144</v>
      </c>
      <c r="B18" s="250"/>
      <c r="C18" s="250"/>
      <c r="D18" s="250"/>
      <c r="E18" s="250"/>
      <c r="F18" s="246">
        <f>ROUND(SUM(F8:H17), -1)</f>
        <v>740</v>
      </c>
      <c r="G18" s="265"/>
      <c r="H18" s="265"/>
      <c r="I18" s="266">
        <f>ROUND(SUM(I8:I17), -2)</f>
        <v>37100</v>
      </c>
      <c r="N18" s="252">
        <f>SUM(N8:N17)</f>
        <v>120.9</v>
      </c>
      <c r="O18" s="252" t="s">
        <v>385</v>
      </c>
    </row>
    <row r="19" spans="1:15" x14ac:dyDescent="0.35">
      <c r="A19" s="267"/>
      <c r="G19" s="268"/>
    </row>
    <row r="20" spans="1:15" x14ac:dyDescent="0.35">
      <c r="A20" s="267" t="s">
        <v>61</v>
      </c>
    </row>
    <row r="21" spans="1:15" ht="24.75" customHeight="1" x14ac:dyDescent="0.35">
      <c r="A21" s="391" t="s">
        <v>208</v>
      </c>
      <c r="B21" s="391"/>
      <c r="C21" s="391"/>
      <c r="D21" s="391"/>
      <c r="E21" s="391"/>
      <c r="F21" s="391"/>
      <c r="G21" s="391"/>
      <c r="H21" s="391"/>
      <c r="I21" s="391"/>
    </row>
    <row r="22" spans="1:15" ht="49.5" customHeight="1" x14ac:dyDescent="0.35">
      <c r="A22" s="372" t="s">
        <v>174</v>
      </c>
      <c r="B22" s="372"/>
      <c r="C22" s="372"/>
      <c r="D22" s="372"/>
      <c r="E22" s="372"/>
      <c r="F22" s="372"/>
      <c r="G22" s="372"/>
      <c r="H22" s="372"/>
      <c r="I22" s="372"/>
    </row>
    <row r="23" spans="1:15" ht="32.25" customHeight="1" x14ac:dyDescent="0.35">
      <c r="A23" s="389" t="s">
        <v>145</v>
      </c>
      <c r="B23" s="389"/>
      <c r="C23" s="389"/>
      <c r="D23" s="389"/>
      <c r="E23" s="389"/>
      <c r="F23" s="389"/>
      <c r="G23" s="389"/>
      <c r="H23" s="389"/>
      <c r="I23" s="389"/>
    </row>
    <row r="24" spans="1:15" ht="15.5" x14ac:dyDescent="0.35">
      <c r="A24" s="390" t="s">
        <v>146</v>
      </c>
      <c r="B24" s="390"/>
      <c r="C24" s="390"/>
      <c r="D24" s="390"/>
      <c r="E24" s="390"/>
      <c r="F24" s="390"/>
      <c r="G24" s="390"/>
      <c r="H24" s="390"/>
      <c r="I24" s="390"/>
    </row>
    <row r="25" spans="1:15" ht="15.5" x14ac:dyDescent="0.35">
      <c r="A25" s="388" t="s">
        <v>197</v>
      </c>
      <c r="B25" s="388"/>
      <c r="C25" s="388"/>
      <c r="D25" s="388"/>
      <c r="E25" s="388"/>
      <c r="F25" s="388"/>
      <c r="G25" s="388"/>
      <c r="H25" s="388"/>
      <c r="I25" s="388"/>
    </row>
    <row r="26" spans="1:15" ht="15.5" x14ac:dyDescent="0.35">
      <c r="A26" s="388" t="s">
        <v>147</v>
      </c>
      <c r="B26" s="388"/>
      <c r="C26" s="388"/>
      <c r="D26" s="388"/>
      <c r="E26" s="388"/>
      <c r="F26" s="388"/>
      <c r="G26" s="388"/>
      <c r="H26" s="388"/>
      <c r="I26" s="388"/>
    </row>
    <row r="28" spans="1:15" x14ac:dyDescent="0.35">
      <c r="A28" s="269"/>
    </row>
    <row r="29" spans="1:15" x14ac:dyDescent="0.35">
      <c r="A29" s="269"/>
    </row>
    <row r="30" spans="1:15" x14ac:dyDescent="0.35">
      <c r="A30" s="269"/>
    </row>
    <row r="31" spans="1:15" x14ac:dyDescent="0.35">
      <c r="A31" s="269"/>
    </row>
  </sheetData>
  <mergeCells count="11">
    <mergeCell ref="K7:L7"/>
    <mergeCell ref="A22:I22"/>
    <mergeCell ref="A23:I23"/>
    <mergeCell ref="A24:I24"/>
    <mergeCell ref="A25:I25"/>
    <mergeCell ref="A21:I21"/>
    <mergeCell ref="A1:I1"/>
    <mergeCell ref="A3:I3"/>
    <mergeCell ref="A4:I4"/>
    <mergeCell ref="A5:A7"/>
    <mergeCell ref="A26:I2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2CDF-9352-4018-8ADA-1FF4D272762B}">
  <sheetPr codeName="Sheet19"/>
  <dimension ref="A1:O27"/>
  <sheetViews>
    <sheetView workbookViewId="0">
      <pane xSplit="12" ySplit="6" topLeftCell="M10" activePane="bottomRight" state="frozen"/>
      <selection activeCell="B22" sqref="B22"/>
      <selection pane="topRight" activeCell="B22" sqref="B22"/>
      <selection pane="bottomLeft" activeCell="B22" sqref="B22"/>
      <selection pane="bottomRight" activeCell="A4" sqref="A4:I4"/>
    </sheetView>
  </sheetViews>
  <sheetFormatPr defaultColWidth="9.1796875" defaultRowHeight="14.5" x14ac:dyDescent="0.35"/>
  <cols>
    <col min="1" max="1" width="39.1796875" style="252" customWidth="1"/>
    <col min="2" max="2" width="9.81640625" style="252" customWidth="1"/>
    <col min="3" max="8" width="9.1796875" style="252"/>
    <col min="9" max="9" width="13.81640625" style="252" customWidth="1"/>
    <col min="10" max="10" width="9.1796875" style="252"/>
    <col min="11" max="11" width="13.1796875" style="253" customWidth="1"/>
    <col min="12" max="12" width="9.1796875" style="252"/>
    <col min="13" max="13" width="23.08984375" style="252" customWidth="1"/>
    <col min="14" max="16384" width="9.1796875" style="252"/>
  </cols>
  <sheetData>
    <row r="1" spans="1:15" s="216" customFormat="1" ht="15" customHeight="1" x14ac:dyDescent="0.3">
      <c r="A1" s="362" t="s">
        <v>218</v>
      </c>
      <c r="B1" s="362"/>
      <c r="C1" s="362"/>
      <c r="D1" s="362"/>
      <c r="E1" s="362"/>
      <c r="F1" s="362"/>
      <c r="G1" s="362"/>
      <c r="H1" s="362"/>
      <c r="I1" s="362"/>
    </row>
    <row r="2" spans="1:15" s="216" customFormat="1" ht="30" x14ac:dyDescent="0.3">
      <c r="A2" s="200" t="s">
        <v>220</v>
      </c>
      <c r="B2" s="200"/>
      <c r="C2" s="200"/>
      <c r="D2" s="200"/>
      <c r="E2" s="200"/>
      <c r="F2" s="200"/>
      <c r="G2" s="200"/>
      <c r="H2" s="200"/>
      <c r="I2" s="200"/>
    </row>
    <row r="3" spans="1:15" ht="36.75" customHeight="1" x14ac:dyDescent="0.35">
      <c r="A3" s="385" t="s">
        <v>439</v>
      </c>
      <c r="B3" s="385"/>
      <c r="C3" s="385"/>
      <c r="D3" s="385"/>
      <c r="E3" s="385"/>
      <c r="F3" s="385"/>
      <c r="G3" s="385"/>
      <c r="H3" s="385"/>
      <c r="I3" s="385"/>
    </row>
    <row r="4" spans="1:15" ht="15" x14ac:dyDescent="0.35">
      <c r="A4" s="386"/>
      <c r="B4" s="386"/>
      <c r="C4" s="386"/>
      <c r="D4" s="386"/>
      <c r="E4" s="386"/>
      <c r="F4" s="386"/>
      <c r="G4" s="386"/>
      <c r="H4" s="386"/>
      <c r="I4" s="386"/>
    </row>
    <row r="5" spans="1:15" x14ac:dyDescent="0.35">
      <c r="A5" s="387" t="s">
        <v>87</v>
      </c>
      <c r="B5" s="254" t="s">
        <v>22</v>
      </c>
      <c r="C5" s="254" t="s">
        <v>23</v>
      </c>
      <c r="D5" s="254" t="s">
        <v>24</v>
      </c>
      <c r="E5" s="254" t="s">
        <v>71</v>
      </c>
      <c r="F5" s="254" t="s">
        <v>26</v>
      </c>
      <c r="G5" s="254" t="s">
        <v>25</v>
      </c>
      <c r="H5" s="254" t="s">
        <v>72</v>
      </c>
      <c r="I5" s="254" t="s">
        <v>73</v>
      </c>
    </row>
    <row r="6" spans="1:15" ht="65" x14ac:dyDescent="0.35">
      <c r="A6" s="387"/>
      <c r="B6" s="254" t="s">
        <v>127</v>
      </c>
      <c r="C6" s="254" t="s">
        <v>128</v>
      </c>
      <c r="D6" s="254" t="s">
        <v>129</v>
      </c>
      <c r="E6" s="254" t="s">
        <v>130</v>
      </c>
      <c r="F6" s="254" t="s">
        <v>131</v>
      </c>
      <c r="G6" s="254" t="s">
        <v>132</v>
      </c>
      <c r="H6" s="254" t="s">
        <v>133</v>
      </c>
      <c r="I6" s="254" t="s">
        <v>134</v>
      </c>
    </row>
    <row r="7" spans="1:15" x14ac:dyDescent="0.35">
      <c r="A7" s="387"/>
      <c r="B7" s="256"/>
      <c r="C7" s="256"/>
      <c r="D7" s="254" t="s">
        <v>135</v>
      </c>
      <c r="E7" s="256"/>
      <c r="F7" s="254" t="s">
        <v>136</v>
      </c>
      <c r="G7" s="254" t="s">
        <v>137</v>
      </c>
      <c r="H7" s="254" t="s">
        <v>138</v>
      </c>
      <c r="I7" s="256"/>
      <c r="K7" s="380" t="s">
        <v>68</v>
      </c>
      <c r="L7" s="380"/>
      <c r="M7" s="255"/>
      <c r="N7" s="252" t="s">
        <v>383</v>
      </c>
    </row>
    <row r="8" spans="1:15" ht="65.5" x14ac:dyDescent="0.35">
      <c r="A8" s="257" t="s">
        <v>236</v>
      </c>
      <c r="B8" s="116">
        <v>24</v>
      </c>
      <c r="C8" s="116">
        <v>1</v>
      </c>
      <c r="D8" s="116">
        <f>B8*C8</f>
        <v>24</v>
      </c>
      <c r="E8" s="116">
        <f>'II-Y1'!E26</f>
        <v>0</v>
      </c>
      <c r="F8" s="258">
        <f>D8*E8</f>
        <v>0</v>
      </c>
      <c r="G8" s="258">
        <f>F8*0.05</f>
        <v>0</v>
      </c>
      <c r="H8" s="258">
        <f>F8*0.1</f>
        <v>0</v>
      </c>
      <c r="I8" s="259">
        <f>(F8*$L$9)+(G8*$L$8)+(H8*$L$10)</f>
        <v>0</v>
      </c>
      <c r="K8" s="222" t="s">
        <v>69</v>
      </c>
      <c r="L8" s="184">
        <v>69.040000000000006</v>
      </c>
      <c r="M8" s="224" t="s">
        <v>172</v>
      </c>
      <c r="N8" s="252">
        <f>C8*E8</f>
        <v>0</v>
      </c>
    </row>
    <row r="9" spans="1:15" ht="28.5" x14ac:dyDescent="0.35">
      <c r="A9" s="257" t="s">
        <v>237</v>
      </c>
      <c r="B9" s="116">
        <v>24</v>
      </c>
      <c r="C9" s="116">
        <v>1</v>
      </c>
      <c r="D9" s="116">
        <f>B9*C9</f>
        <v>24</v>
      </c>
      <c r="E9" s="116">
        <v>0</v>
      </c>
      <c r="F9" s="261">
        <f>D9*E9</f>
        <v>0</v>
      </c>
      <c r="G9" s="261">
        <f>F9*0.05</f>
        <v>0</v>
      </c>
      <c r="H9" s="261">
        <f>F9*0.1</f>
        <v>0</v>
      </c>
      <c r="I9" s="262">
        <f>(F9*$L$9)+(G9*$L$8)+(H9*$L$10)</f>
        <v>0</v>
      </c>
      <c r="K9" s="222" t="s">
        <v>33</v>
      </c>
      <c r="L9" s="188">
        <v>51.23</v>
      </c>
      <c r="M9" s="260"/>
      <c r="N9" s="252">
        <f t="shared" ref="N9:N13" si="0">C9*E9</f>
        <v>0</v>
      </c>
    </row>
    <row r="10" spans="1:15" x14ac:dyDescent="0.35">
      <c r="A10" s="257" t="s">
        <v>141</v>
      </c>
      <c r="B10" s="116"/>
      <c r="C10" s="116"/>
      <c r="D10" s="116"/>
      <c r="E10" s="116"/>
      <c r="F10" s="258"/>
      <c r="G10" s="258"/>
      <c r="H10" s="258"/>
      <c r="I10" s="263"/>
      <c r="K10" s="222" t="s">
        <v>34</v>
      </c>
      <c r="L10" s="188">
        <v>27.73</v>
      </c>
      <c r="M10" s="260"/>
      <c r="N10" s="252">
        <f t="shared" si="0"/>
        <v>0</v>
      </c>
    </row>
    <row r="11" spans="1:15" ht="28.5" x14ac:dyDescent="0.35">
      <c r="A11" s="257" t="s">
        <v>240</v>
      </c>
      <c r="B11" s="116">
        <v>0.5</v>
      </c>
      <c r="C11" s="116">
        <v>1.1000000000000001</v>
      </c>
      <c r="D11" s="116">
        <f t="shared" ref="D11:D13" si="1">B11*C11</f>
        <v>0.55000000000000004</v>
      </c>
      <c r="E11" s="116">
        <v>39</v>
      </c>
      <c r="F11" s="258">
        <f t="shared" ref="F11:F13" si="2">D11*E11</f>
        <v>21.450000000000003</v>
      </c>
      <c r="G11" s="258">
        <f t="shared" ref="G11:G13" si="3">F11*0.05</f>
        <v>1.0725000000000002</v>
      </c>
      <c r="H11" s="258">
        <f t="shared" ref="H11:H13" si="4">F11*0.1</f>
        <v>2.1450000000000005</v>
      </c>
      <c r="I11" s="259">
        <f t="shared" ref="I11:I13" si="5">(F11*$L$9)+(G11*$L$8)+(H11*$L$10)</f>
        <v>1232.40975</v>
      </c>
      <c r="N11" s="252">
        <f t="shared" si="0"/>
        <v>42.900000000000006</v>
      </c>
    </row>
    <row r="12" spans="1:15" ht="28.5" x14ac:dyDescent="0.35">
      <c r="A12" s="257" t="s">
        <v>241</v>
      </c>
      <c r="B12" s="116">
        <v>8</v>
      </c>
      <c r="C12" s="116">
        <v>1</v>
      </c>
      <c r="D12" s="116">
        <f t="shared" si="1"/>
        <v>8</v>
      </c>
      <c r="E12" s="116">
        <v>39</v>
      </c>
      <c r="F12" s="258">
        <f t="shared" si="2"/>
        <v>312</v>
      </c>
      <c r="G12" s="264">
        <f t="shared" si="3"/>
        <v>15.600000000000001</v>
      </c>
      <c r="H12" s="264">
        <f t="shared" si="4"/>
        <v>31.200000000000003</v>
      </c>
      <c r="I12" s="259">
        <f t="shared" si="5"/>
        <v>17925.96</v>
      </c>
      <c r="N12" s="252">
        <f t="shared" si="0"/>
        <v>39</v>
      </c>
    </row>
    <row r="13" spans="1:15" x14ac:dyDescent="0.35">
      <c r="A13" s="117" t="s">
        <v>200</v>
      </c>
      <c r="B13" s="116">
        <v>8</v>
      </c>
      <c r="C13" s="116">
        <v>4</v>
      </c>
      <c r="D13" s="116">
        <f t="shared" si="1"/>
        <v>32</v>
      </c>
      <c r="E13" s="116">
        <f>'II-Y1'!E37</f>
        <v>0</v>
      </c>
      <c r="F13" s="261">
        <f t="shared" si="2"/>
        <v>0</v>
      </c>
      <c r="G13" s="258">
        <f t="shared" si="3"/>
        <v>0</v>
      </c>
      <c r="H13" s="258">
        <f t="shared" si="4"/>
        <v>0</v>
      </c>
      <c r="I13" s="259">
        <f t="shared" si="5"/>
        <v>0</v>
      </c>
      <c r="N13" s="252">
        <f t="shared" si="0"/>
        <v>0</v>
      </c>
    </row>
    <row r="14" spans="1:15" ht="20.25" customHeight="1" x14ac:dyDescent="0.35">
      <c r="A14" s="250" t="s">
        <v>144</v>
      </c>
      <c r="B14" s="250"/>
      <c r="C14" s="250"/>
      <c r="D14" s="250"/>
      <c r="E14" s="250"/>
      <c r="F14" s="246">
        <f>ROUND(SUM(F8:H13), -1)</f>
        <v>380</v>
      </c>
      <c r="G14" s="265"/>
      <c r="H14" s="265"/>
      <c r="I14" s="266">
        <f>ROUND(SUM(I8:I13), -2)</f>
        <v>19200</v>
      </c>
      <c r="N14" s="252">
        <f>SUM(N8:N13)</f>
        <v>81.900000000000006</v>
      </c>
      <c r="O14" s="252" t="s">
        <v>385</v>
      </c>
    </row>
    <row r="15" spans="1:15" x14ac:dyDescent="0.35">
      <c r="A15" s="267"/>
      <c r="G15" s="268"/>
    </row>
    <row r="16" spans="1:15" x14ac:dyDescent="0.35">
      <c r="A16" s="267" t="s">
        <v>61</v>
      </c>
    </row>
    <row r="17" spans="1:9" ht="24.75" customHeight="1" x14ac:dyDescent="0.35">
      <c r="A17" s="391" t="s">
        <v>208</v>
      </c>
      <c r="B17" s="391"/>
      <c r="C17" s="391"/>
      <c r="D17" s="391"/>
      <c r="E17" s="391"/>
      <c r="F17" s="391"/>
      <c r="G17" s="391"/>
      <c r="H17" s="391"/>
      <c r="I17" s="391"/>
    </row>
    <row r="18" spans="1:9" ht="49.5" customHeight="1" x14ac:dyDescent="0.35">
      <c r="A18" s="372" t="s">
        <v>174</v>
      </c>
      <c r="B18" s="372"/>
      <c r="C18" s="372"/>
      <c r="D18" s="372"/>
      <c r="E18" s="372"/>
      <c r="F18" s="372"/>
      <c r="G18" s="372"/>
      <c r="H18" s="372"/>
      <c r="I18" s="372"/>
    </row>
    <row r="19" spans="1:9" ht="32.25" customHeight="1" x14ac:dyDescent="0.35">
      <c r="A19" s="389" t="s">
        <v>145</v>
      </c>
      <c r="B19" s="389"/>
      <c r="C19" s="389"/>
      <c r="D19" s="389"/>
      <c r="E19" s="389"/>
      <c r="F19" s="389"/>
      <c r="G19" s="389"/>
      <c r="H19" s="389"/>
      <c r="I19" s="389"/>
    </row>
    <row r="20" spans="1:9" ht="15.5" x14ac:dyDescent="0.35">
      <c r="A20" s="390" t="s">
        <v>146</v>
      </c>
      <c r="B20" s="390"/>
      <c r="C20" s="390"/>
      <c r="D20" s="390"/>
      <c r="E20" s="390"/>
      <c r="F20" s="390"/>
      <c r="G20" s="390"/>
      <c r="H20" s="390"/>
      <c r="I20" s="390"/>
    </row>
    <row r="21" spans="1:9" ht="15.5" x14ac:dyDescent="0.35">
      <c r="A21" s="388" t="s">
        <v>197</v>
      </c>
      <c r="B21" s="388"/>
      <c r="C21" s="388"/>
      <c r="D21" s="388"/>
      <c r="E21" s="388"/>
      <c r="F21" s="388"/>
      <c r="G21" s="388"/>
      <c r="H21" s="388"/>
      <c r="I21" s="388"/>
    </row>
    <row r="22" spans="1:9" ht="15.5" x14ac:dyDescent="0.35">
      <c r="A22" s="388" t="s">
        <v>147</v>
      </c>
      <c r="B22" s="388"/>
      <c r="C22" s="388"/>
      <c r="D22" s="388"/>
      <c r="E22" s="388"/>
      <c r="F22" s="388"/>
      <c r="G22" s="388"/>
      <c r="H22" s="388"/>
      <c r="I22" s="388"/>
    </row>
    <row r="24" spans="1:9" x14ac:dyDescent="0.35">
      <c r="A24" s="269"/>
    </row>
    <row r="25" spans="1:9" x14ac:dyDescent="0.35">
      <c r="A25" s="269"/>
    </row>
    <row r="26" spans="1:9" x14ac:dyDescent="0.35">
      <c r="A26" s="269"/>
    </row>
    <row r="27" spans="1:9" x14ac:dyDescent="0.35">
      <c r="A27" s="269"/>
    </row>
  </sheetData>
  <mergeCells count="11">
    <mergeCell ref="K7:L7"/>
    <mergeCell ref="A18:I18"/>
    <mergeCell ref="A19:I19"/>
    <mergeCell ref="A20:I20"/>
    <mergeCell ref="A21:I21"/>
    <mergeCell ref="A17:I17"/>
    <mergeCell ref="A1:I1"/>
    <mergeCell ref="A3:I3"/>
    <mergeCell ref="A4:I4"/>
    <mergeCell ref="A5:A7"/>
    <mergeCell ref="A22:I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9629-BEED-446C-AF45-438D1FEF1ED2}">
  <sheetPr codeName="Sheet2"/>
  <dimension ref="A1:I22"/>
  <sheetViews>
    <sheetView zoomScale="80" zoomScaleNormal="80" workbookViewId="0">
      <selection activeCell="D20" sqref="D20"/>
    </sheetView>
  </sheetViews>
  <sheetFormatPr defaultRowHeight="12.5" x14ac:dyDescent="0.25"/>
  <cols>
    <col min="1" max="1" width="45.36328125" style="157" customWidth="1"/>
    <col min="2" max="2" width="13.54296875" customWidth="1"/>
    <col min="3" max="3" width="6.81640625" customWidth="1"/>
    <col min="4" max="4" width="39.54296875" customWidth="1"/>
    <col min="5" max="5" width="18.6328125" style="159" customWidth="1"/>
    <col min="6" max="6" width="18.453125" style="159" customWidth="1"/>
    <col min="7" max="7" width="22.90625" customWidth="1"/>
    <col min="8" max="8" width="21" customWidth="1"/>
  </cols>
  <sheetData>
    <row r="1" spans="1:9" ht="13" x14ac:dyDescent="0.3">
      <c r="A1" s="158" t="s">
        <v>362</v>
      </c>
    </row>
    <row r="2" spans="1:9" x14ac:dyDescent="0.25">
      <c r="A2" s="156"/>
    </row>
    <row r="3" spans="1:9" ht="31" x14ac:dyDescent="0.35">
      <c r="A3" s="135" t="s">
        <v>296</v>
      </c>
      <c r="B3" s="154">
        <f>RespondentBurdenSUMbySector!E23/3</f>
        <v>52640.89138400001</v>
      </c>
      <c r="D3" s="160" t="s">
        <v>352</v>
      </c>
      <c r="E3" s="162" t="s">
        <v>353</v>
      </c>
      <c r="F3" s="162" t="s">
        <v>354</v>
      </c>
    </row>
    <row r="4" spans="1:9" ht="37" customHeight="1" x14ac:dyDescent="0.25">
      <c r="A4" s="135" t="s">
        <v>297</v>
      </c>
      <c r="B4" s="154">
        <f>AgencyBurdenSUMbySector!E23/3</f>
        <v>6236.6238953333332</v>
      </c>
      <c r="D4" s="163" t="s">
        <v>355</v>
      </c>
      <c r="E4" s="161">
        <v>138</v>
      </c>
      <c r="F4" s="161">
        <f>SUM(NoSourcesPerIndustry!C28:C36)</f>
        <v>307</v>
      </c>
    </row>
    <row r="5" spans="1:9" ht="35" customHeight="1" x14ac:dyDescent="0.25">
      <c r="A5" s="135" t="s">
        <v>349</v>
      </c>
      <c r="B5" s="155">
        <f>RespondentBurdenSUMbySector!G23/3</f>
        <v>5983333.333333333</v>
      </c>
      <c r="C5" s="141"/>
      <c r="D5" s="163" t="s">
        <v>356</v>
      </c>
      <c r="E5" s="161">
        <v>38</v>
      </c>
      <c r="F5" s="161">
        <f>SUM(NoSourcesPerIndustry!C2:C5)</f>
        <v>47</v>
      </c>
    </row>
    <row r="6" spans="1:9" ht="32.5" customHeight="1" x14ac:dyDescent="0.25">
      <c r="A6" s="135" t="s">
        <v>350</v>
      </c>
      <c r="B6" s="155">
        <f>AgencyBurdenSUMbySector!G23/3</f>
        <v>293333.33333333331</v>
      </c>
      <c r="C6" s="141"/>
      <c r="D6" s="163" t="s">
        <v>357</v>
      </c>
      <c r="E6" s="161">
        <v>10</v>
      </c>
      <c r="F6" s="161">
        <f>SUM(NoSourcesPerIndustry!C10:C27)</f>
        <v>39</v>
      </c>
    </row>
    <row r="7" spans="1:9" ht="33.5" customHeight="1" x14ac:dyDescent="0.25">
      <c r="A7" s="135" t="s">
        <v>391</v>
      </c>
      <c r="B7" s="155">
        <f>RespondentBurdenSUMbySector!H24</f>
        <v>6017000</v>
      </c>
      <c r="D7" s="163" t="s">
        <v>358</v>
      </c>
      <c r="E7" s="161">
        <v>34</v>
      </c>
      <c r="F7" s="161">
        <f>SUM(NoSourcesPerIndustry!C6:C9)</f>
        <v>44</v>
      </c>
    </row>
    <row r="8" spans="1:9" ht="33.5" customHeight="1" x14ac:dyDescent="0.25">
      <c r="A8" s="135" t="s">
        <v>392</v>
      </c>
      <c r="B8" s="155">
        <f>AgencyBurdenSUMbySector!H24</f>
        <v>0</v>
      </c>
      <c r="D8" s="163" t="s">
        <v>359</v>
      </c>
      <c r="E8" s="161">
        <v>6</v>
      </c>
      <c r="F8" s="161">
        <f>SUM(NoSourcesPerIndustry!C37:C45)</f>
        <v>17</v>
      </c>
    </row>
    <row r="9" spans="1:9" ht="39" customHeight="1" x14ac:dyDescent="0.3">
      <c r="A9" s="135" t="s">
        <v>381</v>
      </c>
      <c r="B9" s="155">
        <f>RespondentBurdenSUMbySector!J23</f>
        <v>34350000</v>
      </c>
      <c r="D9" s="163" t="s">
        <v>360</v>
      </c>
      <c r="E9" s="161">
        <v>6</v>
      </c>
      <c r="F9" s="161">
        <f>SUM(NoSourcesPerIndustry!C46:C51)</f>
        <v>10</v>
      </c>
      <c r="I9" s="1"/>
    </row>
    <row r="10" spans="1:9" ht="25" x14ac:dyDescent="0.25">
      <c r="A10" s="135" t="s">
        <v>382</v>
      </c>
      <c r="B10" s="155">
        <f>RespondentBurdenSUMbySector!J24</f>
        <v>11450000</v>
      </c>
      <c r="D10" s="163" t="s">
        <v>361</v>
      </c>
      <c r="E10" s="161">
        <v>19</v>
      </c>
      <c r="F10" s="161">
        <f>SUM(NoSourcesPerIndustry!C52:C63)</f>
        <v>25</v>
      </c>
    </row>
    <row r="11" spans="1:9" x14ac:dyDescent="0.25">
      <c r="A11" s="135" t="s">
        <v>298</v>
      </c>
      <c r="B11">
        <f>SUM(F4:F10)</f>
        <v>489</v>
      </c>
    </row>
    <row r="12" spans="1:9" x14ac:dyDescent="0.25">
      <c r="A12" s="135" t="s">
        <v>363</v>
      </c>
      <c r="B12">
        <v>21</v>
      </c>
    </row>
    <row r="14" spans="1:9" x14ac:dyDescent="0.25">
      <c r="A14" s="135" t="s">
        <v>364</v>
      </c>
      <c r="B14" s="164">
        <f>B3/B11</f>
        <v>107.65008462985686</v>
      </c>
    </row>
    <row r="15" spans="1:9" x14ac:dyDescent="0.25">
      <c r="A15" s="135" t="s">
        <v>365</v>
      </c>
      <c r="B15" s="164"/>
    </row>
    <row r="16" spans="1:9" x14ac:dyDescent="0.25">
      <c r="A16" s="135" t="s">
        <v>366</v>
      </c>
      <c r="B16" s="164">
        <f>B4/B12</f>
        <v>296.98209025396824</v>
      </c>
    </row>
    <row r="17" spans="1:2" x14ac:dyDescent="0.25">
      <c r="A17" s="135" t="s">
        <v>367</v>
      </c>
      <c r="B17" s="164"/>
    </row>
    <row r="18" spans="1:2" x14ac:dyDescent="0.25">
      <c r="A18" s="135" t="s">
        <v>393</v>
      </c>
      <c r="B18" s="154">
        <f>('RI-Y1'!F59+'RI-Y2'!F59+'RI-Y3'!F59+'II-Y1'!F53+'II-Y2'!F49+'II-Y3'!F52+CI!F41+SI!F39+'BPPI-Y1'!F48+'BPPI-Y2'!F48+'BPPI-Y3'!F50)/3</f>
        <v>10775.067446666666</v>
      </c>
    </row>
    <row r="19" spans="1:2" x14ac:dyDescent="0.25">
      <c r="A19" s="135" t="s">
        <v>394</v>
      </c>
      <c r="B19" s="172">
        <f>('RI-Y1'!F35+'RI-Y2'!F35+'RI-Y3'!F35+'II-Y1'!F38+'II-Y2'!F34+'II-Y3'!F37+CI!F26+SI!F24+'BPPI-Y1'!F33+'BPPI-Y2'!F33+'BPPI-Y3'!F35)/3</f>
        <v>33706.650604000002</v>
      </c>
    </row>
    <row r="20" spans="1:2" x14ac:dyDescent="0.25">
      <c r="B20" s="154"/>
    </row>
    <row r="21" spans="1:2" x14ac:dyDescent="0.25">
      <c r="A21" s="157" t="s">
        <v>389</v>
      </c>
      <c r="B21" s="154">
        <f>RespondentBurdenSUMbySector!$B$26</f>
        <v>236445.54016000003</v>
      </c>
    </row>
    <row r="22" spans="1:2" ht="13" x14ac:dyDescent="0.3">
      <c r="A22" s="157" t="s">
        <v>390</v>
      </c>
      <c r="B22" s="171">
        <f>B21/3</f>
        <v>78815.180053333344</v>
      </c>
    </row>
  </sheetData>
  <phoneticPr fontId="11" type="noConversion"/>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7E7D3-6023-4787-9E07-2D8DBE3949AB}">
  <sheetPr codeName="Sheet20"/>
  <dimension ref="A1:O27"/>
  <sheetViews>
    <sheetView workbookViewId="0">
      <pane xSplit="12" ySplit="6" topLeftCell="M9" activePane="bottomRight" state="frozen"/>
      <selection activeCell="B22" sqref="B22"/>
      <selection pane="topRight" activeCell="B22" sqref="B22"/>
      <selection pane="bottomLeft" activeCell="B22" sqref="B22"/>
      <selection pane="bottomRight" activeCell="A4" sqref="A4:I4"/>
    </sheetView>
  </sheetViews>
  <sheetFormatPr defaultColWidth="9.1796875" defaultRowHeight="14.5" x14ac:dyDescent="0.35"/>
  <cols>
    <col min="1" max="1" width="39.1796875" style="252" customWidth="1"/>
    <col min="2" max="2" width="9.81640625" style="252" customWidth="1"/>
    <col min="3" max="8" width="9.1796875" style="252"/>
    <col min="9" max="9" width="13.81640625" style="252" customWidth="1"/>
    <col min="10" max="10" width="9.1796875" style="252"/>
    <col min="11" max="11" width="13.1796875" style="253" customWidth="1"/>
    <col min="12" max="12" width="9.1796875" style="252"/>
    <col min="13" max="13" width="27.6328125" style="252" customWidth="1"/>
    <col min="14" max="16384" width="9.1796875" style="252"/>
  </cols>
  <sheetData>
    <row r="1" spans="1:15" s="216" customFormat="1" ht="15" customHeight="1" x14ac:dyDescent="0.3">
      <c r="A1" s="362" t="s">
        <v>218</v>
      </c>
      <c r="B1" s="362"/>
      <c r="C1" s="362"/>
      <c r="D1" s="362"/>
      <c r="E1" s="362"/>
      <c r="F1" s="362"/>
      <c r="G1" s="362"/>
      <c r="H1" s="362"/>
      <c r="I1" s="362"/>
    </row>
    <row r="2" spans="1:15" s="216" customFormat="1" ht="30" x14ac:dyDescent="0.3">
      <c r="A2" s="200" t="s">
        <v>221</v>
      </c>
      <c r="B2" s="200"/>
      <c r="C2" s="200"/>
      <c r="D2" s="200"/>
      <c r="E2" s="200"/>
      <c r="F2" s="200"/>
      <c r="G2" s="200"/>
      <c r="H2" s="200"/>
      <c r="I2" s="200"/>
    </row>
    <row r="3" spans="1:15" ht="36.75" customHeight="1" x14ac:dyDescent="0.35">
      <c r="A3" s="385" t="s">
        <v>440</v>
      </c>
      <c r="B3" s="385"/>
      <c r="C3" s="385"/>
      <c r="D3" s="385"/>
      <c r="E3" s="385"/>
      <c r="F3" s="385"/>
      <c r="G3" s="385"/>
      <c r="H3" s="385"/>
      <c r="I3" s="385"/>
    </row>
    <row r="4" spans="1:15" ht="15" x14ac:dyDescent="0.35">
      <c r="A4" s="386"/>
      <c r="B4" s="386"/>
      <c r="C4" s="386"/>
      <c r="D4" s="386"/>
      <c r="E4" s="386"/>
      <c r="F4" s="386"/>
      <c r="G4" s="386"/>
      <c r="H4" s="386"/>
      <c r="I4" s="386"/>
    </row>
    <row r="5" spans="1:15" x14ac:dyDescent="0.35">
      <c r="A5" s="387" t="s">
        <v>87</v>
      </c>
      <c r="B5" s="254" t="s">
        <v>22</v>
      </c>
      <c r="C5" s="254" t="s">
        <v>23</v>
      </c>
      <c r="D5" s="254" t="s">
        <v>24</v>
      </c>
      <c r="E5" s="254" t="s">
        <v>71</v>
      </c>
      <c r="F5" s="254" t="s">
        <v>26</v>
      </c>
      <c r="G5" s="254" t="s">
        <v>25</v>
      </c>
      <c r="H5" s="254" t="s">
        <v>72</v>
      </c>
      <c r="I5" s="254" t="s">
        <v>73</v>
      </c>
    </row>
    <row r="6" spans="1:15" ht="65" x14ac:dyDescent="0.35">
      <c r="A6" s="387"/>
      <c r="B6" s="254" t="s">
        <v>127</v>
      </c>
      <c r="C6" s="254" t="s">
        <v>128</v>
      </c>
      <c r="D6" s="254" t="s">
        <v>129</v>
      </c>
      <c r="E6" s="254" t="s">
        <v>130</v>
      </c>
      <c r="F6" s="254" t="s">
        <v>131</v>
      </c>
      <c r="G6" s="254" t="s">
        <v>132</v>
      </c>
      <c r="H6" s="254" t="s">
        <v>133</v>
      </c>
      <c r="I6" s="254" t="s">
        <v>134</v>
      </c>
    </row>
    <row r="7" spans="1:15" x14ac:dyDescent="0.35">
      <c r="A7" s="387"/>
      <c r="B7" s="256"/>
      <c r="C7" s="256"/>
      <c r="D7" s="254" t="s">
        <v>135</v>
      </c>
      <c r="E7" s="256"/>
      <c r="F7" s="254" t="s">
        <v>136</v>
      </c>
      <c r="G7" s="254" t="s">
        <v>137</v>
      </c>
      <c r="H7" s="254" t="s">
        <v>138</v>
      </c>
      <c r="I7" s="256"/>
      <c r="K7" s="380" t="s">
        <v>68</v>
      </c>
      <c r="L7" s="380"/>
      <c r="M7" s="255"/>
      <c r="N7" s="252" t="s">
        <v>383</v>
      </c>
    </row>
    <row r="8" spans="1:15" ht="52.5" x14ac:dyDescent="0.35">
      <c r="A8" s="257" t="s">
        <v>236</v>
      </c>
      <c r="B8" s="116">
        <v>24</v>
      </c>
      <c r="C8" s="116">
        <v>1</v>
      </c>
      <c r="D8" s="116">
        <f>B8*C8</f>
        <v>24</v>
      </c>
      <c r="E8" s="116">
        <f>'II-Y1'!E26</f>
        <v>0</v>
      </c>
      <c r="F8" s="258">
        <f>D8*E8</f>
        <v>0</v>
      </c>
      <c r="G8" s="258">
        <f>F8*0.05</f>
        <v>0</v>
      </c>
      <c r="H8" s="258">
        <f>F8*0.1</f>
        <v>0</v>
      </c>
      <c r="I8" s="259">
        <f>(F8*$L$9)+(G8*$L$8)+(H8*$L$10)</f>
        <v>0</v>
      </c>
      <c r="K8" s="222" t="s">
        <v>69</v>
      </c>
      <c r="L8" s="184">
        <v>69.040000000000006</v>
      </c>
      <c r="M8" s="224" t="s">
        <v>172</v>
      </c>
      <c r="N8" s="252">
        <f>C8*E8</f>
        <v>0</v>
      </c>
    </row>
    <row r="9" spans="1:15" ht="28.5" x14ac:dyDescent="0.35">
      <c r="A9" s="257" t="s">
        <v>237</v>
      </c>
      <c r="B9" s="116">
        <v>24</v>
      </c>
      <c r="C9" s="116">
        <v>1</v>
      </c>
      <c r="D9" s="116">
        <f>B9*C9</f>
        <v>24</v>
      </c>
      <c r="E9" s="116">
        <v>0</v>
      </c>
      <c r="F9" s="261">
        <f>D9*E9</f>
        <v>0</v>
      </c>
      <c r="G9" s="261">
        <f>F9*0.05</f>
        <v>0</v>
      </c>
      <c r="H9" s="261">
        <f>F9*0.1</f>
        <v>0</v>
      </c>
      <c r="I9" s="262">
        <f>(F9*$L$9)+(G9*$L$8)+(H9*$L$10)</f>
        <v>0</v>
      </c>
      <c r="K9" s="222" t="s">
        <v>33</v>
      </c>
      <c r="L9" s="188">
        <v>51.23</v>
      </c>
      <c r="M9" s="260"/>
      <c r="N9" s="252">
        <f t="shared" ref="N9:N13" si="0">C9*E9</f>
        <v>0</v>
      </c>
    </row>
    <row r="10" spans="1:15" x14ac:dyDescent="0.35">
      <c r="A10" s="257" t="s">
        <v>141</v>
      </c>
      <c r="B10" s="116"/>
      <c r="C10" s="116"/>
      <c r="D10" s="116"/>
      <c r="E10" s="116"/>
      <c r="F10" s="258"/>
      <c r="G10" s="258"/>
      <c r="H10" s="258"/>
      <c r="I10" s="263"/>
      <c r="K10" s="222" t="s">
        <v>34</v>
      </c>
      <c r="L10" s="188">
        <v>27.73</v>
      </c>
      <c r="M10" s="260"/>
      <c r="N10" s="252">
        <f t="shared" si="0"/>
        <v>0</v>
      </c>
    </row>
    <row r="11" spans="1:15" ht="28.5" x14ac:dyDescent="0.35">
      <c r="A11" s="257" t="s">
        <v>240</v>
      </c>
      <c r="B11" s="116">
        <v>0.5</v>
      </c>
      <c r="C11" s="116">
        <v>1.1000000000000001</v>
      </c>
      <c r="D11" s="116">
        <f t="shared" ref="D11:D13" si="1">B11*C11</f>
        <v>0.55000000000000004</v>
      </c>
      <c r="E11" s="116">
        <v>39</v>
      </c>
      <c r="F11" s="258">
        <f t="shared" ref="F11:F13" si="2">D11*E11</f>
        <v>21.450000000000003</v>
      </c>
      <c r="G11" s="258">
        <f t="shared" ref="G11:G13" si="3">F11*0.05</f>
        <v>1.0725000000000002</v>
      </c>
      <c r="H11" s="258">
        <f t="shared" ref="H11:H13" si="4">F11*0.1</f>
        <v>2.1450000000000005</v>
      </c>
      <c r="I11" s="259">
        <f t="shared" ref="I11:I13" si="5">(F11*$L$9)+(G11*$L$8)+(H11*$L$10)</f>
        <v>1232.40975</v>
      </c>
      <c r="N11" s="252">
        <f t="shared" si="0"/>
        <v>42.900000000000006</v>
      </c>
    </row>
    <row r="12" spans="1:15" ht="28.5" x14ac:dyDescent="0.35">
      <c r="A12" s="257" t="s">
        <v>241</v>
      </c>
      <c r="B12" s="116">
        <v>8</v>
      </c>
      <c r="C12" s="116">
        <v>1</v>
      </c>
      <c r="D12" s="116">
        <f t="shared" si="1"/>
        <v>8</v>
      </c>
      <c r="E12" s="116">
        <v>39</v>
      </c>
      <c r="F12" s="258">
        <f t="shared" si="2"/>
        <v>312</v>
      </c>
      <c r="G12" s="264">
        <f t="shared" si="3"/>
        <v>15.600000000000001</v>
      </c>
      <c r="H12" s="264">
        <f t="shared" si="4"/>
        <v>31.200000000000003</v>
      </c>
      <c r="I12" s="259">
        <f t="shared" si="5"/>
        <v>17925.96</v>
      </c>
      <c r="N12" s="252">
        <f t="shared" si="0"/>
        <v>39</v>
      </c>
    </row>
    <row r="13" spans="1:15" x14ac:dyDescent="0.35">
      <c r="A13" s="117" t="s">
        <v>200</v>
      </c>
      <c r="B13" s="116">
        <v>8</v>
      </c>
      <c r="C13" s="116">
        <v>4</v>
      </c>
      <c r="D13" s="116">
        <f t="shared" si="1"/>
        <v>32</v>
      </c>
      <c r="E13" s="116">
        <f>'II-Y1'!E37</f>
        <v>0</v>
      </c>
      <c r="F13" s="261">
        <f t="shared" si="2"/>
        <v>0</v>
      </c>
      <c r="G13" s="258">
        <f t="shared" si="3"/>
        <v>0</v>
      </c>
      <c r="H13" s="258">
        <f t="shared" si="4"/>
        <v>0</v>
      </c>
      <c r="I13" s="259">
        <f t="shared" si="5"/>
        <v>0</v>
      </c>
      <c r="N13" s="252">
        <f t="shared" si="0"/>
        <v>0</v>
      </c>
    </row>
    <row r="14" spans="1:15" ht="20.25" customHeight="1" x14ac:dyDescent="0.35">
      <c r="A14" s="250" t="s">
        <v>144</v>
      </c>
      <c r="B14" s="250"/>
      <c r="C14" s="250"/>
      <c r="D14" s="250"/>
      <c r="E14" s="250"/>
      <c r="F14" s="246">
        <f>ROUND(SUM(F8:H13), -1)</f>
        <v>380</v>
      </c>
      <c r="G14" s="265"/>
      <c r="H14" s="265"/>
      <c r="I14" s="266">
        <f>ROUND(SUM(I8:I13), -2)</f>
        <v>19200</v>
      </c>
      <c r="N14" s="252">
        <f>SUM(N8:N13)</f>
        <v>81.900000000000006</v>
      </c>
      <c r="O14" s="252" t="s">
        <v>385</v>
      </c>
    </row>
    <row r="15" spans="1:15" x14ac:dyDescent="0.35">
      <c r="A15" s="267"/>
      <c r="G15" s="268"/>
    </row>
    <row r="16" spans="1:15" x14ac:dyDescent="0.35">
      <c r="A16" s="267" t="s">
        <v>61</v>
      </c>
    </row>
    <row r="17" spans="1:9" ht="24.75" customHeight="1" x14ac:dyDescent="0.35">
      <c r="A17" s="391" t="s">
        <v>208</v>
      </c>
      <c r="B17" s="391"/>
      <c r="C17" s="391"/>
      <c r="D17" s="391"/>
      <c r="E17" s="391"/>
      <c r="F17" s="391"/>
      <c r="G17" s="391"/>
      <c r="H17" s="391"/>
      <c r="I17" s="391"/>
    </row>
    <row r="18" spans="1:9" ht="49.5" customHeight="1" x14ac:dyDescent="0.35">
      <c r="A18" s="372" t="s">
        <v>174</v>
      </c>
      <c r="B18" s="372"/>
      <c r="C18" s="372"/>
      <c r="D18" s="372"/>
      <c r="E18" s="372"/>
      <c r="F18" s="372"/>
      <c r="G18" s="372"/>
      <c r="H18" s="372"/>
      <c r="I18" s="372"/>
    </row>
    <row r="19" spans="1:9" ht="32.25" customHeight="1" x14ac:dyDescent="0.35">
      <c r="A19" s="389" t="s">
        <v>145</v>
      </c>
      <c r="B19" s="389"/>
      <c r="C19" s="389"/>
      <c r="D19" s="389"/>
      <c r="E19" s="389"/>
      <c r="F19" s="389"/>
      <c r="G19" s="389"/>
      <c r="H19" s="389"/>
      <c r="I19" s="389"/>
    </row>
    <row r="20" spans="1:9" ht="15.5" x14ac:dyDescent="0.35">
      <c r="A20" s="390" t="s">
        <v>146</v>
      </c>
      <c r="B20" s="390"/>
      <c r="C20" s="390"/>
      <c r="D20" s="390"/>
      <c r="E20" s="390"/>
      <c r="F20" s="390"/>
      <c r="G20" s="390"/>
      <c r="H20" s="390"/>
      <c r="I20" s="390"/>
    </row>
    <row r="21" spans="1:9" ht="15.5" x14ac:dyDescent="0.35">
      <c r="A21" s="388" t="s">
        <v>197</v>
      </c>
      <c r="B21" s="388"/>
      <c r="C21" s="388"/>
      <c r="D21" s="388"/>
      <c r="E21" s="388"/>
      <c r="F21" s="388"/>
      <c r="G21" s="388"/>
      <c r="H21" s="388"/>
      <c r="I21" s="388"/>
    </row>
    <row r="22" spans="1:9" ht="15.5" x14ac:dyDescent="0.35">
      <c r="A22" s="388" t="s">
        <v>147</v>
      </c>
      <c r="B22" s="388"/>
      <c r="C22" s="388"/>
      <c r="D22" s="388"/>
      <c r="E22" s="388"/>
      <c r="F22" s="388"/>
      <c r="G22" s="388"/>
      <c r="H22" s="388"/>
      <c r="I22" s="388"/>
    </row>
    <row r="24" spans="1:9" x14ac:dyDescent="0.35">
      <c r="A24" s="269"/>
    </row>
    <row r="25" spans="1:9" x14ac:dyDescent="0.35">
      <c r="A25" s="269"/>
    </row>
    <row r="26" spans="1:9" x14ac:dyDescent="0.35">
      <c r="A26" s="269"/>
    </row>
    <row r="27" spans="1:9" x14ac:dyDescent="0.35">
      <c r="A27" s="269"/>
    </row>
  </sheetData>
  <mergeCells count="11">
    <mergeCell ref="K7:L7"/>
    <mergeCell ref="A18:I18"/>
    <mergeCell ref="A19:I19"/>
    <mergeCell ref="A20:I20"/>
    <mergeCell ref="A21:I21"/>
    <mergeCell ref="A17:I17"/>
    <mergeCell ref="A1:I1"/>
    <mergeCell ref="A3:I3"/>
    <mergeCell ref="A4:I4"/>
    <mergeCell ref="A5:A7"/>
    <mergeCell ref="A22:I2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46994-AAF4-4F29-8D9A-CACF83AE8C81}">
  <sheetPr codeName="Sheet21"/>
  <dimension ref="A1:I19"/>
  <sheetViews>
    <sheetView workbookViewId="0">
      <selection activeCell="A19" sqref="A19"/>
    </sheetView>
  </sheetViews>
  <sheetFormatPr defaultRowHeight="14.5" x14ac:dyDescent="0.35"/>
  <cols>
    <col min="1" max="1" width="17.7265625" style="199" customWidth="1"/>
    <col min="2" max="2" width="14" style="199" customWidth="1"/>
    <col min="3" max="3" width="13.1796875" style="199" customWidth="1"/>
    <col min="4" max="4" width="12.81640625" style="199" customWidth="1"/>
    <col min="5" max="5" width="11.54296875" style="199" customWidth="1"/>
    <col min="6" max="6" width="11.26953125" style="199" customWidth="1"/>
    <col min="7" max="8" width="16.6328125" style="199" customWidth="1"/>
    <col min="9" max="16384" width="8.7265625" style="199"/>
  </cols>
  <sheetData>
    <row r="1" spans="1:9" ht="15" customHeight="1" x14ac:dyDescent="0.35">
      <c r="A1" s="362" t="s">
        <v>218</v>
      </c>
      <c r="B1" s="362"/>
      <c r="C1" s="362"/>
      <c r="D1" s="362"/>
      <c r="E1" s="362"/>
      <c r="F1" s="362"/>
      <c r="G1" s="362"/>
      <c r="H1" s="362"/>
      <c r="I1" s="362"/>
    </row>
    <row r="2" spans="1:9" ht="15" x14ac:dyDescent="0.35">
      <c r="A2" s="200" t="s">
        <v>202</v>
      </c>
      <c r="B2" s="200"/>
      <c r="C2" s="200"/>
      <c r="D2" s="200"/>
      <c r="E2" s="200"/>
      <c r="F2" s="200"/>
      <c r="G2" s="200"/>
      <c r="H2" s="200"/>
      <c r="I2" s="200"/>
    </row>
    <row r="3" spans="1:9" ht="15.5" customHeight="1" x14ac:dyDescent="0.35">
      <c r="A3" s="392" t="s">
        <v>441</v>
      </c>
      <c r="B3" s="392"/>
      <c r="C3" s="392"/>
      <c r="D3" s="392"/>
      <c r="E3" s="392"/>
      <c r="F3" s="392"/>
      <c r="G3" s="392"/>
    </row>
    <row r="4" spans="1:9" ht="15" x14ac:dyDescent="0.35">
      <c r="A4" s="317"/>
      <c r="B4" s="318"/>
      <c r="C4" s="318"/>
      <c r="D4" s="318"/>
      <c r="E4" s="318"/>
      <c r="F4" s="318"/>
      <c r="G4" s="318"/>
    </row>
    <row r="5" spans="1:9" x14ac:dyDescent="0.35">
      <c r="B5" s="319" t="s">
        <v>22</v>
      </c>
      <c r="C5" s="207" t="s">
        <v>23</v>
      </c>
      <c r="D5" s="207" t="s">
        <v>24</v>
      </c>
      <c r="E5" s="207" t="s">
        <v>71</v>
      </c>
      <c r="F5" s="207" t="s">
        <v>26</v>
      </c>
      <c r="G5" s="207" t="s">
        <v>25</v>
      </c>
      <c r="H5" s="208" t="s">
        <v>72</v>
      </c>
    </row>
    <row r="6" spans="1:9" ht="52" x14ac:dyDescent="0.35">
      <c r="A6" s="209" t="s">
        <v>62</v>
      </c>
      <c r="B6" s="209" t="s">
        <v>82</v>
      </c>
      <c r="C6" s="209" t="s">
        <v>83</v>
      </c>
      <c r="D6" s="209" t="s">
        <v>148</v>
      </c>
      <c r="E6" s="209" t="s">
        <v>84</v>
      </c>
      <c r="F6" s="209" t="s">
        <v>85</v>
      </c>
      <c r="G6" s="209" t="s">
        <v>149</v>
      </c>
      <c r="H6" s="209" t="s">
        <v>150</v>
      </c>
    </row>
    <row r="7" spans="1:9" ht="39" x14ac:dyDescent="0.35">
      <c r="A7" s="209" t="s">
        <v>55</v>
      </c>
      <c r="B7" s="210" t="s">
        <v>215</v>
      </c>
      <c r="C7" s="119">
        <v>0</v>
      </c>
      <c r="D7" s="209">
        <v>0</v>
      </c>
      <c r="E7" s="119">
        <f>C7*D7</f>
        <v>0</v>
      </c>
      <c r="F7" s="119">
        <v>0</v>
      </c>
      <c r="G7" s="209"/>
      <c r="H7" s="119">
        <f>F7*G7</f>
        <v>0</v>
      </c>
    </row>
    <row r="8" spans="1:9" ht="26" x14ac:dyDescent="0.35">
      <c r="A8" s="209" t="s">
        <v>55</v>
      </c>
      <c r="B8" s="209" t="s">
        <v>151</v>
      </c>
      <c r="C8" s="119">
        <v>0</v>
      </c>
      <c r="D8" s="209">
        <v>0</v>
      </c>
      <c r="E8" s="119">
        <f>C8*D8</f>
        <v>0</v>
      </c>
      <c r="F8" s="119"/>
      <c r="G8" s="209"/>
      <c r="H8" s="119"/>
    </row>
    <row r="9" spans="1:9" ht="39" x14ac:dyDescent="0.35">
      <c r="A9" s="209" t="s">
        <v>56</v>
      </c>
      <c r="B9" s="210" t="s">
        <v>215</v>
      </c>
      <c r="C9" s="119">
        <v>0</v>
      </c>
      <c r="D9" s="209">
        <v>0</v>
      </c>
      <c r="E9" s="119">
        <f>C9*D9</f>
        <v>0</v>
      </c>
      <c r="F9" s="119">
        <v>0</v>
      </c>
      <c r="G9" s="209"/>
      <c r="H9" s="209"/>
    </row>
    <row r="10" spans="1:9" ht="26" x14ac:dyDescent="0.35">
      <c r="A10" s="209" t="s">
        <v>56</v>
      </c>
      <c r="B10" s="209" t="s">
        <v>151</v>
      </c>
      <c r="C10" s="119">
        <v>0</v>
      </c>
      <c r="D10" s="209">
        <v>0</v>
      </c>
      <c r="E10" s="119">
        <f>C10*D10</f>
        <v>0</v>
      </c>
      <c r="F10" s="119"/>
      <c r="G10" s="209"/>
      <c r="H10" s="209"/>
    </row>
    <row r="11" spans="1:9" ht="39" x14ac:dyDescent="0.35">
      <c r="A11" s="209" t="s">
        <v>57</v>
      </c>
      <c r="B11" s="210" t="s">
        <v>215</v>
      </c>
      <c r="C11" s="119">
        <v>153700</v>
      </c>
      <c r="D11" s="209">
        <v>0</v>
      </c>
      <c r="E11" s="119">
        <f>C11*D11</f>
        <v>0</v>
      </c>
      <c r="F11" s="119"/>
      <c r="G11" s="209"/>
      <c r="H11" s="119">
        <f>F11*G11</f>
        <v>0</v>
      </c>
    </row>
    <row r="12" spans="1:9" ht="16" x14ac:dyDescent="0.35">
      <c r="A12" s="209" t="s">
        <v>57</v>
      </c>
      <c r="B12" s="210" t="s">
        <v>461</v>
      </c>
      <c r="C12" s="119">
        <v>131222</v>
      </c>
      <c r="D12" s="209"/>
      <c r="E12" s="119"/>
      <c r="F12" s="119">
        <v>127002</v>
      </c>
      <c r="G12" s="209">
        <v>39</v>
      </c>
      <c r="H12" s="119">
        <f>F12*G12</f>
        <v>4953078</v>
      </c>
    </row>
    <row r="13" spans="1:9" ht="15.5" x14ac:dyDescent="0.35">
      <c r="A13" s="209" t="s">
        <v>57</v>
      </c>
      <c r="B13" s="210" t="s">
        <v>380</v>
      </c>
      <c r="C13" s="119"/>
      <c r="D13" s="209"/>
      <c r="E13" s="119"/>
      <c r="F13" s="119">
        <v>68532</v>
      </c>
      <c r="G13" s="209">
        <v>39</v>
      </c>
      <c r="H13" s="119">
        <f>F13*G13</f>
        <v>2672748</v>
      </c>
    </row>
    <row r="14" spans="1:9" x14ac:dyDescent="0.35">
      <c r="A14" s="211"/>
      <c r="B14" s="212" t="s">
        <v>81</v>
      </c>
      <c r="C14" s="119"/>
      <c r="D14" s="209"/>
      <c r="E14" s="119">
        <f>ROUND(SUM(E11:E13), -4)</f>
        <v>0</v>
      </c>
      <c r="F14" s="119"/>
      <c r="G14" s="209"/>
      <c r="H14" s="119">
        <f>ROUND(SUM(H11:H13), -4)</f>
        <v>7630000</v>
      </c>
    </row>
    <row r="15" spans="1:9" x14ac:dyDescent="0.35">
      <c r="B15" s="213"/>
      <c r="D15" s="213"/>
      <c r="E15" s="213"/>
      <c r="G15" s="213"/>
    </row>
    <row r="16" spans="1:9" x14ac:dyDescent="0.35">
      <c r="B16" s="213"/>
      <c r="D16" s="213"/>
      <c r="F16" s="213"/>
      <c r="G16" s="214" t="s">
        <v>188</v>
      </c>
      <c r="H16" s="213">
        <f>ROUND(SUM(E11:E13,H11:H13), -4)</f>
        <v>7630000</v>
      </c>
    </row>
    <row r="17" spans="1:5" x14ac:dyDescent="0.35">
      <c r="B17" s="213"/>
      <c r="E17" s="213"/>
    </row>
    <row r="18" spans="1:5" x14ac:dyDescent="0.35">
      <c r="A18" s="339" t="s">
        <v>462</v>
      </c>
    </row>
    <row r="19" spans="1:5" x14ac:dyDescent="0.35">
      <c r="A19" s="339" t="s">
        <v>466</v>
      </c>
    </row>
  </sheetData>
  <mergeCells count="2">
    <mergeCell ref="A1:I1"/>
    <mergeCell ref="A3:G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252DF-C5E8-44D6-8862-65FE36EE2454}">
  <sheetPr codeName="Sheet22">
    <pageSetUpPr fitToPage="1"/>
  </sheetPr>
  <dimension ref="A1:P49"/>
  <sheetViews>
    <sheetView zoomScale="90" zoomScaleNormal="90" workbookViewId="0">
      <pane xSplit="9" ySplit="5" topLeftCell="J26" activePane="bottomRight" state="frozen"/>
      <selection activeCell="B22" sqref="B22"/>
      <selection pane="topRight" activeCell="B22" sqref="B22"/>
      <selection pane="bottomLeft" activeCell="B22" sqref="B22"/>
      <selection pane="bottomRight" activeCell="L45" sqref="L45"/>
    </sheetView>
  </sheetViews>
  <sheetFormatPr defaultColWidth="9.1796875" defaultRowHeight="13" x14ac:dyDescent="0.3"/>
  <cols>
    <col min="1" max="1" width="27" style="216" customWidth="1"/>
    <col min="2" max="2" width="10.1796875" style="216" customWidth="1"/>
    <col min="3" max="3" width="12" style="260" customWidth="1"/>
    <col min="4" max="4" width="11.1796875" style="216" customWidth="1"/>
    <col min="5" max="5" width="12.1796875" style="260" customWidth="1"/>
    <col min="6" max="6" width="10.26953125" style="216" customWidth="1"/>
    <col min="7" max="7" width="11.7265625" style="216" customWidth="1"/>
    <col min="8" max="8" width="11.26953125" style="216" customWidth="1"/>
    <col min="9" max="9" width="14.26953125" style="216" customWidth="1"/>
    <col min="10" max="10" width="16.54296875" style="216" customWidth="1"/>
    <col min="11" max="11" width="19.453125" style="216" customWidth="1"/>
    <col min="12" max="12" width="15" style="216" customWidth="1"/>
    <col min="13" max="13" width="25.7265625" style="216" customWidth="1"/>
    <col min="14" max="14" width="20.453125" style="216" customWidth="1"/>
    <col min="15" max="15" width="17.1796875" style="216" customWidth="1"/>
    <col min="16" max="16384" width="9.1796875" style="216"/>
  </cols>
  <sheetData>
    <row r="1" spans="1:15" ht="15" x14ac:dyDescent="0.3">
      <c r="A1" s="362" t="s">
        <v>178</v>
      </c>
      <c r="B1" s="362"/>
      <c r="C1" s="362"/>
      <c r="D1" s="362"/>
      <c r="E1" s="362"/>
      <c r="F1" s="362"/>
      <c r="G1" s="362"/>
      <c r="H1" s="362"/>
      <c r="I1" s="362"/>
    </row>
    <row r="2" spans="1:15" ht="15" x14ac:dyDescent="0.3">
      <c r="A2" s="200" t="s">
        <v>204</v>
      </c>
      <c r="B2" s="200"/>
      <c r="C2" s="200"/>
      <c r="D2" s="200"/>
      <c r="E2" s="200"/>
      <c r="F2" s="200"/>
      <c r="G2" s="200"/>
      <c r="H2" s="200"/>
      <c r="I2" s="200"/>
    </row>
    <row r="3" spans="1:15" ht="33" customHeight="1" x14ac:dyDescent="0.3">
      <c r="A3" s="362" t="s">
        <v>444</v>
      </c>
      <c r="B3" s="362"/>
      <c r="C3" s="362"/>
      <c r="D3" s="362"/>
      <c r="E3" s="362"/>
      <c r="F3" s="362"/>
      <c r="G3" s="362"/>
      <c r="H3" s="362"/>
      <c r="I3" s="362"/>
    </row>
    <row r="5" spans="1:15" ht="65" x14ac:dyDescent="0.3">
      <c r="A5" s="285" t="s">
        <v>32</v>
      </c>
      <c r="B5" s="286" t="s">
        <v>88</v>
      </c>
      <c r="C5" s="185" t="s">
        <v>89</v>
      </c>
      <c r="D5" s="286" t="s">
        <v>90</v>
      </c>
      <c r="E5" s="185" t="s">
        <v>91</v>
      </c>
      <c r="F5" s="286" t="s">
        <v>92</v>
      </c>
      <c r="G5" s="286" t="s">
        <v>93</v>
      </c>
      <c r="H5" s="286" t="s">
        <v>94</v>
      </c>
      <c r="I5" s="286" t="s">
        <v>95</v>
      </c>
      <c r="J5" s="287"/>
      <c r="O5" s="216" t="s">
        <v>383</v>
      </c>
    </row>
    <row r="6" spans="1:15" x14ac:dyDescent="0.3">
      <c r="A6" s="288" t="s">
        <v>96</v>
      </c>
      <c r="B6" s="286" t="s">
        <v>77</v>
      </c>
      <c r="C6" s="289"/>
      <c r="D6" s="290"/>
      <c r="E6" s="289"/>
      <c r="F6" s="290"/>
      <c r="G6" s="290"/>
      <c r="H6" s="290"/>
      <c r="I6" s="290"/>
      <c r="K6" s="368" t="s">
        <v>68</v>
      </c>
      <c r="L6" s="368"/>
      <c r="O6" s="216">
        <f>C6*E6</f>
        <v>0</v>
      </c>
    </row>
    <row r="7" spans="1:15" ht="26.5" customHeight="1" x14ac:dyDescent="0.3">
      <c r="A7" s="288" t="s">
        <v>97</v>
      </c>
      <c r="B7" s="286" t="s">
        <v>77</v>
      </c>
      <c r="C7" s="289"/>
      <c r="D7" s="290"/>
      <c r="E7" s="289"/>
      <c r="F7" s="290"/>
      <c r="G7" s="290"/>
      <c r="H7" s="290"/>
      <c r="I7" s="290"/>
      <c r="K7" s="183" t="s">
        <v>69</v>
      </c>
      <c r="L7" s="223">
        <v>157.61000000000001</v>
      </c>
      <c r="M7" s="224" t="s">
        <v>180</v>
      </c>
      <c r="O7" s="216">
        <f t="shared" ref="O7:O38" si="0">C7*E7</f>
        <v>0</v>
      </c>
    </row>
    <row r="8" spans="1:15" ht="56.5" customHeight="1" x14ac:dyDescent="0.3">
      <c r="A8" s="288" t="s">
        <v>98</v>
      </c>
      <c r="B8" s="286">
        <v>16</v>
      </c>
      <c r="C8" s="185">
        <v>1</v>
      </c>
      <c r="D8" s="286">
        <f>B8*C8</f>
        <v>16</v>
      </c>
      <c r="E8" s="185">
        <f>L12</f>
        <v>0</v>
      </c>
      <c r="F8" s="286">
        <f>D8*E8</f>
        <v>0</v>
      </c>
      <c r="G8" s="286">
        <f>F8*0.05</f>
        <v>0</v>
      </c>
      <c r="H8" s="286">
        <f>F8*0.1</f>
        <v>0</v>
      </c>
      <c r="I8" s="291">
        <f>F8*$L$8+G8*$L$7+H8*$L$9</f>
        <v>0</v>
      </c>
      <c r="K8" s="183" t="s">
        <v>33</v>
      </c>
      <c r="L8" s="223">
        <v>123.94</v>
      </c>
      <c r="M8" s="226"/>
      <c r="O8" s="216">
        <f t="shared" si="0"/>
        <v>0</v>
      </c>
    </row>
    <row r="9" spans="1:15" x14ac:dyDescent="0.3">
      <c r="A9" s="288" t="s">
        <v>99</v>
      </c>
      <c r="B9" s="286"/>
      <c r="C9" s="185"/>
      <c r="D9" s="286"/>
      <c r="E9" s="185"/>
      <c r="F9" s="286"/>
      <c r="G9" s="286"/>
      <c r="H9" s="286"/>
      <c r="I9" s="290"/>
      <c r="K9" s="183" t="s">
        <v>34</v>
      </c>
      <c r="L9" s="223">
        <v>62.51</v>
      </c>
      <c r="M9" s="226"/>
      <c r="O9" s="216">
        <f t="shared" si="0"/>
        <v>0</v>
      </c>
    </row>
    <row r="10" spans="1:15" ht="26" x14ac:dyDescent="0.3">
      <c r="A10" s="332" t="s">
        <v>100</v>
      </c>
      <c r="B10" s="286">
        <v>1</v>
      </c>
      <c r="C10" s="185">
        <v>1</v>
      </c>
      <c r="D10" s="286">
        <f>B10*C10</f>
        <v>1</v>
      </c>
      <c r="E10" s="185">
        <v>40</v>
      </c>
      <c r="F10" s="286">
        <f>D10*E10</f>
        <v>40</v>
      </c>
      <c r="G10" s="286">
        <f>F10*0.05</f>
        <v>2</v>
      </c>
      <c r="H10" s="286">
        <f>F10*0.1</f>
        <v>4</v>
      </c>
      <c r="I10" s="292">
        <f>F10*$L$8+G10*$L$7+H10*$L$9</f>
        <v>5522.8600000000006</v>
      </c>
      <c r="K10" s="293"/>
      <c r="O10" s="216">
        <f t="shared" si="0"/>
        <v>40</v>
      </c>
    </row>
    <row r="11" spans="1:15" ht="15.75" customHeight="1" x14ac:dyDescent="0.3">
      <c r="A11" s="332" t="s">
        <v>101</v>
      </c>
      <c r="B11" s="286"/>
      <c r="C11" s="185"/>
      <c r="D11" s="286"/>
      <c r="E11" s="185"/>
      <c r="F11" s="286"/>
      <c r="G11" s="286"/>
      <c r="H11" s="286"/>
      <c r="I11" s="292"/>
      <c r="K11" s="294"/>
      <c r="L11" s="294" t="s">
        <v>205</v>
      </c>
      <c r="O11" s="216">
        <f t="shared" si="0"/>
        <v>0</v>
      </c>
    </row>
    <row r="12" spans="1:15" ht="28.5" x14ac:dyDescent="0.3">
      <c r="A12" s="333" t="s">
        <v>103</v>
      </c>
      <c r="B12" s="286"/>
      <c r="C12" s="185"/>
      <c r="D12" s="286"/>
      <c r="E12" s="295"/>
      <c r="F12" s="296"/>
      <c r="G12" s="286"/>
      <c r="H12" s="286"/>
      <c r="I12" s="292"/>
      <c r="K12" s="294" t="s">
        <v>104</v>
      </c>
      <c r="L12" s="294">
        <v>0</v>
      </c>
      <c r="O12" s="216">
        <f t="shared" si="0"/>
        <v>0</v>
      </c>
    </row>
    <row r="13" spans="1:15" ht="25.5" customHeight="1" x14ac:dyDescent="0.3">
      <c r="A13" s="282" t="s">
        <v>419</v>
      </c>
      <c r="B13" s="185">
        <v>24</v>
      </c>
      <c r="C13" s="185">
        <v>2</v>
      </c>
      <c r="D13" s="286">
        <f>B13*C13</f>
        <v>48</v>
      </c>
      <c r="E13" s="295">
        <f t="shared" ref="E13" si="1">L$13</f>
        <v>4.4000000000000004</v>
      </c>
      <c r="F13" s="296">
        <f>D13*E13</f>
        <v>211.20000000000002</v>
      </c>
      <c r="G13" s="286">
        <f>F13*0.05</f>
        <v>10.560000000000002</v>
      </c>
      <c r="H13" s="286">
        <f>F13*0.1</f>
        <v>21.120000000000005</v>
      </c>
      <c r="I13" s="292">
        <f>F13*$L$8+G13*$L$7+H13*$L$9</f>
        <v>29160.700800000002</v>
      </c>
      <c r="K13" s="294" t="s">
        <v>105</v>
      </c>
      <c r="L13" s="294">
        <f>L12+L14*0.1</f>
        <v>4.4000000000000004</v>
      </c>
      <c r="O13" s="216">
        <f t="shared" si="0"/>
        <v>8.8000000000000007</v>
      </c>
    </row>
    <row r="14" spans="1:15" x14ac:dyDescent="0.3">
      <c r="A14" s="282" t="s">
        <v>164</v>
      </c>
      <c r="B14" s="185">
        <v>24</v>
      </c>
      <c r="C14" s="185">
        <v>2</v>
      </c>
      <c r="D14" s="286">
        <f t="shared" ref="D14" si="2">B14*C14</f>
        <v>48</v>
      </c>
      <c r="E14" s="295">
        <f>E13*0.05</f>
        <v>0.22000000000000003</v>
      </c>
      <c r="F14" s="296">
        <f t="shared" ref="F14:F17" si="3">D14*E14</f>
        <v>10.560000000000002</v>
      </c>
      <c r="G14" s="286">
        <f t="shared" ref="G14:G17" si="4">F14*0.05</f>
        <v>0.52800000000000014</v>
      </c>
      <c r="H14" s="286">
        <f t="shared" ref="H14:H17" si="5">F14*0.1</f>
        <v>1.0560000000000003</v>
      </c>
      <c r="I14" s="292">
        <f t="shared" ref="I14:I17" si="6">F14*$L$8+G14*$L$7+H14*$L$9</f>
        <v>1458.0350400000002</v>
      </c>
      <c r="J14" s="293"/>
      <c r="K14" s="294" t="s">
        <v>80</v>
      </c>
      <c r="L14" s="294">
        <v>44</v>
      </c>
      <c r="O14" s="216">
        <f t="shared" si="0"/>
        <v>0.44000000000000006</v>
      </c>
    </row>
    <row r="15" spans="1:15" ht="28.5" x14ac:dyDescent="0.3">
      <c r="A15" s="333" t="s">
        <v>106</v>
      </c>
      <c r="B15" s="286"/>
      <c r="C15" s="185"/>
      <c r="D15" s="286"/>
      <c r="E15" s="185"/>
      <c r="F15" s="296"/>
      <c r="G15" s="286"/>
      <c r="H15" s="286"/>
      <c r="I15" s="292"/>
      <c r="L15" s="293"/>
      <c r="M15" s="293"/>
      <c r="O15" s="216">
        <f t="shared" si="0"/>
        <v>0</v>
      </c>
    </row>
    <row r="16" spans="1:15" ht="26" x14ac:dyDescent="0.3">
      <c r="A16" s="332" t="s">
        <v>420</v>
      </c>
      <c r="B16" s="286">
        <v>24</v>
      </c>
      <c r="C16" s="185">
        <v>2</v>
      </c>
      <c r="D16" s="286">
        <f>B16*C16</f>
        <v>48</v>
      </c>
      <c r="E16" s="295">
        <f t="shared" ref="E16" si="7">L$14</f>
        <v>44</v>
      </c>
      <c r="F16" s="296">
        <f t="shared" si="3"/>
        <v>2112</v>
      </c>
      <c r="G16" s="286">
        <f t="shared" si="4"/>
        <v>105.60000000000001</v>
      </c>
      <c r="H16" s="286">
        <f t="shared" si="5"/>
        <v>211.20000000000002</v>
      </c>
      <c r="I16" s="292">
        <f t="shared" si="6"/>
        <v>291607.00800000003</v>
      </c>
      <c r="J16" s="226"/>
      <c r="N16" s="293"/>
      <c r="O16" s="216">
        <f t="shared" si="0"/>
        <v>88</v>
      </c>
    </row>
    <row r="17" spans="1:15" x14ac:dyDescent="0.3">
      <c r="A17" s="332" t="s">
        <v>165</v>
      </c>
      <c r="B17" s="185">
        <v>24</v>
      </c>
      <c r="C17" s="185">
        <v>2</v>
      </c>
      <c r="D17" s="286">
        <f t="shared" ref="D17" si="8">B17*C17</f>
        <v>48</v>
      </c>
      <c r="E17" s="295">
        <f>E16*0.05</f>
        <v>2.2000000000000002</v>
      </c>
      <c r="F17" s="296">
        <f t="shared" si="3"/>
        <v>105.60000000000001</v>
      </c>
      <c r="G17" s="286">
        <f t="shared" si="4"/>
        <v>5.2800000000000011</v>
      </c>
      <c r="H17" s="286">
        <f t="shared" si="5"/>
        <v>10.560000000000002</v>
      </c>
      <c r="I17" s="292">
        <f t="shared" si="6"/>
        <v>14580.350400000001</v>
      </c>
      <c r="J17" s="226"/>
      <c r="O17" s="216">
        <f t="shared" si="0"/>
        <v>4.4000000000000004</v>
      </c>
    </row>
    <row r="18" spans="1:15" ht="26" x14ac:dyDescent="0.3">
      <c r="A18" s="334" t="s">
        <v>111</v>
      </c>
      <c r="B18" s="286"/>
      <c r="C18" s="185"/>
      <c r="D18" s="286"/>
      <c r="E18" s="295"/>
      <c r="F18" s="286"/>
      <c r="G18" s="286"/>
      <c r="H18" s="286"/>
      <c r="I18" s="292"/>
      <c r="O18" s="216">
        <f t="shared" si="0"/>
        <v>0</v>
      </c>
    </row>
    <row r="19" spans="1:15" ht="28.5" customHeight="1" x14ac:dyDescent="0.3">
      <c r="A19" s="332" t="s">
        <v>113</v>
      </c>
      <c r="B19" s="286">
        <v>2</v>
      </c>
      <c r="C19" s="185">
        <v>1</v>
      </c>
      <c r="D19" s="286">
        <f>B19*C19</f>
        <v>2</v>
      </c>
      <c r="E19" s="295">
        <f>E13</f>
        <v>4.4000000000000004</v>
      </c>
      <c r="F19" s="286">
        <f t="shared" ref="F19:F20" si="9">D19*E19</f>
        <v>8.8000000000000007</v>
      </c>
      <c r="G19" s="286">
        <f t="shared" ref="G19:G20" si="10">F19*0.05</f>
        <v>0.44000000000000006</v>
      </c>
      <c r="H19" s="286">
        <f t="shared" ref="H19:H20" si="11">F19*0.1</f>
        <v>0.88000000000000012</v>
      </c>
      <c r="I19" s="292">
        <f t="shared" ref="I19:I20" si="12">F19*$L$8+G19*$L$7+H19*$L$9</f>
        <v>1215.0292000000002</v>
      </c>
      <c r="O19" s="216">
        <f t="shared" si="0"/>
        <v>4.4000000000000004</v>
      </c>
    </row>
    <row r="20" spans="1:15" ht="39" x14ac:dyDescent="0.3">
      <c r="A20" s="332" t="s">
        <v>425</v>
      </c>
      <c r="B20" s="286">
        <v>2</v>
      </c>
      <c r="C20" s="185">
        <v>2</v>
      </c>
      <c r="D20" s="286">
        <f>B20*C20</f>
        <v>4</v>
      </c>
      <c r="E20" s="295">
        <f>E13</f>
        <v>4.4000000000000004</v>
      </c>
      <c r="F20" s="286">
        <f t="shared" si="9"/>
        <v>17.600000000000001</v>
      </c>
      <c r="G20" s="286">
        <f t="shared" si="10"/>
        <v>0.88000000000000012</v>
      </c>
      <c r="H20" s="286">
        <f t="shared" si="11"/>
        <v>1.7600000000000002</v>
      </c>
      <c r="I20" s="292">
        <f t="shared" si="12"/>
        <v>2430.0584000000003</v>
      </c>
      <c r="O20" s="216">
        <f t="shared" si="0"/>
        <v>8.8000000000000007</v>
      </c>
    </row>
    <row r="21" spans="1:15" x14ac:dyDescent="0.3">
      <c r="A21" s="334" t="s">
        <v>75</v>
      </c>
      <c r="B21" s="290"/>
      <c r="C21" s="289"/>
      <c r="D21" s="290"/>
      <c r="E21" s="297"/>
      <c r="F21" s="290"/>
      <c r="G21" s="290"/>
      <c r="H21" s="290"/>
      <c r="I21" s="290"/>
      <c r="O21" s="216">
        <f t="shared" si="0"/>
        <v>0</v>
      </c>
    </row>
    <row r="22" spans="1:15" ht="26" x14ac:dyDescent="0.3">
      <c r="A22" s="332" t="s">
        <v>169</v>
      </c>
      <c r="B22" s="286">
        <v>2</v>
      </c>
      <c r="C22" s="185">
        <v>2</v>
      </c>
      <c r="D22" s="286">
        <f>B22*C22</f>
        <v>4</v>
      </c>
      <c r="E22" s="295">
        <f>L14</f>
        <v>44</v>
      </c>
      <c r="F22" s="286">
        <f>D22*E22</f>
        <v>176</v>
      </c>
      <c r="G22" s="286">
        <f>F22*0.05</f>
        <v>8.8000000000000007</v>
      </c>
      <c r="H22" s="286">
        <f>F22*0.1</f>
        <v>17.600000000000001</v>
      </c>
      <c r="I22" s="292">
        <f>F22*$L$8+G22*$L$7+H22*$L$9</f>
        <v>24300.583999999999</v>
      </c>
      <c r="O22" s="216">
        <f t="shared" si="0"/>
        <v>88</v>
      </c>
    </row>
    <row r="23" spans="1:15" ht="39" x14ac:dyDescent="0.3">
      <c r="A23" s="332" t="s">
        <v>424</v>
      </c>
      <c r="B23" s="286">
        <v>2</v>
      </c>
      <c r="C23" s="185">
        <v>2</v>
      </c>
      <c r="D23" s="286">
        <f>B23*C23</f>
        <v>4</v>
      </c>
      <c r="E23" s="295">
        <f>E22</f>
        <v>44</v>
      </c>
      <c r="F23" s="286">
        <f>D23*E23</f>
        <v>176</v>
      </c>
      <c r="G23" s="286">
        <f>F23*0.05</f>
        <v>8.8000000000000007</v>
      </c>
      <c r="H23" s="286">
        <f>F23*0.1</f>
        <v>17.600000000000001</v>
      </c>
      <c r="I23" s="292">
        <f>F23*$L$8+G23*$L$7+H23*$L$9</f>
        <v>24300.583999999999</v>
      </c>
      <c r="O23" s="216">
        <f t="shared" si="0"/>
        <v>88</v>
      </c>
    </row>
    <row r="24" spans="1:15" ht="26.5" customHeight="1" x14ac:dyDescent="0.3">
      <c r="A24" s="298" t="s">
        <v>86</v>
      </c>
      <c r="B24" s="299"/>
      <c r="C24" s="300"/>
      <c r="D24" s="299"/>
      <c r="E24" s="301"/>
      <c r="F24" s="302">
        <f>SUM(F8:H23)</f>
        <v>3286.4240000000004</v>
      </c>
      <c r="G24" s="302"/>
      <c r="H24" s="302"/>
      <c r="I24" s="303">
        <f>SUM(I8:I23)</f>
        <v>394575.20983999997</v>
      </c>
      <c r="O24" s="216">
        <f t="shared" si="0"/>
        <v>0</v>
      </c>
    </row>
    <row r="25" spans="1:15" ht="26" x14ac:dyDescent="0.3">
      <c r="A25" s="288" t="s">
        <v>115</v>
      </c>
      <c r="B25" s="290"/>
      <c r="C25" s="289"/>
      <c r="D25" s="290"/>
      <c r="E25" s="297"/>
      <c r="F25" s="290"/>
      <c r="G25" s="290"/>
      <c r="H25" s="290"/>
      <c r="I25" s="290"/>
      <c r="O25" s="216">
        <f t="shared" si="0"/>
        <v>0</v>
      </c>
    </row>
    <row r="26" spans="1:15" ht="26" x14ac:dyDescent="0.3">
      <c r="A26" s="332" t="s">
        <v>100</v>
      </c>
      <c r="B26" s="286"/>
      <c r="C26" s="289"/>
      <c r="D26" s="290"/>
      <c r="E26" s="289"/>
      <c r="F26" s="290"/>
      <c r="G26" s="290"/>
      <c r="H26" s="290"/>
      <c r="I26" s="290"/>
      <c r="O26" s="216">
        <f t="shared" si="0"/>
        <v>0</v>
      </c>
    </row>
    <row r="27" spans="1:15" x14ac:dyDescent="0.3">
      <c r="A27" s="332" t="s">
        <v>116</v>
      </c>
      <c r="B27" s="286"/>
      <c r="C27" s="289"/>
      <c r="D27" s="290"/>
      <c r="E27" s="289"/>
      <c r="F27" s="290"/>
      <c r="G27" s="290"/>
      <c r="H27" s="290"/>
      <c r="I27" s="290"/>
      <c r="O27" s="216">
        <f t="shared" si="0"/>
        <v>0</v>
      </c>
    </row>
    <row r="28" spans="1:15" x14ac:dyDescent="0.3">
      <c r="A28" s="332" t="s">
        <v>117</v>
      </c>
      <c r="B28" s="286"/>
      <c r="C28" s="289"/>
      <c r="D28" s="290"/>
      <c r="E28" s="289"/>
      <c r="F28" s="290"/>
      <c r="G28" s="290"/>
      <c r="H28" s="290"/>
      <c r="I28" s="290"/>
      <c r="O28" s="216">
        <f t="shared" si="0"/>
        <v>0</v>
      </c>
    </row>
    <row r="29" spans="1:15" x14ac:dyDescent="0.3">
      <c r="A29" s="332" t="s">
        <v>118</v>
      </c>
      <c r="B29" s="286" t="s">
        <v>77</v>
      </c>
      <c r="C29" s="289"/>
      <c r="D29" s="290"/>
      <c r="E29" s="289"/>
      <c r="F29" s="290"/>
      <c r="G29" s="290"/>
      <c r="H29" s="290"/>
      <c r="I29" s="290"/>
      <c r="O29" s="216">
        <f t="shared" si="0"/>
        <v>0</v>
      </c>
    </row>
    <row r="30" spans="1:15" ht="26" x14ac:dyDescent="0.3">
      <c r="A30" s="332" t="s">
        <v>119</v>
      </c>
      <c r="B30" s="290"/>
      <c r="C30" s="289"/>
      <c r="D30" s="290"/>
      <c r="E30" s="289"/>
      <c r="F30" s="290"/>
      <c r="G30" s="290"/>
      <c r="H30" s="290"/>
      <c r="I30" s="290"/>
      <c r="O30" s="216">
        <f t="shared" si="0"/>
        <v>0</v>
      </c>
    </row>
    <row r="31" spans="1:15" x14ac:dyDescent="0.3">
      <c r="A31" s="334" t="s">
        <v>75</v>
      </c>
      <c r="B31" s="290"/>
      <c r="C31" s="289"/>
      <c r="D31" s="290"/>
      <c r="E31" s="289"/>
      <c r="F31" s="290"/>
      <c r="G31" s="290"/>
      <c r="H31" s="290"/>
      <c r="I31" s="290"/>
      <c r="O31" s="216">
        <f t="shared" si="0"/>
        <v>0</v>
      </c>
    </row>
    <row r="32" spans="1:15" x14ac:dyDescent="0.3">
      <c r="A32" s="332" t="s">
        <v>120</v>
      </c>
      <c r="B32" s="286">
        <v>0.1</v>
      </c>
      <c r="C32" s="185">
        <v>2</v>
      </c>
      <c r="D32" s="286">
        <v>33</v>
      </c>
      <c r="E32" s="295">
        <f>$L$14</f>
        <v>44</v>
      </c>
      <c r="F32" s="296">
        <f t="shared" ref="F32:F37" si="13">D32*E32</f>
        <v>1452</v>
      </c>
      <c r="G32" s="286">
        <f t="shared" ref="G32:G37" si="14">F32*0.05</f>
        <v>72.600000000000009</v>
      </c>
      <c r="H32" s="286">
        <f t="shared" ref="H32:H37" si="15">F32*0.1</f>
        <v>145.20000000000002</v>
      </c>
      <c r="I32" s="292">
        <f>F32*$L$8+G32*$L$7+H32*$L$9</f>
        <v>200479.818</v>
      </c>
      <c r="O32" s="216">
        <f t="shared" si="0"/>
        <v>88</v>
      </c>
    </row>
    <row r="33" spans="1:16" x14ac:dyDescent="0.3">
      <c r="A33" s="332" t="s">
        <v>171</v>
      </c>
      <c r="B33" s="286">
        <v>0.1</v>
      </c>
      <c r="C33" s="185">
        <v>2</v>
      </c>
      <c r="D33" s="286">
        <v>24</v>
      </c>
      <c r="E33" s="295">
        <f>E32</f>
        <v>44</v>
      </c>
      <c r="F33" s="296">
        <f t="shared" si="13"/>
        <v>1056</v>
      </c>
      <c r="G33" s="286">
        <f t="shared" si="14"/>
        <v>52.800000000000004</v>
      </c>
      <c r="H33" s="286">
        <f t="shared" si="15"/>
        <v>105.60000000000001</v>
      </c>
      <c r="I33" s="292">
        <f>F33*$L$8+G33*$L$7+H33*$L$9</f>
        <v>145803.50400000002</v>
      </c>
      <c r="O33" s="216">
        <f t="shared" si="0"/>
        <v>88</v>
      </c>
    </row>
    <row r="34" spans="1:16" x14ac:dyDescent="0.3">
      <c r="A34" s="334" t="s">
        <v>76</v>
      </c>
      <c r="B34" s="286"/>
      <c r="C34" s="185"/>
      <c r="D34" s="286"/>
      <c r="E34" s="295"/>
      <c r="F34" s="296"/>
      <c r="G34" s="286"/>
      <c r="H34" s="286"/>
      <c r="I34" s="292"/>
      <c r="O34" s="216">
        <f t="shared" si="0"/>
        <v>0</v>
      </c>
    </row>
    <row r="35" spans="1:16" x14ac:dyDescent="0.3">
      <c r="A35" s="332" t="s">
        <v>120</v>
      </c>
      <c r="B35" s="286">
        <v>1.5</v>
      </c>
      <c r="C35" s="185">
        <v>2</v>
      </c>
      <c r="D35" s="286">
        <f>B35*C35</f>
        <v>3</v>
      </c>
      <c r="E35" s="295">
        <f>$L$12</f>
        <v>0</v>
      </c>
      <c r="F35" s="296">
        <f t="shared" ref="F35:F36" si="16">D35*E35</f>
        <v>0</v>
      </c>
      <c r="G35" s="286">
        <f t="shared" ref="G35:G36" si="17">F35*0.05</f>
        <v>0</v>
      </c>
      <c r="H35" s="286">
        <f t="shared" ref="H35:H36" si="18">F35*0.1</f>
        <v>0</v>
      </c>
      <c r="I35" s="291">
        <f>F35*$L$8+G35*$L$7+H35*$L$9</f>
        <v>0</v>
      </c>
      <c r="O35" s="216">
        <f t="shared" si="0"/>
        <v>0</v>
      </c>
    </row>
    <row r="36" spans="1:16" x14ac:dyDescent="0.3">
      <c r="A36" s="332" t="s">
        <v>171</v>
      </c>
      <c r="B36" s="286">
        <v>0.1</v>
      </c>
      <c r="C36" s="185">
        <v>2</v>
      </c>
      <c r="D36" s="286">
        <f t="shared" ref="D36:D37" si="19">B36*C36</f>
        <v>0.2</v>
      </c>
      <c r="E36" s="295">
        <f>$L$12</f>
        <v>0</v>
      </c>
      <c r="F36" s="296">
        <f t="shared" si="16"/>
        <v>0</v>
      </c>
      <c r="G36" s="286">
        <f t="shared" si="17"/>
        <v>0</v>
      </c>
      <c r="H36" s="286">
        <f t="shared" si="18"/>
        <v>0</v>
      </c>
      <c r="I36" s="291">
        <f>F36*$L$8+G36*$L$7+H36*$L$9</f>
        <v>0</v>
      </c>
      <c r="O36" s="216">
        <f t="shared" si="0"/>
        <v>0</v>
      </c>
    </row>
    <row r="37" spans="1:16" x14ac:dyDescent="0.3">
      <c r="A37" s="332" t="s">
        <v>121</v>
      </c>
      <c r="B37" s="286">
        <v>80</v>
      </c>
      <c r="C37" s="185">
        <v>1</v>
      </c>
      <c r="D37" s="286">
        <f t="shared" si="19"/>
        <v>80</v>
      </c>
      <c r="E37" s="295">
        <f>$L$12</f>
        <v>0</v>
      </c>
      <c r="F37" s="296">
        <f t="shared" si="13"/>
        <v>0</v>
      </c>
      <c r="G37" s="286">
        <f t="shared" si="14"/>
        <v>0</v>
      </c>
      <c r="H37" s="286">
        <f t="shared" si="15"/>
        <v>0</v>
      </c>
      <c r="I37" s="291">
        <f>F37*$L$8+G37*$L$7+H37*$L$9</f>
        <v>0</v>
      </c>
      <c r="O37" s="216">
        <f t="shared" si="0"/>
        <v>0</v>
      </c>
    </row>
    <row r="38" spans="1:16" x14ac:dyDescent="0.3">
      <c r="A38" s="332" t="s">
        <v>122</v>
      </c>
      <c r="B38" s="286" t="s">
        <v>77</v>
      </c>
      <c r="C38" s="289"/>
      <c r="D38" s="290"/>
      <c r="E38" s="289"/>
      <c r="F38" s="290"/>
      <c r="G38" s="290"/>
      <c r="H38" s="290"/>
      <c r="I38" s="290"/>
      <c r="O38" s="216">
        <f t="shared" si="0"/>
        <v>0</v>
      </c>
    </row>
    <row r="39" spans="1:16" ht="31.5" customHeight="1" x14ac:dyDescent="0.3">
      <c r="A39" s="298" t="s">
        <v>60</v>
      </c>
      <c r="B39" s="304"/>
      <c r="C39" s="305"/>
      <c r="D39" s="304"/>
      <c r="E39" s="306"/>
      <c r="F39" s="302">
        <f>SUM(F32:H37)</f>
        <v>2884.2000000000003</v>
      </c>
      <c r="G39" s="302"/>
      <c r="H39" s="302"/>
      <c r="I39" s="303">
        <f>SUM(I32:I38)</f>
        <v>346283.32200000004</v>
      </c>
      <c r="O39" s="216">
        <f>SUM(O6:O38)</f>
        <v>506.84000000000003</v>
      </c>
      <c r="P39" s="216" t="s">
        <v>385</v>
      </c>
    </row>
    <row r="40" spans="1:16" ht="28" x14ac:dyDescent="0.3">
      <c r="A40" s="307" t="s">
        <v>184</v>
      </c>
      <c r="B40" s="308"/>
      <c r="C40" s="195"/>
      <c r="D40" s="308"/>
      <c r="E40" s="309"/>
      <c r="F40" s="369">
        <f>ROUND(F39+F24, -2)</f>
        <v>6200</v>
      </c>
      <c r="G40" s="369"/>
      <c r="H40" s="369"/>
      <c r="I40" s="310">
        <f>ROUND(I39+I24, -4)</f>
        <v>740000</v>
      </c>
      <c r="K40" s="311">
        <f>F40/212</f>
        <v>29.245283018867923</v>
      </c>
      <c r="L40" s="216" t="s">
        <v>124</v>
      </c>
    </row>
    <row r="41" spans="1:16" ht="28" x14ac:dyDescent="0.3">
      <c r="A41" s="194" t="s">
        <v>185</v>
      </c>
      <c r="B41" s="290"/>
      <c r="C41" s="289"/>
      <c r="D41" s="290"/>
      <c r="E41" s="289"/>
      <c r="F41" s="290"/>
      <c r="G41" s="290"/>
      <c r="H41" s="290"/>
      <c r="I41" s="310">
        <f>SS!$G$12</f>
        <v>43600</v>
      </c>
    </row>
    <row r="42" spans="1:16" ht="15" x14ac:dyDescent="0.3">
      <c r="A42" s="194" t="s">
        <v>186</v>
      </c>
      <c r="B42" s="290"/>
      <c r="C42" s="289"/>
      <c r="D42" s="290"/>
      <c r="E42" s="289"/>
      <c r="F42" s="290"/>
      <c r="G42" s="290"/>
      <c r="H42" s="290"/>
      <c r="I42" s="310">
        <f>ROUND(I40+I41, -5)</f>
        <v>800000</v>
      </c>
    </row>
    <row r="44" spans="1:16" ht="15.5" x14ac:dyDescent="0.3">
      <c r="A44" s="367" t="s">
        <v>423</v>
      </c>
      <c r="B44" s="367"/>
      <c r="C44" s="367"/>
      <c r="D44" s="367"/>
      <c r="E44" s="367"/>
      <c r="F44" s="367"/>
      <c r="G44" s="367"/>
      <c r="H44" s="367"/>
      <c r="I44" s="367"/>
    </row>
    <row r="45" spans="1:16" ht="52.5" customHeight="1" x14ac:dyDescent="0.3">
      <c r="A45" s="370" t="s">
        <v>182</v>
      </c>
      <c r="B45" s="370"/>
      <c r="C45" s="370"/>
      <c r="D45" s="370"/>
      <c r="E45" s="370"/>
      <c r="F45" s="370"/>
      <c r="G45" s="370"/>
      <c r="H45" s="370"/>
      <c r="I45" s="370"/>
    </row>
    <row r="46" spans="1:16" ht="23" customHeight="1" x14ac:dyDescent="0.3">
      <c r="A46" s="367" t="s">
        <v>422</v>
      </c>
      <c r="B46" s="367"/>
      <c r="C46" s="367"/>
      <c r="D46" s="367"/>
      <c r="E46" s="367"/>
      <c r="F46" s="367"/>
      <c r="G46" s="367"/>
      <c r="H46" s="367"/>
      <c r="I46" s="367"/>
    </row>
    <row r="47" spans="1:16" ht="21" customHeight="1" x14ac:dyDescent="0.3">
      <c r="A47" s="371" t="s">
        <v>421</v>
      </c>
      <c r="B47" s="371"/>
      <c r="C47" s="371"/>
      <c r="D47" s="371"/>
      <c r="E47" s="371"/>
      <c r="F47" s="371"/>
      <c r="G47" s="371"/>
      <c r="H47" s="371"/>
      <c r="I47" s="371"/>
    </row>
    <row r="48" spans="1:16" ht="18.75" customHeight="1" x14ac:dyDescent="0.3">
      <c r="A48" s="366" t="s">
        <v>183</v>
      </c>
      <c r="B48" s="366"/>
      <c r="C48" s="366"/>
      <c r="D48" s="366"/>
      <c r="E48" s="366"/>
      <c r="F48" s="366"/>
      <c r="G48" s="366"/>
      <c r="H48" s="366"/>
      <c r="I48" s="366"/>
    </row>
    <row r="49" spans="1:9" ht="18.75" customHeight="1" x14ac:dyDescent="0.3">
      <c r="A49" s="366"/>
      <c r="B49" s="366"/>
      <c r="C49" s="366"/>
      <c r="D49" s="366"/>
      <c r="E49" s="366"/>
      <c r="F49" s="366"/>
      <c r="G49" s="366"/>
      <c r="H49" s="366"/>
      <c r="I49" s="366"/>
    </row>
  </sheetData>
  <mergeCells count="10">
    <mergeCell ref="A49:I49"/>
    <mergeCell ref="A1:I1"/>
    <mergeCell ref="A3:I3"/>
    <mergeCell ref="K6:L6"/>
    <mergeCell ref="F40:H40"/>
    <mergeCell ref="A44:I44"/>
    <mergeCell ref="A45:I45"/>
    <mergeCell ref="A46:I46"/>
    <mergeCell ref="A47:I47"/>
    <mergeCell ref="A48:I48"/>
  </mergeCells>
  <pageMargins left="0.7" right="0.7" top="0.75" bottom="0.75" header="0.3" footer="0.3"/>
  <pageSetup scale="3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D465-2653-4870-B0B2-7C39E259DBF3}">
  <sheetPr codeName="Sheet23"/>
  <dimension ref="A1:P26"/>
  <sheetViews>
    <sheetView workbookViewId="0">
      <selection activeCell="A4" sqref="A4:I4"/>
    </sheetView>
  </sheetViews>
  <sheetFormatPr defaultColWidth="9.1796875" defaultRowHeight="14.5" x14ac:dyDescent="0.35"/>
  <cols>
    <col min="1" max="1" width="39.1796875" style="182" customWidth="1"/>
    <col min="2" max="2" width="9.81640625" style="182" customWidth="1"/>
    <col min="3" max="8" width="9.1796875" style="182"/>
    <col min="9" max="9" width="13.81640625" style="182" customWidth="1"/>
    <col min="10" max="10" width="9.1796875" style="182"/>
    <col min="11" max="11" width="13.1796875" style="192" customWidth="1"/>
    <col min="12" max="12" width="9.1796875" style="182"/>
    <col min="13" max="13" width="18.453125" style="182" customWidth="1"/>
    <col min="14" max="16384" width="9.1796875" style="182"/>
  </cols>
  <sheetData>
    <row r="1" spans="1:16" ht="15" x14ac:dyDescent="0.35">
      <c r="A1" s="362" t="s">
        <v>178</v>
      </c>
      <c r="B1" s="362"/>
      <c r="C1" s="362"/>
      <c r="D1" s="362"/>
      <c r="E1" s="362"/>
      <c r="F1" s="362"/>
      <c r="G1" s="362"/>
      <c r="H1" s="362"/>
      <c r="I1" s="362"/>
    </row>
    <row r="2" spans="1:16" ht="15" x14ac:dyDescent="0.35">
      <c r="A2" s="200" t="s">
        <v>204</v>
      </c>
      <c r="B2" s="200"/>
      <c r="C2" s="200"/>
      <c r="D2" s="200"/>
      <c r="E2" s="200"/>
      <c r="F2" s="200"/>
      <c r="G2" s="200"/>
      <c r="H2" s="200"/>
      <c r="I2" s="200"/>
    </row>
    <row r="3" spans="1:16" ht="36.75" customHeight="1" x14ac:dyDescent="0.35">
      <c r="A3" s="376" t="s">
        <v>445</v>
      </c>
      <c r="B3" s="376"/>
      <c r="C3" s="376"/>
      <c r="D3" s="376"/>
      <c r="E3" s="376"/>
      <c r="F3" s="376"/>
      <c r="G3" s="376"/>
      <c r="H3" s="376"/>
      <c r="I3" s="376"/>
    </row>
    <row r="4" spans="1:16" ht="15" x14ac:dyDescent="0.35">
      <c r="A4" s="377"/>
      <c r="B4" s="377"/>
      <c r="C4" s="377"/>
      <c r="D4" s="377"/>
      <c r="E4" s="377"/>
      <c r="F4" s="377"/>
      <c r="G4" s="377"/>
      <c r="H4" s="377"/>
      <c r="I4" s="377"/>
    </row>
    <row r="5" spans="1:16" x14ac:dyDescent="0.35">
      <c r="A5" s="378" t="s">
        <v>87</v>
      </c>
      <c r="B5" s="180" t="s">
        <v>22</v>
      </c>
      <c r="C5" s="180" t="s">
        <v>23</v>
      </c>
      <c r="D5" s="180" t="s">
        <v>24</v>
      </c>
      <c r="E5" s="180" t="s">
        <v>71</v>
      </c>
      <c r="F5" s="180" t="s">
        <v>26</v>
      </c>
      <c r="G5" s="180" t="s">
        <v>25</v>
      </c>
      <c r="H5" s="180" t="s">
        <v>72</v>
      </c>
      <c r="I5" s="180" t="s">
        <v>73</v>
      </c>
    </row>
    <row r="6" spans="1:16" ht="65" x14ac:dyDescent="0.35">
      <c r="A6" s="378"/>
      <c r="B6" s="180" t="s">
        <v>127</v>
      </c>
      <c r="C6" s="180" t="s">
        <v>128</v>
      </c>
      <c r="D6" s="180" t="s">
        <v>129</v>
      </c>
      <c r="E6" s="180" t="s">
        <v>130</v>
      </c>
      <c r="F6" s="180" t="s">
        <v>131</v>
      </c>
      <c r="G6" s="180" t="s">
        <v>132</v>
      </c>
      <c r="H6" s="180" t="s">
        <v>133</v>
      </c>
      <c r="I6" s="180" t="s">
        <v>134</v>
      </c>
    </row>
    <row r="7" spans="1:16" x14ac:dyDescent="0.35">
      <c r="A7" s="378"/>
      <c r="B7" s="181"/>
      <c r="C7" s="181"/>
      <c r="D7" s="180" t="s">
        <v>135</v>
      </c>
      <c r="E7" s="181"/>
      <c r="F7" s="180" t="s">
        <v>136</v>
      </c>
      <c r="G7" s="180" t="s">
        <v>137</v>
      </c>
      <c r="H7" s="180" t="s">
        <v>138</v>
      </c>
      <c r="I7" s="181"/>
      <c r="K7" s="368" t="s">
        <v>68</v>
      </c>
      <c r="L7" s="368"/>
      <c r="M7" s="280"/>
      <c r="O7" s="182" t="s">
        <v>383</v>
      </c>
    </row>
    <row r="8" spans="1:16" ht="78.5" x14ac:dyDescent="0.35">
      <c r="A8" s="281" t="s">
        <v>139</v>
      </c>
      <c r="B8" s="185">
        <v>24</v>
      </c>
      <c r="C8" s="185">
        <v>1</v>
      </c>
      <c r="D8" s="185">
        <f>B8*C8</f>
        <v>24</v>
      </c>
      <c r="E8" s="185">
        <f>SI!E19</f>
        <v>4.4000000000000004</v>
      </c>
      <c r="F8" s="186">
        <f>D8*E8</f>
        <v>105.60000000000001</v>
      </c>
      <c r="G8" s="186">
        <f>F8*0.05</f>
        <v>5.2800000000000011</v>
      </c>
      <c r="H8" s="186">
        <f>F8*0.1</f>
        <v>10.560000000000002</v>
      </c>
      <c r="I8" s="187">
        <f>(F8*$L$9)+(G8*$L$8)+(H8*$L$10)</f>
        <v>6067.2480000000005</v>
      </c>
      <c r="K8" s="183" t="s">
        <v>69</v>
      </c>
      <c r="L8" s="184">
        <v>69.040000000000006</v>
      </c>
      <c r="M8" s="224" t="s">
        <v>172</v>
      </c>
      <c r="O8" s="182">
        <f>C8*E8</f>
        <v>4.4000000000000004</v>
      </c>
    </row>
    <row r="9" spans="1:16" ht="15.5" x14ac:dyDescent="0.35">
      <c r="A9" s="281" t="s">
        <v>140</v>
      </c>
      <c r="B9" s="185">
        <v>24</v>
      </c>
      <c r="C9" s="185">
        <v>1</v>
      </c>
      <c r="D9" s="185">
        <f>B9*C9</f>
        <v>24</v>
      </c>
      <c r="E9" s="185">
        <v>0</v>
      </c>
      <c r="F9" s="189">
        <f>D9*E9</f>
        <v>0</v>
      </c>
      <c r="G9" s="189">
        <f>F9*0.05</f>
        <v>0</v>
      </c>
      <c r="H9" s="189">
        <f>F9*0.1</f>
        <v>0</v>
      </c>
      <c r="I9" s="190">
        <f>(F9*$L$9)+(G9*$L$8)+(H9*$L$10)</f>
        <v>0</v>
      </c>
      <c r="K9" s="183" t="s">
        <v>33</v>
      </c>
      <c r="L9" s="188">
        <v>51.23</v>
      </c>
      <c r="M9" s="260"/>
      <c r="O9" s="182">
        <f t="shared" ref="O9:O12" si="0">C9*E9</f>
        <v>0</v>
      </c>
    </row>
    <row r="10" spans="1:16" x14ac:dyDescent="0.35">
      <c r="A10" s="281" t="s">
        <v>141</v>
      </c>
      <c r="B10" s="185"/>
      <c r="C10" s="185"/>
      <c r="D10" s="185"/>
      <c r="E10" s="185"/>
      <c r="F10" s="186"/>
      <c r="G10" s="186"/>
      <c r="H10" s="186"/>
      <c r="I10" s="191"/>
      <c r="K10" s="183" t="s">
        <v>34</v>
      </c>
      <c r="L10" s="188">
        <v>27.73</v>
      </c>
      <c r="M10" s="260"/>
      <c r="O10" s="182">
        <f t="shared" si="0"/>
        <v>0</v>
      </c>
    </row>
    <row r="11" spans="1:16" ht="15.5" x14ac:dyDescent="0.35">
      <c r="A11" s="282" t="s">
        <v>142</v>
      </c>
      <c r="B11" s="185">
        <v>0.5</v>
      </c>
      <c r="C11" s="185">
        <v>1.1000000000000001</v>
      </c>
      <c r="D11" s="185">
        <f t="shared" ref="D11:D12" si="1">B11*C11</f>
        <v>0.55000000000000004</v>
      </c>
      <c r="E11" s="185">
        <v>44</v>
      </c>
      <c r="F11" s="186">
        <f t="shared" ref="F11:F12" si="2">D11*E11</f>
        <v>24.200000000000003</v>
      </c>
      <c r="G11" s="186">
        <f t="shared" ref="G11:G12" si="3">F11*0.05</f>
        <v>1.2100000000000002</v>
      </c>
      <c r="H11" s="186">
        <f t="shared" ref="H11:H12" si="4">F11*0.1</f>
        <v>2.4200000000000004</v>
      </c>
      <c r="I11" s="187">
        <f t="shared" ref="I11:I12" si="5">(F11*$L$9)+(G11*$L$8)+(H11*$L$10)</f>
        <v>1390.4110000000001</v>
      </c>
      <c r="O11" s="182">
        <f t="shared" si="0"/>
        <v>48.400000000000006</v>
      </c>
    </row>
    <row r="12" spans="1:16" x14ac:dyDescent="0.35">
      <c r="A12" s="282" t="s">
        <v>173</v>
      </c>
      <c r="B12" s="185">
        <v>8</v>
      </c>
      <c r="C12" s="185">
        <v>2</v>
      </c>
      <c r="D12" s="185">
        <f t="shared" si="1"/>
        <v>16</v>
      </c>
      <c r="E12" s="185">
        <v>44</v>
      </c>
      <c r="F12" s="186">
        <f t="shared" si="2"/>
        <v>704</v>
      </c>
      <c r="G12" s="193">
        <f t="shared" si="3"/>
        <v>35.200000000000003</v>
      </c>
      <c r="H12" s="193">
        <f t="shared" si="4"/>
        <v>70.400000000000006</v>
      </c>
      <c r="I12" s="187">
        <f t="shared" si="5"/>
        <v>40448.32</v>
      </c>
      <c r="O12" s="182">
        <f t="shared" si="0"/>
        <v>88</v>
      </c>
    </row>
    <row r="13" spans="1:16" ht="20.25" customHeight="1" x14ac:dyDescent="0.35">
      <c r="A13" s="194" t="s">
        <v>144</v>
      </c>
      <c r="B13" s="194"/>
      <c r="C13" s="194"/>
      <c r="D13" s="194"/>
      <c r="E13" s="194"/>
      <c r="F13" s="195">
        <f>ROUND(SUM(F8:H12), -1)</f>
        <v>960</v>
      </c>
      <c r="G13" s="196"/>
      <c r="H13" s="196"/>
      <c r="I13" s="197">
        <f>ROUND(SUM(I8:I12), -2)</f>
        <v>47900</v>
      </c>
      <c r="O13" s="182">
        <f>SUM(O8:O12)</f>
        <v>140.80000000000001</v>
      </c>
      <c r="P13" s="182" t="s">
        <v>385</v>
      </c>
    </row>
    <row r="14" spans="1:16" x14ac:dyDescent="0.35">
      <c r="A14" s="283"/>
      <c r="G14" s="198"/>
    </row>
    <row r="15" spans="1:16" x14ac:dyDescent="0.35">
      <c r="A15" s="283" t="s">
        <v>61</v>
      </c>
    </row>
    <row r="16" spans="1:16" ht="24.75" customHeight="1" x14ac:dyDescent="0.35">
      <c r="A16" s="372" t="s">
        <v>179</v>
      </c>
      <c r="B16" s="372"/>
      <c r="C16" s="372"/>
      <c r="D16" s="372"/>
      <c r="E16" s="372"/>
      <c r="F16" s="372"/>
      <c r="G16" s="372"/>
      <c r="H16" s="372"/>
      <c r="I16" s="372"/>
    </row>
    <row r="17" spans="1:9" ht="49.5" customHeight="1" x14ac:dyDescent="0.35">
      <c r="A17" s="372" t="s">
        <v>174</v>
      </c>
      <c r="B17" s="372"/>
      <c r="C17" s="372"/>
      <c r="D17" s="372"/>
      <c r="E17" s="372"/>
      <c r="F17" s="372"/>
      <c r="G17" s="372"/>
      <c r="H17" s="372"/>
      <c r="I17" s="372"/>
    </row>
    <row r="18" spans="1:9" ht="32.25" customHeight="1" x14ac:dyDescent="0.35">
      <c r="A18" s="373" t="s">
        <v>175</v>
      </c>
      <c r="B18" s="373"/>
      <c r="C18" s="373"/>
      <c r="D18" s="373"/>
      <c r="E18" s="373"/>
      <c r="F18" s="373"/>
      <c r="G18" s="373"/>
      <c r="H18" s="373"/>
      <c r="I18" s="373"/>
    </row>
    <row r="19" spans="1:9" ht="15.5" x14ac:dyDescent="0.35">
      <c r="A19" s="374" t="s">
        <v>146</v>
      </c>
      <c r="B19" s="374"/>
      <c r="C19" s="374"/>
      <c r="D19" s="374"/>
      <c r="E19" s="374"/>
      <c r="F19" s="374"/>
      <c r="G19" s="374"/>
      <c r="H19" s="374"/>
      <c r="I19" s="374"/>
    </row>
    <row r="20" spans="1:9" ht="15.5" x14ac:dyDescent="0.35">
      <c r="A20" s="375" t="s">
        <v>176</v>
      </c>
      <c r="B20" s="375"/>
      <c r="C20" s="375"/>
      <c r="D20" s="375"/>
      <c r="E20" s="375"/>
      <c r="F20" s="375"/>
      <c r="G20" s="375"/>
      <c r="H20" s="375"/>
      <c r="I20" s="375"/>
    </row>
    <row r="21" spans="1:9" ht="15.5" x14ac:dyDescent="0.35">
      <c r="A21" s="375" t="s">
        <v>147</v>
      </c>
      <c r="B21" s="375"/>
      <c r="C21" s="375"/>
      <c r="D21" s="375"/>
      <c r="E21" s="375"/>
      <c r="F21" s="375"/>
      <c r="G21" s="375"/>
      <c r="H21" s="375"/>
      <c r="I21" s="375"/>
    </row>
    <row r="23" spans="1:9" x14ac:dyDescent="0.35">
      <c r="A23" s="284"/>
    </row>
    <row r="24" spans="1:9" x14ac:dyDescent="0.35">
      <c r="A24" s="284"/>
    </row>
    <row r="25" spans="1:9" x14ac:dyDescent="0.35">
      <c r="A25" s="284"/>
    </row>
    <row r="26" spans="1:9" x14ac:dyDescent="0.35">
      <c r="A26" s="284"/>
    </row>
  </sheetData>
  <mergeCells count="11">
    <mergeCell ref="K7:L7"/>
    <mergeCell ref="A17:I17"/>
    <mergeCell ref="A18:I18"/>
    <mergeCell ref="A19:I19"/>
    <mergeCell ref="A20:I20"/>
    <mergeCell ref="A16:I16"/>
    <mergeCell ref="A1:I1"/>
    <mergeCell ref="A3:I3"/>
    <mergeCell ref="A4:I4"/>
    <mergeCell ref="A5:A7"/>
    <mergeCell ref="A21:I21"/>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AB83-BD15-44C9-8636-DF91C3CE3CBE}">
  <sheetPr codeName="Sheet24"/>
  <dimension ref="A1:J15"/>
  <sheetViews>
    <sheetView workbookViewId="0">
      <selection activeCell="A4" sqref="A4"/>
    </sheetView>
  </sheetViews>
  <sheetFormatPr defaultColWidth="9.1796875" defaultRowHeight="13" x14ac:dyDescent="0.3"/>
  <cols>
    <col min="1" max="1" width="22.26953125" style="270" customWidth="1"/>
    <col min="2" max="7" width="12.1796875" style="270" customWidth="1"/>
    <col min="8" max="16384" width="9.1796875" style="270"/>
  </cols>
  <sheetData>
    <row r="1" spans="1:10" ht="15" x14ac:dyDescent="0.3">
      <c r="A1" s="362" t="s">
        <v>178</v>
      </c>
      <c r="B1" s="362"/>
      <c r="C1" s="362"/>
      <c r="D1" s="362"/>
      <c r="E1" s="362"/>
      <c r="F1" s="362"/>
      <c r="G1" s="362"/>
      <c r="H1" s="362"/>
      <c r="I1" s="362"/>
    </row>
    <row r="2" spans="1:10" ht="15" x14ac:dyDescent="0.3">
      <c r="A2" s="200" t="s">
        <v>204</v>
      </c>
      <c r="B2" s="200"/>
      <c r="C2" s="200"/>
      <c r="D2" s="200"/>
      <c r="E2" s="200"/>
      <c r="F2" s="200"/>
      <c r="G2" s="200"/>
      <c r="H2" s="200"/>
      <c r="I2" s="200"/>
    </row>
    <row r="3" spans="1:10" ht="15" x14ac:dyDescent="0.3">
      <c r="A3" s="393" t="s">
        <v>446</v>
      </c>
      <c r="B3" s="393"/>
      <c r="C3" s="393"/>
      <c r="D3" s="393"/>
      <c r="E3" s="393"/>
      <c r="F3" s="393"/>
      <c r="G3" s="393"/>
    </row>
    <row r="4" spans="1:10" x14ac:dyDescent="0.3">
      <c r="A4" s="271"/>
      <c r="B4" s="272"/>
      <c r="C4" s="272"/>
      <c r="D4" s="272"/>
      <c r="E4" s="272"/>
      <c r="F4" s="272"/>
      <c r="G4" s="272"/>
    </row>
    <row r="5" spans="1:10" x14ac:dyDescent="0.3">
      <c r="A5" s="272" t="s">
        <v>22</v>
      </c>
      <c r="B5" s="272" t="s">
        <v>23</v>
      </c>
      <c r="C5" s="272" t="s">
        <v>24</v>
      </c>
      <c r="D5" s="272" t="s">
        <v>71</v>
      </c>
      <c r="E5" s="272" t="s">
        <v>26</v>
      </c>
      <c r="F5" s="272" t="s">
        <v>25</v>
      </c>
      <c r="G5" s="272" t="s">
        <v>72</v>
      </c>
    </row>
    <row r="6" spans="1:10" ht="54.5" x14ac:dyDescent="0.3">
      <c r="A6" s="272" t="s">
        <v>82</v>
      </c>
      <c r="B6" s="272" t="s">
        <v>152</v>
      </c>
      <c r="C6" s="272" t="s">
        <v>153</v>
      </c>
      <c r="D6" s="272" t="s">
        <v>154</v>
      </c>
      <c r="E6" s="272" t="s">
        <v>85</v>
      </c>
      <c r="F6" s="272" t="s">
        <v>155</v>
      </c>
      <c r="G6" s="272" t="s">
        <v>156</v>
      </c>
    </row>
    <row r="7" spans="1:10" x14ac:dyDescent="0.3">
      <c r="A7" s="273"/>
      <c r="B7" s="273"/>
      <c r="C7" s="273"/>
      <c r="D7" s="272"/>
      <c r="E7" s="273"/>
      <c r="F7" s="273"/>
      <c r="G7" s="272"/>
    </row>
    <row r="8" spans="1:10" x14ac:dyDescent="0.3">
      <c r="A8" s="274" t="s">
        <v>157</v>
      </c>
      <c r="B8" s="275"/>
      <c r="C8" s="272">
        <v>0</v>
      </c>
      <c r="D8" s="275">
        <f>B8*C8</f>
        <v>0</v>
      </c>
      <c r="E8" s="275">
        <v>0</v>
      </c>
      <c r="F8" s="272">
        <v>0</v>
      </c>
      <c r="G8" s="275">
        <f>E8*F8</f>
        <v>0</v>
      </c>
      <c r="J8" s="276"/>
    </row>
    <row r="9" spans="1:10" x14ac:dyDescent="0.3">
      <c r="A9" s="274" t="s">
        <v>158</v>
      </c>
      <c r="B9" s="275"/>
      <c r="C9" s="272">
        <v>0</v>
      </c>
      <c r="D9" s="275">
        <f>B9*C9</f>
        <v>0</v>
      </c>
      <c r="E9" s="275">
        <v>0</v>
      </c>
      <c r="F9" s="272">
        <v>0</v>
      </c>
      <c r="G9" s="275">
        <f>E9*F9</f>
        <v>0</v>
      </c>
    </row>
    <row r="10" spans="1:10" x14ac:dyDescent="0.3">
      <c r="A10" s="274" t="s">
        <v>159</v>
      </c>
      <c r="B10" s="275"/>
      <c r="C10" s="272">
        <v>0</v>
      </c>
      <c r="D10" s="275">
        <f>B10*C10</f>
        <v>0</v>
      </c>
      <c r="E10" s="275">
        <v>0</v>
      </c>
      <c r="F10" s="272">
        <v>0</v>
      </c>
      <c r="G10" s="275">
        <f>E10*F10</f>
        <v>0</v>
      </c>
    </row>
    <row r="11" spans="1:10" ht="28.5" x14ac:dyDescent="0.3">
      <c r="A11" s="274" t="s">
        <v>160</v>
      </c>
      <c r="B11" s="275">
        <v>0</v>
      </c>
      <c r="C11" s="272">
        <v>0</v>
      </c>
      <c r="D11" s="275">
        <f>B11*C11</f>
        <v>0</v>
      </c>
      <c r="E11" s="275">
        <f>ROUND(8*(SI!L8),0)</f>
        <v>992</v>
      </c>
      <c r="F11" s="272">
        <v>44</v>
      </c>
      <c r="G11" s="275">
        <f>E11*F11</f>
        <v>43648</v>
      </c>
      <c r="I11" s="277"/>
    </row>
    <row r="12" spans="1:10" ht="15.5" x14ac:dyDescent="0.3">
      <c r="A12" s="274" t="s">
        <v>161</v>
      </c>
      <c r="B12" s="274"/>
      <c r="C12" s="274"/>
      <c r="D12" s="275">
        <f>SUM(D8:D11)</f>
        <v>0</v>
      </c>
      <c r="E12" s="274"/>
      <c r="F12" s="274"/>
      <c r="G12" s="275">
        <f>ROUND(SUM(G8:G11),-2)</f>
        <v>43600</v>
      </c>
    </row>
    <row r="13" spans="1:10" ht="15.5" x14ac:dyDescent="0.3">
      <c r="A13" s="278" t="s">
        <v>162</v>
      </c>
    </row>
    <row r="14" spans="1:10" ht="53.5" customHeight="1" x14ac:dyDescent="0.3">
      <c r="A14" s="394" t="s">
        <v>294</v>
      </c>
      <c r="B14" s="395"/>
      <c r="C14" s="395"/>
      <c r="D14" s="395"/>
      <c r="E14" s="395"/>
      <c r="F14" s="395"/>
      <c r="G14" s="395"/>
    </row>
    <row r="15" spans="1:10" ht="15.5" x14ac:dyDescent="0.3">
      <c r="A15" s="279" t="s">
        <v>163</v>
      </c>
    </row>
  </sheetData>
  <mergeCells count="3">
    <mergeCell ref="A3:G3"/>
    <mergeCell ref="A14:G14"/>
    <mergeCell ref="A1:I1"/>
  </mergeCells>
  <pageMargins left="0.7" right="0.7" top="0.75" bottom="0.75" header="0.3" footer="0.3"/>
  <pageSetup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CBC3-6EAB-4E1C-BA6B-94765F30136C}">
  <sheetPr codeName="Sheet25">
    <pageSetUpPr fitToPage="1"/>
  </sheetPr>
  <dimension ref="A1:P58"/>
  <sheetViews>
    <sheetView zoomScaleNormal="100" workbookViewId="0">
      <pane xSplit="13" ySplit="5" topLeftCell="N6" activePane="bottomRight" state="frozen"/>
      <selection activeCell="B22" sqref="B22"/>
      <selection pane="topRight" activeCell="B22" sqref="B22"/>
      <selection pane="bottomLeft" activeCell="B22" sqref="B22"/>
      <selection pane="bottomRight" activeCell="K15" sqref="K15:K16"/>
    </sheetView>
  </sheetViews>
  <sheetFormatPr defaultColWidth="9.1796875" defaultRowHeight="13" x14ac:dyDescent="0.3"/>
  <cols>
    <col min="1" max="1" width="24.36328125" style="174" customWidth="1"/>
    <col min="2" max="2" width="10.1796875" style="174" customWidth="1"/>
    <col min="3" max="3" width="12" style="251" customWidth="1"/>
    <col min="4" max="4" width="11.1796875" style="174" customWidth="1"/>
    <col min="5" max="5" width="12.1796875" style="251" customWidth="1"/>
    <col min="6" max="6" width="10.26953125" style="174" customWidth="1"/>
    <col min="7" max="7" width="11.7265625" style="174" customWidth="1"/>
    <col min="8" max="8" width="11.26953125" style="174" customWidth="1"/>
    <col min="9" max="9" width="14.26953125" style="174" customWidth="1"/>
    <col min="10" max="10" width="7.1796875" style="174" customWidth="1"/>
    <col min="11" max="11" width="19.453125" style="174" customWidth="1"/>
    <col min="12" max="12" width="14.453125" style="174" customWidth="1"/>
    <col min="13" max="13" width="24.54296875" style="174" customWidth="1"/>
    <col min="14" max="14" width="20.453125" style="174" customWidth="1"/>
    <col min="15" max="15" width="14.1796875" style="174" customWidth="1"/>
    <col min="16" max="16384" width="9.1796875" style="174"/>
  </cols>
  <sheetData>
    <row r="1" spans="1:15" s="216" customFormat="1" ht="15" x14ac:dyDescent="0.3">
      <c r="A1" s="362" t="s">
        <v>187</v>
      </c>
      <c r="B1" s="362"/>
      <c r="C1" s="362"/>
      <c r="D1" s="362"/>
      <c r="E1" s="362"/>
      <c r="F1" s="362"/>
      <c r="G1" s="362"/>
      <c r="H1" s="362"/>
      <c r="I1" s="362"/>
    </row>
    <row r="2" spans="1:15" s="216" customFormat="1" ht="15" x14ac:dyDescent="0.3">
      <c r="A2" s="200" t="s">
        <v>209</v>
      </c>
      <c r="B2" s="200"/>
      <c r="C2" s="200"/>
      <c r="D2" s="200"/>
      <c r="E2" s="200"/>
      <c r="F2" s="200"/>
      <c r="G2" s="200"/>
      <c r="H2" s="200"/>
      <c r="I2" s="200"/>
    </row>
    <row r="3" spans="1:15" s="216" customFormat="1" ht="33" customHeight="1" x14ac:dyDescent="0.3">
      <c r="A3" s="362" t="s">
        <v>447</v>
      </c>
      <c r="B3" s="362"/>
      <c r="C3" s="362"/>
      <c r="D3" s="362"/>
      <c r="E3" s="362"/>
      <c r="F3" s="362"/>
      <c r="G3" s="362"/>
      <c r="H3" s="362"/>
      <c r="I3" s="362"/>
    </row>
    <row r="5" spans="1:15" ht="65" x14ac:dyDescent="0.3">
      <c r="A5" s="217" t="s">
        <v>32</v>
      </c>
      <c r="B5" s="218" t="s">
        <v>88</v>
      </c>
      <c r="C5" s="116" t="s">
        <v>89</v>
      </c>
      <c r="D5" s="218" t="s">
        <v>90</v>
      </c>
      <c r="E5" s="116" t="s">
        <v>91</v>
      </c>
      <c r="F5" s="218" t="s">
        <v>92</v>
      </c>
      <c r="G5" s="218" t="s">
        <v>93</v>
      </c>
      <c r="H5" s="218" t="s">
        <v>94</v>
      </c>
      <c r="I5" s="218" t="s">
        <v>95</v>
      </c>
      <c r="J5" s="219"/>
      <c r="O5" s="174" t="s">
        <v>383</v>
      </c>
    </row>
    <row r="6" spans="1:15" x14ac:dyDescent="0.3">
      <c r="A6" s="210" t="s">
        <v>96</v>
      </c>
      <c r="B6" s="218" t="s">
        <v>77</v>
      </c>
      <c r="C6" s="220"/>
      <c r="D6" s="221"/>
      <c r="E6" s="220"/>
      <c r="F6" s="221"/>
      <c r="G6" s="221"/>
      <c r="H6" s="221"/>
      <c r="I6" s="221"/>
      <c r="K6" s="380" t="s">
        <v>68</v>
      </c>
      <c r="L6" s="380"/>
      <c r="O6" s="174">
        <f>C6*E6</f>
        <v>0</v>
      </c>
    </row>
    <row r="7" spans="1:15" ht="24" customHeight="1" x14ac:dyDescent="0.3">
      <c r="A7" s="210" t="s">
        <v>97</v>
      </c>
      <c r="B7" s="218" t="s">
        <v>77</v>
      </c>
      <c r="C7" s="220"/>
      <c r="D7" s="221"/>
      <c r="E7" s="220"/>
      <c r="F7" s="221"/>
      <c r="G7" s="221"/>
      <c r="H7" s="221"/>
      <c r="I7" s="221"/>
      <c r="K7" s="222" t="s">
        <v>69</v>
      </c>
      <c r="L7" s="223">
        <v>157.61000000000001</v>
      </c>
      <c r="M7" s="224" t="s">
        <v>180</v>
      </c>
      <c r="O7" s="174">
        <f t="shared" ref="O7:O47" si="0">C7*E7</f>
        <v>0</v>
      </c>
    </row>
    <row r="8" spans="1:15" ht="52" customHeight="1" x14ac:dyDescent="0.3">
      <c r="A8" s="210" t="s">
        <v>98</v>
      </c>
      <c r="B8" s="218">
        <v>16</v>
      </c>
      <c r="C8" s="116">
        <v>1</v>
      </c>
      <c r="D8" s="218">
        <f>B8*C8</f>
        <v>16</v>
      </c>
      <c r="E8" s="116">
        <f>L12</f>
        <v>0</v>
      </c>
      <c r="F8" s="218">
        <f>D8*E8</f>
        <v>0</v>
      </c>
      <c r="G8" s="218">
        <f>F8*0.05</f>
        <v>0</v>
      </c>
      <c r="H8" s="218">
        <f>F8*0.1</f>
        <v>0</v>
      </c>
      <c r="I8" s="225">
        <f>F8*$L$8+G8*$L$7+H8*$L$9</f>
        <v>0</v>
      </c>
      <c r="K8" s="222" t="s">
        <v>33</v>
      </c>
      <c r="L8" s="223">
        <v>123.94</v>
      </c>
      <c r="M8" s="226"/>
      <c r="O8" s="174">
        <f t="shared" si="0"/>
        <v>0</v>
      </c>
    </row>
    <row r="9" spans="1:15" x14ac:dyDescent="0.3">
      <c r="A9" s="210" t="s">
        <v>99</v>
      </c>
      <c r="B9" s="218"/>
      <c r="C9" s="116"/>
      <c r="D9" s="218"/>
      <c r="E9" s="116"/>
      <c r="F9" s="218"/>
      <c r="G9" s="218"/>
      <c r="H9" s="218"/>
      <c r="I9" s="221"/>
      <c r="K9" s="222" t="s">
        <v>34</v>
      </c>
      <c r="L9" s="223">
        <v>62.51</v>
      </c>
      <c r="M9" s="226"/>
      <c r="O9" s="174">
        <f t="shared" si="0"/>
        <v>0</v>
      </c>
    </row>
    <row r="10" spans="1:15" ht="26" x14ac:dyDescent="0.3">
      <c r="A10" s="330" t="s">
        <v>100</v>
      </c>
      <c r="B10" s="218">
        <v>20</v>
      </c>
      <c r="C10" s="116">
        <v>1</v>
      </c>
      <c r="D10" s="218">
        <f>B10*C10</f>
        <v>20</v>
      </c>
      <c r="E10" s="116">
        <f>L14</f>
        <v>55</v>
      </c>
      <c r="F10" s="218">
        <f>D10*E10</f>
        <v>1100</v>
      </c>
      <c r="G10" s="218">
        <f>F10*0.05</f>
        <v>55</v>
      </c>
      <c r="H10" s="218">
        <f>F10*0.1</f>
        <v>110</v>
      </c>
      <c r="I10" s="227">
        <f>F10*$L$8+G10*$L$7+H10*$L$9</f>
        <v>151878.65</v>
      </c>
      <c r="K10" s="177"/>
      <c r="O10" s="174">
        <f t="shared" si="0"/>
        <v>55</v>
      </c>
    </row>
    <row r="11" spans="1:15" ht="15.75" customHeight="1" x14ac:dyDescent="0.3">
      <c r="A11" s="330" t="s">
        <v>101</v>
      </c>
      <c r="B11" s="218"/>
      <c r="C11" s="116"/>
      <c r="D11" s="218"/>
      <c r="E11" s="116"/>
      <c r="F11" s="218"/>
      <c r="G11" s="218"/>
      <c r="H11" s="218"/>
      <c r="I11" s="227"/>
      <c r="K11" s="228"/>
      <c r="L11" s="228" t="s">
        <v>206</v>
      </c>
      <c r="O11" s="174">
        <f t="shared" si="0"/>
        <v>0</v>
      </c>
    </row>
    <row r="12" spans="1:15" ht="28.5" x14ac:dyDescent="0.3">
      <c r="A12" s="335" t="s">
        <v>103</v>
      </c>
      <c r="B12" s="218"/>
      <c r="C12" s="116"/>
      <c r="D12" s="218"/>
      <c r="E12" s="229"/>
      <c r="F12" s="230"/>
      <c r="G12" s="218"/>
      <c r="H12" s="218"/>
      <c r="I12" s="227"/>
      <c r="K12" s="228" t="s">
        <v>104</v>
      </c>
      <c r="L12" s="228">
        <v>0</v>
      </c>
      <c r="O12" s="174">
        <f t="shared" si="0"/>
        <v>0</v>
      </c>
    </row>
    <row r="13" spans="1:15" ht="24" customHeight="1" x14ac:dyDescent="0.3">
      <c r="A13" s="117" t="s">
        <v>193</v>
      </c>
      <c r="B13" s="116">
        <v>24</v>
      </c>
      <c r="C13" s="116">
        <v>2</v>
      </c>
      <c r="D13" s="218">
        <f>B13*C13</f>
        <v>48</v>
      </c>
      <c r="E13" s="229">
        <v>0</v>
      </c>
      <c r="F13" s="230">
        <f>D13*E13</f>
        <v>0</v>
      </c>
      <c r="G13" s="218">
        <f>F13*0.05</f>
        <v>0</v>
      </c>
      <c r="H13" s="218">
        <f>F13*0.1</f>
        <v>0</v>
      </c>
      <c r="I13" s="227">
        <f>F13*$L$8+G13*$L$7+H13*$L$9</f>
        <v>0</v>
      </c>
      <c r="K13" s="228" t="s">
        <v>105</v>
      </c>
      <c r="L13" s="228">
        <f>L12+L14*0.1</f>
        <v>5.5</v>
      </c>
      <c r="O13" s="174">
        <f t="shared" si="0"/>
        <v>0</v>
      </c>
    </row>
    <row r="14" spans="1:15" ht="18" customHeight="1" x14ac:dyDescent="0.3">
      <c r="A14" s="117" t="s">
        <v>164</v>
      </c>
      <c r="B14" s="116">
        <v>24</v>
      </c>
      <c r="C14" s="116">
        <v>2</v>
      </c>
      <c r="D14" s="218">
        <f t="shared" ref="D14" si="1">B14*C14</f>
        <v>48</v>
      </c>
      <c r="E14" s="229">
        <f>E13*0.05</f>
        <v>0</v>
      </c>
      <c r="F14" s="230">
        <f t="shared" ref="F14:F19" si="2">D14*E14</f>
        <v>0</v>
      </c>
      <c r="G14" s="218">
        <f t="shared" ref="G14:G19" si="3">F14*0.05</f>
        <v>0</v>
      </c>
      <c r="H14" s="218">
        <f t="shared" ref="H14:H19" si="4">F14*0.1</f>
        <v>0</v>
      </c>
      <c r="I14" s="227">
        <f t="shared" ref="I14:I19" si="5">F14*$L$8+G14*$L$7+H14*$L$9</f>
        <v>0</v>
      </c>
      <c r="J14" s="177"/>
      <c r="K14" s="228" t="s">
        <v>80</v>
      </c>
      <c r="L14" s="228">
        <v>55</v>
      </c>
      <c r="O14" s="174">
        <f t="shared" si="0"/>
        <v>0</v>
      </c>
    </row>
    <row r="15" spans="1:15" ht="28.5" x14ac:dyDescent="0.3">
      <c r="A15" s="335" t="s">
        <v>194</v>
      </c>
      <c r="B15" s="218"/>
      <c r="C15" s="116"/>
      <c r="D15" s="218"/>
      <c r="E15" s="116"/>
      <c r="F15" s="230"/>
      <c r="G15" s="218"/>
      <c r="H15" s="218"/>
      <c r="I15" s="227"/>
      <c r="K15" s="177" t="s">
        <v>457</v>
      </c>
      <c r="L15" s="177">
        <f>0.1*L14</f>
        <v>5.5</v>
      </c>
      <c r="M15" s="177"/>
      <c r="O15" s="174">
        <f t="shared" si="0"/>
        <v>0</v>
      </c>
    </row>
    <row r="16" spans="1:15" ht="26" x14ac:dyDescent="0.3">
      <c r="A16" s="330" t="s">
        <v>193</v>
      </c>
      <c r="B16" s="218">
        <v>24</v>
      </c>
      <c r="C16" s="116">
        <v>2</v>
      </c>
      <c r="D16" s="218">
        <f>B16*C16</f>
        <v>48</v>
      </c>
      <c r="E16" s="229">
        <v>0</v>
      </c>
      <c r="F16" s="230">
        <f t="shared" si="2"/>
        <v>0</v>
      </c>
      <c r="G16" s="218">
        <f t="shared" si="3"/>
        <v>0</v>
      </c>
      <c r="H16" s="218">
        <f t="shared" si="4"/>
        <v>0</v>
      </c>
      <c r="I16" s="227">
        <f t="shared" si="5"/>
        <v>0</v>
      </c>
      <c r="J16" s="231"/>
      <c r="K16" s="177" t="s">
        <v>458</v>
      </c>
      <c r="L16" s="174">
        <f>0.9*L14</f>
        <v>49.5</v>
      </c>
      <c r="N16" s="177"/>
      <c r="O16" s="174">
        <f t="shared" si="0"/>
        <v>0</v>
      </c>
    </row>
    <row r="17" spans="1:15" x14ac:dyDescent="0.3">
      <c r="A17" s="330" t="s">
        <v>165</v>
      </c>
      <c r="B17" s="116">
        <v>24</v>
      </c>
      <c r="C17" s="116">
        <v>2</v>
      </c>
      <c r="D17" s="218">
        <f t="shared" ref="D17" si="6">B17*C17</f>
        <v>48</v>
      </c>
      <c r="E17" s="229">
        <f>E16*0.05</f>
        <v>0</v>
      </c>
      <c r="F17" s="230">
        <f t="shared" si="2"/>
        <v>0</v>
      </c>
      <c r="G17" s="218">
        <f t="shared" si="3"/>
        <v>0</v>
      </c>
      <c r="H17" s="218">
        <f t="shared" si="4"/>
        <v>0</v>
      </c>
      <c r="I17" s="227">
        <f t="shared" si="5"/>
        <v>0</v>
      </c>
      <c r="J17" s="231"/>
      <c r="O17" s="174">
        <f t="shared" si="0"/>
        <v>0</v>
      </c>
    </row>
    <row r="18" spans="1:15" ht="28.5" x14ac:dyDescent="0.3">
      <c r="A18" s="335" t="s">
        <v>107</v>
      </c>
      <c r="B18" s="232"/>
      <c r="C18" s="233"/>
      <c r="D18" s="232"/>
      <c r="E18" s="234"/>
      <c r="F18" s="230"/>
      <c r="G18" s="218"/>
      <c r="H18" s="218"/>
      <c r="I18" s="227"/>
      <c r="O18" s="174">
        <f t="shared" si="0"/>
        <v>0</v>
      </c>
    </row>
    <row r="19" spans="1:15" ht="26" x14ac:dyDescent="0.3">
      <c r="A19" s="330" t="s">
        <v>190</v>
      </c>
      <c r="B19" s="218">
        <v>0.3</v>
      </c>
      <c r="C19" s="116">
        <v>330</v>
      </c>
      <c r="D19" s="218">
        <f>B19*C19</f>
        <v>99</v>
      </c>
      <c r="E19" s="229">
        <v>0</v>
      </c>
      <c r="F19" s="230">
        <f t="shared" si="2"/>
        <v>0</v>
      </c>
      <c r="G19" s="218">
        <f t="shared" si="3"/>
        <v>0</v>
      </c>
      <c r="H19" s="218">
        <f t="shared" si="4"/>
        <v>0</v>
      </c>
      <c r="I19" s="227">
        <f t="shared" si="5"/>
        <v>0</v>
      </c>
      <c r="N19" s="231"/>
      <c r="O19" s="174">
        <f t="shared" si="0"/>
        <v>0</v>
      </c>
    </row>
    <row r="20" spans="1:15" ht="26" x14ac:dyDescent="0.3">
      <c r="A20" s="330" t="s">
        <v>108</v>
      </c>
      <c r="B20" s="218"/>
      <c r="C20" s="220"/>
      <c r="D20" s="221"/>
      <c r="E20" s="235"/>
      <c r="F20" s="221"/>
      <c r="G20" s="221"/>
      <c r="H20" s="221"/>
      <c r="I20" s="221"/>
      <c r="N20" s="231"/>
      <c r="O20" s="174">
        <f t="shared" si="0"/>
        <v>0</v>
      </c>
    </row>
    <row r="21" spans="1:15" ht="26" x14ac:dyDescent="0.3">
      <c r="A21" s="330" t="s">
        <v>109</v>
      </c>
      <c r="B21" s="218"/>
      <c r="C21" s="220"/>
      <c r="D21" s="221"/>
      <c r="E21" s="235"/>
      <c r="F21" s="221"/>
      <c r="G21" s="221"/>
      <c r="H21" s="221"/>
      <c r="I21" s="221"/>
      <c r="N21" s="231"/>
      <c r="O21" s="174">
        <f t="shared" si="0"/>
        <v>0</v>
      </c>
    </row>
    <row r="22" spans="1:15" x14ac:dyDescent="0.3">
      <c r="A22" s="330" t="s">
        <v>110</v>
      </c>
      <c r="B22" s="221"/>
      <c r="C22" s="220"/>
      <c r="D22" s="221"/>
      <c r="E22" s="235"/>
      <c r="F22" s="221"/>
      <c r="G22" s="221"/>
      <c r="H22" s="221"/>
      <c r="I22" s="221"/>
      <c r="O22" s="174">
        <f t="shared" si="0"/>
        <v>0</v>
      </c>
    </row>
    <row r="23" spans="1:15" ht="26" x14ac:dyDescent="0.3">
      <c r="A23" s="336" t="s">
        <v>111</v>
      </c>
      <c r="B23" s="218"/>
      <c r="C23" s="116"/>
      <c r="D23" s="218"/>
      <c r="E23" s="229"/>
      <c r="F23" s="218"/>
      <c r="G23" s="218"/>
      <c r="H23" s="218"/>
      <c r="I23" s="227"/>
      <c r="O23" s="174">
        <f t="shared" si="0"/>
        <v>0</v>
      </c>
    </row>
    <row r="24" spans="1:15" ht="26" x14ac:dyDescent="0.3">
      <c r="A24" s="330" t="s">
        <v>112</v>
      </c>
      <c r="B24" s="218">
        <v>2</v>
      </c>
      <c r="C24" s="116">
        <v>1</v>
      </c>
      <c r="D24" s="218">
        <v>2</v>
      </c>
      <c r="E24" s="229">
        <v>0</v>
      </c>
      <c r="F24" s="218">
        <f t="shared" ref="F24:F27" si="7">D24*E24</f>
        <v>0</v>
      </c>
      <c r="G24" s="218">
        <f t="shared" ref="G24:G27" si="8">F24*0.05</f>
        <v>0</v>
      </c>
      <c r="H24" s="218">
        <f t="shared" ref="H24:H27" si="9">F24*0.1</f>
        <v>0</v>
      </c>
      <c r="I24" s="227">
        <f>F24*$L$8+G24*$L$7+H24*$L$9</f>
        <v>0</v>
      </c>
      <c r="O24" s="174">
        <f t="shared" si="0"/>
        <v>0</v>
      </c>
    </row>
    <row r="25" spans="1:15" ht="28.5" customHeight="1" x14ac:dyDescent="0.3">
      <c r="A25" s="330" t="s">
        <v>113</v>
      </c>
      <c r="B25" s="218">
        <v>2</v>
      </c>
      <c r="C25" s="116">
        <v>1</v>
      </c>
      <c r="D25" s="218">
        <v>2</v>
      </c>
      <c r="E25" s="229">
        <v>0</v>
      </c>
      <c r="F25" s="218">
        <f t="shared" si="7"/>
        <v>0</v>
      </c>
      <c r="G25" s="218">
        <f t="shared" si="8"/>
        <v>0</v>
      </c>
      <c r="H25" s="218">
        <f t="shared" si="9"/>
        <v>0</v>
      </c>
      <c r="I25" s="227">
        <f>F25*$L$8+G25*$L$7+H25*$L$9</f>
        <v>0</v>
      </c>
      <c r="O25" s="174">
        <f t="shared" si="0"/>
        <v>0</v>
      </c>
    </row>
    <row r="26" spans="1:15" x14ac:dyDescent="0.3">
      <c r="A26" s="330" t="s">
        <v>114</v>
      </c>
      <c r="B26" s="218">
        <v>2</v>
      </c>
      <c r="C26" s="116">
        <v>1</v>
      </c>
      <c r="D26" s="218">
        <v>2</v>
      </c>
      <c r="E26" s="229">
        <v>0</v>
      </c>
      <c r="F26" s="218">
        <f t="shared" si="7"/>
        <v>0</v>
      </c>
      <c r="G26" s="218">
        <f t="shared" si="8"/>
        <v>0</v>
      </c>
      <c r="H26" s="218">
        <f t="shared" si="9"/>
        <v>0</v>
      </c>
      <c r="I26" s="227">
        <f>F26*$L$8+G26*$L$7+H26*$L$9</f>
        <v>0</v>
      </c>
      <c r="O26" s="174">
        <f t="shared" si="0"/>
        <v>0</v>
      </c>
    </row>
    <row r="27" spans="1:15" ht="78" x14ac:dyDescent="0.3">
      <c r="A27" s="330" t="s">
        <v>246</v>
      </c>
      <c r="B27" s="218">
        <v>24</v>
      </c>
      <c r="C27" s="116">
        <v>4</v>
      </c>
      <c r="D27" s="218">
        <v>48</v>
      </c>
      <c r="E27" s="229">
        <v>0</v>
      </c>
      <c r="F27" s="218">
        <f t="shared" si="7"/>
        <v>0</v>
      </c>
      <c r="G27" s="218">
        <f t="shared" si="8"/>
        <v>0</v>
      </c>
      <c r="H27" s="218">
        <f t="shared" si="9"/>
        <v>0</v>
      </c>
      <c r="I27" s="225">
        <f>F27*$L$8+G27*$L$7+H27*$L$9</f>
        <v>0</v>
      </c>
      <c r="O27" s="174">
        <f t="shared" si="0"/>
        <v>0</v>
      </c>
    </row>
    <row r="28" spans="1:15" x14ac:dyDescent="0.3">
      <c r="A28" s="336" t="s">
        <v>75</v>
      </c>
      <c r="B28" s="221"/>
      <c r="C28" s="220"/>
      <c r="D28" s="221"/>
      <c r="E28" s="235"/>
      <c r="F28" s="221"/>
      <c r="G28" s="221"/>
      <c r="H28" s="221"/>
      <c r="I28" s="221"/>
      <c r="O28" s="174">
        <f t="shared" si="0"/>
        <v>0</v>
      </c>
    </row>
    <row r="29" spans="1:15" ht="26" x14ac:dyDescent="0.3">
      <c r="A29" s="330" t="s">
        <v>112</v>
      </c>
      <c r="B29" s="218">
        <v>2</v>
      </c>
      <c r="C29" s="116">
        <v>1</v>
      </c>
      <c r="D29" s="218">
        <v>2</v>
      </c>
      <c r="E29" s="229">
        <v>0</v>
      </c>
      <c r="F29" s="218">
        <f>D29*E29</f>
        <v>0</v>
      </c>
      <c r="G29" s="218">
        <f>F29*0.05</f>
        <v>0</v>
      </c>
      <c r="H29" s="218">
        <f>F29*0.1</f>
        <v>0</v>
      </c>
      <c r="I29" s="227">
        <f>F29*$L$8+G29*$L$7+H29*$L$9</f>
        <v>0</v>
      </c>
      <c r="O29" s="174">
        <f t="shared" si="0"/>
        <v>0</v>
      </c>
    </row>
    <row r="30" spans="1:15" ht="26" x14ac:dyDescent="0.3">
      <c r="A30" s="330" t="s">
        <v>113</v>
      </c>
      <c r="B30" s="218">
        <v>2</v>
      </c>
      <c r="C30" s="116">
        <v>1</v>
      </c>
      <c r="D30" s="218">
        <v>2</v>
      </c>
      <c r="E30" s="229">
        <v>0</v>
      </c>
      <c r="F30" s="218">
        <f>D30*E30</f>
        <v>0</v>
      </c>
      <c r="G30" s="218">
        <f>F30*0.05</f>
        <v>0</v>
      </c>
      <c r="H30" s="218">
        <f>F30*0.1</f>
        <v>0</v>
      </c>
      <c r="I30" s="227">
        <f>F30*$L$8+G30*$L$7+H30*$L$9</f>
        <v>0</v>
      </c>
      <c r="O30" s="174">
        <f t="shared" si="0"/>
        <v>0</v>
      </c>
    </row>
    <row r="31" spans="1:15" ht="26" x14ac:dyDescent="0.3">
      <c r="A31" s="330" t="s">
        <v>198</v>
      </c>
      <c r="B31" s="218">
        <v>2</v>
      </c>
      <c r="C31" s="116">
        <v>1</v>
      </c>
      <c r="D31" s="218">
        <v>2</v>
      </c>
      <c r="E31" s="229">
        <v>0</v>
      </c>
      <c r="F31" s="218">
        <f>D31*E31</f>
        <v>0</v>
      </c>
      <c r="G31" s="218">
        <f>F31*0.05</f>
        <v>0</v>
      </c>
      <c r="H31" s="218">
        <f>F31*0.1</f>
        <v>0</v>
      </c>
      <c r="I31" s="227">
        <f>F31*$L$8+G31*$L$7+H31*$L$9</f>
        <v>0</v>
      </c>
      <c r="O31" s="174">
        <f t="shared" si="0"/>
        <v>0</v>
      </c>
    </row>
    <row r="32" spans="1:15" ht="78" x14ac:dyDescent="0.3">
      <c r="A32" s="330" t="s">
        <v>246</v>
      </c>
      <c r="B32" s="218">
        <v>2</v>
      </c>
      <c r="C32" s="116">
        <v>4</v>
      </c>
      <c r="D32" s="218">
        <f t="shared" ref="D32" si="10">B32*C32</f>
        <v>8</v>
      </c>
      <c r="E32" s="229">
        <v>0</v>
      </c>
      <c r="F32" s="218">
        <f t="shared" ref="F32" si="11">D32*E32</f>
        <v>0</v>
      </c>
      <c r="G32" s="218">
        <f t="shared" ref="G32" si="12">F32*0.05</f>
        <v>0</v>
      </c>
      <c r="H32" s="218">
        <f t="shared" ref="H32" si="13">F32*0.1</f>
        <v>0</v>
      </c>
      <c r="I32" s="227">
        <f>F32*$L$8+G32*$L$7+H32*$L$9</f>
        <v>0</v>
      </c>
      <c r="O32" s="174">
        <f t="shared" si="0"/>
        <v>0</v>
      </c>
    </row>
    <row r="33" spans="1:16" ht="28" customHeight="1" x14ac:dyDescent="0.3">
      <c r="A33" s="236" t="s">
        <v>86</v>
      </c>
      <c r="B33" s="237"/>
      <c r="C33" s="238"/>
      <c r="D33" s="237"/>
      <c r="E33" s="239"/>
      <c r="F33" s="240">
        <f>SUM(F8:H32)</f>
        <v>1265</v>
      </c>
      <c r="G33" s="240"/>
      <c r="H33" s="240"/>
      <c r="I33" s="241">
        <f>SUM(I8:I32)</f>
        <v>151878.65</v>
      </c>
      <c r="O33" s="174">
        <f t="shared" si="0"/>
        <v>0</v>
      </c>
    </row>
    <row r="34" spans="1:16" ht="26" x14ac:dyDescent="0.3">
      <c r="A34" s="210" t="s">
        <v>115</v>
      </c>
      <c r="B34" s="221"/>
      <c r="C34" s="220"/>
      <c r="D34" s="221"/>
      <c r="E34" s="235"/>
      <c r="F34" s="221"/>
      <c r="G34" s="221"/>
      <c r="H34" s="221"/>
      <c r="I34" s="221"/>
      <c r="O34" s="174">
        <f t="shared" si="0"/>
        <v>0</v>
      </c>
    </row>
    <row r="35" spans="1:16" ht="26" x14ac:dyDescent="0.3">
      <c r="A35" s="330" t="s">
        <v>100</v>
      </c>
      <c r="B35" s="218"/>
      <c r="C35" s="220"/>
      <c r="D35" s="221"/>
      <c r="E35" s="220"/>
      <c r="F35" s="221"/>
      <c r="G35" s="221"/>
      <c r="H35" s="221"/>
      <c r="I35" s="221"/>
      <c r="O35" s="174">
        <f t="shared" si="0"/>
        <v>0</v>
      </c>
    </row>
    <row r="36" spans="1:16" x14ac:dyDescent="0.3">
      <c r="A36" s="330" t="s">
        <v>116</v>
      </c>
      <c r="B36" s="218"/>
      <c r="C36" s="220"/>
      <c r="D36" s="221"/>
      <c r="E36" s="220"/>
      <c r="F36" s="221"/>
      <c r="G36" s="221"/>
      <c r="H36" s="221"/>
      <c r="I36" s="221"/>
      <c r="O36" s="174">
        <f t="shared" si="0"/>
        <v>0</v>
      </c>
    </row>
    <row r="37" spans="1:16" x14ac:dyDescent="0.3">
      <c r="A37" s="330" t="s">
        <v>117</v>
      </c>
      <c r="B37" s="218"/>
      <c r="C37" s="220"/>
      <c r="D37" s="221"/>
      <c r="E37" s="220"/>
      <c r="F37" s="221"/>
      <c r="G37" s="221"/>
      <c r="H37" s="221"/>
      <c r="I37" s="221"/>
      <c r="O37" s="174">
        <f t="shared" si="0"/>
        <v>0</v>
      </c>
    </row>
    <row r="38" spans="1:16" x14ac:dyDescent="0.3">
      <c r="A38" s="330" t="s">
        <v>118</v>
      </c>
      <c r="B38" s="218" t="s">
        <v>77</v>
      </c>
      <c r="C38" s="220"/>
      <c r="D38" s="221"/>
      <c r="E38" s="220"/>
      <c r="F38" s="221"/>
      <c r="G38" s="221"/>
      <c r="H38" s="221"/>
      <c r="I38" s="221"/>
      <c r="O38" s="174">
        <f t="shared" si="0"/>
        <v>0</v>
      </c>
    </row>
    <row r="39" spans="1:16" ht="26" x14ac:dyDescent="0.3">
      <c r="A39" s="330" t="s">
        <v>119</v>
      </c>
      <c r="B39" s="221"/>
      <c r="C39" s="220"/>
      <c r="D39" s="221"/>
      <c r="E39" s="220"/>
      <c r="F39" s="221"/>
      <c r="G39" s="221"/>
      <c r="H39" s="221"/>
      <c r="I39" s="221"/>
      <c r="O39" s="174">
        <f t="shared" si="0"/>
        <v>0</v>
      </c>
    </row>
    <row r="40" spans="1:16" x14ac:dyDescent="0.3">
      <c r="A40" s="336" t="s">
        <v>75</v>
      </c>
      <c r="B40" s="221"/>
      <c r="C40" s="220"/>
      <c r="D40" s="221"/>
      <c r="E40" s="220"/>
      <c r="F40" s="221"/>
      <c r="G40" s="221"/>
      <c r="H40" s="221"/>
      <c r="I40" s="221"/>
      <c r="O40" s="174">
        <f t="shared" si="0"/>
        <v>0</v>
      </c>
    </row>
    <row r="41" spans="1:16" x14ac:dyDescent="0.3">
      <c r="A41" s="330" t="s">
        <v>120</v>
      </c>
      <c r="B41" s="218">
        <v>0.4</v>
      </c>
      <c r="C41" s="116">
        <v>12</v>
      </c>
      <c r="D41" s="218">
        <f t="shared" ref="D41:D46" si="14">B41*C41</f>
        <v>4.8000000000000007</v>
      </c>
      <c r="E41" s="229">
        <f>$L$14</f>
        <v>55</v>
      </c>
      <c r="F41" s="230">
        <f t="shared" ref="F41:F46" si="15">D41*E41</f>
        <v>264.00000000000006</v>
      </c>
      <c r="G41" s="218">
        <f t="shared" ref="G41:G46" si="16">F41*0.05</f>
        <v>13.200000000000003</v>
      </c>
      <c r="H41" s="218">
        <f t="shared" ref="H41:H46" si="17">F41*0.1</f>
        <v>26.400000000000006</v>
      </c>
      <c r="I41" s="227">
        <f>F41*$L$8+G41*$L$7+H41*$L$9</f>
        <v>36450.876000000011</v>
      </c>
      <c r="O41" s="174">
        <f t="shared" si="0"/>
        <v>660</v>
      </c>
    </row>
    <row r="42" spans="1:16" ht="26.5" customHeight="1" x14ac:dyDescent="0.3">
      <c r="A42" s="330" t="s">
        <v>212</v>
      </c>
      <c r="B42" s="218">
        <v>0.4</v>
      </c>
      <c r="C42" s="116">
        <v>12</v>
      </c>
      <c r="D42" s="218">
        <f t="shared" si="14"/>
        <v>4.8000000000000007</v>
      </c>
      <c r="E42" s="229">
        <f>E41</f>
        <v>55</v>
      </c>
      <c r="F42" s="230">
        <f t="shared" si="15"/>
        <v>264.00000000000006</v>
      </c>
      <c r="G42" s="218">
        <f t="shared" si="16"/>
        <v>13.200000000000003</v>
      </c>
      <c r="H42" s="218">
        <f t="shared" si="17"/>
        <v>26.400000000000006</v>
      </c>
      <c r="I42" s="227">
        <f>F42*$L$8+G42*$L$7+H42*$L$9</f>
        <v>36450.876000000011</v>
      </c>
      <c r="O42" s="174">
        <f t="shared" si="0"/>
        <v>660</v>
      </c>
    </row>
    <row r="43" spans="1:16" x14ac:dyDescent="0.3">
      <c r="A43" s="336" t="s">
        <v>76</v>
      </c>
      <c r="B43" s="218"/>
      <c r="C43" s="116"/>
      <c r="D43" s="218"/>
      <c r="E43" s="229"/>
      <c r="F43" s="230"/>
      <c r="G43" s="218"/>
      <c r="H43" s="218"/>
      <c r="I43" s="227"/>
      <c r="O43" s="174">
        <f t="shared" si="0"/>
        <v>0</v>
      </c>
    </row>
    <row r="44" spans="1:16" x14ac:dyDescent="0.3">
      <c r="A44" s="330" t="s">
        <v>120</v>
      </c>
      <c r="B44" s="218">
        <v>1.5</v>
      </c>
      <c r="C44" s="116">
        <v>330</v>
      </c>
      <c r="D44" s="218">
        <f>B44*C44</f>
        <v>495</v>
      </c>
      <c r="E44" s="229">
        <f>$L$12</f>
        <v>0</v>
      </c>
      <c r="F44" s="230">
        <f t="shared" ref="F44:F45" si="18">D44*E44</f>
        <v>0</v>
      </c>
      <c r="G44" s="218">
        <f t="shared" ref="G44:G45" si="19">F44*0.05</f>
        <v>0</v>
      </c>
      <c r="H44" s="218">
        <f t="shared" ref="H44:H45" si="20">F44*0.1</f>
        <v>0</v>
      </c>
      <c r="I44" s="225">
        <f>F44*$L$8+G44*$L$7+H44*$L$9</f>
        <v>0</v>
      </c>
      <c r="O44" s="174">
        <f t="shared" si="0"/>
        <v>0</v>
      </c>
    </row>
    <row r="45" spans="1:16" x14ac:dyDescent="0.3">
      <c r="A45" s="330" t="s">
        <v>456</v>
      </c>
      <c r="B45" s="218">
        <v>0.1</v>
      </c>
      <c r="C45" s="116">
        <v>330</v>
      </c>
      <c r="D45" s="218">
        <f t="shared" ref="D45" si="21">B45*C45</f>
        <v>33</v>
      </c>
      <c r="E45" s="229">
        <f>$L$12</f>
        <v>0</v>
      </c>
      <c r="F45" s="230">
        <f t="shared" si="18"/>
        <v>0</v>
      </c>
      <c r="G45" s="218">
        <f t="shared" si="19"/>
        <v>0</v>
      </c>
      <c r="H45" s="218">
        <f t="shared" si="20"/>
        <v>0</v>
      </c>
      <c r="I45" s="225">
        <f>F45*$L$8+G45*$L$7+H45*$L$9</f>
        <v>0</v>
      </c>
      <c r="O45" s="174">
        <f t="shared" si="0"/>
        <v>0</v>
      </c>
    </row>
    <row r="46" spans="1:16" x14ac:dyDescent="0.3">
      <c r="A46" s="330" t="s">
        <v>121</v>
      </c>
      <c r="B46" s="218">
        <v>80</v>
      </c>
      <c r="C46" s="116">
        <v>1</v>
      </c>
      <c r="D46" s="218">
        <f t="shared" si="14"/>
        <v>80</v>
      </c>
      <c r="E46" s="229">
        <f>$L$12</f>
        <v>0</v>
      </c>
      <c r="F46" s="230">
        <f t="shared" si="15"/>
        <v>0</v>
      </c>
      <c r="G46" s="218">
        <f t="shared" si="16"/>
        <v>0</v>
      </c>
      <c r="H46" s="218">
        <f t="shared" si="17"/>
        <v>0</v>
      </c>
      <c r="I46" s="225">
        <f>F46*$L$8+G46*$L$7+H46*$L$9</f>
        <v>0</v>
      </c>
      <c r="O46" s="174">
        <f t="shared" si="0"/>
        <v>0</v>
      </c>
    </row>
    <row r="47" spans="1:16" x14ac:dyDescent="0.3">
      <c r="A47" s="330" t="s">
        <v>122</v>
      </c>
      <c r="B47" s="218" t="s">
        <v>77</v>
      </c>
      <c r="C47" s="220"/>
      <c r="D47" s="221"/>
      <c r="E47" s="220"/>
      <c r="F47" s="221"/>
      <c r="G47" s="221"/>
      <c r="H47" s="221"/>
      <c r="I47" s="221"/>
      <c r="O47" s="174">
        <f t="shared" si="0"/>
        <v>0</v>
      </c>
    </row>
    <row r="48" spans="1:16" ht="33" customHeight="1" x14ac:dyDescent="0.3">
      <c r="A48" s="236" t="s">
        <v>60</v>
      </c>
      <c r="B48" s="242"/>
      <c r="C48" s="243"/>
      <c r="D48" s="242"/>
      <c r="E48" s="244"/>
      <c r="F48" s="240">
        <f>SUM(F41:H46)</f>
        <v>607.20000000000016</v>
      </c>
      <c r="G48" s="240"/>
      <c r="H48" s="240"/>
      <c r="I48" s="241">
        <f>SUM(I41:I47)</f>
        <v>72901.752000000022</v>
      </c>
      <c r="O48" s="174">
        <f>SUM(O6:O47)</f>
        <v>1375</v>
      </c>
      <c r="P48" s="174" t="s">
        <v>385</v>
      </c>
    </row>
    <row r="49" spans="1:12" ht="28" x14ac:dyDescent="0.3">
      <c r="A49" s="212" t="s">
        <v>123</v>
      </c>
      <c r="B49" s="245"/>
      <c r="C49" s="246"/>
      <c r="D49" s="245"/>
      <c r="E49" s="247"/>
      <c r="F49" s="381">
        <f>ROUND(F48+F33, -2)</f>
        <v>1900</v>
      </c>
      <c r="G49" s="381"/>
      <c r="H49" s="381"/>
      <c r="I49" s="248">
        <f>ROUND(I48+I33, -4)</f>
        <v>220000</v>
      </c>
      <c r="K49" s="249">
        <f>F49/212</f>
        <v>8.9622641509433958</v>
      </c>
      <c r="L49" s="174" t="s">
        <v>124</v>
      </c>
    </row>
    <row r="50" spans="1:12" ht="28" x14ac:dyDescent="0.3">
      <c r="A50" s="250" t="s">
        <v>78</v>
      </c>
      <c r="B50" s="221"/>
      <c r="C50" s="220"/>
      <c r="D50" s="221"/>
      <c r="E50" s="220"/>
      <c r="F50" s="221"/>
      <c r="G50" s="221"/>
      <c r="H50" s="221"/>
      <c r="I50" s="248">
        <v>0</v>
      </c>
    </row>
    <row r="51" spans="1:12" ht="15" x14ac:dyDescent="0.3">
      <c r="A51" s="250" t="s">
        <v>125</v>
      </c>
      <c r="B51" s="221"/>
      <c r="C51" s="220"/>
      <c r="D51" s="221"/>
      <c r="E51" s="220"/>
      <c r="F51" s="221"/>
      <c r="G51" s="221"/>
      <c r="H51" s="221"/>
      <c r="I51" s="248">
        <f>ROUND(I49+I50, -5)</f>
        <v>200000</v>
      </c>
    </row>
    <row r="52" spans="1:12" ht="10.5" customHeight="1" x14ac:dyDescent="0.3"/>
    <row r="53" spans="1:12" ht="15.5" x14ac:dyDescent="0.3">
      <c r="A53" s="382" t="s">
        <v>189</v>
      </c>
      <c r="B53" s="382"/>
      <c r="C53" s="382"/>
      <c r="D53" s="382"/>
      <c r="E53" s="382"/>
      <c r="F53" s="382"/>
      <c r="G53" s="382"/>
      <c r="H53" s="382"/>
      <c r="I53" s="382"/>
    </row>
    <row r="54" spans="1:12" ht="54.5" customHeight="1" x14ac:dyDescent="0.3">
      <c r="A54" s="370" t="s">
        <v>182</v>
      </c>
      <c r="B54" s="370"/>
      <c r="C54" s="370"/>
      <c r="D54" s="370"/>
      <c r="E54" s="370"/>
      <c r="F54" s="370"/>
      <c r="G54" s="370"/>
      <c r="H54" s="370"/>
      <c r="I54" s="370"/>
    </row>
    <row r="55" spans="1:12" ht="17" customHeight="1" x14ac:dyDescent="0.3">
      <c r="A55" s="382" t="s">
        <v>192</v>
      </c>
      <c r="B55" s="382"/>
      <c r="C55" s="382"/>
      <c r="D55" s="382"/>
      <c r="E55" s="382"/>
      <c r="F55" s="382"/>
      <c r="G55" s="382"/>
      <c r="H55" s="382"/>
      <c r="I55" s="382"/>
    </row>
    <row r="56" spans="1:12" ht="29" customHeight="1" x14ac:dyDescent="0.3">
      <c r="A56" s="383" t="s">
        <v>195</v>
      </c>
      <c r="B56" s="383"/>
      <c r="C56" s="383"/>
      <c r="D56" s="383"/>
      <c r="E56" s="383"/>
      <c r="F56" s="383"/>
      <c r="G56" s="383"/>
      <c r="H56" s="383"/>
      <c r="I56" s="383"/>
    </row>
    <row r="57" spans="1:12" ht="15.5" x14ac:dyDescent="0.3">
      <c r="A57" s="384" t="s">
        <v>191</v>
      </c>
      <c r="B57" s="384"/>
      <c r="C57" s="384"/>
      <c r="D57" s="384"/>
      <c r="E57" s="384"/>
      <c r="F57" s="384"/>
      <c r="G57" s="384"/>
      <c r="H57" s="384"/>
      <c r="I57" s="384"/>
    </row>
    <row r="58" spans="1:12" ht="18.75" customHeight="1" x14ac:dyDescent="0.3">
      <c r="A58" s="379" t="s">
        <v>126</v>
      </c>
      <c r="B58" s="379"/>
      <c r="C58" s="379"/>
      <c r="D58" s="379"/>
      <c r="E58" s="379"/>
      <c r="F58" s="379"/>
      <c r="G58" s="379"/>
      <c r="H58" s="379"/>
      <c r="I58" s="379"/>
    </row>
  </sheetData>
  <mergeCells count="10">
    <mergeCell ref="A54:I54"/>
    <mergeCell ref="A55:I55"/>
    <mergeCell ref="A56:I56"/>
    <mergeCell ref="A57:I57"/>
    <mergeCell ref="A58:I58"/>
    <mergeCell ref="F49:H49"/>
    <mergeCell ref="A53:I53"/>
    <mergeCell ref="A1:I1"/>
    <mergeCell ref="A3:I3"/>
    <mergeCell ref="K6:L6"/>
  </mergeCells>
  <pageMargins left="0.7" right="0.7" top="0.75" bottom="0.75" header="0.3" footer="0.3"/>
  <pageSetup scale="4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2B3B-93F5-4057-AD07-6C1B9928DC2A}">
  <sheetPr codeName="Sheet26">
    <pageSetUpPr fitToPage="1"/>
  </sheetPr>
  <dimension ref="A1:P58"/>
  <sheetViews>
    <sheetView zoomScaleNormal="100" workbookViewId="0">
      <pane xSplit="13" ySplit="5" topLeftCell="N6" activePane="bottomRight" state="frozen"/>
      <selection activeCell="B22" sqref="B22"/>
      <selection pane="topRight" activeCell="B22" sqref="B22"/>
      <selection pane="bottomLeft" activeCell="B22" sqref="B22"/>
      <selection pane="bottomRight" activeCell="K15" sqref="K15:K16"/>
    </sheetView>
  </sheetViews>
  <sheetFormatPr defaultColWidth="9.1796875" defaultRowHeight="13" x14ac:dyDescent="0.3"/>
  <cols>
    <col min="1" max="1" width="24.26953125" style="174" customWidth="1"/>
    <col min="2" max="2" width="10.1796875" style="174" customWidth="1"/>
    <col min="3" max="3" width="12" style="251" customWidth="1"/>
    <col min="4" max="4" width="11.1796875" style="174" customWidth="1"/>
    <col min="5" max="5" width="12.1796875" style="251" customWidth="1"/>
    <col min="6" max="6" width="10.26953125" style="174" customWidth="1"/>
    <col min="7" max="7" width="11.7265625" style="174" customWidth="1"/>
    <col min="8" max="8" width="11.26953125" style="174" customWidth="1"/>
    <col min="9" max="9" width="14.26953125" style="174" customWidth="1"/>
    <col min="10" max="10" width="7.1796875" style="174" customWidth="1"/>
    <col min="11" max="11" width="19.453125" style="174" customWidth="1"/>
    <col min="12" max="12" width="14.453125" style="174" customWidth="1"/>
    <col min="13" max="13" width="23.26953125" style="174" customWidth="1"/>
    <col min="14" max="14" width="20.453125" style="174" customWidth="1"/>
    <col min="15" max="15" width="14.1796875" style="174" customWidth="1"/>
    <col min="16" max="16384" width="9.1796875" style="174"/>
  </cols>
  <sheetData>
    <row r="1" spans="1:15" s="216" customFormat="1" ht="15" x14ac:dyDescent="0.3">
      <c r="A1" s="362" t="s">
        <v>187</v>
      </c>
      <c r="B1" s="362"/>
      <c r="C1" s="362"/>
      <c r="D1" s="362"/>
      <c r="E1" s="362"/>
      <c r="F1" s="362"/>
      <c r="G1" s="362"/>
      <c r="H1" s="362"/>
      <c r="I1" s="362"/>
    </row>
    <row r="2" spans="1:15" s="216" customFormat="1" ht="15" x14ac:dyDescent="0.3">
      <c r="A2" s="200" t="s">
        <v>210</v>
      </c>
      <c r="B2" s="200"/>
      <c r="C2" s="200"/>
      <c r="D2" s="200"/>
      <c r="E2" s="200"/>
      <c r="F2" s="200"/>
      <c r="G2" s="200"/>
      <c r="H2" s="200"/>
      <c r="I2" s="200"/>
    </row>
    <row r="3" spans="1:15" s="216" customFormat="1" ht="33" customHeight="1" x14ac:dyDescent="0.3">
      <c r="A3" s="362" t="s">
        <v>448</v>
      </c>
      <c r="B3" s="362"/>
      <c r="C3" s="362"/>
      <c r="D3" s="362"/>
      <c r="E3" s="362"/>
      <c r="F3" s="362"/>
      <c r="G3" s="362"/>
      <c r="H3" s="362"/>
      <c r="I3" s="362"/>
    </row>
    <row r="5" spans="1:15" ht="65" x14ac:dyDescent="0.3">
      <c r="A5" s="217" t="s">
        <v>32</v>
      </c>
      <c r="B5" s="218" t="s">
        <v>88</v>
      </c>
      <c r="C5" s="116" t="s">
        <v>89</v>
      </c>
      <c r="D5" s="218" t="s">
        <v>90</v>
      </c>
      <c r="E5" s="116" t="s">
        <v>91</v>
      </c>
      <c r="F5" s="218" t="s">
        <v>92</v>
      </c>
      <c r="G5" s="218" t="s">
        <v>93</v>
      </c>
      <c r="H5" s="218" t="s">
        <v>94</v>
      </c>
      <c r="I5" s="218" t="s">
        <v>95</v>
      </c>
      <c r="J5" s="219"/>
      <c r="O5" s="174" t="s">
        <v>383</v>
      </c>
    </row>
    <row r="6" spans="1:15" x14ac:dyDescent="0.3">
      <c r="A6" s="210" t="s">
        <v>96</v>
      </c>
      <c r="B6" s="218" t="s">
        <v>77</v>
      </c>
      <c r="C6" s="220"/>
      <c r="D6" s="221"/>
      <c r="E6" s="220"/>
      <c r="F6" s="221"/>
      <c r="G6" s="221"/>
      <c r="H6" s="221"/>
      <c r="I6" s="221"/>
      <c r="K6" s="380" t="s">
        <v>68</v>
      </c>
      <c r="L6" s="380"/>
      <c r="O6" s="174">
        <f>C6*E6</f>
        <v>0</v>
      </c>
    </row>
    <row r="7" spans="1:15" ht="22" customHeight="1" x14ac:dyDescent="0.3">
      <c r="A7" s="210" t="s">
        <v>97</v>
      </c>
      <c r="B7" s="218" t="s">
        <v>77</v>
      </c>
      <c r="C7" s="220"/>
      <c r="D7" s="221"/>
      <c r="E7" s="220"/>
      <c r="F7" s="221"/>
      <c r="G7" s="221"/>
      <c r="H7" s="221"/>
      <c r="I7" s="221"/>
      <c r="K7" s="222" t="s">
        <v>69</v>
      </c>
      <c r="L7" s="223">
        <v>157.61000000000001</v>
      </c>
      <c r="M7" s="224" t="s">
        <v>180</v>
      </c>
      <c r="O7" s="174">
        <f t="shared" ref="O7:O47" si="0">C7*E7</f>
        <v>0</v>
      </c>
    </row>
    <row r="8" spans="1:15" ht="55" customHeight="1" x14ac:dyDescent="0.3">
      <c r="A8" s="210" t="s">
        <v>98</v>
      </c>
      <c r="B8" s="218">
        <v>16</v>
      </c>
      <c r="C8" s="116">
        <v>1</v>
      </c>
      <c r="D8" s="218">
        <f>B8*C8</f>
        <v>16</v>
      </c>
      <c r="E8" s="116">
        <f>L12</f>
        <v>0</v>
      </c>
      <c r="F8" s="218">
        <f>D8*E8</f>
        <v>0</v>
      </c>
      <c r="G8" s="218">
        <f>F8*0.05</f>
        <v>0</v>
      </c>
      <c r="H8" s="218">
        <f>F8*0.1</f>
        <v>0</v>
      </c>
      <c r="I8" s="225">
        <f>F8*$L$8+G8*$L$7+H8*$L$9</f>
        <v>0</v>
      </c>
      <c r="K8" s="222" t="s">
        <v>33</v>
      </c>
      <c r="L8" s="223">
        <v>123.94</v>
      </c>
      <c r="M8" s="226"/>
      <c r="O8" s="174">
        <f t="shared" si="0"/>
        <v>0</v>
      </c>
    </row>
    <row r="9" spans="1:15" x14ac:dyDescent="0.3">
      <c r="A9" s="210" t="s">
        <v>99</v>
      </c>
      <c r="B9" s="218"/>
      <c r="C9" s="116"/>
      <c r="D9" s="218"/>
      <c r="E9" s="116"/>
      <c r="F9" s="218"/>
      <c r="G9" s="218"/>
      <c r="H9" s="218"/>
      <c r="I9" s="221"/>
      <c r="K9" s="222" t="s">
        <v>34</v>
      </c>
      <c r="L9" s="223">
        <v>62.51</v>
      </c>
      <c r="M9" s="226"/>
      <c r="O9" s="174">
        <f t="shared" si="0"/>
        <v>0</v>
      </c>
    </row>
    <row r="10" spans="1:15" ht="26" x14ac:dyDescent="0.3">
      <c r="A10" s="330" t="s">
        <v>100</v>
      </c>
      <c r="B10" s="218">
        <v>1</v>
      </c>
      <c r="C10" s="116">
        <v>1</v>
      </c>
      <c r="D10" s="218">
        <f>B10*C10</f>
        <v>1</v>
      </c>
      <c r="E10" s="116">
        <v>0</v>
      </c>
      <c r="F10" s="218">
        <f>D10*E10</f>
        <v>0</v>
      </c>
      <c r="G10" s="218">
        <f>F10*0.05</f>
        <v>0</v>
      </c>
      <c r="H10" s="218">
        <f>F10*0.1</f>
        <v>0</v>
      </c>
      <c r="I10" s="227">
        <f>F10*$L$8+G10*$L$7+H10*$L$9</f>
        <v>0</v>
      </c>
      <c r="K10" s="177"/>
      <c r="O10" s="174">
        <f t="shared" si="0"/>
        <v>0</v>
      </c>
    </row>
    <row r="11" spans="1:15" ht="15.75" customHeight="1" x14ac:dyDescent="0.3">
      <c r="A11" s="330" t="s">
        <v>101</v>
      </c>
      <c r="B11" s="218"/>
      <c r="C11" s="116"/>
      <c r="D11" s="218"/>
      <c r="E11" s="116"/>
      <c r="F11" s="218"/>
      <c r="G11" s="218"/>
      <c r="H11" s="218"/>
      <c r="I11" s="227"/>
      <c r="K11" s="228"/>
      <c r="L11" s="228" t="s">
        <v>206</v>
      </c>
      <c r="O11" s="174">
        <f t="shared" si="0"/>
        <v>0</v>
      </c>
    </row>
    <row r="12" spans="1:15" ht="28.5" x14ac:dyDescent="0.3">
      <c r="A12" s="335" t="s">
        <v>103</v>
      </c>
      <c r="B12" s="218"/>
      <c r="C12" s="116"/>
      <c r="D12" s="218"/>
      <c r="E12" s="229"/>
      <c r="F12" s="230"/>
      <c r="G12" s="218"/>
      <c r="H12" s="218"/>
      <c r="I12" s="227"/>
      <c r="K12" s="228" t="s">
        <v>104</v>
      </c>
      <c r="L12" s="228">
        <v>0</v>
      </c>
      <c r="O12" s="174">
        <f t="shared" si="0"/>
        <v>0</v>
      </c>
    </row>
    <row r="13" spans="1:15" ht="26.5" customHeight="1" x14ac:dyDescent="0.3">
      <c r="A13" s="117" t="s">
        <v>193</v>
      </c>
      <c r="B13" s="116">
        <v>24</v>
      </c>
      <c r="C13" s="116">
        <v>2</v>
      </c>
      <c r="D13" s="218">
        <f>B13*C13</f>
        <v>48</v>
      </c>
      <c r="E13" s="229">
        <v>0</v>
      </c>
      <c r="F13" s="230">
        <f>D13*E13</f>
        <v>0</v>
      </c>
      <c r="G13" s="218">
        <f>F13*0.05</f>
        <v>0</v>
      </c>
      <c r="H13" s="218">
        <f>F13*0.1</f>
        <v>0</v>
      </c>
      <c r="I13" s="227">
        <f>F13*$L$8+G13*$L$7+H13*$L$9</f>
        <v>0</v>
      </c>
      <c r="K13" s="228" t="s">
        <v>105</v>
      </c>
      <c r="L13" s="228">
        <f>L12+L14*0.1</f>
        <v>5.5</v>
      </c>
      <c r="O13" s="174">
        <f t="shared" si="0"/>
        <v>0</v>
      </c>
    </row>
    <row r="14" spans="1:15" x14ac:dyDescent="0.3">
      <c r="A14" s="117" t="s">
        <v>164</v>
      </c>
      <c r="B14" s="116">
        <v>24</v>
      </c>
      <c r="C14" s="116">
        <v>2</v>
      </c>
      <c r="D14" s="218">
        <f t="shared" ref="D14" si="1">B14*C14</f>
        <v>48</v>
      </c>
      <c r="E14" s="229">
        <f>E13*0.05</f>
        <v>0</v>
      </c>
      <c r="F14" s="230">
        <f t="shared" ref="F14:F19" si="2">D14*E14</f>
        <v>0</v>
      </c>
      <c r="G14" s="218">
        <f t="shared" ref="G14:G19" si="3">F14*0.05</f>
        <v>0</v>
      </c>
      <c r="H14" s="218">
        <f t="shared" ref="H14:H19" si="4">F14*0.1</f>
        <v>0</v>
      </c>
      <c r="I14" s="227">
        <f t="shared" ref="I14:I19" si="5">F14*$L$8+G14*$L$7+H14*$L$9</f>
        <v>0</v>
      </c>
      <c r="J14" s="177"/>
      <c r="K14" s="228" t="s">
        <v>80</v>
      </c>
      <c r="L14" s="228">
        <v>55</v>
      </c>
      <c r="O14" s="174">
        <f t="shared" si="0"/>
        <v>0</v>
      </c>
    </row>
    <row r="15" spans="1:15" ht="28.5" x14ac:dyDescent="0.3">
      <c r="A15" s="335" t="s">
        <v>194</v>
      </c>
      <c r="B15" s="218"/>
      <c r="C15" s="116"/>
      <c r="D15" s="218"/>
      <c r="E15" s="116"/>
      <c r="F15" s="230"/>
      <c r="G15" s="218"/>
      <c r="H15" s="218"/>
      <c r="I15" s="227"/>
      <c r="K15" s="177" t="s">
        <v>457</v>
      </c>
      <c r="L15" s="177">
        <f>0.1*L14</f>
        <v>5.5</v>
      </c>
      <c r="M15" s="177"/>
      <c r="O15" s="174">
        <f t="shared" si="0"/>
        <v>0</v>
      </c>
    </row>
    <row r="16" spans="1:15" ht="26" x14ac:dyDescent="0.3">
      <c r="A16" s="330" t="s">
        <v>193</v>
      </c>
      <c r="B16" s="218">
        <v>24</v>
      </c>
      <c r="C16" s="116">
        <v>2</v>
      </c>
      <c r="D16" s="218">
        <f>B16*C16</f>
        <v>48</v>
      </c>
      <c r="E16" s="229">
        <v>0</v>
      </c>
      <c r="F16" s="230">
        <f t="shared" si="2"/>
        <v>0</v>
      </c>
      <c r="G16" s="218">
        <f t="shared" si="3"/>
        <v>0</v>
      </c>
      <c r="H16" s="218">
        <f t="shared" si="4"/>
        <v>0</v>
      </c>
      <c r="I16" s="227">
        <f t="shared" si="5"/>
        <v>0</v>
      </c>
      <c r="J16" s="231"/>
      <c r="K16" s="177" t="s">
        <v>458</v>
      </c>
      <c r="L16" s="174">
        <f>0.9*L14</f>
        <v>49.5</v>
      </c>
      <c r="N16" s="177"/>
      <c r="O16" s="174">
        <f t="shared" si="0"/>
        <v>0</v>
      </c>
    </row>
    <row r="17" spans="1:15" x14ac:dyDescent="0.3">
      <c r="A17" s="330" t="s">
        <v>165</v>
      </c>
      <c r="B17" s="116">
        <v>24</v>
      </c>
      <c r="C17" s="116">
        <v>2</v>
      </c>
      <c r="D17" s="218">
        <f t="shared" ref="D17" si="6">B17*C17</f>
        <v>48</v>
      </c>
      <c r="E17" s="229">
        <f>E16*0.05</f>
        <v>0</v>
      </c>
      <c r="F17" s="230">
        <f t="shared" si="2"/>
        <v>0</v>
      </c>
      <c r="G17" s="218">
        <f t="shared" si="3"/>
        <v>0</v>
      </c>
      <c r="H17" s="218">
        <f t="shared" si="4"/>
        <v>0</v>
      </c>
      <c r="I17" s="227">
        <f t="shared" si="5"/>
        <v>0</v>
      </c>
      <c r="J17" s="231"/>
      <c r="O17" s="174">
        <f t="shared" si="0"/>
        <v>0</v>
      </c>
    </row>
    <row r="18" spans="1:15" ht="28.5" x14ac:dyDescent="0.3">
      <c r="A18" s="335" t="s">
        <v>107</v>
      </c>
      <c r="B18" s="232"/>
      <c r="C18" s="233"/>
      <c r="D18" s="232"/>
      <c r="E18" s="234"/>
      <c r="F18" s="230"/>
      <c r="G18" s="218"/>
      <c r="H18" s="218"/>
      <c r="I18" s="227"/>
      <c r="O18" s="174">
        <f t="shared" si="0"/>
        <v>0</v>
      </c>
    </row>
    <row r="19" spans="1:15" ht="26" x14ac:dyDescent="0.3">
      <c r="A19" s="330" t="s">
        <v>190</v>
      </c>
      <c r="B19" s="218">
        <v>0.3</v>
      </c>
      <c r="C19" s="116">
        <v>330</v>
      </c>
      <c r="D19" s="218">
        <f>B19*C19</f>
        <v>99</v>
      </c>
      <c r="E19" s="229">
        <v>0</v>
      </c>
      <c r="F19" s="230">
        <f t="shared" si="2"/>
        <v>0</v>
      </c>
      <c r="G19" s="218">
        <f t="shared" si="3"/>
        <v>0</v>
      </c>
      <c r="H19" s="218">
        <f t="shared" si="4"/>
        <v>0</v>
      </c>
      <c r="I19" s="227">
        <f t="shared" si="5"/>
        <v>0</v>
      </c>
      <c r="N19" s="231"/>
      <c r="O19" s="174">
        <f t="shared" si="0"/>
        <v>0</v>
      </c>
    </row>
    <row r="20" spans="1:15" ht="26" x14ac:dyDescent="0.3">
      <c r="A20" s="330" t="s">
        <v>108</v>
      </c>
      <c r="B20" s="218"/>
      <c r="C20" s="220"/>
      <c r="D20" s="221"/>
      <c r="E20" s="235"/>
      <c r="F20" s="221"/>
      <c r="G20" s="221"/>
      <c r="H20" s="221"/>
      <c r="I20" s="221"/>
      <c r="N20" s="231"/>
      <c r="O20" s="174">
        <f t="shared" si="0"/>
        <v>0</v>
      </c>
    </row>
    <row r="21" spans="1:15" ht="26" x14ac:dyDescent="0.3">
      <c r="A21" s="330" t="s">
        <v>109</v>
      </c>
      <c r="B21" s="218"/>
      <c r="C21" s="220"/>
      <c r="D21" s="221"/>
      <c r="E21" s="235"/>
      <c r="F21" s="221"/>
      <c r="G21" s="221"/>
      <c r="H21" s="221"/>
      <c r="I21" s="221"/>
      <c r="N21" s="231"/>
      <c r="O21" s="174">
        <f t="shared" si="0"/>
        <v>0</v>
      </c>
    </row>
    <row r="22" spans="1:15" x14ac:dyDescent="0.3">
      <c r="A22" s="330" t="s">
        <v>110</v>
      </c>
      <c r="B22" s="221"/>
      <c r="C22" s="220"/>
      <c r="D22" s="221"/>
      <c r="E22" s="235"/>
      <c r="F22" s="221"/>
      <c r="G22" s="221"/>
      <c r="H22" s="221"/>
      <c r="I22" s="221"/>
      <c r="O22" s="174">
        <f t="shared" si="0"/>
        <v>0</v>
      </c>
    </row>
    <row r="23" spans="1:15" ht="26" x14ac:dyDescent="0.3">
      <c r="A23" s="336" t="s">
        <v>111</v>
      </c>
      <c r="B23" s="218"/>
      <c r="C23" s="116"/>
      <c r="D23" s="218"/>
      <c r="E23" s="229"/>
      <c r="F23" s="218"/>
      <c r="G23" s="218"/>
      <c r="H23" s="218"/>
      <c r="I23" s="227"/>
      <c r="O23" s="174">
        <f t="shared" si="0"/>
        <v>0</v>
      </c>
    </row>
    <row r="24" spans="1:15" ht="26" x14ac:dyDescent="0.3">
      <c r="A24" s="330" t="s">
        <v>112</v>
      </c>
      <c r="B24" s="218">
        <v>2</v>
      </c>
      <c r="C24" s="116">
        <v>1</v>
      </c>
      <c r="D24" s="218">
        <v>2</v>
      </c>
      <c r="E24" s="229">
        <v>0</v>
      </c>
      <c r="F24" s="218">
        <f t="shared" ref="F24:F27" si="7">D24*E24</f>
        <v>0</v>
      </c>
      <c r="G24" s="218">
        <f t="shared" ref="G24:G27" si="8">F24*0.05</f>
        <v>0</v>
      </c>
      <c r="H24" s="218">
        <f t="shared" ref="H24:H27" si="9">F24*0.1</f>
        <v>0</v>
      </c>
      <c r="I24" s="227">
        <f>F24*$L$8+G24*$L$7+H24*$L$9</f>
        <v>0</v>
      </c>
      <c r="O24" s="174">
        <f t="shared" si="0"/>
        <v>0</v>
      </c>
    </row>
    <row r="25" spans="1:15" ht="27.5" customHeight="1" x14ac:dyDescent="0.3">
      <c r="A25" s="330" t="s">
        <v>113</v>
      </c>
      <c r="B25" s="218">
        <v>2</v>
      </c>
      <c r="C25" s="116">
        <v>1</v>
      </c>
      <c r="D25" s="218">
        <v>2</v>
      </c>
      <c r="E25" s="229">
        <v>0</v>
      </c>
      <c r="F25" s="218">
        <f t="shared" si="7"/>
        <v>0</v>
      </c>
      <c r="G25" s="218">
        <f t="shared" si="8"/>
        <v>0</v>
      </c>
      <c r="H25" s="218">
        <f t="shared" si="9"/>
        <v>0</v>
      </c>
      <c r="I25" s="227">
        <f>F25*$L$8+G25*$L$7+H25*$L$9</f>
        <v>0</v>
      </c>
      <c r="O25" s="174">
        <f t="shared" si="0"/>
        <v>0</v>
      </c>
    </row>
    <row r="26" spans="1:15" x14ac:dyDescent="0.3">
      <c r="A26" s="330" t="s">
        <v>114</v>
      </c>
      <c r="B26" s="218">
        <v>2</v>
      </c>
      <c r="C26" s="116">
        <v>1</v>
      </c>
      <c r="D26" s="218">
        <v>2</v>
      </c>
      <c r="E26" s="229">
        <v>0</v>
      </c>
      <c r="F26" s="218">
        <f t="shared" si="7"/>
        <v>0</v>
      </c>
      <c r="G26" s="218">
        <f t="shared" si="8"/>
        <v>0</v>
      </c>
      <c r="H26" s="218">
        <f t="shared" si="9"/>
        <v>0</v>
      </c>
      <c r="I26" s="227">
        <f>F26*$L$8+G26*$L$7+H26*$L$9</f>
        <v>0</v>
      </c>
      <c r="O26" s="174">
        <f t="shared" si="0"/>
        <v>0</v>
      </c>
    </row>
    <row r="27" spans="1:15" ht="78" x14ac:dyDescent="0.3">
      <c r="A27" s="330" t="s">
        <v>246</v>
      </c>
      <c r="B27" s="218">
        <v>24</v>
      </c>
      <c r="C27" s="116">
        <v>4</v>
      </c>
      <c r="D27" s="218">
        <v>48</v>
      </c>
      <c r="E27" s="229">
        <v>0</v>
      </c>
      <c r="F27" s="218">
        <f t="shared" si="7"/>
        <v>0</v>
      </c>
      <c r="G27" s="218">
        <f t="shared" si="8"/>
        <v>0</v>
      </c>
      <c r="H27" s="218">
        <f t="shared" si="9"/>
        <v>0</v>
      </c>
      <c r="I27" s="225">
        <f>F27*$L$8+G27*$L$7+H27*$L$9</f>
        <v>0</v>
      </c>
      <c r="O27" s="174">
        <f t="shared" si="0"/>
        <v>0</v>
      </c>
    </row>
    <row r="28" spans="1:15" x14ac:dyDescent="0.3">
      <c r="A28" s="336" t="s">
        <v>75</v>
      </c>
      <c r="B28" s="221"/>
      <c r="C28" s="220"/>
      <c r="D28" s="221"/>
      <c r="E28" s="235"/>
      <c r="F28" s="221"/>
      <c r="G28" s="221"/>
      <c r="H28" s="221"/>
      <c r="I28" s="221"/>
      <c r="O28" s="174">
        <f t="shared" si="0"/>
        <v>0</v>
      </c>
    </row>
    <row r="29" spans="1:15" ht="26" x14ac:dyDescent="0.3">
      <c r="A29" s="330" t="s">
        <v>112</v>
      </c>
      <c r="B29" s="218">
        <v>2</v>
      </c>
      <c r="C29" s="116">
        <v>1</v>
      </c>
      <c r="D29" s="218">
        <v>2</v>
      </c>
      <c r="E29" s="229">
        <v>0</v>
      </c>
      <c r="F29" s="218">
        <f>D29*E29</f>
        <v>0</v>
      </c>
      <c r="G29" s="218">
        <f>F29*0.05</f>
        <v>0</v>
      </c>
      <c r="H29" s="218">
        <f>F29*0.1</f>
        <v>0</v>
      </c>
      <c r="I29" s="227">
        <f>F29*$L$8+G29*$L$7+H29*$L$9</f>
        <v>0</v>
      </c>
      <c r="O29" s="174">
        <f t="shared" si="0"/>
        <v>0</v>
      </c>
    </row>
    <row r="30" spans="1:15" ht="26" x14ac:dyDescent="0.3">
      <c r="A30" s="330" t="s">
        <v>113</v>
      </c>
      <c r="B30" s="218">
        <v>2</v>
      </c>
      <c r="C30" s="116">
        <v>1</v>
      </c>
      <c r="D30" s="218">
        <v>2</v>
      </c>
      <c r="E30" s="229">
        <v>0</v>
      </c>
      <c r="F30" s="218">
        <f>D30*E30</f>
        <v>0</v>
      </c>
      <c r="G30" s="218">
        <f>F30*0.05</f>
        <v>0</v>
      </c>
      <c r="H30" s="218">
        <f>F30*0.1</f>
        <v>0</v>
      </c>
      <c r="I30" s="227">
        <f>F30*$L$8+G30*$L$7+H30*$L$9</f>
        <v>0</v>
      </c>
      <c r="O30" s="174">
        <f t="shared" si="0"/>
        <v>0</v>
      </c>
    </row>
    <row r="31" spans="1:15" ht="26" x14ac:dyDescent="0.3">
      <c r="A31" s="330" t="s">
        <v>198</v>
      </c>
      <c r="B31" s="218">
        <v>2</v>
      </c>
      <c r="C31" s="116">
        <v>1</v>
      </c>
      <c r="D31" s="218">
        <v>2</v>
      </c>
      <c r="E31" s="229">
        <v>0</v>
      </c>
      <c r="F31" s="218">
        <f>D31*E31</f>
        <v>0</v>
      </c>
      <c r="G31" s="218">
        <f>F31*0.05</f>
        <v>0</v>
      </c>
      <c r="H31" s="218">
        <f>F31*0.1</f>
        <v>0</v>
      </c>
      <c r="I31" s="227">
        <f>F31*$L$8+G31*$L$7+H31*$L$9</f>
        <v>0</v>
      </c>
      <c r="O31" s="174">
        <f t="shared" si="0"/>
        <v>0</v>
      </c>
    </row>
    <row r="32" spans="1:15" ht="78" x14ac:dyDescent="0.3">
      <c r="A32" s="330" t="s">
        <v>246</v>
      </c>
      <c r="B32" s="218">
        <v>2</v>
      </c>
      <c r="C32" s="116">
        <v>4</v>
      </c>
      <c r="D32" s="218">
        <f t="shared" ref="D32" si="10">B32*C32</f>
        <v>8</v>
      </c>
      <c r="E32" s="229">
        <v>0</v>
      </c>
      <c r="F32" s="218">
        <f t="shared" ref="F32" si="11">D32*E32</f>
        <v>0</v>
      </c>
      <c r="G32" s="218">
        <f t="shared" ref="G32" si="12">F32*0.05</f>
        <v>0</v>
      </c>
      <c r="H32" s="218">
        <f t="shared" ref="H32" si="13">F32*0.1</f>
        <v>0</v>
      </c>
      <c r="I32" s="227">
        <f>F32*$L$8+G32*$L$7+H32*$L$9</f>
        <v>0</v>
      </c>
      <c r="O32" s="174">
        <f t="shared" si="0"/>
        <v>0</v>
      </c>
    </row>
    <row r="33" spans="1:16" ht="30" customHeight="1" x14ac:dyDescent="0.3">
      <c r="A33" s="236" t="s">
        <v>86</v>
      </c>
      <c r="B33" s="237"/>
      <c r="C33" s="238"/>
      <c r="D33" s="237"/>
      <c r="E33" s="239"/>
      <c r="F33" s="240">
        <f>SUM(F8:H32)</f>
        <v>0</v>
      </c>
      <c r="G33" s="240"/>
      <c r="H33" s="240"/>
      <c r="I33" s="241">
        <f>SUM(I8:I32)</f>
        <v>0</v>
      </c>
      <c r="O33" s="174">
        <f t="shared" si="0"/>
        <v>0</v>
      </c>
    </row>
    <row r="34" spans="1:16" ht="26" x14ac:dyDescent="0.3">
      <c r="A34" s="210" t="s">
        <v>115</v>
      </c>
      <c r="B34" s="221"/>
      <c r="C34" s="220"/>
      <c r="D34" s="221"/>
      <c r="E34" s="235"/>
      <c r="F34" s="221"/>
      <c r="G34" s="221"/>
      <c r="H34" s="221"/>
      <c r="I34" s="221"/>
      <c r="O34" s="174">
        <f t="shared" si="0"/>
        <v>0</v>
      </c>
    </row>
    <row r="35" spans="1:16" ht="26" x14ac:dyDescent="0.3">
      <c r="A35" s="330" t="s">
        <v>100</v>
      </c>
      <c r="B35" s="218"/>
      <c r="C35" s="220"/>
      <c r="D35" s="221"/>
      <c r="E35" s="220"/>
      <c r="F35" s="221"/>
      <c r="G35" s="221"/>
      <c r="H35" s="221"/>
      <c r="I35" s="221"/>
      <c r="O35" s="174">
        <f t="shared" si="0"/>
        <v>0</v>
      </c>
    </row>
    <row r="36" spans="1:16" x14ac:dyDescent="0.3">
      <c r="A36" s="330" t="s">
        <v>116</v>
      </c>
      <c r="B36" s="218"/>
      <c r="C36" s="220"/>
      <c r="D36" s="221"/>
      <c r="E36" s="220"/>
      <c r="F36" s="221"/>
      <c r="G36" s="221"/>
      <c r="H36" s="221"/>
      <c r="I36" s="221"/>
      <c r="O36" s="174">
        <f t="shared" si="0"/>
        <v>0</v>
      </c>
    </row>
    <row r="37" spans="1:16" x14ac:dyDescent="0.3">
      <c r="A37" s="330" t="s">
        <v>117</v>
      </c>
      <c r="B37" s="218"/>
      <c r="C37" s="220"/>
      <c r="D37" s="221"/>
      <c r="E37" s="220"/>
      <c r="F37" s="221"/>
      <c r="G37" s="221"/>
      <c r="H37" s="221"/>
      <c r="I37" s="221"/>
      <c r="O37" s="174">
        <f t="shared" si="0"/>
        <v>0</v>
      </c>
    </row>
    <row r="38" spans="1:16" x14ac:dyDescent="0.3">
      <c r="A38" s="330" t="s">
        <v>118</v>
      </c>
      <c r="B38" s="218" t="s">
        <v>77</v>
      </c>
      <c r="C38" s="220"/>
      <c r="D38" s="221"/>
      <c r="E38" s="220"/>
      <c r="F38" s="221"/>
      <c r="G38" s="221"/>
      <c r="H38" s="221"/>
      <c r="I38" s="221"/>
      <c r="O38" s="174">
        <f t="shared" si="0"/>
        <v>0</v>
      </c>
    </row>
    <row r="39" spans="1:16" ht="26" x14ac:dyDescent="0.3">
      <c r="A39" s="330" t="s">
        <v>119</v>
      </c>
      <c r="B39" s="221"/>
      <c r="C39" s="220"/>
      <c r="D39" s="221"/>
      <c r="E39" s="220"/>
      <c r="F39" s="221"/>
      <c r="G39" s="221"/>
      <c r="H39" s="221"/>
      <c r="I39" s="221"/>
      <c r="O39" s="174">
        <f t="shared" si="0"/>
        <v>0</v>
      </c>
    </row>
    <row r="40" spans="1:16" x14ac:dyDescent="0.3">
      <c r="A40" s="336" t="s">
        <v>75</v>
      </c>
      <c r="B40" s="221"/>
      <c r="C40" s="220"/>
      <c r="D40" s="221"/>
      <c r="E40" s="220"/>
      <c r="F40" s="221"/>
      <c r="G40" s="221"/>
      <c r="H40" s="221"/>
      <c r="I40" s="221"/>
      <c r="O40" s="174">
        <f t="shared" si="0"/>
        <v>0</v>
      </c>
    </row>
    <row r="41" spans="1:16" x14ac:dyDescent="0.3">
      <c r="A41" s="330" t="s">
        <v>120</v>
      </c>
      <c r="B41" s="218">
        <v>0.4</v>
      </c>
      <c r="C41" s="116">
        <v>12</v>
      </c>
      <c r="D41" s="218">
        <f t="shared" ref="D41:D46" si="14">B41*C41</f>
        <v>4.8000000000000007</v>
      </c>
      <c r="E41" s="229">
        <f>$L$14</f>
        <v>55</v>
      </c>
      <c r="F41" s="230">
        <f t="shared" ref="F41:F46" si="15">D41*E41</f>
        <v>264.00000000000006</v>
      </c>
      <c r="G41" s="218">
        <f t="shared" ref="G41:G46" si="16">F41*0.05</f>
        <v>13.200000000000003</v>
      </c>
      <c r="H41" s="218">
        <f t="shared" ref="H41:H46" si="17">F41*0.1</f>
        <v>26.400000000000006</v>
      </c>
      <c r="I41" s="227">
        <f>F41*$L$8+G41*$L$7+H41*$L$9</f>
        <v>36450.876000000011</v>
      </c>
      <c r="O41" s="174">
        <f t="shared" si="0"/>
        <v>660</v>
      </c>
    </row>
    <row r="42" spans="1:16" ht="19.5" customHeight="1" x14ac:dyDescent="0.3">
      <c r="A42" s="330" t="s">
        <v>212</v>
      </c>
      <c r="B42" s="218">
        <v>0.4</v>
      </c>
      <c r="C42" s="116">
        <v>12</v>
      </c>
      <c r="D42" s="218">
        <f t="shared" si="14"/>
        <v>4.8000000000000007</v>
      </c>
      <c r="E42" s="229">
        <f>E41</f>
        <v>55</v>
      </c>
      <c r="F42" s="230">
        <f t="shared" si="15"/>
        <v>264.00000000000006</v>
      </c>
      <c r="G42" s="218">
        <f t="shared" si="16"/>
        <v>13.200000000000003</v>
      </c>
      <c r="H42" s="218">
        <f t="shared" si="17"/>
        <v>26.400000000000006</v>
      </c>
      <c r="I42" s="227">
        <f>F42*$L$8+G42*$L$7+H42*$L$9</f>
        <v>36450.876000000011</v>
      </c>
      <c r="O42" s="174">
        <f t="shared" si="0"/>
        <v>660</v>
      </c>
    </row>
    <row r="43" spans="1:16" x14ac:dyDescent="0.3">
      <c r="A43" s="336" t="s">
        <v>76</v>
      </c>
      <c r="B43" s="218"/>
      <c r="C43" s="116"/>
      <c r="D43" s="218"/>
      <c r="E43" s="229"/>
      <c r="F43" s="230"/>
      <c r="G43" s="218"/>
      <c r="H43" s="218"/>
      <c r="I43" s="227"/>
      <c r="O43" s="174">
        <f t="shared" si="0"/>
        <v>0</v>
      </c>
    </row>
    <row r="44" spans="1:16" x14ac:dyDescent="0.3">
      <c r="A44" s="330" t="s">
        <v>120</v>
      </c>
      <c r="B44" s="218">
        <v>1.5</v>
      </c>
      <c r="C44" s="116">
        <v>330</v>
      </c>
      <c r="D44" s="218">
        <f>B44*C44</f>
        <v>495</v>
      </c>
      <c r="E44" s="229">
        <f>$L$12</f>
        <v>0</v>
      </c>
      <c r="F44" s="230">
        <f t="shared" ref="F44:F45" si="18">D44*E44</f>
        <v>0</v>
      </c>
      <c r="G44" s="218">
        <f t="shared" ref="G44:G45" si="19">F44*0.05</f>
        <v>0</v>
      </c>
      <c r="H44" s="218">
        <f t="shared" ref="H44:H45" si="20">F44*0.1</f>
        <v>0</v>
      </c>
      <c r="I44" s="225">
        <f>F44*$L$8+G44*$L$7+H44*$L$9</f>
        <v>0</v>
      </c>
      <c r="O44" s="174">
        <f t="shared" si="0"/>
        <v>0</v>
      </c>
    </row>
    <row r="45" spans="1:16" x14ac:dyDescent="0.3">
      <c r="A45" s="330" t="s">
        <v>456</v>
      </c>
      <c r="B45" s="218">
        <v>0.1</v>
      </c>
      <c r="C45" s="116">
        <v>330</v>
      </c>
      <c r="D45" s="218">
        <f t="shared" ref="D45" si="21">B45*C45</f>
        <v>33</v>
      </c>
      <c r="E45" s="229">
        <f>$L$12</f>
        <v>0</v>
      </c>
      <c r="F45" s="230">
        <f t="shared" si="18"/>
        <v>0</v>
      </c>
      <c r="G45" s="218">
        <f t="shared" si="19"/>
        <v>0</v>
      </c>
      <c r="H45" s="218">
        <f t="shared" si="20"/>
        <v>0</v>
      </c>
      <c r="I45" s="225">
        <f>F45*$L$8+G45*$L$7+H45*$L$9</f>
        <v>0</v>
      </c>
      <c r="O45" s="174">
        <f t="shared" si="0"/>
        <v>0</v>
      </c>
    </row>
    <row r="46" spans="1:16" x14ac:dyDescent="0.3">
      <c r="A46" s="330" t="s">
        <v>121</v>
      </c>
      <c r="B46" s="218">
        <v>80</v>
      </c>
      <c r="C46" s="116">
        <v>1</v>
      </c>
      <c r="D46" s="218">
        <f t="shared" si="14"/>
        <v>80</v>
      </c>
      <c r="E46" s="229">
        <f>$L$12</f>
        <v>0</v>
      </c>
      <c r="F46" s="230">
        <f t="shared" si="15"/>
        <v>0</v>
      </c>
      <c r="G46" s="218">
        <f t="shared" si="16"/>
        <v>0</v>
      </c>
      <c r="H46" s="218">
        <f t="shared" si="17"/>
        <v>0</v>
      </c>
      <c r="I46" s="225">
        <f>F46*$L$8+G46*$L$7+H46*$L$9</f>
        <v>0</v>
      </c>
      <c r="O46" s="174">
        <f t="shared" si="0"/>
        <v>0</v>
      </c>
    </row>
    <row r="47" spans="1:16" x14ac:dyDescent="0.3">
      <c r="A47" s="330" t="s">
        <v>122</v>
      </c>
      <c r="B47" s="218" t="s">
        <v>77</v>
      </c>
      <c r="C47" s="220"/>
      <c r="D47" s="221"/>
      <c r="E47" s="220"/>
      <c r="F47" s="221"/>
      <c r="G47" s="221"/>
      <c r="H47" s="221"/>
      <c r="I47" s="221"/>
      <c r="O47" s="174">
        <f t="shared" si="0"/>
        <v>0</v>
      </c>
    </row>
    <row r="48" spans="1:16" ht="27" customHeight="1" x14ac:dyDescent="0.3">
      <c r="A48" s="236" t="s">
        <v>60</v>
      </c>
      <c r="B48" s="242"/>
      <c r="C48" s="243"/>
      <c r="D48" s="242"/>
      <c r="E48" s="244"/>
      <c r="F48" s="240">
        <f>SUM(F41:H46)</f>
        <v>607.20000000000016</v>
      </c>
      <c r="G48" s="240"/>
      <c r="H48" s="240"/>
      <c r="I48" s="241">
        <f>SUM(I41:I47)</f>
        <v>72901.752000000022</v>
      </c>
      <c r="O48" s="174">
        <f>SUM(O6:O47)</f>
        <v>1320</v>
      </c>
      <c r="P48" s="174" t="s">
        <v>385</v>
      </c>
    </row>
    <row r="49" spans="1:12" ht="28" x14ac:dyDescent="0.3">
      <c r="A49" s="212" t="s">
        <v>123</v>
      </c>
      <c r="B49" s="245"/>
      <c r="C49" s="246"/>
      <c r="D49" s="245"/>
      <c r="E49" s="247"/>
      <c r="F49" s="381">
        <f>ROUND(F48+F33, -2)</f>
        <v>600</v>
      </c>
      <c r="G49" s="381"/>
      <c r="H49" s="381"/>
      <c r="I49" s="248">
        <f>ROUND(I48+I33, -4)</f>
        <v>70000</v>
      </c>
      <c r="K49" s="249">
        <f>F49/212</f>
        <v>2.8301886792452828</v>
      </c>
      <c r="L49" s="174" t="s">
        <v>124</v>
      </c>
    </row>
    <row r="50" spans="1:12" ht="28" x14ac:dyDescent="0.3">
      <c r="A50" s="250" t="s">
        <v>78</v>
      </c>
      <c r="B50" s="221"/>
      <c r="C50" s="220"/>
      <c r="D50" s="221"/>
      <c r="E50" s="220"/>
      <c r="F50" s="221"/>
      <c r="G50" s="221"/>
      <c r="H50" s="221"/>
      <c r="I50" s="248">
        <v>0</v>
      </c>
    </row>
    <row r="51" spans="1:12" ht="15" x14ac:dyDescent="0.3">
      <c r="A51" s="250" t="s">
        <v>125</v>
      </c>
      <c r="B51" s="221"/>
      <c r="C51" s="220"/>
      <c r="D51" s="221"/>
      <c r="E51" s="220"/>
      <c r="F51" s="221"/>
      <c r="G51" s="221"/>
      <c r="H51" s="221"/>
      <c r="I51" s="248">
        <f>ROUND(I49+I50, -5)</f>
        <v>100000</v>
      </c>
    </row>
    <row r="52" spans="1:12" ht="7.5" customHeight="1" x14ac:dyDescent="0.3"/>
    <row r="53" spans="1:12" ht="15.5" x14ac:dyDescent="0.3">
      <c r="A53" s="382" t="s">
        <v>189</v>
      </c>
      <c r="B53" s="382"/>
      <c r="C53" s="382"/>
      <c r="D53" s="382"/>
      <c r="E53" s="382"/>
      <c r="F53" s="382"/>
      <c r="G53" s="382"/>
      <c r="H53" s="382"/>
      <c r="I53" s="382"/>
    </row>
    <row r="54" spans="1:12" ht="38" customHeight="1" x14ac:dyDescent="0.3">
      <c r="A54" s="370" t="s">
        <v>182</v>
      </c>
      <c r="B54" s="370"/>
      <c r="C54" s="370"/>
      <c r="D54" s="370"/>
      <c r="E54" s="370"/>
      <c r="F54" s="370"/>
      <c r="G54" s="370"/>
      <c r="H54" s="370"/>
      <c r="I54" s="370"/>
    </row>
    <row r="55" spans="1:12" ht="23" customHeight="1" x14ac:dyDescent="0.3">
      <c r="A55" s="382" t="s">
        <v>192</v>
      </c>
      <c r="B55" s="382"/>
      <c r="C55" s="382"/>
      <c r="D55" s="382"/>
      <c r="E55" s="382"/>
      <c r="F55" s="382"/>
      <c r="G55" s="382"/>
      <c r="H55" s="382"/>
      <c r="I55" s="382"/>
    </row>
    <row r="56" spans="1:12" ht="24.5" customHeight="1" x14ac:dyDescent="0.3">
      <c r="A56" s="383" t="s">
        <v>195</v>
      </c>
      <c r="B56" s="383"/>
      <c r="C56" s="383"/>
      <c r="D56" s="383"/>
      <c r="E56" s="383"/>
      <c r="F56" s="383"/>
      <c r="G56" s="383"/>
      <c r="H56" s="383"/>
      <c r="I56" s="383"/>
    </row>
    <row r="57" spans="1:12" ht="15.5" x14ac:dyDescent="0.3">
      <c r="A57" s="384" t="s">
        <v>191</v>
      </c>
      <c r="B57" s="384"/>
      <c r="C57" s="384"/>
      <c r="D57" s="384"/>
      <c r="E57" s="384"/>
      <c r="F57" s="384"/>
      <c r="G57" s="384"/>
      <c r="H57" s="384"/>
      <c r="I57" s="384"/>
    </row>
    <row r="58" spans="1:12" ht="18.75" customHeight="1" x14ac:dyDescent="0.3">
      <c r="A58" s="379" t="s">
        <v>126</v>
      </c>
      <c r="B58" s="379"/>
      <c r="C58" s="379"/>
      <c r="D58" s="379"/>
      <c r="E58" s="379"/>
      <c r="F58" s="379"/>
      <c r="G58" s="379"/>
      <c r="H58" s="379"/>
      <c r="I58" s="379"/>
    </row>
  </sheetData>
  <mergeCells count="10">
    <mergeCell ref="A58:I58"/>
    <mergeCell ref="A1:I1"/>
    <mergeCell ref="A3:I3"/>
    <mergeCell ref="K6:L6"/>
    <mergeCell ref="F49:H49"/>
    <mergeCell ref="A53:I53"/>
    <mergeCell ref="A54:I54"/>
    <mergeCell ref="A55:I55"/>
    <mergeCell ref="A56:I56"/>
    <mergeCell ref="A57:I57"/>
  </mergeCells>
  <pageMargins left="0.7" right="0.7" top="0.75" bottom="0.75" header="0.3" footer="0.3"/>
  <pageSetup scale="4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246B4-C3EC-475F-9A33-494F8C841B9D}">
  <sheetPr codeName="Sheet27">
    <pageSetUpPr fitToPage="1"/>
  </sheetPr>
  <dimension ref="A1:O62"/>
  <sheetViews>
    <sheetView zoomScaleNormal="100" workbookViewId="0">
      <pane xSplit="13" ySplit="5" topLeftCell="N6" activePane="bottomRight" state="frozen"/>
      <selection activeCell="K33" sqref="K33"/>
      <selection pane="topRight" activeCell="K33" sqref="K33"/>
      <selection pane="bottomLeft" activeCell="K33" sqref="K33"/>
      <selection pane="bottomRight" activeCell="K15" sqref="K15:K16"/>
    </sheetView>
  </sheetViews>
  <sheetFormatPr defaultColWidth="9.1796875" defaultRowHeight="13" x14ac:dyDescent="0.3"/>
  <cols>
    <col min="1" max="1" width="24.26953125" style="174" customWidth="1"/>
    <col min="2" max="2" width="10.1796875" style="174" customWidth="1"/>
    <col min="3" max="3" width="12" style="251" customWidth="1"/>
    <col min="4" max="4" width="11.1796875" style="174" customWidth="1"/>
    <col min="5" max="5" width="12.1796875" style="251" customWidth="1"/>
    <col min="6" max="6" width="10.26953125" style="174" customWidth="1"/>
    <col min="7" max="7" width="11.7265625" style="174" customWidth="1"/>
    <col min="8" max="8" width="11.26953125" style="174" customWidth="1"/>
    <col min="9" max="9" width="14.26953125" style="174" customWidth="1"/>
    <col min="10" max="10" width="7.1796875" style="174" customWidth="1"/>
    <col min="11" max="11" width="19.453125" style="174" customWidth="1"/>
    <col min="12" max="12" width="14.453125" style="174" customWidth="1"/>
    <col min="13" max="13" width="25.453125" style="174" customWidth="1"/>
    <col min="14" max="14" width="20.453125" style="174" customWidth="1"/>
    <col min="15" max="15" width="14.1796875" style="174" customWidth="1"/>
    <col min="16" max="16384" width="9.1796875" style="174"/>
  </cols>
  <sheetData>
    <row r="1" spans="1:14" s="216" customFormat="1" ht="15" x14ac:dyDescent="0.3">
      <c r="A1" s="362" t="s">
        <v>187</v>
      </c>
      <c r="B1" s="362"/>
      <c r="C1" s="362"/>
      <c r="D1" s="362"/>
      <c r="E1" s="362"/>
      <c r="F1" s="362"/>
      <c r="G1" s="362"/>
      <c r="H1" s="362"/>
      <c r="I1" s="362"/>
    </row>
    <row r="2" spans="1:14" s="216" customFormat="1" ht="15" x14ac:dyDescent="0.3">
      <c r="A2" s="200" t="s">
        <v>211</v>
      </c>
      <c r="B2" s="200"/>
      <c r="C2" s="200"/>
      <c r="D2" s="200"/>
      <c r="E2" s="200"/>
      <c r="F2" s="200"/>
      <c r="G2" s="200"/>
      <c r="H2" s="200"/>
      <c r="I2" s="200"/>
    </row>
    <row r="3" spans="1:14" s="216" customFormat="1" ht="33" customHeight="1" x14ac:dyDescent="0.3">
      <c r="A3" s="362" t="s">
        <v>449</v>
      </c>
      <c r="B3" s="362"/>
      <c r="C3" s="362"/>
      <c r="D3" s="362"/>
      <c r="E3" s="362"/>
      <c r="F3" s="362"/>
      <c r="G3" s="362"/>
      <c r="H3" s="362"/>
      <c r="I3" s="362"/>
    </row>
    <row r="5" spans="1:14" ht="65" x14ac:dyDescent="0.3">
      <c r="A5" s="217" t="s">
        <v>32</v>
      </c>
      <c r="B5" s="218" t="s">
        <v>88</v>
      </c>
      <c r="C5" s="116" t="s">
        <v>89</v>
      </c>
      <c r="D5" s="218" t="s">
        <v>90</v>
      </c>
      <c r="E5" s="116" t="s">
        <v>91</v>
      </c>
      <c r="F5" s="218" t="s">
        <v>92</v>
      </c>
      <c r="G5" s="218" t="s">
        <v>93</v>
      </c>
      <c r="H5" s="218" t="s">
        <v>94</v>
      </c>
      <c r="I5" s="218" t="s">
        <v>95</v>
      </c>
      <c r="J5" s="219"/>
      <c r="N5" s="174" t="s">
        <v>383</v>
      </c>
    </row>
    <row r="6" spans="1:14" x14ac:dyDescent="0.3">
      <c r="A6" s="210" t="s">
        <v>96</v>
      </c>
      <c r="B6" s="218" t="s">
        <v>77</v>
      </c>
      <c r="C6" s="220"/>
      <c r="D6" s="221"/>
      <c r="E6" s="220"/>
      <c r="F6" s="221"/>
      <c r="G6" s="221"/>
      <c r="H6" s="221"/>
      <c r="I6" s="221"/>
      <c r="K6" s="380" t="s">
        <v>68</v>
      </c>
      <c r="L6" s="380"/>
      <c r="N6" s="174">
        <f>C6*E6</f>
        <v>0</v>
      </c>
    </row>
    <row r="7" spans="1:14" ht="25.5" customHeight="1" x14ac:dyDescent="0.3">
      <c r="A7" s="210" t="s">
        <v>97</v>
      </c>
      <c r="B7" s="218" t="s">
        <v>77</v>
      </c>
      <c r="C7" s="220"/>
      <c r="D7" s="221"/>
      <c r="E7" s="220"/>
      <c r="F7" s="221"/>
      <c r="G7" s="221"/>
      <c r="H7" s="221"/>
      <c r="I7" s="221"/>
      <c r="K7" s="222" t="s">
        <v>69</v>
      </c>
      <c r="L7" s="223">
        <v>157.61000000000001</v>
      </c>
      <c r="M7" s="224" t="s">
        <v>180</v>
      </c>
      <c r="N7" s="174">
        <f t="shared" ref="N7:N49" si="0">C7*E7</f>
        <v>0</v>
      </c>
    </row>
    <row r="8" spans="1:14" ht="55" customHeight="1" x14ac:dyDescent="0.3">
      <c r="A8" s="210" t="s">
        <v>98</v>
      </c>
      <c r="B8" s="218">
        <v>16</v>
      </c>
      <c r="C8" s="116">
        <v>1</v>
      </c>
      <c r="D8" s="218">
        <f>B8*C8</f>
        <v>16</v>
      </c>
      <c r="E8" s="116">
        <f>L12</f>
        <v>0</v>
      </c>
      <c r="F8" s="218">
        <f>D8*E8</f>
        <v>0</v>
      </c>
      <c r="G8" s="218">
        <f>F8*0.05</f>
        <v>0</v>
      </c>
      <c r="H8" s="218">
        <f>F8*0.1</f>
        <v>0</v>
      </c>
      <c r="I8" s="225">
        <f>F8*$L$8+G8*$L$7+H8*$L$9</f>
        <v>0</v>
      </c>
      <c r="K8" s="222" t="s">
        <v>33</v>
      </c>
      <c r="L8" s="223">
        <v>123.94</v>
      </c>
      <c r="M8" s="226"/>
      <c r="N8" s="174">
        <f t="shared" si="0"/>
        <v>0</v>
      </c>
    </row>
    <row r="9" spans="1:14" x14ac:dyDescent="0.3">
      <c r="A9" s="210" t="s">
        <v>99</v>
      </c>
      <c r="B9" s="218"/>
      <c r="C9" s="116"/>
      <c r="D9" s="218"/>
      <c r="E9" s="116"/>
      <c r="F9" s="218"/>
      <c r="G9" s="218"/>
      <c r="H9" s="218"/>
      <c r="I9" s="221"/>
      <c r="K9" s="222" t="s">
        <v>34</v>
      </c>
      <c r="L9" s="223">
        <v>62.51</v>
      </c>
      <c r="M9" s="226"/>
      <c r="N9" s="174">
        <f t="shared" si="0"/>
        <v>0</v>
      </c>
    </row>
    <row r="10" spans="1:14" ht="26" x14ac:dyDescent="0.3">
      <c r="A10" s="330" t="s">
        <v>100</v>
      </c>
      <c r="B10" s="218">
        <v>20</v>
      </c>
      <c r="C10" s="116">
        <v>1</v>
      </c>
      <c r="D10" s="218">
        <f>B10*C10</f>
        <v>20</v>
      </c>
      <c r="E10" s="116">
        <v>0</v>
      </c>
      <c r="F10" s="218">
        <f>D10*E10</f>
        <v>0</v>
      </c>
      <c r="G10" s="218">
        <f>F10*0.05</f>
        <v>0</v>
      </c>
      <c r="H10" s="218">
        <f>F10*0.1</f>
        <v>0</v>
      </c>
      <c r="I10" s="227">
        <f>F10*$L$8+G10*$L$7+H10*$L$9</f>
        <v>0</v>
      </c>
      <c r="K10" s="177"/>
      <c r="N10" s="174">
        <f t="shared" si="0"/>
        <v>0</v>
      </c>
    </row>
    <row r="11" spans="1:14" ht="15.75" customHeight="1" x14ac:dyDescent="0.3">
      <c r="A11" s="330" t="s">
        <v>101</v>
      </c>
      <c r="B11" s="218"/>
      <c r="C11" s="116"/>
      <c r="D11" s="218"/>
      <c r="E11" s="116"/>
      <c r="F11" s="218"/>
      <c r="G11" s="218"/>
      <c r="H11" s="218"/>
      <c r="I11" s="227"/>
      <c r="K11" s="228"/>
      <c r="L11" s="228" t="s">
        <v>206</v>
      </c>
      <c r="N11" s="174">
        <f t="shared" si="0"/>
        <v>0</v>
      </c>
    </row>
    <row r="12" spans="1:14" ht="28.5" x14ac:dyDescent="0.3">
      <c r="A12" s="335" t="s">
        <v>103</v>
      </c>
      <c r="B12" s="218"/>
      <c r="C12" s="116"/>
      <c r="D12" s="218"/>
      <c r="E12" s="229"/>
      <c r="F12" s="230"/>
      <c r="G12" s="218"/>
      <c r="H12" s="218"/>
      <c r="I12" s="227"/>
      <c r="K12" s="228" t="s">
        <v>104</v>
      </c>
      <c r="L12" s="228">
        <v>0</v>
      </c>
      <c r="N12" s="174">
        <f t="shared" si="0"/>
        <v>0</v>
      </c>
    </row>
    <row r="13" spans="1:14" ht="24" customHeight="1" x14ac:dyDescent="0.3">
      <c r="A13" s="117" t="s">
        <v>193</v>
      </c>
      <c r="B13" s="116">
        <v>24</v>
      </c>
      <c r="C13" s="116">
        <v>2</v>
      </c>
      <c r="D13" s="218">
        <f>B13*C13</f>
        <v>48</v>
      </c>
      <c r="E13" s="229">
        <f t="shared" ref="E13" si="1">L$13</f>
        <v>5.5</v>
      </c>
      <c r="F13" s="230">
        <f>D13*E13</f>
        <v>264</v>
      </c>
      <c r="G13" s="218">
        <f>F13*0.05</f>
        <v>13.200000000000001</v>
      </c>
      <c r="H13" s="218">
        <f>F13*0.1</f>
        <v>26.400000000000002</v>
      </c>
      <c r="I13" s="227">
        <f>F13*$L$8+G13*$L$7+H13*$L$9</f>
        <v>36450.876000000004</v>
      </c>
      <c r="K13" s="228" t="s">
        <v>105</v>
      </c>
      <c r="L13" s="228">
        <f>L12+L14*0.1</f>
        <v>5.5</v>
      </c>
      <c r="N13" s="174">
        <f t="shared" si="0"/>
        <v>11</v>
      </c>
    </row>
    <row r="14" spans="1:14" x14ac:dyDescent="0.3">
      <c r="A14" s="117" t="s">
        <v>164</v>
      </c>
      <c r="B14" s="116">
        <v>24</v>
      </c>
      <c r="C14" s="116">
        <v>2</v>
      </c>
      <c r="D14" s="218">
        <f t="shared" ref="D14" si="2">B14*C14</f>
        <v>48</v>
      </c>
      <c r="E14" s="229">
        <f>E13*0.05</f>
        <v>0.27500000000000002</v>
      </c>
      <c r="F14" s="230">
        <f t="shared" ref="F14:F19" si="3">D14*E14</f>
        <v>13.200000000000001</v>
      </c>
      <c r="G14" s="218">
        <f t="shared" ref="G14:G19" si="4">F14*0.05</f>
        <v>0.66000000000000014</v>
      </c>
      <c r="H14" s="218">
        <f t="shared" ref="H14:H19" si="5">F14*0.1</f>
        <v>1.3200000000000003</v>
      </c>
      <c r="I14" s="227">
        <f t="shared" ref="I14:I19" si="6">F14*$L$8+G14*$L$7+H14*$L$9</f>
        <v>1822.5438000000001</v>
      </c>
      <c r="J14" s="177"/>
      <c r="K14" s="228" t="s">
        <v>80</v>
      </c>
      <c r="L14" s="228">
        <v>55</v>
      </c>
      <c r="N14" s="174">
        <f t="shared" si="0"/>
        <v>0.55000000000000004</v>
      </c>
    </row>
    <row r="15" spans="1:14" ht="34.5" customHeight="1" x14ac:dyDescent="0.3">
      <c r="A15" s="335" t="s">
        <v>194</v>
      </c>
      <c r="B15" s="218"/>
      <c r="C15" s="116"/>
      <c r="D15" s="218"/>
      <c r="E15" s="116"/>
      <c r="F15" s="230"/>
      <c r="G15" s="218"/>
      <c r="H15" s="218"/>
      <c r="I15" s="227"/>
      <c r="K15" s="177" t="s">
        <v>457</v>
      </c>
      <c r="L15" s="177">
        <f>0.1*L14</f>
        <v>5.5</v>
      </c>
      <c r="M15" s="177"/>
      <c r="N15" s="174">
        <f t="shared" si="0"/>
        <v>0</v>
      </c>
    </row>
    <row r="16" spans="1:14" ht="40.5" customHeight="1" x14ac:dyDescent="0.3">
      <c r="A16" s="330" t="s">
        <v>193</v>
      </c>
      <c r="B16" s="218">
        <v>24</v>
      </c>
      <c r="C16" s="116">
        <v>2</v>
      </c>
      <c r="D16" s="218">
        <f>B16*C16</f>
        <v>48</v>
      </c>
      <c r="E16" s="229">
        <f t="shared" ref="E16" si="7">L$14</f>
        <v>55</v>
      </c>
      <c r="F16" s="230">
        <f t="shared" si="3"/>
        <v>2640</v>
      </c>
      <c r="G16" s="218">
        <f t="shared" si="4"/>
        <v>132</v>
      </c>
      <c r="H16" s="218">
        <f t="shared" si="5"/>
        <v>264</v>
      </c>
      <c r="I16" s="227">
        <f t="shared" si="6"/>
        <v>364508.76</v>
      </c>
      <c r="J16" s="231"/>
      <c r="K16" s="177" t="s">
        <v>458</v>
      </c>
      <c r="L16" s="174">
        <f>0.9*L14</f>
        <v>49.5</v>
      </c>
      <c r="N16" s="174">
        <f t="shared" si="0"/>
        <v>110</v>
      </c>
    </row>
    <row r="17" spans="1:14" x14ac:dyDescent="0.3">
      <c r="A17" s="330" t="s">
        <v>165</v>
      </c>
      <c r="B17" s="116">
        <v>24</v>
      </c>
      <c r="C17" s="116">
        <v>2</v>
      </c>
      <c r="D17" s="218">
        <f t="shared" ref="D17" si="8">B17*C17</f>
        <v>48</v>
      </c>
      <c r="E17" s="229">
        <f>E16*0.05</f>
        <v>2.75</v>
      </c>
      <c r="F17" s="230">
        <f t="shared" si="3"/>
        <v>132</v>
      </c>
      <c r="G17" s="218">
        <f t="shared" si="4"/>
        <v>6.6000000000000005</v>
      </c>
      <c r="H17" s="218">
        <f t="shared" si="5"/>
        <v>13.200000000000001</v>
      </c>
      <c r="I17" s="227">
        <f t="shared" si="6"/>
        <v>18225.438000000002</v>
      </c>
      <c r="J17" s="231"/>
      <c r="N17" s="174">
        <f t="shared" si="0"/>
        <v>5.5</v>
      </c>
    </row>
    <row r="18" spans="1:14" ht="25.5" customHeight="1" x14ac:dyDescent="0.3">
      <c r="A18" s="335" t="s">
        <v>107</v>
      </c>
      <c r="B18" s="232"/>
      <c r="C18" s="233"/>
      <c r="D18" s="232"/>
      <c r="E18" s="234"/>
      <c r="F18" s="230"/>
      <c r="G18" s="218"/>
      <c r="H18" s="218"/>
      <c r="I18" s="227"/>
      <c r="N18" s="174">
        <f t="shared" si="0"/>
        <v>0</v>
      </c>
    </row>
    <row r="19" spans="1:14" ht="26" x14ac:dyDescent="0.3">
      <c r="A19" s="330" t="s">
        <v>190</v>
      </c>
      <c r="B19" s="218">
        <v>0.3</v>
      </c>
      <c r="C19" s="116">
        <v>330</v>
      </c>
      <c r="D19" s="218">
        <f>B19*C19</f>
        <v>99</v>
      </c>
      <c r="E19" s="229">
        <f>L14</f>
        <v>55</v>
      </c>
      <c r="F19" s="230">
        <f t="shared" si="3"/>
        <v>5445</v>
      </c>
      <c r="G19" s="218">
        <f t="shared" si="4"/>
        <v>272.25</v>
      </c>
      <c r="H19" s="218">
        <f t="shared" si="5"/>
        <v>544.5</v>
      </c>
      <c r="I19" s="227">
        <f t="shared" si="6"/>
        <v>751799.31749999989</v>
      </c>
      <c r="N19" s="174">
        <f t="shared" si="0"/>
        <v>18150</v>
      </c>
    </row>
    <row r="20" spans="1:14" ht="26" x14ac:dyDescent="0.3">
      <c r="A20" s="330" t="s">
        <v>108</v>
      </c>
      <c r="B20" s="218"/>
      <c r="C20" s="220"/>
      <c r="D20" s="221"/>
      <c r="E20" s="235"/>
      <c r="F20" s="221"/>
      <c r="G20" s="221"/>
      <c r="H20" s="221"/>
      <c r="I20" s="221"/>
      <c r="N20" s="174">
        <f t="shared" si="0"/>
        <v>0</v>
      </c>
    </row>
    <row r="21" spans="1:14" ht="26" x14ac:dyDescent="0.3">
      <c r="A21" s="330" t="s">
        <v>109</v>
      </c>
      <c r="B21" s="218"/>
      <c r="C21" s="220"/>
      <c r="D21" s="221"/>
      <c r="E21" s="235"/>
      <c r="F21" s="221"/>
      <c r="G21" s="221"/>
      <c r="H21" s="221"/>
      <c r="I21" s="221"/>
      <c r="N21" s="174">
        <f t="shared" si="0"/>
        <v>0</v>
      </c>
    </row>
    <row r="22" spans="1:14" x14ac:dyDescent="0.3">
      <c r="A22" s="330" t="s">
        <v>110</v>
      </c>
      <c r="B22" s="221"/>
      <c r="C22" s="220"/>
      <c r="D22" s="221"/>
      <c r="E22" s="235"/>
      <c r="F22" s="221"/>
      <c r="G22" s="221"/>
      <c r="H22" s="221"/>
      <c r="I22" s="221"/>
      <c r="N22" s="174">
        <f t="shared" si="0"/>
        <v>0</v>
      </c>
    </row>
    <row r="23" spans="1:14" ht="26" x14ac:dyDescent="0.3">
      <c r="A23" s="336" t="s">
        <v>111</v>
      </c>
      <c r="B23" s="218"/>
      <c r="C23" s="116"/>
      <c r="D23" s="218"/>
      <c r="E23" s="229"/>
      <c r="F23" s="218"/>
      <c r="G23" s="218"/>
      <c r="H23" s="218"/>
      <c r="I23" s="227"/>
      <c r="N23" s="174">
        <f t="shared" si="0"/>
        <v>0</v>
      </c>
    </row>
    <row r="24" spans="1:14" ht="26" x14ac:dyDescent="0.3">
      <c r="A24" s="330" t="s">
        <v>112</v>
      </c>
      <c r="B24" s="218">
        <v>2</v>
      </c>
      <c r="C24" s="116">
        <v>1</v>
      </c>
      <c r="D24" s="218">
        <v>2</v>
      </c>
      <c r="E24" s="229">
        <f>L13</f>
        <v>5.5</v>
      </c>
      <c r="F24" s="218">
        <f t="shared" ref="F24:F28" si="9">D24*E24</f>
        <v>11</v>
      </c>
      <c r="G24" s="218">
        <f t="shared" ref="G24:G28" si="10">F24*0.05</f>
        <v>0.55000000000000004</v>
      </c>
      <c r="H24" s="218">
        <f t="shared" ref="H24:H28" si="11">F24*0.1</f>
        <v>1.1000000000000001</v>
      </c>
      <c r="I24" s="227">
        <f>F24*$L$8+G24*$L$7+H24*$L$9</f>
        <v>1518.7864999999999</v>
      </c>
      <c r="N24" s="174">
        <f t="shared" si="0"/>
        <v>5.5</v>
      </c>
    </row>
    <row r="25" spans="1:14" ht="25.5" customHeight="1" x14ac:dyDescent="0.3">
      <c r="A25" s="330" t="s">
        <v>113</v>
      </c>
      <c r="B25" s="218">
        <v>2</v>
      </c>
      <c r="C25" s="116">
        <v>1</v>
      </c>
      <c r="D25" s="218">
        <v>2</v>
      </c>
      <c r="E25" s="229">
        <f>L13</f>
        <v>5.5</v>
      </c>
      <c r="F25" s="218">
        <f t="shared" si="9"/>
        <v>11</v>
      </c>
      <c r="G25" s="218">
        <f t="shared" si="10"/>
        <v>0.55000000000000004</v>
      </c>
      <c r="H25" s="218">
        <f t="shared" si="11"/>
        <v>1.1000000000000001</v>
      </c>
      <c r="I25" s="227">
        <f>F25*$L$8+G25*$L$7+H25*$L$9</f>
        <v>1518.7864999999999</v>
      </c>
      <c r="N25" s="174">
        <f t="shared" si="0"/>
        <v>5.5</v>
      </c>
    </row>
    <row r="26" spans="1:14" ht="39" x14ac:dyDescent="0.3">
      <c r="A26" s="330" t="s">
        <v>425</v>
      </c>
      <c r="B26" s="218">
        <v>2</v>
      </c>
      <c r="C26" s="116">
        <v>1</v>
      </c>
      <c r="D26" s="218">
        <v>2</v>
      </c>
      <c r="E26" s="229">
        <f>L13-E27</f>
        <v>4.95</v>
      </c>
      <c r="F26" s="218">
        <f t="shared" si="9"/>
        <v>9.9</v>
      </c>
      <c r="G26" s="218">
        <f t="shared" si="10"/>
        <v>0.49500000000000005</v>
      </c>
      <c r="H26" s="218">
        <f t="shared" si="11"/>
        <v>0.9900000000000001</v>
      </c>
      <c r="I26" s="227">
        <f>F26*$L$8+G26*$L$7+H26*$L$9</f>
        <v>1366.9078500000001</v>
      </c>
      <c r="N26" s="174">
        <f t="shared" si="0"/>
        <v>4.95</v>
      </c>
    </row>
    <row r="27" spans="1:14" ht="67.5" x14ac:dyDescent="0.3">
      <c r="A27" s="330" t="s">
        <v>377</v>
      </c>
      <c r="B27" s="218">
        <v>10</v>
      </c>
      <c r="C27" s="116">
        <v>1</v>
      </c>
      <c r="D27" s="218">
        <f>B27*C27</f>
        <v>10</v>
      </c>
      <c r="E27" s="229">
        <f>0.1*E24</f>
        <v>0.55000000000000004</v>
      </c>
      <c r="F27" s="218">
        <f t="shared" ref="F27" si="12">D27*E27</f>
        <v>5.5</v>
      </c>
      <c r="G27" s="218">
        <f t="shared" ref="G27" si="13">F27*0.05</f>
        <v>0.27500000000000002</v>
      </c>
      <c r="H27" s="218">
        <f t="shared" ref="H27" si="14">F27*0.1</f>
        <v>0.55000000000000004</v>
      </c>
      <c r="I27" s="227">
        <f>F27*$L$8+G27*$L$7+H27*$L$9</f>
        <v>759.39324999999997</v>
      </c>
      <c r="N27" s="174">
        <f t="shared" si="0"/>
        <v>0.55000000000000004</v>
      </c>
    </row>
    <row r="28" spans="1:14" ht="74" customHeight="1" x14ac:dyDescent="0.3">
      <c r="A28" s="330" t="s">
        <v>426</v>
      </c>
      <c r="B28" s="218">
        <v>24</v>
      </c>
      <c r="C28" s="116">
        <v>4</v>
      </c>
      <c r="D28" s="218">
        <v>48</v>
      </c>
      <c r="E28" s="229">
        <v>4</v>
      </c>
      <c r="F28" s="218">
        <f t="shared" si="9"/>
        <v>192</v>
      </c>
      <c r="G28" s="218">
        <f t="shared" si="10"/>
        <v>9.6000000000000014</v>
      </c>
      <c r="H28" s="218">
        <f t="shared" si="11"/>
        <v>19.200000000000003</v>
      </c>
      <c r="I28" s="225">
        <f>F28*$L$8+G28*$L$7+H28*$L$9</f>
        <v>26509.727999999999</v>
      </c>
      <c r="N28" s="174">
        <f t="shared" si="0"/>
        <v>16</v>
      </c>
    </row>
    <row r="29" spans="1:14" x14ac:dyDescent="0.3">
      <c r="A29" s="336" t="s">
        <v>75</v>
      </c>
      <c r="B29" s="221"/>
      <c r="C29" s="220"/>
      <c r="D29" s="221"/>
      <c r="E29" s="235"/>
      <c r="F29" s="221"/>
      <c r="G29" s="221"/>
      <c r="H29" s="221"/>
      <c r="I29" s="221"/>
      <c r="N29" s="174">
        <f t="shared" si="0"/>
        <v>0</v>
      </c>
    </row>
    <row r="30" spans="1:14" ht="26" x14ac:dyDescent="0.3">
      <c r="A30" s="330" t="s">
        <v>112</v>
      </c>
      <c r="B30" s="218">
        <v>2</v>
      </c>
      <c r="C30" s="116">
        <v>1</v>
      </c>
      <c r="D30" s="218">
        <v>2</v>
      </c>
      <c r="E30" s="229">
        <f>L14</f>
        <v>55</v>
      </c>
      <c r="F30" s="218">
        <f>D30*E30</f>
        <v>110</v>
      </c>
      <c r="G30" s="218">
        <f>F30*0.05</f>
        <v>5.5</v>
      </c>
      <c r="H30" s="218">
        <f>F30*0.1</f>
        <v>11</v>
      </c>
      <c r="I30" s="227">
        <f>F30*$L$8+G30*$L$7+H30*$L$9</f>
        <v>15187.865</v>
      </c>
      <c r="N30" s="174">
        <f t="shared" si="0"/>
        <v>55</v>
      </c>
    </row>
    <row r="31" spans="1:14" ht="26" x14ac:dyDescent="0.3">
      <c r="A31" s="330" t="s">
        <v>113</v>
      </c>
      <c r="B31" s="218">
        <v>2</v>
      </c>
      <c r="C31" s="116">
        <v>1</v>
      </c>
      <c r="D31" s="218">
        <v>2</v>
      </c>
      <c r="E31" s="229">
        <f>E30</f>
        <v>55</v>
      </c>
      <c r="F31" s="218">
        <f>D31*E31</f>
        <v>110</v>
      </c>
      <c r="G31" s="218">
        <f>F31*0.05</f>
        <v>5.5</v>
      </c>
      <c r="H31" s="218">
        <f>F31*0.1</f>
        <v>11</v>
      </c>
      <c r="I31" s="227">
        <f>F31*$L$8+G31*$L$7+H31*$L$9</f>
        <v>15187.865</v>
      </c>
      <c r="N31" s="174">
        <f t="shared" si="0"/>
        <v>55</v>
      </c>
    </row>
    <row r="32" spans="1:14" ht="52" x14ac:dyDescent="0.3">
      <c r="A32" s="330" t="s">
        <v>428</v>
      </c>
      <c r="B32" s="218">
        <v>2</v>
      </c>
      <c r="C32" s="116">
        <v>1</v>
      </c>
      <c r="D32" s="218">
        <v>2</v>
      </c>
      <c r="E32" s="229">
        <f>L14-E33</f>
        <v>49.5</v>
      </c>
      <c r="F32" s="218">
        <f>D32*E32</f>
        <v>99</v>
      </c>
      <c r="G32" s="218">
        <f>F32*0.05</f>
        <v>4.95</v>
      </c>
      <c r="H32" s="218">
        <f>F32*0.1</f>
        <v>9.9</v>
      </c>
      <c r="I32" s="227">
        <f>F32*$L$8+G32*$L$7+H32*$L$9</f>
        <v>13669.0785</v>
      </c>
      <c r="N32" s="174">
        <f t="shared" si="0"/>
        <v>49.5</v>
      </c>
    </row>
    <row r="33" spans="1:14" ht="67.5" x14ac:dyDescent="0.3">
      <c r="A33" s="330" t="s">
        <v>377</v>
      </c>
      <c r="B33" s="218">
        <v>10</v>
      </c>
      <c r="C33" s="116">
        <v>1</v>
      </c>
      <c r="D33" s="218">
        <f>B33*C33</f>
        <v>10</v>
      </c>
      <c r="E33" s="229">
        <f>0.1*L14</f>
        <v>5.5</v>
      </c>
      <c r="F33" s="218">
        <f>D33*E33</f>
        <v>55</v>
      </c>
      <c r="G33" s="218">
        <f>F33*0.05</f>
        <v>2.75</v>
      </c>
      <c r="H33" s="218">
        <f>F33*0.1</f>
        <v>5.5</v>
      </c>
      <c r="I33" s="227">
        <f>F33*$L$8+G33*$L$7+H33*$L$9</f>
        <v>7593.9324999999999</v>
      </c>
      <c r="N33" s="174">
        <f t="shared" si="0"/>
        <v>5.5</v>
      </c>
    </row>
    <row r="34" spans="1:14" ht="104" x14ac:dyDescent="0.3">
      <c r="A34" s="330" t="s">
        <v>427</v>
      </c>
      <c r="B34" s="218">
        <v>2</v>
      </c>
      <c r="C34" s="116">
        <v>4</v>
      </c>
      <c r="D34" s="218">
        <f t="shared" ref="D34" si="15">B34*C34</f>
        <v>8</v>
      </c>
      <c r="E34" s="229">
        <v>55</v>
      </c>
      <c r="F34" s="218">
        <f t="shared" ref="F34" si="16">D34*E34</f>
        <v>440</v>
      </c>
      <c r="G34" s="218">
        <f t="shared" ref="G34" si="17">F34*0.05</f>
        <v>22</v>
      </c>
      <c r="H34" s="218">
        <f t="shared" ref="H34" si="18">F34*0.1</f>
        <v>44</v>
      </c>
      <c r="I34" s="227">
        <f>F34*$L$8+G34*$L$7+H34*$L$9</f>
        <v>60751.46</v>
      </c>
      <c r="N34" s="174">
        <f t="shared" si="0"/>
        <v>220</v>
      </c>
    </row>
    <row r="35" spans="1:14" ht="23.5" customHeight="1" x14ac:dyDescent="0.3">
      <c r="A35" s="236" t="s">
        <v>86</v>
      </c>
      <c r="B35" s="237"/>
      <c r="C35" s="238"/>
      <c r="D35" s="237"/>
      <c r="E35" s="239"/>
      <c r="F35" s="240">
        <f>SUM(F8:H34)</f>
        <v>10968.24</v>
      </c>
      <c r="G35" s="240"/>
      <c r="H35" s="240"/>
      <c r="I35" s="241">
        <f>SUM(I8:I34)</f>
        <v>1316870.7383999999</v>
      </c>
      <c r="N35" s="174">
        <f t="shared" si="0"/>
        <v>0</v>
      </c>
    </row>
    <row r="36" spans="1:14" ht="26" x14ac:dyDescent="0.3">
      <c r="A36" s="210" t="s">
        <v>115</v>
      </c>
      <c r="B36" s="221"/>
      <c r="C36" s="220"/>
      <c r="D36" s="221"/>
      <c r="E36" s="235"/>
      <c r="F36" s="221"/>
      <c r="G36" s="221"/>
      <c r="H36" s="221"/>
      <c r="I36" s="221"/>
      <c r="N36" s="174">
        <f t="shared" si="0"/>
        <v>0</v>
      </c>
    </row>
    <row r="37" spans="1:14" ht="26" x14ac:dyDescent="0.3">
      <c r="A37" s="330" t="s">
        <v>100</v>
      </c>
      <c r="B37" s="218"/>
      <c r="C37" s="220"/>
      <c r="D37" s="221"/>
      <c r="E37" s="220"/>
      <c r="F37" s="221"/>
      <c r="G37" s="221"/>
      <c r="H37" s="221"/>
      <c r="I37" s="221"/>
      <c r="N37" s="174">
        <f t="shared" si="0"/>
        <v>0</v>
      </c>
    </row>
    <row r="38" spans="1:14" x14ac:dyDescent="0.3">
      <c r="A38" s="330" t="s">
        <v>116</v>
      </c>
      <c r="B38" s="218"/>
      <c r="C38" s="220"/>
      <c r="D38" s="221"/>
      <c r="E38" s="220"/>
      <c r="F38" s="221"/>
      <c r="G38" s="221"/>
      <c r="H38" s="221"/>
      <c r="I38" s="221"/>
      <c r="N38" s="174">
        <f t="shared" si="0"/>
        <v>0</v>
      </c>
    </row>
    <row r="39" spans="1:14" x14ac:dyDescent="0.3">
      <c r="A39" s="330" t="s">
        <v>117</v>
      </c>
      <c r="B39" s="218"/>
      <c r="C39" s="220"/>
      <c r="D39" s="221"/>
      <c r="E39" s="220"/>
      <c r="F39" s="221"/>
      <c r="G39" s="221"/>
      <c r="H39" s="221"/>
      <c r="I39" s="221"/>
      <c r="N39" s="174">
        <f t="shared" si="0"/>
        <v>0</v>
      </c>
    </row>
    <row r="40" spans="1:14" x14ac:dyDescent="0.3">
      <c r="A40" s="330" t="s">
        <v>118</v>
      </c>
      <c r="B40" s="218" t="s">
        <v>77</v>
      </c>
      <c r="C40" s="220"/>
      <c r="D40" s="221"/>
      <c r="E40" s="220"/>
      <c r="F40" s="221"/>
      <c r="G40" s="221"/>
      <c r="H40" s="221"/>
      <c r="I40" s="221"/>
      <c r="N40" s="174">
        <f t="shared" si="0"/>
        <v>0</v>
      </c>
    </row>
    <row r="41" spans="1:14" ht="26" x14ac:dyDescent="0.3">
      <c r="A41" s="330" t="s">
        <v>119</v>
      </c>
      <c r="B41" s="221"/>
      <c r="C41" s="220"/>
      <c r="D41" s="221"/>
      <c r="E41" s="220"/>
      <c r="F41" s="221"/>
      <c r="G41" s="221"/>
      <c r="H41" s="221"/>
      <c r="I41" s="221"/>
      <c r="N41" s="174">
        <f t="shared" si="0"/>
        <v>0</v>
      </c>
    </row>
    <row r="42" spans="1:14" x14ac:dyDescent="0.3">
      <c r="A42" s="336" t="s">
        <v>75</v>
      </c>
      <c r="B42" s="221"/>
      <c r="C42" s="220"/>
      <c r="D42" s="221"/>
      <c r="E42" s="220"/>
      <c r="F42" s="221"/>
      <c r="G42" s="221"/>
      <c r="H42" s="221"/>
      <c r="I42" s="221"/>
      <c r="N42" s="174">
        <f t="shared" si="0"/>
        <v>0</v>
      </c>
    </row>
    <row r="43" spans="1:14" ht="15.5" customHeight="1" x14ac:dyDescent="0.3">
      <c r="A43" s="330" t="s">
        <v>120</v>
      </c>
      <c r="B43" s="218">
        <v>0.1</v>
      </c>
      <c r="C43" s="116">
        <v>330</v>
      </c>
      <c r="D43" s="218">
        <f t="shared" ref="D43:D48" si="19">B43*C43</f>
        <v>33</v>
      </c>
      <c r="E43" s="229">
        <f>$L$14</f>
        <v>55</v>
      </c>
      <c r="F43" s="230">
        <f t="shared" ref="F43:F48" si="20">D43*E43</f>
        <v>1815</v>
      </c>
      <c r="G43" s="218">
        <f t="shared" ref="G43:G48" si="21">F43*0.05</f>
        <v>90.75</v>
      </c>
      <c r="H43" s="218">
        <f t="shared" ref="H43:H48" si="22">F43*0.1</f>
        <v>181.5</v>
      </c>
      <c r="I43" s="227">
        <f>F43*$L$8+G43*$L$7+H43*$L$9</f>
        <v>250599.77250000002</v>
      </c>
      <c r="N43" s="174">
        <f t="shared" si="0"/>
        <v>18150</v>
      </c>
    </row>
    <row r="44" spans="1:14" ht="91.5" customHeight="1" x14ac:dyDescent="0.3">
      <c r="A44" s="330" t="s">
        <v>455</v>
      </c>
      <c r="B44" s="218">
        <v>0.1</v>
      </c>
      <c r="C44" s="116">
        <v>330</v>
      </c>
      <c r="D44" s="218">
        <f t="shared" si="19"/>
        <v>33</v>
      </c>
      <c r="E44" s="229">
        <f>E43</f>
        <v>55</v>
      </c>
      <c r="F44" s="230">
        <f t="shared" si="20"/>
        <v>1815</v>
      </c>
      <c r="G44" s="218">
        <f t="shared" si="21"/>
        <v>90.75</v>
      </c>
      <c r="H44" s="218">
        <f t="shared" si="22"/>
        <v>181.5</v>
      </c>
      <c r="I44" s="227">
        <f>F44*$L$8+G44*$L$7+H44*$L$9</f>
        <v>250599.77250000002</v>
      </c>
      <c r="N44" s="174">
        <f t="shared" si="0"/>
        <v>18150</v>
      </c>
    </row>
    <row r="45" spans="1:14" x14ac:dyDescent="0.3">
      <c r="A45" s="336" t="s">
        <v>76</v>
      </c>
      <c r="B45" s="218"/>
      <c r="C45" s="116"/>
      <c r="D45" s="218"/>
      <c r="E45" s="229"/>
      <c r="F45" s="230"/>
      <c r="G45" s="218"/>
      <c r="H45" s="218"/>
      <c r="I45" s="227"/>
      <c r="N45" s="174">
        <f t="shared" si="0"/>
        <v>0</v>
      </c>
    </row>
    <row r="46" spans="1:14" x14ac:dyDescent="0.3">
      <c r="A46" s="330" t="s">
        <v>120</v>
      </c>
      <c r="B46" s="218">
        <v>1.5</v>
      </c>
      <c r="C46" s="116">
        <v>330</v>
      </c>
      <c r="D46" s="218">
        <f>B46*C46</f>
        <v>495</v>
      </c>
      <c r="E46" s="229">
        <f>$L$12</f>
        <v>0</v>
      </c>
      <c r="F46" s="230">
        <f t="shared" ref="F46:F47" si="23">D46*E46</f>
        <v>0</v>
      </c>
      <c r="G46" s="218">
        <f t="shared" ref="G46:G47" si="24">F46*0.05</f>
        <v>0</v>
      </c>
      <c r="H46" s="218">
        <f t="shared" ref="H46:H47" si="25">F46*0.1</f>
        <v>0</v>
      </c>
      <c r="I46" s="225">
        <f>F46*$L$8+G46*$L$7+H46*$L$9</f>
        <v>0</v>
      </c>
      <c r="N46" s="174">
        <f t="shared" si="0"/>
        <v>0</v>
      </c>
    </row>
    <row r="47" spans="1:14" ht="97" customHeight="1" x14ac:dyDescent="0.3">
      <c r="A47" s="330" t="s">
        <v>455</v>
      </c>
      <c r="B47" s="218">
        <v>0.1</v>
      </c>
      <c r="C47" s="116">
        <v>330</v>
      </c>
      <c r="D47" s="218">
        <f t="shared" ref="D47" si="26">B47*C47</f>
        <v>33</v>
      </c>
      <c r="E47" s="229">
        <f>$L$12</f>
        <v>0</v>
      </c>
      <c r="F47" s="230">
        <f t="shared" si="23"/>
        <v>0</v>
      </c>
      <c r="G47" s="218">
        <f t="shared" si="24"/>
        <v>0</v>
      </c>
      <c r="H47" s="218">
        <f t="shared" si="25"/>
        <v>0</v>
      </c>
      <c r="I47" s="225">
        <f>F47*$L$8+G47*$L$7+H47*$L$9</f>
        <v>0</v>
      </c>
      <c r="N47" s="174">
        <f t="shared" si="0"/>
        <v>0</v>
      </c>
    </row>
    <row r="48" spans="1:14" ht="20.5" customHeight="1" x14ac:dyDescent="0.3">
      <c r="A48" s="330" t="s">
        <v>121</v>
      </c>
      <c r="B48" s="218">
        <v>80</v>
      </c>
      <c r="C48" s="116">
        <v>1</v>
      </c>
      <c r="D48" s="218">
        <f t="shared" si="19"/>
        <v>80</v>
      </c>
      <c r="E48" s="229">
        <f>$L$12</f>
        <v>0</v>
      </c>
      <c r="F48" s="230">
        <f t="shared" si="20"/>
        <v>0</v>
      </c>
      <c r="G48" s="218">
        <f t="shared" si="21"/>
        <v>0</v>
      </c>
      <c r="H48" s="218">
        <f t="shared" si="22"/>
        <v>0</v>
      </c>
      <c r="I48" s="225">
        <f>F48*$L$8+G48*$L$7+H48*$L$9</f>
        <v>0</v>
      </c>
      <c r="N48" s="174">
        <f t="shared" si="0"/>
        <v>0</v>
      </c>
    </row>
    <row r="49" spans="1:15" x14ac:dyDescent="0.3">
      <c r="A49" s="330" t="s">
        <v>122</v>
      </c>
      <c r="B49" s="218" t="s">
        <v>77</v>
      </c>
      <c r="C49" s="220"/>
      <c r="D49" s="221"/>
      <c r="E49" s="220"/>
      <c r="F49" s="221"/>
      <c r="G49" s="221"/>
      <c r="H49" s="221"/>
      <c r="I49" s="221"/>
      <c r="N49" s="174">
        <f t="shared" si="0"/>
        <v>0</v>
      </c>
    </row>
    <row r="50" spans="1:15" ht="27" x14ac:dyDescent="0.3">
      <c r="A50" s="236" t="s">
        <v>60</v>
      </c>
      <c r="B50" s="242"/>
      <c r="C50" s="243"/>
      <c r="D50" s="242"/>
      <c r="E50" s="244"/>
      <c r="F50" s="240">
        <f>SUM(F43:H48)</f>
        <v>4174.5</v>
      </c>
      <c r="G50" s="240"/>
      <c r="H50" s="240"/>
      <c r="I50" s="241">
        <f>SUM(I43:I49)</f>
        <v>501199.54500000004</v>
      </c>
      <c r="N50" s="174">
        <f>SUM(N6:N49)</f>
        <v>54994.55</v>
      </c>
    </row>
    <row r="51" spans="1:15" ht="28.5" customHeight="1" x14ac:dyDescent="0.3">
      <c r="A51" s="212" t="s">
        <v>123</v>
      </c>
      <c r="B51" s="245"/>
      <c r="C51" s="246"/>
      <c r="D51" s="245"/>
      <c r="E51" s="247"/>
      <c r="F51" s="381">
        <f>ROUND(F50+F35, -2)</f>
        <v>15100</v>
      </c>
      <c r="G51" s="381"/>
      <c r="H51" s="381"/>
      <c r="I51" s="248">
        <f>ROUND(I50+I35, -4)</f>
        <v>1820000</v>
      </c>
      <c r="K51" s="249">
        <f>F51/212</f>
        <v>71.226415094339629</v>
      </c>
      <c r="L51" s="174" t="s">
        <v>124</v>
      </c>
      <c r="N51" s="174">
        <f>N50-N19</f>
        <v>36844.550000000003</v>
      </c>
      <c r="O51" s="174" t="s">
        <v>385</v>
      </c>
    </row>
    <row r="52" spans="1:15" ht="28" x14ac:dyDescent="0.3">
      <c r="A52" s="250" t="s">
        <v>78</v>
      </c>
      <c r="B52" s="221"/>
      <c r="C52" s="220"/>
      <c r="D52" s="221"/>
      <c r="E52" s="220"/>
      <c r="F52" s="221"/>
      <c r="G52" s="221"/>
      <c r="H52" s="221"/>
      <c r="I52" s="248">
        <f>BPPCOM!H19</f>
        <v>10170000</v>
      </c>
      <c r="O52" s="174" t="s">
        <v>388</v>
      </c>
    </row>
    <row r="53" spans="1:15" ht="15" x14ac:dyDescent="0.3">
      <c r="A53" s="250" t="s">
        <v>125</v>
      </c>
      <c r="B53" s="221"/>
      <c r="C53" s="220"/>
      <c r="D53" s="221"/>
      <c r="E53" s="220"/>
      <c r="F53" s="221"/>
      <c r="G53" s="221"/>
      <c r="H53" s="221"/>
      <c r="I53" s="248">
        <f>ROUND(I51+I52, -5)</f>
        <v>12000000</v>
      </c>
    </row>
    <row r="55" spans="1:15" ht="26" customHeight="1" x14ac:dyDescent="0.3">
      <c r="A55" s="382" t="s">
        <v>189</v>
      </c>
      <c r="B55" s="382"/>
      <c r="C55" s="382"/>
      <c r="D55" s="382"/>
      <c r="E55" s="382"/>
      <c r="F55" s="382"/>
      <c r="G55" s="382"/>
      <c r="H55" s="382"/>
      <c r="I55" s="382"/>
    </row>
    <row r="56" spans="1:15" ht="15.5" x14ac:dyDescent="0.3">
      <c r="A56" s="370" t="s">
        <v>182</v>
      </c>
      <c r="B56" s="370"/>
      <c r="C56" s="370"/>
      <c r="D56" s="370"/>
      <c r="E56" s="370"/>
      <c r="F56" s="370"/>
      <c r="G56" s="370"/>
      <c r="H56" s="370"/>
      <c r="I56" s="370"/>
    </row>
    <row r="57" spans="1:15" ht="24" customHeight="1" x14ac:dyDescent="0.3">
      <c r="A57" s="382" t="s">
        <v>192</v>
      </c>
      <c r="B57" s="382"/>
      <c r="C57" s="382"/>
      <c r="D57" s="382"/>
      <c r="E57" s="382"/>
      <c r="F57" s="382"/>
      <c r="G57" s="382"/>
      <c r="H57" s="382"/>
      <c r="I57" s="382"/>
    </row>
    <row r="58" spans="1:15" ht="30" customHeight="1" x14ac:dyDescent="0.3">
      <c r="A58" s="383" t="s">
        <v>195</v>
      </c>
      <c r="B58" s="383"/>
      <c r="C58" s="383"/>
      <c r="D58" s="383"/>
      <c r="E58" s="383"/>
      <c r="F58" s="383"/>
      <c r="G58" s="383"/>
      <c r="H58" s="383"/>
      <c r="I58" s="383"/>
    </row>
    <row r="59" spans="1:15" ht="17" customHeight="1" x14ac:dyDescent="0.3">
      <c r="A59" s="384" t="s">
        <v>191</v>
      </c>
      <c r="B59" s="384"/>
      <c r="C59" s="384"/>
      <c r="D59" s="384"/>
      <c r="E59" s="384"/>
      <c r="F59" s="384"/>
      <c r="G59" s="384"/>
      <c r="H59" s="384"/>
      <c r="I59" s="384"/>
    </row>
    <row r="60" spans="1:15" ht="19" customHeight="1" x14ac:dyDescent="0.3">
      <c r="A60" s="379" t="s">
        <v>378</v>
      </c>
      <c r="B60" s="379"/>
      <c r="C60" s="379"/>
      <c r="D60" s="379"/>
      <c r="E60" s="379"/>
      <c r="F60" s="379"/>
      <c r="G60" s="379"/>
      <c r="H60" s="379"/>
      <c r="I60" s="379"/>
    </row>
    <row r="61" spans="1:15" ht="18.75" customHeight="1" x14ac:dyDescent="0.3">
      <c r="A61" s="379" t="s">
        <v>372</v>
      </c>
      <c r="B61" s="379"/>
      <c r="C61" s="379"/>
      <c r="D61" s="379"/>
      <c r="E61" s="379"/>
      <c r="F61" s="379"/>
      <c r="G61" s="379"/>
      <c r="H61" s="379"/>
      <c r="I61" s="379"/>
    </row>
    <row r="62" spans="1:15" ht="19.5" customHeight="1" x14ac:dyDescent="0.3"/>
  </sheetData>
  <mergeCells count="11">
    <mergeCell ref="A61:I61"/>
    <mergeCell ref="A60:I60"/>
    <mergeCell ref="A1:I1"/>
    <mergeCell ref="A3:I3"/>
    <mergeCell ref="K6:L6"/>
    <mergeCell ref="F51:H51"/>
    <mergeCell ref="A55:I55"/>
    <mergeCell ref="A56:I56"/>
    <mergeCell ref="A57:I57"/>
    <mergeCell ref="A58:I58"/>
    <mergeCell ref="A59:I59"/>
  </mergeCells>
  <pageMargins left="0.7" right="0.7" top="0.75" bottom="0.75" header="0.3" footer="0.3"/>
  <pageSetup scale="3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B442D-3587-42C1-A8B7-54AB6204AF5F}">
  <sheetPr codeName="Sheet28"/>
  <dimension ref="A1:P27"/>
  <sheetViews>
    <sheetView workbookViewId="0">
      <pane xSplit="12" ySplit="5" topLeftCell="M6" activePane="bottomRight" state="frozen"/>
      <selection activeCell="B22" sqref="B22"/>
      <selection pane="topRight" activeCell="B22" sqref="B22"/>
      <selection pane="bottomLeft" activeCell="B22" sqref="B22"/>
      <selection pane="bottomRight" activeCell="A4" sqref="A4:I4"/>
    </sheetView>
  </sheetViews>
  <sheetFormatPr defaultColWidth="9.1796875" defaultRowHeight="14.5" x14ac:dyDescent="0.35"/>
  <cols>
    <col min="1" max="1" width="39.1796875" style="252" customWidth="1"/>
    <col min="2" max="2" width="9.81640625" style="252" customWidth="1"/>
    <col min="3" max="8" width="9.1796875" style="252"/>
    <col min="9" max="9" width="13.81640625" style="252" customWidth="1"/>
    <col min="10" max="10" width="9.1796875" style="252"/>
    <col min="11" max="11" width="13.1796875" style="253" customWidth="1"/>
    <col min="12" max="12" width="9.1796875" style="252"/>
    <col min="13" max="13" width="22.81640625" style="252" customWidth="1"/>
    <col min="14" max="16384" width="9.1796875" style="252"/>
  </cols>
  <sheetData>
    <row r="1" spans="1:16" ht="15" x14ac:dyDescent="0.35">
      <c r="A1" s="362" t="s">
        <v>187</v>
      </c>
      <c r="B1" s="362"/>
      <c r="C1" s="362"/>
      <c r="D1" s="362"/>
      <c r="E1" s="362"/>
      <c r="F1" s="362"/>
      <c r="G1" s="362"/>
      <c r="H1" s="362"/>
      <c r="I1" s="362"/>
    </row>
    <row r="2" spans="1:16" ht="18.5" customHeight="1" x14ac:dyDescent="0.35">
      <c r="A2" s="200" t="s">
        <v>209</v>
      </c>
      <c r="B2" s="200"/>
      <c r="C2" s="200"/>
      <c r="D2" s="200"/>
      <c r="E2" s="200"/>
      <c r="F2" s="200"/>
      <c r="G2" s="200"/>
      <c r="H2" s="200"/>
      <c r="I2" s="200"/>
    </row>
    <row r="3" spans="1:16" ht="15" x14ac:dyDescent="0.35">
      <c r="A3" s="385" t="s">
        <v>450</v>
      </c>
      <c r="B3" s="385"/>
      <c r="C3" s="385"/>
      <c r="D3" s="385"/>
      <c r="E3" s="385"/>
      <c r="F3" s="385"/>
      <c r="G3" s="385"/>
      <c r="H3" s="385"/>
      <c r="I3" s="385"/>
    </row>
    <row r="4" spans="1:16" ht="15" x14ac:dyDescent="0.35">
      <c r="A4" s="386"/>
      <c r="B4" s="386"/>
      <c r="C4" s="386"/>
      <c r="D4" s="386"/>
      <c r="E4" s="386"/>
      <c r="F4" s="386"/>
      <c r="G4" s="386"/>
      <c r="H4" s="386"/>
      <c r="I4" s="386"/>
    </row>
    <row r="5" spans="1:16" x14ac:dyDescent="0.35">
      <c r="A5" s="387" t="s">
        <v>87</v>
      </c>
      <c r="B5" s="254" t="s">
        <v>22</v>
      </c>
      <c r="C5" s="254" t="s">
        <v>23</v>
      </c>
      <c r="D5" s="254" t="s">
        <v>24</v>
      </c>
      <c r="E5" s="254" t="s">
        <v>71</v>
      </c>
      <c r="F5" s="254" t="s">
        <v>26</v>
      </c>
      <c r="G5" s="254" t="s">
        <v>25</v>
      </c>
      <c r="H5" s="254" t="s">
        <v>72</v>
      </c>
      <c r="I5" s="254" t="s">
        <v>73</v>
      </c>
    </row>
    <row r="6" spans="1:16" ht="65" x14ac:dyDescent="0.35">
      <c r="A6" s="387"/>
      <c r="B6" s="254" t="s">
        <v>127</v>
      </c>
      <c r="C6" s="254" t="s">
        <v>128</v>
      </c>
      <c r="D6" s="254" t="s">
        <v>129</v>
      </c>
      <c r="E6" s="254" t="s">
        <v>130</v>
      </c>
      <c r="F6" s="254" t="s">
        <v>131</v>
      </c>
      <c r="G6" s="254" t="s">
        <v>132</v>
      </c>
      <c r="H6" s="254" t="s">
        <v>133</v>
      </c>
      <c r="I6" s="254" t="s">
        <v>134</v>
      </c>
      <c r="K6" s="380" t="s">
        <v>68</v>
      </c>
      <c r="L6" s="380"/>
      <c r="M6" s="255"/>
    </row>
    <row r="7" spans="1:16" ht="65.5" x14ac:dyDescent="0.35">
      <c r="A7" s="387"/>
      <c r="B7" s="256"/>
      <c r="C7" s="256"/>
      <c r="D7" s="254" t="s">
        <v>135</v>
      </c>
      <c r="E7" s="256"/>
      <c r="F7" s="254" t="s">
        <v>136</v>
      </c>
      <c r="G7" s="254" t="s">
        <v>137</v>
      </c>
      <c r="H7" s="254" t="s">
        <v>138</v>
      </c>
      <c r="I7" s="256"/>
      <c r="K7" s="222" t="s">
        <v>69</v>
      </c>
      <c r="L7" s="184">
        <v>69.040000000000006</v>
      </c>
      <c r="M7" s="224" t="s">
        <v>172</v>
      </c>
      <c r="O7" s="252" t="s">
        <v>383</v>
      </c>
    </row>
    <row r="8" spans="1:16" ht="15.5" x14ac:dyDescent="0.35">
      <c r="A8" s="257" t="s">
        <v>139</v>
      </c>
      <c r="B8" s="116">
        <v>24</v>
      </c>
      <c r="C8" s="116">
        <v>1</v>
      </c>
      <c r="D8" s="116">
        <f>B8*C8</f>
        <v>24</v>
      </c>
      <c r="E8" s="116">
        <f>'BPPI-Y1'!E25</f>
        <v>0</v>
      </c>
      <c r="F8" s="258">
        <f>D8*E8</f>
        <v>0</v>
      </c>
      <c r="G8" s="258">
        <f>F8*0.05</f>
        <v>0</v>
      </c>
      <c r="H8" s="258">
        <f>F8*0.1</f>
        <v>0</v>
      </c>
      <c r="I8" s="259">
        <f>(F8*$L$8)+(G8*$L$7)+(H8*$L$9)</f>
        <v>0</v>
      </c>
      <c r="K8" s="222" t="s">
        <v>33</v>
      </c>
      <c r="L8" s="188">
        <v>51.23</v>
      </c>
      <c r="M8" s="260"/>
      <c r="O8" s="252">
        <f>C8*E8</f>
        <v>0</v>
      </c>
    </row>
    <row r="9" spans="1:16" ht="15.5" x14ac:dyDescent="0.35">
      <c r="A9" s="257" t="s">
        <v>140</v>
      </c>
      <c r="B9" s="116">
        <v>24</v>
      </c>
      <c r="C9" s="116">
        <v>1</v>
      </c>
      <c r="D9" s="116">
        <f>B9*C9</f>
        <v>24</v>
      </c>
      <c r="E9" s="116">
        <v>0</v>
      </c>
      <c r="F9" s="261">
        <f>D9*E9</f>
        <v>0</v>
      </c>
      <c r="G9" s="261">
        <f>F9*0.05</f>
        <v>0</v>
      </c>
      <c r="H9" s="261">
        <f>F9*0.1</f>
        <v>0</v>
      </c>
      <c r="I9" s="262">
        <f>(F9*$L$8)+(G9*$L$7)+(H9*$L$9)</f>
        <v>0</v>
      </c>
      <c r="K9" s="222" t="s">
        <v>34</v>
      </c>
      <c r="L9" s="188">
        <v>27.73</v>
      </c>
      <c r="M9" s="260"/>
      <c r="O9" s="252">
        <f t="shared" ref="O9:O13" si="0">C9*E9</f>
        <v>0</v>
      </c>
    </row>
    <row r="10" spans="1:16" x14ac:dyDescent="0.35">
      <c r="A10" s="257" t="s">
        <v>141</v>
      </c>
      <c r="B10" s="116"/>
      <c r="C10" s="116"/>
      <c r="D10" s="116"/>
      <c r="E10" s="116"/>
      <c r="F10" s="258"/>
      <c r="G10" s="258"/>
      <c r="H10" s="258"/>
      <c r="I10" s="263"/>
      <c r="O10" s="252">
        <f t="shared" si="0"/>
        <v>0</v>
      </c>
    </row>
    <row r="11" spans="1:16" ht="15.5" x14ac:dyDescent="0.35">
      <c r="A11" s="117" t="s">
        <v>142</v>
      </c>
      <c r="B11" s="116">
        <v>0.5</v>
      </c>
      <c r="C11" s="116">
        <v>1.1000000000000001</v>
      </c>
      <c r="D11" s="116">
        <f t="shared" ref="D11:D13" si="1">B11*C11</f>
        <v>0.55000000000000004</v>
      </c>
      <c r="E11" s="116">
        <v>0</v>
      </c>
      <c r="F11" s="258">
        <f t="shared" ref="F11:F13" si="2">D11*E11</f>
        <v>0</v>
      </c>
      <c r="G11" s="258">
        <f t="shared" ref="G11:G13" si="3">F11*0.05</f>
        <v>0</v>
      </c>
      <c r="H11" s="258">
        <f t="shared" ref="H11:H13" si="4">F11*0.1</f>
        <v>0</v>
      </c>
      <c r="I11" s="259">
        <f t="shared" ref="I11:I13" si="5">(F11*$L$8)+(G11*$L$7)+(H11*$L$9)</f>
        <v>0</v>
      </c>
      <c r="O11" s="252">
        <f t="shared" si="0"/>
        <v>0</v>
      </c>
    </row>
    <row r="12" spans="1:16" ht="15.5" x14ac:dyDescent="0.35">
      <c r="A12" s="117" t="s">
        <v>143</v>
      </c>
      <c r="B12" s="116">
        <v>8</v>
      </c>
      <c r="C12" s="116">
        <v>1</v>
      </c>
      <c r="D12" s="116">
        <f t="shared" si="1"/>
        <v>8</v>
      </c>
      <c r="E12" s="116">
        <v>0</v>
      </c>
      <c r="F12" s="258">
        <f t="shared" si="2"/>
        <v>0</v>
      </c>
      <c r="G12" s="264">
        <f t="shared" si="3"/>
        <v>0</v>
      </c>
      <c r="H12" s="264">
        <f t="shared" si="4"/>
        <v>0</v>
      </c>
      <c r="I12" s="259">
        <f t="shared" si="5"/>
        <v>0</v>
      </c>
      <c r="O12" s="252">
        <f t="shared" si="0"/>
        <v>0</v>
      </c>
    </row>
    <row r="13" spans="1:16" ht="36" customHeight="1" x14ac:dyDescent="0.35">
      <c r="A13" s="117" t="s">
        <v>247</v>
      </c>
      <c r="B13" s="116">
        <v>8</v>
      </c>
      <c r="C13" s="116">
        <v>4</v>
      </c>
      <c r="D13" s="116">
        <f t="shared" si="1"/>
        <v>32</v>
      </c>
      <c r="E13" s="116">
        <f>'BPPI-Y1'!E32</f>
        <v>0</v>
      </c>
      <c r="F13" s="261">
        <f t="shared" si="2"/>
        <v>0</v>
      </c>
      <c r="G13" s="258">
        <f t="shared" si="3"/>
        <v>0</v>
      </c>
      <c r="H13" s="258">
        <f t="shared" si="4"/>
        <v>0</v>
      </c>
      <c r="I13" s="259">
        <f t="shared" si="5"/>
        <v>0</v>
      </c>
      <c r="O13" s="252">
        <f t="shared" si="0"/>
        <v>0</v>
      </c>
    </row>
    <row r="14" spans="1:16" ht="15" x14ac:dyDescent="0.35">
      <c r="A14" s="250" t="s">
        <v>144</v>
      </c>
      <c r="B14" s="250"/>
      <c r="C14" s="250"/>
      <c r="D14" s="250"/>
      <c r="E14" s="250"/>
      <c r="F14" s="246">
        <f>ROUND(SUM(F8:H13), -1)</f>
        <v>0</v>
      </c>
      <c r="G14" s="265"/>
      <c r="H14" s="265"/>
      <c r="I14" s="266">
        <f>ROUND(SUM(I8:I13), -2)</f>
        <v>0</v>
      </c>
      <c r="O14" s="252">
        <f>SUM(O8:O13)</f>
        <v>0</v>
      </c>
      <c r="P14" s="252" t="s">
        <v>385</v>
      </c>
    </row>
    <row r="15" spans="1:16" x14ac:dyDescent="0.35">
      <c r="A15" s="267"/>
      <c r="G15" s="268"/>
    </row>
    <row r="16" spans="1:16" ht="18.5" customHeight="1" x14ac:dyDescent="0.35">
      <c r="A16" s="267" t="s">
        <v>61</v>
      </c>
    </row>
    <row r="17" spans="1:9" ht="21.5" customHeight="1" x14ac:dyDescent="0.35">
      <c r="A17" s="391" t="s">
        <v>196</v>
      </c>
      <c r="B17" s="391"/>
      <c r="C17" s="391"/>
      <c r="D17" s="391"/>
      <c r="E17" s="391"/>
      <c r="F17" s="391"/>
      <c r="G17" s="391"/>
      <c r="H17" s="391"/>
      <c r="I17" s="391"/>
    </row>
    <row r="18" spans="1:9" ht="32.25" customHeight="1" x14ac:dyDescent="0.35">
      <c r="A18" s="372" t="s">
        <v>174</v>
      </c>
      <c r="B18" s="372"/>
      <c r="C18" s="372"/>
      <c r="D18" s="372"/>
      <c r="E18" s="372"/>
      <c r="F18" s="372"/>
      <c r="G18" s="372"/>
      <c r="H18" s="372"/>
      <c r="I18" s="372"/>
    </row>
    <row r="19" spans="1:9" ht="15.5" x14ac:dyDescent="0.35">
      <c r="A19" s="389" t="s">
        <v>145</v>
      </c>
      <c r="B19" s="389"/>
      <c r="C19" s="389"/>
      <c r="D19" s="389"/>
      <c r="E19" s="389"/>
      <c r="F19" s="389"/>
      <c r="G19" s="389"/>
      <c r="H19" s="389"/>
      <c r="I19" s="389"/>
    </row>
    <row r="20" spans="1:9" ht="15.5" x14ac:dyDescent="0.35">
      <c r="A20" s="390" t="s">
        <v>146</v>
      </c>
      <c r="B20" s="390"/>
      <c r="C20" s="390"/>
      <c r="D20" s="390"/>
      <c r="E20" s="390"/>
      <c r="F20" s="390"/>
      <c r="G20" s="390"/>
      <c r="H20" s="390"/>
      <c r="I20" s="390"/>
    </row>
    <row r="21" spans="1:9" ht="15.5" x14ac:dyDescent="0.35">
      <c r="A21" s="388" t="s">
        <v>197</v>
      </c>
      <c r="B21" s="388"/>
      <c r="C21" s="388"/>
      <c r="D21" s="388"/>
      <c r="E21" s="388"/>
      <c r="F21" s="388"/>
      <c r="G21" s="388"/>
      <c r="H21" s="388"/>
      <c r="I21" s="388"/>
    </row>
    <row r="22" spans="1:9" ht="15.5" x14ac:dyDescent="0.35">
      <c r="A22" s="388" t="s">
        <v>147</v>
      </c>
      <c r="B22" s="388"/>
      <c r="C22" s="388"/>
      <c r="D22" s="388"/>
      <c r="E22" s="388"/>
      <c r="F22" s="388"/>
      <c r="G22" s="388"/>
      <c r="H22" s="388"/>
      <c r="I22" s="388"/>
    </row>
    <row r="24" spans="1:9" x14ac:dyDescent="0.35">
      <c r="A24" s="269"/>
    </row>
    <row r="25" spans="1:9" x14ac:dyDescent="0.35">
      <c r="A25" s="269"/>
    </row>
    <row r="26" spans="1:9" x14ac:dyDescent="0.35">
      <c r="A26" s="269"/>
    </row>
    <row r="27" spans="1:9" x14ac:dyDescent="0.35">
      <c r="A27" s="269"/>
    </row>
  </sheetData>
  <mergeCells count="11">
    <mergeCell ref="A21:I21"/>
    <mergeCell ref="A22:I22"/>
    <mergeCell ref="A1:I1"/>
    <mergeCell ref="A3:I3"/>
    <mergeCell ref="A4:I4"/>
    <mergeCell ref="A5:A7"/>
    <mergeCell ref="K6:L6"/>
    <mergeCell ref="A17:I17"/>
    <mergeCell ref="A18:I18"/>
    <mergeCell ref="A19:I19"/>
    <mergeCell ref="A20:I20"/>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72685-AFDD-4D44-8DC9-6171BF936258}">
  <sheetPr codeName="Sheet29"/>
  <dimension ref="A1:P27"/>
  <sheetViews>
    <sheetView workbookViewId="0">
      <pane xSplit="12" ySplit="5" topLeftCell="M6" activePane="bottomRight" state="frozen"/>
      <selection activeCell="B22" sqref="B22"/>
      <selection pane="topRight" activeCell="B22" sqref="B22"/>
      <selection pane="bottomLeft" activeCell="B22" sqref="B22"/>
      <selection pane="bottomRight" activeCell="A4" sqref="A4:I4"/>
    </sheetView>
  </sheetViews>
  <sheetFormatPr defaultColWidth="9.1796875" defaultRowHeight="14.5" x14ac:dyDescent="0.35"/>
  <cols>
    <col min="1" max="1" width="39.1796875" style="252" customWidth="1"/>
    <col min="2" max="2" width="9.81640625" style="252" customWidth="1"/>
    <col min="3" max="8" width="9.1796875" style="252"/>
    <col min="9" max="9" width="13.81640625" style="252" customWidth="1"/>
    <col min="10" max="10" width="9.1796875" style="252"/>
    <col min="11" max="11" width="13.1796875" style="253" customWidth="1"/>
    <col min="12" max="12" width="9.1796875" style="252"/>
    <col min="13" max="13" width="17.26953125" style="252" customWidth="1"/>
    <col min="14" max="16384" width="9.1796875" style="252"/>
  </cols>
  <sheetData>
    <row r="1" spans="1:16" ht="15" x14ac:dyDescent="0.35">
      <c r="A1" s="362" t="s">
        <v>187</v>
      </c>
      <c r="B1" s="362"/>
      <c r="C1" s="362"/>
      <c r="D1" s="362"/>
      <c r="E1" s="362"/>
      <c r="F1" s="362"/>
      <c r="G1" s="362"/>
      <c r="H1" s="362"/>
      <c r="I1" s="362"/>
    </row>
    <row r="2" spans="1:16" ht="18.5" customHeight="1" x14ac:dyDescent="0.35">
      <c r="A2" s="200" t="s">
        <v>209</v>
      </c>
      <c r="B2" s="200"/>
      <c r="C2" s="200"/>
      <c r="D2" s="200"/>
      <c r="E2" s="200"/>
      <c r="F2" s="200"/>
      <c r="G2" s="200"/>
      <c r="H2" s="200"/>
      <c r="I2" s="200"/>
    </row>
    <row r="3" spans="1:16" ht="15" x14ac:dyDescent="0.35">
      <c r="A3" s="385" t="s">
        <v>451</v>
      </c>
      <c r="B3" s="385"/>
      <c r="C3" s="385"/>
      <c r="D3" s="385"/>
      <c r="E3" s="385"/>
      <c r="F3" s="385"/>
      <c r="G3" s="385"/>
      <c r="H3" s="385"/>
      <c r="I3" s="385"/>
    </row>
    <row r="4" spans="1:16" ht="15" x14ac:dyDescent="0.35">
      <c r="A4" s="386"/>
      <c r="B4" s="386"/>
      <c r="C4" s="386"/>
      <c r="D4" s="386"/>
      <c r="E4" s="386"/>
      <c r="F4" s="386"/>
      <c r="G4" s="386"/>
      <c r="H4" s="386"/>
      <c r="I4" s="386"/>
    </row>
    <row r="5" spans="1:16" x14ac:dyDescent="0.35">
      <c r="A5" s="387" t="s">
        <v>87</v>
      </c>
      <c r="B5" s="254" t="s">
        <v>22</v>
      </c>
      <c r="C5" s="254" t="s">
        <v>23</v>
      </c>
      <c r="D5" s="254" t="s">
        <v>24</v>
      </c>
      <c r="E5" s="254" t="s">
        <v>71</v>
      </c>
      <c r="F5" s="254" t="s">
        <v>26</v>
      </c>
      <c r="G5" s="254" t="s">
        <v>25</v>
      </c>
      <c r="H5" s="254" t="s">
        <v>72</v>
      </c>
      <c r="I5" s="254" t="s">
        <v>73</v>
      </c>
    </row>
    <row r="6" spans="1:16" ht="65" x14ac:dyDescent="0.35">
      <c r="A6" s="387"/>
      <c r="B6" s="254" t="s">
        <v>127</v>
      </c>
      <c r="C6" s="254" t="s">
        <v>128</v>
      </c>
      <c r="D6" s="254" t="s">
        <v>129</v>
      </c>
      <c r="E6" s="254" t="s">
        <v>130</v>
      </c>
      <c r="F6" s="254" t="s">
        <v>131</v>
      </c>
      <c r="G6" s="254" t="s">
        <v>132</v>
      </c>
      <c r="H6" s="254" t="s">
        <v>133</v>
      </c>
      <c r="I6" s="254" t="s">
        <v>134</v>
      </c>
      <c r="K6" s="380" t="s">
        <v>68</v>
      </c>
      <c r="L6" s="380"/>
      <c r="M6" s="255"/>
    </row>
    <row r="7" spans="1:16" ht="104.5" x14ac:dyDescent="0.35">
      <c r="A7" s="387"/>
      <c r="B7" s="256"/>
      <c r="C7" s="256"/>
      <c r="D7" s="254" t="s">
        <v>135</v>
      </c>
      <c r="E7" s="256"/>
      <c r="F7" s="254" t="s">
        <v>136</v>
      </c>
      <c r="G7" s="254" t="s">
        <v>137</v>
      </c>
      <c r="H7" s="254" t="s">
        <v>138</v>
      </c>
      <c r="I7" s="256"/>
      <c r="K7" s="222" t="s">
        <v>69</v>
      </c>
      <c r="L7" s="184">
        <v>69.040000000000006</v>
      </c>
      <c r="M7" s="224" t="s">
        <v>172</v>
      </c>
      <c r="O7" s="252" t="s">
        <v>383</v>
      </c>
    </row>
    <row r="8" spans="1:16" ht="15.5" x14ac:dyDescent="0.35">
      <c r="A8" s="257" t="s">
        <v>139</v>
      </c>
      <c r="B8" s="116">
        <v>24</v>
      </c>
      <c r="C8" s="116">
        <v>1</v>
      </c>
      <c r="D8" s="116">
        <f>B8*C8</f>
        <v>24</v>
      </c>
      <c r="E8" s="116">
        <f>'BPPI-Y1'!E25</f>
        <v>0</v>
      </c>
      <c r="F8" s="258">
        <f>D8*E8</f>
        <v>0</v>
      </c>
      <c r="G8" s="258">
        <f>F8*0.05</f>
        <v>0</v>
      </c>
      <c r="H8" s="258">
        <f>F8*0.1</f>
        <v>0</v>
      </c>
      <c r="I8" s="259">
        <f>(F8*$L$8)+(G8*$L$7)+(H8*$L$9)</f>
        <v>0</v>
      </c>
      <c r="K8" s="222" t="s">
        <v>33</v>
      </c>
      <c r="L8" s="188">
        <v>51.23</v>
      </c>
      <c r="M8" s="260"/>
      <c r="O8" s="252">
        <f>C8*E8</f>
        <v>0</v>
      </c>
    </row>
    <row r="9" spans="1:16" ht="15.5" x14ac:dyDescent="0.35">
      <c r="A9" s="257" t="s">
        <v>140</v>
      </c>
      <c r="B9" s="116">
        <v>24</v>
      </c>
      <c r="C9" s="116">
        <v>1</v>
      </c>
      <c r="D9" s="116">
        <f>B9*C9</f>
        <v>24</v>
      </c>
      <c r="E9" s="116">
        <v>0</v>
      </c>
      <c r="F9" s="261">
        <f>D9*E9</f>
        <v>0</v>
      </c>
      <c r="G9" s="261">
        <f>F9*0.05</f>
        <v>0</v>
      </c>
      <c r="H9" s="261">
        <f>F9*0.1</f>
        <v>0</v>
      </c>
      <c r="I9" s="262">
        <f>(F9*$L$8)+(G9*$L$7)+(H9*$L$9)</f>
        <v>0</v>
      </c>
      <c r="K9" s="222" t="s">
        <v>34</v>
      </c>
      <c r="L9" s="188">
        <v>27.73</v>
      </c>
      <c r="M9" s="260"/>
      <c r="O9" s="252">
        <f t="shared" ref="O9:O13" si="0">C9*E9</f>
        <v>0</v>
      </c>
    </row>
    <row r="10" spans="1:16" x14ac:dyDescent="0.35">
      <c r="A10" s="257" t="s">
        <v>141</v>
      </c>
      <c r="B10" s="116"/>
      <c r="C10" s="116"/>
      <c r="D10" s="116"/>
      <c r="E10" s="116"/>
      <c r="F10" s="258"/>
      <c r="G10" s="258"/>
      <c r="H10" s="258"/>
      <c r="I10" s="263"/>
      <c r="O10" s="252">
        <f t="shared" si="0"/>
        <v>0</v>
      </c>
    </row>
    <row r="11" spans="1:16" ht="15.5" x14ac:dyDescent="0.35">
      <c r="A11" s="117" t="s">
        <v>142</v>
      </c>
      <c r="B11" s="116">
        <v>0.5</v>
      </c>
      <c r="C11" s="116">
        <v>1.1000000000000001</v>
      </c>
      <c r="D11" s="116">
        <f t="shared" ref="D11:D13" si="1">B11*C11</f>
        <v>0.55000000000000004</v>
      </c>
      <c r="E11" s="116">
        <v>0</v>
      </c>
      <c r="F11" s="258">
        <f t="shared" ref="F11:F13" si="2">D11*E11</f>
        <v>0</v>
      </c>
      <c r="G11" s="258">
        <f t="shared" ref="G11:G13" si="3">F11*0.05</f>
        <v>0</v>
      </c>
      <c r="H11" s="258">
        <f t="shared" ref="H11:H13" si="4">F11*0.1</f>
        <v>0</v>
      </c>
      <c r="I11" s="259">
        <f t="shared" ref="I11:I13" si="5">(F11*$L$8)+(G11*$L$7)+(H11*$L$9)</f>
        <v>0</v>
      </c>
      <c r="O11" s="252">
        <f t="shared" si="0"/>
        <v>0</v>
      </c>
    </row>
    <row r="12" spans="1:16" ht="15.5" x14ac:dyDescent="0.35">
      <c r="A12" s="117" t="s">
        <v>143</v>
      </c>
      <c r="B12" s="116">
        <v>8</v>
      </c>
      <c r="C12" s="116">
        <v>1</v>
      </c>
      <c r="D12" s="116">
        <f t="shared" si="1"/>
        <v>8</v>
      </c>
      <c r="E12" s="116">
        <v>0</v>
      </c>
      <c r="F12" s="258">
        <f t="shared" si="2"/>
        <v>0</v>
      </c>
      <c r="G12" s="264">
        <f t="shared" si="3"/>
        <v>0</v>
      </c>
      <c r="H12" s="264">
        <f t="shared" si="4"/>
        <v>0</v>
      </c>
      <c r="I12" s="259">
        <f t="shared" si="5"/>
        <v>0</v>
      </c>
      <c r="O12" s="252">
        <f t="shared" si="0"/>
        <v>0</v>
      </c>
    </row>
    <row r="13" spans="1:16" ht="42.5" customHeight="1" x14ac:dyDescent="0.35">
      <c r="A13" s="117" t="s">
        <v>247</v>
      </c>
      <c r="B13" s="116">
        <v>8</v>
      </c>
      <c r="C13" s="116">
        <v>4</v>
      </c>
      <c r="D13" s="116">
        <f t="shared" si="1"/>
        <v>32</v>
      </c>
      <c r="E13" s="116">
        <f>'BPPI-Y1'!E32</f>
        <v>0</v>
      </c>
      <c r="F13" s="261">
        <f t="shared" si="2"/>
        <v>0</v>
      </c>
      <c r="G13" s="258">
        <f t="shared" si="3"/>
        <v>0</v>
      </c>
      <c r="H13" s="258">
        <f t="shared" si="4"/>
        <v>0</v>
      </c>
      <c r="I13" s="259">
        <f t="shared" si="5"/>
        <v>0</v>
      </c>
      <c r="O13" s="252">
        <f t="shared" si="0"/>
        <v>0</v>
      </c>
    </row>
    <row r="14" spans="1:16" ht="15" x14ac:dyDescent="0.35">
      <c r="A14" s="250" t="s">
        <v>144</v>
      </c>
      <c r="B14" s="250"/>
      <c r="C14" s="250"/>
      <c r="D14" s="250"/>
      <c r="E14" s="250"/>
      <c r="F14" s="246">
        <f>ROUND(SUM(F8:H13), -1)</f>
        <v>0</v>
      </c>
      <c r="G14" s="265"/>
      <c r="H14" s="265"/>
      <c r="I14" s="266">
        <f>ROUND(SUM(I8:I13), -2)</f>
        <v>0</v>
      </c>
      <c r="O14" s="252">
        <f>SUM(O8:O13)</f>
        <v>0</v>
      </c>
      <c r="P14" s="252" t="s">
        <v>385</v>
      </c>
    </row>
    <row r="15" spans="1:16" x14ac:dyDescent="0.35">
      <c r="A15" s="267"/>
      <c r="G15" s="268"/>
    </row>
    <row r="16" spans="1:16" ht="20" customHeight="1" x14ac:dyDescent="0.35">
      <c r="A16" s="267" t="s">
        <v>61</v>
      </c>
    </row>
    <row r="17" spans="1:9" ht="21.5" customHeight="1" x14ac:dyDescent="0.35">
      <c r="A17" s="391" t="s">
        <v>196</v>
      </c>
      <c r="B17" s="391"/>
      <c r="C17" s="391"/>
      <c r="D17" s="391"/>
      <c r="E17" s="391"/>
      <c r="F17" s="391"/>
      <c r="G17" s="391"/>
      <c r="H17" s="391"/>
      <c r="I17" s="391"/>
    </row>
    <row r="18" spans="1:9" ht="32.25" customHeight="1" x14ac:dyDescent="0.35">
      <c r="A18" s="372" t="s">
        <v>174</v>
      </c>
      <c r="B18" s="372"/>
      <c r="C18" s="372"/>
      <c r="D18" s="372"/>
      <c r="E18" s="372"/>
      <c r="F18" s="372"/>
      <c r="G18" s="372"/>
      <c r="H18" s="372"/>
      <c r="I18" s="372"/>
    </row>
    <row r="19" spans="1:9" ht="15.5" x14ac:dyDescent="0.35">
      <c r="A19" s="389" t="s">
        <v>145</v>
      </c>
      <c r="B19" s="389"/>
      <c r="C19" s="389"/>
      <c r="D19" s="389"/>
      <c r="E19" s="389"/>
      <c r="F19" s="389"/>
      <c r="G19" s="389"/>
      <c r="H19" s="389"/>
      <c r="I19" s="389"/>
    </row>
    <row r="20" spans="1:9" ht="15.5" x14ac:dyDescent="0.35">
      <c r="A20" s="390" t="s">
        <v>146</v>
      </c>
      <c r="B20" s="390"/>
      <c r="C20" s="390"/>
      <c r="D20" s="390"/>
      <c r="E20" s="390"/>
      <c r="F20" s="390"/>
      <c r="G20" s="390"/>
      <c r="H20" s="390"/>
      <c r="I20" s="390"/>
    </row>
    <row r="21" spans="1:9" ht="15.5" x14ac:dyDescent="0.35">
      <c r="A21" s="388" t="s">
        <v>197</v>
      </c>
      <c r="B21" s="388"/>
      <c r="C21" s="388"/>
      <c r="D21" s="388"/>
      <c r="E21" s="388"/>
      <c r="F21" s="388"/>
      <c r="G21" s="388"/>
      <c r="H21" s="388"/>
      <c r="I21" s="388"/>
    </row>
    <row r="22" spans="1:9" ht="15.5" x14ac:dyDescent="0.35">
      <c r="A22" s="388" t="s">
        <v>147</v>
      </c>
      <c r="B22" s="388"/>
      <c r="C22" s="388"/>
      <c r="D22" s="388"/>
      <c r="E22" s="388"/>
      <c r="F22" s="388"/>
      <c r="G22" s="388"/>
      <c r="H22" s="388"/>
      <c r="I22" s="388"/>
    </row>
    <row r="24" spans="1:9" x14ac:dyDescent="0.35">
      <c r="A24" s="269"/>
    </row>
    <row r="25" spans="1:9" x14ac:dyDescent="0.35">
      <c r="A25" s="269"/>
    </row>
    <row r="26" spans="1:9" x14ac:dyDescent="0.35">
      <c r="A26" s="269"/>
    </row>
    <row r="27" spans="1:9" x14ac:dyDescent="0.35">
      <c r="A27" s="269"/>
    </row>
  </sheetData>
  <mergeCells count="11">
    <mergeCell ref="K6:L6"/>
    <mergeCell ref="A18:I18"/>
    <mergeCell ref="A19:I19"/>
    <mergeCell ref="A20:I20"/>
    <mergeCell ref="A21:I21"/>
    <mergeCell ref="A17:I17"/>
    <mergeCell ref="A1:I1"/>
    <mergeCell ref="A3:I3"/>
    <mergeCell ref="A4:I4"/>
    <mergeCell ref="A5:A7"/>
    <mergeCell ref="A22:I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2E148-4025-4A3C-A84F-66DCD57C2F97}">
  <sheetPr codeName="Sheet3"/>
  <dimension ref="A1:C63"/>
  <sheetViews>
    <sheetView zoomScale="80" zoomScaleNormal="80" workbookViewId="0">
      <pane ySplit="1" topLeftCell="A2" activePane="bottomLeft" state="frozen"/>
      <selection pane="bottomLeft" activeCell="F14" sqref="F14"/>
    </sheetView>
  </sheetViews>
  <sheetFormatPr defaultColWidth="10.90625" defaultRowHeight="14.5" x14ac:dyDescent="0.35"/>
  <cols>
    <col min="1" max="1" width="45.7265625" style="138" customWidth="1"/>
    <col min="2" max="2" width="50.7265625" style="138" customWidth="1"/>
    <col min="3" max="3" width="15.7265625" style="138" customWidth="1"/>
    <col min="4" max="16384" width="10.90625" style="138"/>
  </cols>
  <sheetData>
    <row r="1" spans="1:3" x14ac:dyDescent="0.35">
      <c r="A1" s="136" t="s">
        <v>299</v>
      </c>
      <c r="B1" s="136" t="s">
        <v>300</v>
      </c>
      <c r="C1" s="137" t="s">
        <v>70</v>
      </c>
    </row>
    <row r="2" spans="1:3" x14ac:dyDescent="0.35">
      <c r="A2" s="139" t="s">
        <v>287</v>
      </c>
      <c r="B2" s="139" t="s">
        <v>301</v>
      </c>
      <c r="C2" s="140">
        <v>1</v>
      </c>
    </row>
    <row r="3" spans="1:3" x14ac:dyDescent="0.35">
      <c r="A3" s="139" t="s">
        <v>302</v>
      </c>
      <c r="B3" s="139" t="s">
        <v>303</v>
      </c>
      <c r="C3" s="140">
        <v>24</v>
      </c>
    </row>
    <row r="4" spans="1:3" x14ac:dyDescent="0.35">
      <c r="A4" s="139" t="s">
        <v>302</v>
      </c>
      <c r="B4" s="139" t="s">
        <v>304</v>
      </c>
      <c r="C4" s="140">
        <v>3</v>
      </c>
    </row>
    <row r="5" spans="1:3" x14ac:dyDescent="0.35">
      <c r="A5" s="139" t="s">
        <v>302</v>
      </c>
      <c r="B5" s="139" t="s">
        <v>305</v>
      </c>
      <c r="C5" s="140">
        <v>19</v>
      </c>
    </row>
    <row r="6" spans="1:3" x14ac:dyDescent="0.35">
      <c r="A6" s="139" t="s">
        <v>178</v>
      </c>
      <c r="B6" s="139" t="s">
        <v>306</v>
      </c>
      <c r="C6" s="140">
        <v>27</v>
      </c>
    </row>
    <row r="7" spans="1:3" x14ac:dyDescent="0.35">
      <c r="A7" s="139" t="s">
        <v>302</v>
      </c>
      <c r="B7" s="139" t="s">
        <v>307</v>
      </c>
      <c r="C7" s="140">
        <v>13</v>
      </c>
    </row>
    <row r="8" spans="1:3" x14ac:dyDescent="0.35">
      <c r="A8" s="139" t="s">
        <v>302</v>
      </c>
      <c r="B8" s="139" t="s">
        <v>308</v>
      </c>
      <c r="C8" s="140">
        <v>1</v>
      </c>
    </row>
    <row r="9" spans="1:3" ht="29" x14ac:dyDescent="0.35">
      <c r="A9" s="139" t="s">
        <v>302</v>
      </c>
      <c r="B9" s="139" t="s">
        <v>309</v>
      </c>
      <c r="C9" s="140">
        <v>3</v>
      </c>
    </row>
    <row r="10" spans="1:3" x14ac:dyDescent="0.35">
      <c r="A10" s="139" t="s">
        <v>218</v>
      </c>
      <c r="B10" s="139" t="s">
        <v>310</v>
      </c>
      <c r="C10" s="140">
        <v>3</v>
      </c>
    </row>
    <row r="11" spans="1:3" x14ac:dyDescent="0.35">
      <c r="A11" s="139" t="s">
        <v>302</v>
      </c>
      <c r="B11" s="139" t="s">
        <v>310</v>
      </c>
      <c r="C11" s="140">
        <v>6</v>
      </c>
    </row>
    <row r="12" spans="1:3" x14ac:dyDescent="0.35">
      <c r="A12" s="139" t="s">
        <v>302</v>
      </c>
      <c r="B12" s="139" t="s">
        <v>310</v>
      </c>
      <c r="C12" s="140">
        <v>2</v>
      </c>
    </row>
    <row r="13" spans="1:3" x14ac:dyDescent="0.35">
      <c r="A13" s="139" t="s">
        <v>302</v>
      </c>
      <c r="B13" s="139" t="s">
        <v>311</v>
      </c>
      <c r="C13" s="140">
        <v>1</v>
      </c>
    </row>
    <row r="14" spans="1:3" x14ac:dyDescent="0.35">
      <c r="A14" s="139" t="s">
        <v>302</v>
      </c>
      <c r="B14" s="139" t="s">
        <v>312</v>
      </c>
      <c r="C14" s="140">
        <v>6</v>
      </c>
    </row>
    <row r="15" spans="1:3" x14ac:dyDescent="0.35">
      <c r="A15" s="139" t="s">
        <v>302</v>
      </c>
      <c r="B15" s="139" t="s">
        <v>312</v>
      </c>
      <c r="C15" s="140">
        <v>1</v>
      </c>
    </row>
    <row r="16" spans="1:3" x14ac:dyDescent="0.35">
      <c r="A16" s="139" t="s">
        <v>302</v>
      </c>
      <c r="B16" s="139" t="s">
        <v>313</v>
      </c>
      <c r="C16" s="140">
        <v>1</v>
      </c>
    </row>
    <row r="17" spans="1:3" ht="58" x14ac:dyDescent="0.35">
      <c r="A17" s="139" t="s">
        <v>302</v>
      </c>
      <c r="B17" s="139" t="s">
        <v>314</v>
      </c>
      <c r="C17" s="140">
        <v>1</v>
      </c>
    </row>
    <row r="18" spans="1:3" x14ac:dyDescent="0.35">
      <c r="A18" s="139" t="s">
        <v>302</v>
      </c>
      <c r="B18" s="139" t="s">
        <v>315</v>
      </c>
      <c r="C18" s="140">
        <v>3</v>
      </c>
    </row>
    <row r="19" spans="1:3" x14ac:dyDescent="0.35">
      <c r="A19" s="139" t="s">
        <v>302</v>
      </c>
      <c r="B19" s="139" t="s">
        <v>316</v>
      </c>
      <c r="C19" s="140">
        <v>1</v>
      </c>
    </row>
    <row r="20" spans="1:3" ht="29" x14ac:dyDescent="0.35">
      <c r="A20" s="139" t="s">
        <v>302</v>
      </c>
      <c r="B20" s="139" t="s">
        <v>317</v>
      </c>
      <c r="C20" s="140">
        <v>2</v>
      </c>
    </row>
    <row r="21" spans="1:3" ht="29" x14ac:dyDescent="0.35">
      <c r="A21" s="139" t="s">
        <v>302</v>
      </c>
      <c r="B21" s="139" t="s">
        <v>318</v>
      </c>
      <c r="C21" s="140">
        <v>1</v>
      </c>
    </row>
    <row r="22" spans="1:3" ht="29" x14ac:dyDescent="0.35">
      <c r="A22" s="139" t="s">
        <v>302</v>
      </c>
      <c r="B22" s="139" t="s">
        <v>319</v>
      </c>
      <c r="C22" s="140">
        <v>1</v>
      </c>
    </row>
    <row r="23" spans="1:3" ht="29" x14ac:dyDescent="0.35">
      <c r="A23" s="139" t="s">
        <v>302</v>
      </c>
      <c r="B23" s="139" t="s">
        <v>320</v>
      </c>
      <c r="C23" s="140">
        <v>1</v>
      </c>
    </row>
    <row r="24" spans="1:3" x14ac:dyDescent="0.35">
      <c r="A24" s="139" t="s">
        <v>302</v>
      </c>
      <c r="B24" s="139" t="s">
        <v>321</v>
      </c>
      <c r="C24" s="140">
        <v>5</v>
      </c>
    </row>
    <row r="25" spans="1:3" ht="29" x14ac:dyDescent="0.35">
      <c r="A25" s="139" t="s">
        <v>302</v>
      </c>
      <c r="B25" s="139" t="s">
        <v>322</v>
      </c>
      <c r="C25" s="140">
        <v>1</v>
      </c>
    </row>
    <row r="26" spans="1:3" x14ac:dyDescent="0.35">
      <c r="A26" s="139" t="s">
        <v>302</v>
      </c>
      <c r="B26" s="139" t="s">
        <v>323</v>
      </c>
      <c r="C26" s="140">
        <v>2</v>
      </c>
    </row>
    <row r="27" spans="1:3" x14ac:dyDescent="0.35">
      <c r="A27" s="139" t="s">
        <v>302</v>
      </c>
      <c r="B27" s="139" t="s">
        <v>324</v>
      </c>
      <c r="C27" s="140">
        <v>1</v>
      </c>
    </row>
    <row r="28" spans="1:3" x14ac:dyDescent="0.35">
      <c r="A28" s="139" t="s">
        <v>242</v>
      </c>
      <c r="B28" s="139" t="s">
        <v>325</v>
      </c>
      <c r="C28" s="140">
        <v>1</v>
      </c>
    </row>
    <row r="29" spans="1:3" x14ac:dyDescent="0.35">
      <c r="A29" s="139" t="s">
        <v>302</v>
      </c>
      <c r="B29" s="139" t="s">
        <v>326</v>
      </c>
      <c r="C29" s="140">
        <v>136</v>
      </c>
    </row>
    <row r="30" spans="1:3" x14ac:dyDescent="0.35">
      <c r="A30" s="139" t="s">
        <v>302</v>
      </c>
      <c r="B30" s="139" t="s">
        <v>327</v>
      </c>
      <c r="C30" s="140">
        <v>41</v>
      </c>
    </row>
    <row r="31" spans="1:3" x14ac:dyDescent="0.35">
      <c r="A31" s="139" t="s">
        <v>302</v>
      </c>
      <c r="B31" s="139" t="s">
        <v>328</v>
      </c>
      <c r="C31" s="140">
        <v>2</v>
      </c>
    </row>
    <row r="32" spans="1:3" x14ac:dyDescent="0.35">
      <c r="A32" s="139" t="s">
        <v>302</v>
      </c>
      <c r="B32" s="139" t="s">
        <v>329</v>
      </c>
      <c r="C32" s="140">
        <v>94</v>
      </c>
    </row>
    <row r="33" spans="1:3" x14ac:dyDescent="0.35">
      <c r="A33" s="139" t="s">
        <v>302</v>
      </c>
      <c r="B33" s="139" t="s">
        <v>329</v>
      </c>
      <c r="C33" s="140">
        <v>12</v>
      </c>
    </row>
    <row r="34" spans="1:3" x14ac:dyDescent="0.35">
      <c r="A34" s="139" t="s">
        <v>302</v>
      </c>
      <c r="B34" s="139" t="s">
        <v>329</v>
      </c>
      <c r="C34" s="140">
        <v>1</v>
      </c>
    </row>
    <row r="35" spans="1:3" x14ac:dyDescent="0.35">
      <c r="A35" s="139" t="s">
        <v>302</v>
      </c>
      <c r="B35" s="139" t="s">
        <v>330</v>
      </c>
      <c r="C35" s="140">
        <v>17</v>
      </c>
    </row>
    <row r="36" spans="1:3" x14ac:dyDescent="0.35">
      <c r="A36" s="139" t="s">
        <v>302</v>
      </c>
      <c r="B36" s="139" t="s">
        <v>330</v>
      </c>
      <c r="C36" s="140">
        <v>3</v>
      </c>
    </row>
    <row r="37" spans="1:3" x14ac:dyDescent="0.35">
      <c r="A37" s="139" t="s">
        <v>288</v>
      </c>
      <c r="B37" s="139" t="s">
        <v>310</v>
      </c>
      <c r="C37" s="140">
        <v>6</v>
      </c>
    </row>
    <row r="38" spans="1:3" x14ac:dyDescent="0.35">
      <c r="A38" s="139" t="s">
        <v>302</v>
      </c>
      <c r="B38" s="139" t="s">
        <v>310</v>
      </c>
      <c r="C38" s="140">
        <v>2</v>
      </c>
    </row>
    <row r="39" spans="1:3" x14ac:dyDescent="0.35">
      <c r="A39" s="139" t="s">
        <v>302</v>
      </c>
      <c r="B39" s="139" t="s">
        <v>331</v>
      </c>
      <c r="C39" s="140">
        <v>1</v>
      </c>
    </row>
    <row r="40" spans="1:3" x14ac:dyDescent="0.35">
      <c r="A40" s="139" t="s">
        <v>302</v>
      </c>
      <c r="B40" s="139" t="s">
        <v>331</v>
      </c>
      <c r="C40" s="140">
        <v>1</v>
      </c>
    </row>
    <row r="41" spans="1:3" x14ac:dyDescent="0.35">
      <c r="A41" s="139" t="s">
        <v>302</v>
      </c>
      <c r="B41" s="139" t="s">
        <v>332</v>
      </c>
      <c r="C41" s="140">
        <v>1</v>
      </c>
    </row>
    <row r="42" spans="1:3" x14ac:dyDescent="0.35">
      <c r="A42" s="139" t="s">
        <v>302</v>
      </c>
      <c r="B42" s="139" t="s">
        <v>333</v>
      </c>
      <c r="C42" s="140">
        <v>1</v>
      </c>
    </row>
    <row r="43" spans="1:3" x14ac:dyDescent="0.35">
      <c r="A43" s="139" t="s">
        <v>302</v>
      </c>
      <c r="B43" s="139" t="s">
        <v>334</v>
      </c>
      <c r="C43" s="140">
        <v>2</v>
      </c>
    </row>
    <row r="44" spans="1:3" x14ac:dyDescent="0.35">
      <c r="A44" s="139" t="s">
        <v>302</v>
      </c>
      <c r="B44" s="139" t="s">
        <v>334</v>
      </c>
      <c r="C44" s="140">
        <v>2</v>
      </c>
    </row>
    <row r="45" spans="1:3" ht="29" x14ac:dyDescent="0.35">
      <c r="A45" s="139" t="s">
        <v>302</v>
      </c>
      <c r="B45" s="139" t="s">
        <v>335</v>
      </c>
      <c r="C45" s="140">
        <v>1</v>
      </c>
    </row>
    <row r="46" spans="1:3" x14ac:dyDescent="0.35">
      <c r="A46" s="139" t="s">
        <v>289</v>
      </c>
      <c r="B46" s="139" t="s">
        <v>310</v>
      </c>
      <c r="C46" s="140">
        <v>1</v>
      </c>
    </row>
    <row r="47" spans="1:3" x14ac:dyDescent="0.35">
      <c r="A47" s="139" t="s">
        <v>302</v>
      </c>
      <c r="B47" s="139" t="s">
        <v>311</v>
      </c>
      <c r="C47" s="140">
        <v>1</v>
      </c>
    </row>
    <row r="48" spans="1:3" x14ac:dyDescent="0.35">
      <c r="A48" s="139" t="s">
        <v>302</v>
      </c>
      <c r="B48" s="139" t="s">
        <v>336</v>
      </c>
      <c r="C48" s="140">
        <v>1</v>
      </c>
    </row>
    <row r="49" spans="1:3" x14ac:dyDescent="0.35">
      <c r="A49" s="139" t="s">
        <v>302</v>
      </c>
      <c r="B49" s="139" t="s">
        <v>315</v>
      </c>
      <c r="C49" s="140">
        <v>1</v>
      </c>
    </row>
    <row r="50" spans="1:3" x14ac:dyDescent="0.35">
      <c r="A50" s="139" t="s">
        <v>302</v>
      </c>
      <c r="B50" s="139" t="s">
        <v>334</v>
      </c>
      <c r="C50" s="140">
        <v>3</v>
      </c>
    </row>
    <row r="51" spans="1:3" x14ac:dyDescent="0.35">
      <c r="A51" s="139" t="s">
        <v>302</v>
      </c>
      <c r="B51" s="139" t="s">
        <v>334</v>
      </c>
      <c r="C51" s="140">
        <v>3</v>
      </c>
    </row>
    <row r="52" spans="1:3" x14ac:dyDescent="0.35">
      <c r="A52" s="139" t="s">
        <v>286</v>
      </c>
      <c r="B52" s="139" t="s">
        <v>310</v>
      </c>
      <c r="C52" s="140">
        <v>5</v>
      </c>
    </row>
    <row r="53" spans="1:3" x14ac:dyDescent="0.35">
      <c r="A53" s="139" t="s">
        <v>302</v>
      </c>
      <c r="B53" s="139" t="s">
        <v>310</v>
      </c>
      <c r="C53" s="140">
        <v>3</v>
      </c>
    </row>
    <row r="54" spans="1:3" x14ac:dyDescent="0.35">
      <c r="A54" s="139" t="s">
        <v>302</v>
      </c>
      <c r="B54" s="139" t="s">
        <v>310</v>
      </c>
      <c r="C54" s="140">
        <v>1</v>
      </c>
    </row>
    <row r="55" spans="1:3" x14ac:dyDescent="0.35">
      <c r="A55" s="139" t="s">
        <v>302</v>
      </c>
      <c r="B55" s="139" t="s">
        <v>331</v>
      </c>
      <c r="C55" s="140">
        <v>2</v>
      </c>
    </row>
    <row r="56" spans="1:3" x14ac:dyDescent="0.35">
      <c r="A56" s="139" t="s">
        <v>302</v>
      </c>
      <c r="B56" s="139" t="s">
        <v>337</v>
      </c>
      <c r="C56" s="140">
        <v>2</v>
      </c>
    </row>
    <row r="57" spans="1:3" x14ac:dyDescent="0.35">
      <c r="A57" s="139" t="s">
        <v>302</v>
      </c>
      <c r="B57" s="139" t="s">
        <v>338</v>
      </c>
      <c r="C57" s="140">
        <v>1</v>
      </c>
    </row>
    <row r="58" spans="1:3" ht="29" x14ac:dyDescent="0.35">
      <c r="A58" s="139" t="s">
        <v>302</v>
      </c>
      <c r="B58" s="139" t="s">
        <v>339</v>
      </c>
      <c r="C58" s="140">
        <v>1</v>
      </c>
    </row>
    <row r="59" spans="1:3" x14ac:dyDescent="0.35">
      <c r="A59" s="139" t="s">
        <v>302</v>
      </c>
      <c r="B59" s="139" t="s">
        <v>340</v>
      </c>
      <c r="C59" s="140">
        <v>3</v>
      </c>
    </row>
    <row r="60" spans="1:3" x14ac:dyDescent="0.35">
      <c r="A60" s="139" t="s">
        <v>302</v>
      </c>
      <c r="B60" s="139" t="s">
        <v>332</v>
      </c>
      <c r="C60" s="140">
        <v>2</v>
      </c>
    </row>
    <row r="61" spans="1:3" ht="29" x14ac:dyDescent="0.35">
      <c r="A61" s="139" t="s">
        <v>302</v>
      </c>
      <c r="B61" s="139" t="s">
        <v>341</v>
      </c>
      <c r="C61" s="140">
        <v>2</v>
      </c>
    </row>
    <row r="62" spans="1:3" x14ac:dyDescent="0.35">
      <c r="A62" s="139" t="s">
        <v>302</v>
      </c>
      <c r="B62" s="139" t="s">
        <v>342</v>
      </c>
      <c r="C62" s="140">
        <v>2</v>
      </c>
    </row>
    <row r="63" spans="1:3" x14ac:dyDescent="0.35">
      <c r="A63" s="139" t="s">
        <v>302</v>
      </c>
      <c r="B63" s="139" t="s">
        <v>343</v>
      </c>
      <c r="C63" s="140">
        <v>1</v>
      </c>
    </row>
  </sheetData>
  <pageMargins left="0.7" right="0.7" top="0.75" bottom="0.75" header="0.3" footer="0.3"/>
  <pageSetup paperSize="9"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26181-4849-49FC-95FD-D67D51315DFA}">
  <sheetPr codeName="Sheet30"/>
  <dimension ref="A1:P27"/>
  <sheetViews>
    <sheetView workbookViewId="0">
      <pane xSplit="12" ySplit="5" topLeftCell="M6" activePane="bottomRight" state="frozen"/>
      <selection activeCell="B22" sqref="B22"/>
      <selection pane="topRight" activeCell="B22" sqref="B22"/>
      <selection pane="bottomLeft" activeCell="B22" sqref="B22"/>
      <selection pane="bottomRight" activeCell="A4" sqref="A4:I4"/>
    </sheetView>
  </sheetViews>
  <sheetFormatPr defaultColWidth="9.1796875" defaultRowHeight="14.5" x14ac:dyDescent="0.35"/>
  <cols>
    <col min="1" max="1" width="39.1796875" style="252" customWidth="1"/>
    <col min="2" max="2" width="9.81640625" style="252" customWidth="1"/>
    <col min="3" max="8" width="9.1796875" style="252"/>
    <col min="9" max="9" width="13.81640625" style="252" customWidth="1"/>
    <col min="10" max="10" width="9.1796875" style="252"/>
    <col min="11" max="11" width="13.1796875" style="253" customWidth="1"/>
    <col min="12" max="12" width="9.1796875" style="252"/>
    <col min="13" max="13" width="19.1796875" style="252" customWidth="1"/>
    <col min="14" max="16384" width="9.1796875" style="252"/>
  </cols>
  <sheetData>
    <row r="1" spans="1:16" ht="15" x14ac:dyDescent="0.35">
      <c r="A1" s="362" t="s">
        <v>187</v>
      </c>
      <c r="B1" s="362"/>
      <c r="C1" s="362"/>
      <c r="D1" s="362"/>
      <c r="E1" s="362"/>
      <c r="F1" s="362"/>
      <c r="G1" s="362"/>
      <c r="H1" s="362"/>
      <c r="I1" s="362"/>
    </row>
    <row r="2" spans="1:16" ht="18.5" customHeight="1" x14ac:dyDescent="0.35">
      <c r="A2" s="200" t="s">
        <v>211</v>
      </c>
      <c r="B2" s="200"/>
      <c r="C2" s="200"/>
      <c r="D2" s="200"/>
      <c r="E2" s="200"/>
      <c r="F2" s="200"/>
      <c r="G2" s="200"/>
      <c r="H2" s="200"/>
      <c r="I2" s="200"/>
    </row>
    <row r="3" spans="1:16" ht="15" x14ac:dyDescent="0.35">
      <c r="A3" s="385" t="s">
        <v>452</v>
      </c>
      <c r="B3" s="385"/>
      <c r="C3" s="385"/>
      <c r="D3" s="385"/>
      <c r="E3" s="385"/>
      <c r="F3" s="385"/>
      <c r="G3" s="385"/>
      <c r="H3" s="385"/>
      <c r="I3" s="385"/>
    </row>
    <row r="4" spans="1:16" ht="15" x14ac:dyDescent="0.35">
      <c r="A4" s="386"/>
      <c r="B4" s="386"/>
      <c r="C4" s="386"/>
      <c r="D4" s="386"/>
      <c r="E4" s="386"/>
      <c r="F4" s="386"/>
      <c r="G4" s="386"/>
      <c r="H4" s="386"/>
      <c r="I4" s="386"/>
    </row>
    <row r="5" spans="1:16" x14ac:dyDescent="0.35">
      <c r="A5" s="387" t="s">
        <v>87</v>
      </c>
      <c r="B5" s="254" t="s">
        <v>22</v>
      </c>
      <c r="C5" s="254" t="s">
        <v>23</v>
      </c>
      <c r="D5" s="254" t="s">
        <v>24</v>
      </c>
      <c r="E5" s="254" t="s">
        <v>71</v>
      </c>
      <c r="F5" s="254" t="s">
        <v>26</v>
      </c>
      <c r="G5" s="254" t="s">
        <v>25</v>
      </c>
      <c r="H5" s="254" t="s">
        <v>72</v>
      </c>
      <c r="I5" s="254" t="s">
        <v>73</v>
      </c>
    </row>
    <row r="6" spans="1:16" ht="65" x14ac:dyDescent="0.35">
      <c r="A6" s="387"/>
      <c r="B6" s="254" t="s">
        <v>127</v>
      </c>
      <c r="C6" s="254" t="s">
        <v>128</v>
      </c>
      <c r="D6" s="254" t="s">
        <v>129</v>
      </c>
      <c r="E6" s="254" t="s">
        <v>130</v>
      </c>
      <c r="F6" s="254" t="s">
        <v>131</v>
      </c>
      <c r="G6" s="254" t="s">
        <v>132</v>
      </c>
      <c r="H6" s="254" t="s">
        <v>133</v>
      </c>
      <c r="I6" s="254" t="s">
        <v>134</v>
      </c>
      <c r="K6" s="380" t="s">
        <v>68</v>
      </c>
      <c r="L6" s="380"/>
      <c r="M6" s="255"/>
    </row>
    <row r="7" spans="1:16" ht="38.5" customHeight="1" x14ac:dyDescent="0.35">
      <c r="A7" s="387"/>
      <c r="B7" s="256"/>
      <c r="C7" s="256"/>
      <c r="D7" s="254" t="s">
        <v>135</v>
      </c>
      <c r="E7" s="256"/>
      <c r="F7" s="254" t="s">
        <v>136</v>
      </c>
      <c r="G7" s="254" t="s">
        <v>137</v>
      </c>
      <c r="H7" s="254" t="s">
        <v>138</v>
      </c>
      <c r="I7" s="256"/>
      <c r="K7" s="222" t="s">
        <v>69</v>
      </c>
      <c r="L7" s="184">
        <v>69.040000000000006</v>
      </c>
      <c r="M7" s="224" t="s">
        <v>172</v>
      </c>
      <c r="O7" s="252" t="s">
        <v>383</v>
      </c>
    </row>
    <row r="8" spans="1:16" ht="15.5" x14ac:dyDescent="0.35">
      <c r="A8" s="257" t="s">
        <v>139</v>
      </c>
      <c r="B8" s="116">
        <v>24</v>
      </c>
      <c r="C8" s="116">
        <v>1</v>
      </c>
      <c r="D8" s="116">
        <f>B8*C8</f>
        <v>24</v>
      </c>
      <c r="E8" s="116">
        <f>'BPPI-Y1'!E25</f>
        <v>0</v>
      </c>
      <c r="F8" s="258">
        <f>D8*E8</f>
        <v>0</v>
      </c>
      <c r="G8" s="258">
        <f>F8*0.05</f>
        <v>0</v>
      </c>
      <c r="H8" s="258">
        <f>F8*0.1</f>
        <v>0</v>
      </c>
      <c r="I8" s="259">
        <f>(F8*$L$8)+(G8*$L$7)+(H8*$L$9)</f>
        <v>0</v>
      </c>
      <c r="K8" s="222" t="s">
        <v>33</v>
      </c>
      <c r="L8" s="188">
        <v>51.23</v>
      </c>
      <c r="M8" s="260"/>
      <c r="O8" s="252">
        <f>C8*E8</f>
        <v>0</v>
      </c>
    </row>
    <row r="9" spans="1:16" ht="15.5" x14ac:dyDescent="0.35">
      <c r="A9" s="257" t="s">
        <v>140</v>
      </c>
      <c r="B9" s="116">
        <v>24</v>
      </c>
      <c r="C9" s="116">
        <v>1</v>
      </c>
      <c r="D9" s="116">
        <f>B9*C9</f>
        <v>24</v>
      </c>
      <c r="E9" s="116">
        <v>0</v>
      </c>
      <c r="F9" s="261">
        <f>D9*E9</f>
        <v>0</v>
      </c>
      <c r="G9" s="261">
        <f>F9*0.05</f>
        <v>0</v>
      </c>
      <c r="H9" s="261">
        <f>F9*0.1</f>
        <v>0</v>
      </c>
      <c r="I9" s="262">
        <f>(F9*$L$8)+(G9*$L$7)+(H9*$L$9)</f>
        <v>0</v>
      </c>
      <c r="K9" s="222" t="s">
        <v>34</v>
      </c>
      <c r="L9" s="188">
        <v>27.73</v>
      </c>
      <c r="M9" s="260"/>
      <c r="O9" s="252">
        <f t="shared" ref="O9:O13" si="0">C9*E9</f>
        <v>0</v>
      </c>
    </row>
    <row r="10" spans="1:16" x14ac:dyDescent="0.35">
      <c r="A10" s="257" t="s">
        <v>141</v>
      </c>
      <c r="B10" s="116"/>
      <c r="C10" s="116"/>
      <c r="D10" s="116"/>
      <c r="E10" s="116"/>
      <c r="F10" s="258"/>
      <c r="G10" s="258"/>
      <c r="H10" s="258"/>
      <c r="I10" s="263"/>
      <c r="O10" s="252">
        <f t="shared" si="0"/>
        <v>0</v>
      </c>
    </row>
    <row r="11" spans="1:16" ht="15.5" x14ac:dyDescent="0.35">
      <c r="A11" s="117" t="s">
        <v>142</v>
      </c>
      <c r="B11" s="116">
        <v>0.5</v>
      </c>
      <c r="C11" s="116">
        <v>1.1000000000000001</v>
      </c>
      <c r="D11" s="116">
        <f t="shared" ref="D11:D13" si="1">B11*C11</f>
        <v>0.55000000000000004</v>
      </c>
      <c r="E11" s="116">
        <v>55</v>
      </c>
      <c r="F11" s="258">
        <f t="shared" ref="F11:F13" si="2">D11*E11</f>
        <v>30.250000000000004</v>
      </c>
      <c r="G11" s="258">
        <f t="shared" ref="G11:G13" si="3">F11*0.05</f>
        <v>1.5125000000000002</v>
      </c>
      <c r="H11" s="258">
        <f t="shared" ref="H11:H13" si="4">F11*0.1</f>
        <v>3.0250000000000004</v>
      </c>
      <c r="I11" s="259">
        <f t="shared" ref="I11:I13" si="5">(F11*$L$8)+(G11*$L$7)+(H11*$L$9)</f>
        <v>1738.0137500000001</v>
      </c>
      <c r="O11" s="252">
        <f t="shared" si="0"/>
        <v>60.500000000000007</v>
      </c>
    </row>
    <row r="12" spans="1:16" ht="15.5" x14ac:dyDescent="0.35">
      <c r="A12" s="117" t="s">
        <v>143</v>
      </c>
      <c r="B12" s="116">
        <v>8</v>
      </c>
      <c r="C12" s="116">
        <v>1</v>
      </c>
      <c r="D12" s="116">
        <f t="shared" si="1"/>
        <v>8</v>
      </c>
      <c r="E12" s="116">
        <v>55</v>
      </c>
      <c r="F12" s="258">
        <f t="shared" si="2"/>
        <v>440</v>
      </c>
      <c r="G12" s="264">
        <f t="shared" si="3"/>
        <v>22</v>
      </c>
      <c r="H12" s="264">
        <f t="shared" si="4"/>
        <v>44</v>
      </c>
      <c r="I12" s="259">
        <f t="shared" si="5"/>
        <v>25280.199999999997</v>
      </c>
      <c r="O12" s="252">
        <f t="shared" si="0"/>
        <v>55</v>
      </c>
    </row>
    <row r="13" spans="1:16" ht="41" customHeight="1" x14ac:dyDescent="0.35">
      <c r="A13" s="117" t="s">
        <v>247</v>
      </c>
      <c r="B13" s="116">
        <v>8</v>
      </c>
      <c r="C13" s="116">
        <v>4</v>
      </c>
      <c r="D13" s="116">
        <f t="shared" si="1"/>
        <v>32</v>
      </c>
      <c r="E13" s="116">
        <f>'BPPI-Y1'!E32</f>
        <v>0</v>
      </c>
      <c r="F13" s="261">
        <f t="shared" si="2"/>
        <v>0</v>
      </c>
      <c r="G13" s="258">
        <f t="shared" si="3"/>
        <v>0</v>
      </c>
      <c r="H13" s="258">
        <f t="shared" si="4"/>
        <v>0</v>
      </c>
      <c r="I13" s="259">
        <f t="shared" si="5"/>
        <v>0</v>
      </c>
      <c r="O13" s="252">
        <f t="shared" si="0"/>
        <v>0</v>
      </c>
    </row>
    <row r="14" spans="1:16" ht="15" x14ac:dyDescent="0.35">
      <c r="A14" s="250" t="s">
        <v>144</v>
      </c>
      <c r="B14" s="250"/>
      <c r="C14" s="250"/>
      <c r="D14" s="250"/>
      <c r="E14" s="250"/>
      <c r="F14" s="246">
        <f>ROUND(SUM(F8:H13), -1)</f>
        <v>540</v>
      </c>
      <c r="G14" s="265"/>
      <c r="H14" s="265"/>
      <c r="I14" s="266">
        <f>ROUND(SUM(I8:I13), -2)</f>
        <v>27000</v>
      </c>
      <c r="O14" s="252">
        <f>SUM(O8:O13)</f>
        <v>115.5</v>
      </c>
      <c r="P14" s="252" t="s">
        <v>385</v>
      </c>
    </row>
    <row r="15" spans="1:16" x14ac:dyDescent="0.35">
      <c r="A15" s="267"/>
      <c r="G15" s="268"/>
    </row>
    <row r="16" spans="1:16" ht="17.5" customHeight="1" x14ac:dyDescent="0.35">
      <c r="A16" s="267" t="s">
        <v>61</v>
      </c>
    </row>
    <row r="17" spans="1:9" ht="21" customHeight="1" x14ac:dyDescent="0.35">
      <c r="A17" s="391" t="s">
        <v>196</v>
      </c>
      <c r="B17" s="391"/>
      <c r="C17" s="391"/>
      <c r="D17" s="391"/>
      <c r="E17" s="391"/>
      <c r="F17" s="391"/>
      <c r="G17" s="391"/>
      <c r="H17" s="391"/>
      <c r="I17" s="391"/>
    </row>
    <row r="18" spans="1:9" ht="45" customHeight="1" x14ac:dyDescent="0.35">
      <c r="A18" s="372" t="s">
        <v>174</v>
      </c>
      <c r="B18" s="372"/>
      <c r="C18" s="372"/>
      <c r="D18" s="372"/>
      <c r="E18" s="372"/>
      <c r="F18" s="372"/>
      <c r="G18" s="372"/>
      <c r="H18" s="372"/>
      <c r="I18" s="372"/>
    </row>
    <row r="19" spans="1:9" ht="15.5" x14ac:dyDescent="0.35">
      <c r="A19" s="389" t="s">
        <v>145</v>
      </c>
      <c r="B19" s="389"/>
      <c r="C19" s="389"/>
      <c r="D19" s="389"/>
      <c r="E19" s="389"/>
      <c r="F19" s="389"/>
      <c r="G19" s="389"/>
      <c r="H19" s="389"/>
      <c r="I19" s="389"/>
    </row>
    <row r="20" spans="1:9" ht="15.5" x14ac:dyDescent="0.35">
      <c r="A20" s="390" t="s">
        <v>146</v>
      </c>
      <c r="B20" s="390"/>
      <c r="C20" s="390"/>
      <c r="D20" s="390"/>
      <c r="E20" s="390"/>
      <c r="F20" s="390"/>
      <c r="G20" s="390"/>
      <c r="H20" s="390"/>
      <c r="I20" s="390"/>
    </row>
    <row r="21" spans="1:9" ht="15.5" x14ac:dyDescent="0.35">
      <c r="A21" s="388" t="s">
        <v>197</v>
      </c>
      <c r="B21" s="388"/>
      <c r="C21" s="388"/>
      <c r="D21" s="388"/>
      <c r="E21" s="388"/>
      <c r="F21" s="388"/>
      <c r="G21" s="388"/>
      <c r="H21" s="388"/>
      <c r="I21" s="388"/>
    </row>
    <row r="22" spans="1:9" ht="15.5" x14ac:dyDescent="0.35">
      <c r="A22" s="388" t="s">
        <v>147</v>
      </c>
      <c r="B22" s="388"/>
      <c r="C22" s="388"/>
      <c r="D22" s="388"/>
      <c r="E22" s="388"/>
      <c r="F22" s="388"/>
      <c r="G22" s="388"/>
      <c r="H22" s="388"/>
      <c r="I22" s="388"/>
    </row>
    <row r="24" spans="1:9" x14ac:dyDescent="0.35">
      <c r="A24" s="269"/>
    </row>
    <row r="25" spans="1:9" x14ac:dyDescent="0.35">
      <c r="A25" s="269"/>
    </row>
    <row r="26" spans="1:9" x14ac:dyDescent="0.35">
      <c r="A26" s="269"/>
    </row>
    <row r="27" spans="1:9" x14ac:dyDescent="0.35">
      <c r="A27" s="269"/>
    </row>
  </sheetData>
  <mergeCells count="11">
    <mergeCell ref="K6:L6"/>
    <mergeCell ref="A18:I18"/>
    <mergeCell ref="A19:I19"/>
    <mergeCell ref="A20:I20"/>
    <mergeCell ref="A21:I21"/>
    <mergeCell ref="A17:I17"/>
    <mergeCell ref="A1:I1"/>
    <mergeCell ref="A3:I3"/>
    <mergeCell ref="A4:I4"/>
    <mergeCell ref="A5:A7"/>
    <mergeCell ref="A22:I2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2783-A585-44FF-8013-ADD6A3248E0A}">
  <sheetPr codeName="Sheet31"/>
  <dimension ref="A1:I22"/>
  <sheetViews>
    <sheetView topLeftCell="A10" workbookViewId="0">
      <selection activeCell="J19" sqref="J19"/>
    </sheetView>
  </sheetViews>
  <sheetFormatPr defaultRowHeight="14.5" x14ac:dyDescent="0.35"/>
  <cols>
    <col min="1" max="1" width="17.7265625" style="199" customWidth="1"/>
    <col min="2" max="2" width="14" style="199" customWidth="1"/>
    <col min="3" max="3" width="13.1796875" style="199" customWidth="1"/>
    <col min="4" max="4" width="12.81640625" style="199" customWidth="1"/>
    <col min="5" max="5" width="11.54296875" style="199" customWidth="1"/>
    <col min="6" max="6" width="11.26953125" style="199" customWidth="1"/>
    <col min="7" max="8" width="16.6328125" style="199" customWidth="1"/>
    <col min="9" max="16384" width="8.7265625" style="199"/>
  </cols>
  <sheetData>
    <row r="1" spans="1:9" ht="15" x14ac:dyDescent="0.35">
      <c r="A1" s="362" t="s">
        <v>201</v>
      </c>
      <c r="B1" s="362"/>
      <c r="C1" s="362"/>
      <c r="D1" s="362"/>
      <c r="E1" s="362"/>
      <c r="F1" s="362"/>
      <c r="G1" s="362"/>
      <c r="H1" s="362"/>
      <c r="I1" s="362"/>
    </row>
    <row r="2" spans="1:9" ht="15" x14ac:dyDescent="0.35">
      <c r="A2" s="200" t="s">
        <v>202</v>
      </c>
      <c r="B2" s="200"/>
      <c r="C2" s="200"/>
      <c r="D2" s="200"/>
      <c r="E2" s="200"/>
      <c r="F2" s="200"/>
      <c r="G2" s="200"/>
    </row>
    <row r="3" spans="1:9" ht="15.5" thickBot="1" x14ac:dyDescent="0.4">
      <c r="A3" s="396" t="s">
        <v>453</v>
      </c>
      <c r="B3" s="397"/>
      <c r="C3" s="397"/>
      <c r="D3" s="397"/>
      <c r="E3" s="397"/>
      <c r="F3" s="397"/>
      <c r="G3" s="397"/>
      <c r="H3" s="320"/>
    </row>
    <row r="4" spans="1:9" ht="15" x14ac:dyDescent="0.35">
      <c r="A4" s="202"/>
      <c r="B4" s="203"/>
      <c r="C4" s="203"/>
      <c r="D4" s="203"/>
      <c r="E4" s="203"/>
      <c r="F4" s="203"/>
      <c r="G4" s="318"/>
      <c r="H4" s="320"/>
    </row>
    <row r="5" spans="1:9" x14ac:dyDescent="0.35">
      <c r="B5" s="206" t="s">
        <v>22</v>
      </c>
      <c r="C5" s="207" t="s">
        <v>23</v>
      </c>
      <c r="D5" s="207" t="s">
        <v>24</v>
      </c>
      <c r="E5" s="207" t="s">
        <v>71</v>
      </c>
      <c r="F5" s="207" t="s">
        <v>26</v>
      </c>
      <c r="G5" s="207" t="s">
        <v>25</v>
      </c>
      <c r="H5" s="321" t="s">
        <v>72</v>
      </c>
      <c r="I5" s="320"/>
    </row>
    <row r="6" spans="1:9" ht="52" x14ac:dyDescent="0.35">
      <c r="A6" s="209" t="s">
        <v>62</v>
      </c>
      <c r="B6" s="209" t="s">
        <v>82</v>
      </c>
      <c r="C6" s="209" t="s">
        <v>83</v>
      </c>
      <c r="D6" s="209" t="s">
        <v>148</v>
      </c>
      <c r="E6" s="209" t="s">
        <v>84</v>
      </c>
      <c r="F6" s="209" t="s">
        <v>85</v>
      </c>
      <c r="G6" s="209" t="s">
        <v>149</v>
      </c>
      <c r="H6" s="209" t="s">
        <v>150</v>
      </c>
    </row>
    <row r="7" spans="1:9" ht="39" x14ac:dyDescent="0.35">
      <c r="A7" s="209" t="s">
        <v>55</v>
      </c>
      <c r="B7" s="210" t="s">
        <v>215</v>
      </c>
      <c r="C7" s="119">
        <v>0</v>
      </c>
      <c r="D7" s="209">
        <v>0</v>
      </c>
      <c r="E7" s="119">
        <f>C7*D7</f>
        <v>0</v>
      </c>
      <c r="F7" s="119">
        <v>0</v>
      </c>
      <c r="G7" s="209"/>
      <c r="H7" s="119">
        <f>F7*G7</f>
        <v>0</v>
      </c>
    </row>
    <row r="8" spans="1:9" ht="26" x14ac:dyDescent="0.35">
      <c r="A8" s="209" t="s">
        <v>55</v>
      </c>
      <c r="B8" s="209" t="s">
        <v>151</v>
      </c>
      <c r="C8" s="119">
        <v>0</v>
      </c>
      <c r="D8" s="209">
        <v>0</v>
      </c>
      <c r="E8" s="119">
        <f>C8*D8</f>
        <v>0</v>
      </c>
      <c r="F8" s="119"/>
      <c r="G8" s="209"/>
      <c r="H8" s="119"/>
    </row>
    <row r="9" spans="1:9" ht="39" x14ac:dyDescent="0.35">
      <c r="A9" s="209" t="s">
        <v>56</v>
      </c>
      <c r="B9" s="210" t="s">
        <v>215</v>
      </c>
      <c r="C9" s="119">
        <v>0</v>
      </c>
      <c r="D9" s="209">
        <v>0</v>
      </c>
      <c r="E9" s="119">
        <f>C9*D9</f>
        <v>0</v>
      </c>
      <c r="F9" s="119">
        <v>0</v>
      </c>
      <c r="G9" s="209"/>
      <c r="H9" s="209"/>
    </row>
    <row r="10" spans="1:9" ht="26" x14ac:dyDescent="0.35">
      <c r="A10" s="209" t="s">
        <v>56</v>
      </c>
      <c r="B10" s="209" t="s">
        <v>151</v>
      </c>
      <c r="C10" s="119">
        <v>0</v>
      </c>
      <c r="D10" s="209">
        <v>0</v>
      </c>
      <c r="E10" s="119">
        <f>C10*D10</f>
        <v>0</v>
      </c>
      <c r="F10" s="119"/>
      <c r="G10" s="209"/>
      <c r="H10" s="209"/>
    </row>
    <row r="11" spans="1:9" ht="41.5" x14ac:dyDescent="0.35">
      <c r="A11" s="209" t="s">
        <v>57</v>
      </c>
      <c r="B11" s="210" t="s">
        <v>374</v>
      </c>
      <c r="C11" s="119">
        <v>153700</v>
      </c>
      <c r="D11" s="209">
        <v>0</v>
      </c>
      <c r="E11" s="119">
        <f>C11*D11</f>
        <v>0</v>
      </c>
      <c r="F11" s="119"/>
      <c r="G11" s="209">
        <f>0.9*'BPPI-Y3'!$L$14</f>
        <v>49.5</v>
      </c>
      <c r="H11" s="119">
        <f>F11*G11</f>
        <v>0</v>
      </c>
    </row>
    <row r="12" spans="1:9" ht="16" x14ac:dyDescent="0.35">
      <c r="A12" s="209" t="s">
        <v>57</v>
      </c>
      <c r="B12" s="210" t="s">
        <v>464</v>
      </c>
      <c r="C12" s="119">
        <v>131222</v>
      </c>
      <c r="D12" s="209"/>
      <c r="E12" s="119"/>
      <c r="F12" s="119">
        <v>127002</v>
      </c>
      <c r="G12" s="209">
        <f>0.9*'BPPI-Y3'!$L$14</f>
        <v>49.5</v>
      </c>
      <c r="H12" s="119">
        <f>F12*G12</f>
        <v>6286599</v>
      </c>
    </row>
    <row r="13" spans="1:9" ht="15.5" x14ac:dyDescent="0.35">
      <c r="A13" s="209" t="s">
        <v>57</v>
      </c>
      <c r="B13" s="210" t="s">
        <v>465</v>
      </c>
      <c r="C13" s="119"/>
      <c r="D13" s="209"/>
      <c r="E13" s="119"/>
      <c r="F13" s="119">
        <v>68532</v>
      </c>
      <c r="G13" s="209">
        <f>0.9*'BPPI-Y3'!$L$14</f>
        <v>49.5</v>
      </c>
      <c r="H13" s="119">
        <f>F13*G13</f>
        <v>3392334</v>
      </c>
    </row>
    <row r="14" spans="1:9" ht="28.5" x14ac:dyDescent="0.35">
      <c r="A14" s="209" t="s">
        <v>57</v>
      </c>
      <c r="B14" s="210" t="s">
        <v>375</v>
      </c>
      <c r="C14" s="119"/>
      <c r="D14" s="209"/>
      <c r="E14" s="119"/>
      <c r="F14" s="119"/>
      <c r="G14" s="209"/>
      <c r="H14" s="119"/>
    </row>
    <row r="15" spans="1:9" x14ac:dyDescent="0.35">
      <c r="A15" s="209" t="s">
        <v>57</v>
      </c>
      <c r="B15" s="210" t="s">
        <v>213</v>
      </c>
      <c r="C15" s="119"/>
      <c r="D15" s="209"/>
      <c r="E15" s="119"/>
      <c r="F15" s="166">
        <f>Monitors!$F$32</f>
        <v>8523</v>
      </c>
      <c r="G15" s="209">
        <f>0.9*'BPPI-Y3'!$L$14</f>
        <v>49.5</v>
      </c>
      <c r="H15" s="119">
        <f t="shared" ref="H15:H16" si="0">F15*G15</f>
        <v>421888.5</v>
      </c>
    </row>
    <row r="16" spans="1:9" x14ac:dyDescent="0.35">
      <c r="A16" s="209" t="s">
        <v>57</v>
      </c>
      <c r="B16" s="210" t="s">
        <v>214</v>
      </c>
      <c r="C16" s="119"/>
      <c r="D16" s="209"/>
      <c r="E16" s="119"/>
      <c r="F16" s="166">
        <f>Monitors!$G$32</f>
        <v>1436</v>
      </c>
      <c r="G16" s="209">
        <f>0.9*'BPPI-Y3'!$L$14</f>
        <v>49.5</v>
      </c>
      <c r="H16" s="119">
        <f t="shared" si="0"/>
        <v>71082</v>
      </c>
    </row>
    <row r="17" spans="1:8" x14ac:dyDescent="0.35">
      <c r="A17" s="211"/>
      <c r="B17" s="212" t="s">
        <v>81</v>
      </c>
      <c r="C17" s="119"/>
      <c r="D17" s="209"/>
      <c r="E17" s="119">
        <f>ROUND(SUM(E11:E13), -4)</f>
        <v>0</v>
      </c>
      <c r="F17" s="119"/>
      <c r="G17" s="209"/>
      <c r="H17" s="119">
        <f>ROUND(SUM(H7:H16), -4)</f>
        <v>10170000</v>
      </c>
    </row>
    <row r="18" spans="1:8" x14ac:dyDescent="0.35">
      <c r="B18" s="213"/>
      <c r="D18" s="213"/>
      <c r="E18" s="213"/>
      <c r="G18" s="213"/>
    </row>
    <row r="19" spans="1:8" x14ac:dyDescent="0.35">
      <c r="B19" s="213"/>
      <c r="D19" s="213"/>
      <c r="F19" s="213"/>
      <c r="G19" s="340" t="s">
        <v>188</v>
      </c>
      <c r="H19" s="213">
        <f>ROUND(SUM(E7:E16,H7:H16), -4)</f>
        <v>10170000</v>
      </c>
    </row>
    <row r="20" spans="1:8" ht="16.5" x14ac:dyDescent="0.35">
      <c r="A20" s="205" t="s">
        <v>376</v>
      </c>
      <c r="B20" s="213"/>
      <c r="E20" s="213"/>
    </row>
    <row r="21" spans="1:8" x14ac:dyDescent="0.35">
      <c r="A21" s="339" t="s">
        <v>463</v>
      </c>
    </row>
    <row r="22" spans="1:8" x14ac:dyDescent="0.35">
      <c r="A22" s="339" t="s">
        <v>467</v>
      </c>
    </row>
  </sheetData>
  <mergeCells count="2">
    <mergeCell ref="A3:G3"/>
    <mergeCell ref="A1:I1"/>
  </mergeCells>
  <phoneticPr fontId="42" type="noConversion"/>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7AC63-B9BB-4984-BB49-7749544740A2}">
  <sheetPr codeName="Sheet4"/>
  <dimension ref="A1:Q27"/>
  <sheetViews>
    <sheetView tabSelected="1" zoomScale="80" zoomScaleNormal="80" workbookViewId="0">
      <pane xSplit="10" ySplit="2" topLeftCell="K21" activePane="bottomRight" state="frozen"/>
      <selection pane="topRight" activeCell="J1" sqref="J1"/>
      <selection pane="bottomLeft" activeCell="A3" sqref="A3"/>
      <selection pane="bottomRight" activeCell="D33" sqref="D33"/>
    </sheetView>
  </sheetViews>
  <sheetFormatPr defaultColWidth="9.1796875" defaultRowHeight="13" x14ac:dyDescent="0.3"/>
  <cols>
    <col min="1" max="1" width="30.36328125" style="36" customWidth="1"/>
    <col min="2" max="2" width="13.7265625" style="36" customWidth="1"/>
    <col min="3" max="4" width="12.7265625" style="36" customWidth="1"/>
    <col min="5" max="5" width="13.54296875" style="36" customWidth="1"/>
    <col min="6" max="7" width="12.08984375" style="36" customWidth="1"/>
    <col min="8" max="8" width="13" style="36" customWidth="1"/>
    <col min="9" max="9" width="15.90625" style="36" customWidth="1"/>
    <col min="10" max="10" width="13.36328125" style="152" customWidth="1"/>
    <col min="11" max="11" width="7" style="36" customWidth="1"/>
    <col min="12" max="13" width="9.1796875" style="36"/>
    <col min="14" max="17" width="12.90625" style="36" customWidth="1"/>
    <col min="18" max="16384" width="9.1796875" style="36"/>
  </cols>
  <sheetData>
    <row r="1" spans="1:17" ht="58" customHeight="1" x14ac:dyDescent="0.3">
      <c r="A1" s="341" t="s">
        <v>292</v>
      </c>
      <c r="B1" s="341"/>
      <c r="C1" s="341"/>
      <c r="D1" s="341"/>
      <c r="E1" s="341"/>
      <c r="F1" s="341"/>
      <c r="G1" s="341"/>
      <c r="H1" s="341"/>
      <c r="I1" s="341"/>
    </row>
    <row r="2" spans="1:17" ht="78.75" customHeight="1" thickBot="1" x14ac:dyDescent="0.35">
      <c r="A2" s="42" t="s">
        <v>291</v>
      </c>
      <c r="B2" s="42" t="s">
        <v>63</v>
      </c>
      <c r="C2" s="42" t="s">
        <v>290</v>
      </c>
      <c r="D2" s="42" t="s">
        <v>65</v>
      </c>
      <c r="E2" s="42" t="s">
        <v>58</v>
      </c>
      <c r="F2" s="42" t="s">
        <v>66</v>
      </c>
      <c r="G2" s="42" t="s">
        <v>351</v>
      </c>
      <c r="H2" s="48" t="s">
        <v>79</v>
      </c>
      <c r="I2" s="42" t="s">
        <v>54</v>
      </c>
      <c r="J2" s="42" t="s">
        <v>344</v>
      </c>
    </row>
    <row r="3" spans="1:17" ht="15" thickTop="1" x14ac:dyDescent="0.35">
      <c r="A3" s="122" t="s">
        <v>242</v>
      </c>
      <c r="B3" s="47"/>
      <c r="C3" s="47"/>
      <c r="D3" s="47"/>
      <c r="E3" s="47"/>
      <c r="F3" s="47"/>
      <c r="G3" s="47"/>
      <c r="H3" s="49"/>
      <c r="I3" s="47"/>
      <c r="J3" s="153"/>
      <c r="L3" s="145" t="s">
        <v>345</v>
      </c>
      <c r="M3" s="143"/>
      <c r="N3" s="144"/>
      <c r="P3" s="142"/>
      <c r="Q3" s="142"/>
    </row>
    <row r="4" spans="1:17" ht="14.5" x14ac:dyDescent="0.35">
      <c r="A4" s="123" t="s">
        <v>55</v>
      </c>
      <c r="B4" s="52">
        <f>SUM('RI-Y1'!$F$6:$F$34)+SUM('RI-Y1'!$F$37:$F$58)</f>
        <v>29375.601999999999</v>
      </c>
      <c r="C4" s="52">
        <f>SUM('RI-Y1'!$G$6:$G$34)+SUM('RI-Y1'!$G$37:$G$58)</f>
        <v>1468.7800999999999</v>
      </c>
      <c r="D4" s="52">
        <f>SUM('RI-Y1'!$H$6:$H$34)+SUM('RI-Y1'!$H$37:$H$58)</f>
        <v>2937.5601999999999</v>
      </c>
      <c r="E4" s="52">
        <f>SUM(B4:D4)</f>
        <v>33781.942299999995</v>
      </c>
      <c r="F4" s="126">
        <f>'RI-Y1'!I35+'RI-Y1'!I59</f>
        <v>4055933.431543</v>
      </c>
      <c r="G4" s="39">
        <f>F4</f>
        <v>4055933.431543</v>
      </c>
      <c r="H4" s="175">
        <f>RCOM!H7</f>
        <v>0</v>
      </c>
      <c r="I4" s="126">
        <f>F4+H4</f>
        <v>4055933.431543</v>
      </c>
      <c r="J4" s="39">
        <f>I4</f>
        <v>4055933.431543</v>
      </c>
      <c r="L4" s="146" t="s">
        <v>346</v>
      </c>
      <c r="M4" s="147"/>
      <c r="N4" s="150" t="s">
        <v>347</v>
      </c>
      <c r="O4" s="148">
        <f>1.0325^2</f>
        <v>1.0660562499999999</v>
      </c>
      <c r="P4" s="151" t="s">
        <v>348</v>
      </c>
      <c r="Q4" s="149">
        <f>1.0325^3</f>
        <v>1.1007030781249998</v>
      </c>
    </row>
    <row r="5" spans="1:17" x14ac:dyDescent="0.3">
      <c r="A5" s="123" t="s">
        <v>56</v>
      </c>
      <c r="B5" s="52">
        <f>SUM('RI-Y2'!$F$6:$F$34)+SUM('RI-Y2'!$F$37:$F$58)</f>
        <v>22234.476239999996</v>
      </c>
      <c r="C5" s="52">
        <f>SUM('RI-Y2'!$G$6:$G$34)+SUM('RI-Y2'!$G$37:$G$58)</f>
        <v>1111.723812</v>
      </c>
      <c r="D5" s="52">
        <f>SUM('RI-Y2'!$H$6:$H$34)+SUM('RI-Y2'!$H$37:$H$58)</f>
        <v>2223.4476239999999</v>
      </c>
      <c r="E5" s="52">
        <f t="shared" ref="E5:E22" si="0">SUM(B5:D5)</f>
        <v>25569.647675999997</v>
      </c>
      <c r="F5" s="126">
        <f>'RI-Y2'!I35+'RI-Y2'!I59</f>
        <v>3069947.4861711599</v>
      </c>
      <c r="G5" s="126">
        <f>F5/$O$4</f>
        <v>2879723.7351886076</v>
      </c>
      <c r="H5" s="176">
        <f>RCOM!H8+RCOM!H9+RCOM!H10</f>
        <v>204428</v>
      </c>
      <c r="I5" s="126">
        <f t="shared" ref="I5" si="1">F5+H5</f>
        <v>3274375.4861711599</v>
      </c>
      <c r="J5" s="126">
        <f>I5/$O$4</f>
        <v>3071484.7234103829</v>
      </c>
    </row>
    <row r="6" spans="1:17" x14ac:dyDescent="0.3">
      <c r="A6" s="123" t="s">
        <v>57</v>
      </c>
      <c r="B6" s="52">
        <f>SUM('RI-Y3'!$F$6:$F$34)+SUM('RI-Y3'!$F$37:$F$58)</f>
        <v>20328.426239999997</v>
      </c>
      <c r="C6" s="52">
        <f>SUM('RI-Y3'!$G$6:$G$34)+SUM('RI-Y3'!$G$37:$G$58)</f>
        <v>1016.4213120000001</v>
      </c>
      <c r="D6" s="52">
        <f>SUM('RI-Y3'!$H$6:$H$34)+SUM('RI-Y3'!$H$37:$H$58)</f>
        <v>2032.8426240000001</v>
      </c>
      <c r="E6" s="52">
        <f t="shared" si="0"/>
        <v>23377.690175999996</v>
      </c>
      <c r="F6" s="126">
        <f>'RI-Y3'!I35+'RI-Y3'!I59</f>
        <v>2806776.3035961599</v>
      </c>
      <c r="G6" s="126">
        <f>F6/$Q$4</f>
        <v>2549984.9681327161</v>
      </c>
      <c r="H6" s="53">
        <f>RCOM!H12+RCOM!H13</f>
        <v>0</v>
      </c>
      <c r="I6" s="126">
        <f>F6+H6</f>
        <v>2806776.3035961599</v>
      </c>
      <c r="J6" s="126">
        <f>I6/$Q$4</f>
        <v>2549984.9681327161</v>
      </c>
    </row>
    <row r="7" spans="1:17" ht="26" x14ac:dyDescent="0.3">
      <c r="A7" s="125" t="s">
        <v>287</v>
      </c>
      <c r="B7" s="45"/>
      <c r="C7" s="45"/>
      <c r="D7" s="45"/>
      <c r="E7" s="52"/>
      <c r="F7" s="46"/>
      <c r="G7" s="153"/>
      <c r="H7" s="53"/>
      <c r="I7" s="126"/>
      <c r="J7" s="153"/>
    </row>
    <row r="8" spans="1:17" x14ac:dyDescent="0.3">
      <c r="A8" s="123" t="s">
        <v>55</v>
      </c>
      <c r="B8" s="45">
        <f>SUM(CI!$F$6:$F$24)+SUM(CI!$F$28:$F$40)</f>
        <v>5739.6400000000012</v>
      </c>
      <c r="C8" s="45">
        <f>SUM(CI!$G$6:$G$24)+SUM(CI!$G$28:$G$40)</f>
        <v>286.98200000000003</v>
      </c>
      <c r="D8" s="45">
        <f>SUM(CI!$H$6:$H$24)+SUM(CI!$H$28:$H$40)</f>
        <v>573.96400000000006</v>
      </c>
      <c r="E8" s="52">
        <f t="shared" si="0"/>
        <v>6600.5860000000011</v>
      </c>
      <c r="F8" s="46">
        <f>CI!I26+CI!I41</f>
        <v>792480.70426000003</v>
      </c>
      <c r="G8" s="39">
        <f>F8</f>
        <v>792480.70426000003</v>
      </c>
      <c r="H8" s="53">
        <v>0</v>
      </c>
      <c r="I8" s="126">
        <f t="shared" ref="I8:I22" si="2">F8+H8</f>
        <v>792480.70426000003</v>
      </c>
      <c r="J8" s="39">
        <f>I8</f>
        <v>792480.70426000003</v>
      </c>
    </row>
    <row r="9" spans="1:17" x14ac:dyDescent="0.3">
      <c r="A9" s="123" t="s">
        <v>56</v>
      </c>
      <c r="B9" s="45">
        <f>SUM(CI!$F$11:$F$24)+SUM(CI!$F$28:$F$40)</f>
        <v>5692.6400000000012</v>
      </c>
      <c r="C9" s="45">
        <f>SUM(CI!$G$11:$G$24)+SUM(CI!$G$28:$G$40)</f>
        <v>284.63200000000001</v>
      </c>
      <c r="D9" s="45">
        <f>SUM(CI!$H$11:$H$24)+SUM(CI!$H$28:$H$40)</f>
        <v>569.26400000000001</v>
      </c>
      <c r="E9" s="52">
        <f t="shared" si="0"/>
        <v>6546.536000000001</v>
      </c>
      <c r="F9" s="46">
        <f>SUM(CI!$I$11:$I$24)+SUM(CI!$I$28:$I$40)</f>
        <v>785991.34375999996</v>
      </c>
      <c r="G9" s="39">
        <f>F9/$O$4</f>
        <v>737288.80981655524</v>
      </c>
      <c r="H9" s="53">
        <v>0</v>
      </c>
      <c r="I9" s="126">
        <f t="shared" si="2"/>
        <v>785991.34375999996</v>
      </c>
      <c r="J9" s="39">
        <f>I9/$O$4</f>
        <v>737288.80981655524</v>
      </c>
    </row>
    <row r="10" spans="1:17" x14ac:dyDescent="0.3">
      <c r="A10" s="123" t="s">
        <v>57</v>
      </c>
      <c r="B10" s="45">
        <f>SUM(CI!$F$11:$F$24)+SUM(CI!$F$28:$F$40)</f>
        <v>5692.6400000000012</v>
      </c>
      <c r="C10" s="45">
        <f>SUM(CI!$G$11:$G$24)+SUM(CI!$G$28:$G$40)</f>
        <v>284.63200000000001</v>
      </c>
      <c r="D10" s="45">
        <f>SUM(CI!$H$11:$H$24)+SUM(CI!$H$28:$H$40)</f>
        <v>569.26400000000001</v>
      </c>
      <c r="E10" s="52">
        <f t="shared" si="0"/>
        <v>6546.536000000001</v>
      </c>
      <c r="F10" s="46">
        <f>SUM(CI!$I$11:$I$24)+SUM(CI!$I$28:$I$40)</f>
        <v>785991.34375999996</v>
      </c>
      <c r="G10" s="39">
        <f>F10/$Q$4</f>
        <v>714081.1717351625</v>
      </c>
      <c r="H10" s="53">
        <v>0</v>
      </c>
      <c r="I10" s="126">
        <f t="shared" si="2"/>
        <v>785991.34375999996</v>
      </c>
      <c r="J10" s="39">
        <f>I10/$Q$4</f>
        <v>714081.1717351625</v>
      </c>
    </row>
    <row r="11" spans="1:17" ht="26" x14ac:dyDescent="0.3">
      <c r="A11" s="125" t="s">
        <v>218</v>
      </c>
      <c r="B11" s="45"/>
      <c r="C11" s="45"/>
      <c r="D11" s="45"/>
      <c r="E11" s="52"/>
      <c r="F11" s="46"/>
      <c r="G11" s="153"/>
      <c r="H11" s="53"/>
      <c r="I11" s="126"/>
      <c r="J11" s="153"/>
    </row>
    <row r="12" spans="1:17" x14ac:dyDescent="0.3">
      <c r="A12" s="123" t="s">
        <v>55</v>
      </c>
      <c r="B12" s="45">
        <f>SUM('II-Y1'!F6:F37)+SUM('II-Y1'!F40:F52)</f>
        <v>3432</v>
      </c>
      <c r="C12" s="45">
        <f>SUM('II-Y1'!G6:G37)+SUM('II-Y1'!G40:G52)</f>
        <v>171.60000000000002</v>
      </c>
      <c r="D12" s="45">
        <f>SUM('II-Y1'!H6:H37)+SUM('II-Y1'!H40:H52)</f>
        <v>343.20000000000005</v>
      </c>
      <c r="E12" s="52">
        <f t="shared" si="0"/>
        <v>3946.8</v>
      </c>
      <c r="F12" s="46">
        <f>'II-Y1'!I38+'II-Y1'!I53</f>
        <v>473861.38800000004</v>
      </c>
      <c r="G12" s="39">
        <f>F12</f>
        <v>473861.38800000004</v>
      </c>
      <c r="H12" s="53">
        <f>SUM(ICOM!H7:H8)</f>
        <v>0</v>
      </c>
      <c r="I12" s="126">
        <f t="shared" si="2"/>
        <v>473861.38800000004</v>
      </c>
      <c r="J12" s="39">
        <f>I12</f>
        <v>473861.38800000004</v>
      </c>
    </row>
    <row r="13" spans="1:17" x14ac:dyDescent="0.3">
      <c r="A13" s="123" t="s">
        <v>56</v>
      </c>
      <c r="B13" s="45">
        <f>SUM('II-Y2'!F6:F33)+SUM('II-Y2'!F36:F48)</f>
        <v>2574</v>
      </c>
      <c r="C13" s="45">
        <f>SUM('II-Y2'!G6:G33)+SUM('II-Y2'!G36:G48)</f>
        <v>128.70000000000002</v>
      </c>
      <c r="D13" s="45">
        <f>SUM('II-Y2'!H6:H33)+SUM('II-Y2'!H36:H48)</f>
        <v>257.40000000000003</v>
      </c>
      <c r="E13" s="52">
        <f t="shared" si="0"/>
        <v>2960.1</v>
      </c>
      <c r="F13" s="46">
        <f>'II-Y2'!I34+'II-Y2'!I49</f>
        <v>355396.04100000003</v>
      </c>
      <c r="G13" s="39">
        <f>F13/$O$4</f>
        <v>333374.56724258221</v>
      </c>
      <c r="H13" s="53">
        <f>SUM(ICOM!H9:H10)</f>
        <v>0</v>
      </c>
      <c r="I13" s="126">
        <f t="shared" si="2"/>
        <v>355396.04100000003</v>
      </c>
      <c r="J13" s="39">
        <f>I13/$O$4</f>
        <v>333374.56724258221</v>
      </c>
    </row>
    <row r="14" spans="1:17" x14ac:dyDescent="0.3">
      <c r="A14" s="123" t="s">
        <v>57</v>
      </c>
      <c r="B14" s="45">
        <f>SUM('II-Y3'!F6:F35)+SUM('II-Y3'!F39:F51)</f>
        <v>10913.76</v>
      </c>
      <c r="C14" s="45">
        <f>SUM('II-Y3'!G6:G35)+SUM('II-Y3'!G39:G51)</f>
        <v>545.68799999999999</v>
      </c>
      <c r="D14" s="45">
        <f>SUM('II-Y3'!H6:H35)+SUM('II-Y3'!H39:H51)</f>
        <v>1091.376</v>
      </c>
      <c r="E14" s="52">
        <f t="shared" si="0"/>
        <v>12550.824000000001</v>
      </c>
      <c r="F14" s="46">
        <f>'II-Y3'!I37+'II-Y3'!I52</f>
        <v>1506879.2138400001</v>
      </c>
      <c r="G14" s="39">
        <f>F14/$Q$4</f>
        <v>1369015.172017965</v>
      </c>
      <c r="H14" s="53">
        <f>SUM(ICOM!H11:H13)</f>
        <v>7625826</v>
      </c>
      <c r="I14" s="126">
        <f t="shared" si="2"/>
        <v>9132705.2138400003</v>
      </c>
      <c r="J14" s="39">
        <f>I14/$Q$4</f>
        <v>8297156.0590138165</v>
      </c>
    </row>
    <row r="15" spans="1:17" x14ac:dyDescent="0.3">
      <c r="A15" s="125" t="s">
        <v>178</v>
      </c>
      <c r="B15" s="45"/>
      <c r="C15" s="45"/>
      <c r="D15" s="45"/>
      <c r="E15" s="52"/>
      <c r="F15" s="46"/>
      <c r="G15" s="153"/>
      <c r="H15" s="53"/>
      <c r="I15" s="126"/>
      <c r="J15" s="153"/>
    </row>
    <row r="16" spans="1:17" x14ac:dyDescent="0.3">
      <c r="A16" s="123" t="s">
        <v>55</v>
      </c>
      <c r="B16" s="45">
        <f>SUM(SI!F6:F23)+SUM(SI!F26:F38)</f>
        <v>5365.76</v>
      </c>
      <c r="C16" s="45">
        <f>SUM(SI!G6:G23)+SUM(SI!G26:G38)</f>
        <v>268.28800000000001</v>
      </c>
      <c r="D16" s="45">
        <f>SUM(SI!H6:H23)+SUM(SI!H26:H38)</f>
        <v>536.57600000000002</v>
      </c>
      <c r="E16" s="52">
        <f t="shared" si="0"/>
        <v>6170.6240000000007</v>
      </c>
      <c r="F16" s="46">
        <f>SI!I24+SI!I39</f>
        <v>740858.53184000007</v>
      </c>
      <c r="G16" s="39">
        <f>F16</f>
        <v>740858.53184000007</v>
      </c>
      <c r="H16" s="53">
        <v>0</v>
      </c>
      <c r="I16" s="126">
        <f t="shared" si="2"/>
        <v>740858.53184000007</v>
      </c>
      <c r="J16" s="39">
        <f>I16</f>
        <v>740858.53184000007</v>
      </c>
    </row>
    <row r="17" spans="1:10" x14ac:dyDescent="0.3">
      <c r="A17" s="123" t="s">
        <v>56</v>
      </c>
      <c r="B17" s="45">
        <f>SUM(SI!F11:F23)+SUM(SI!F27:F38)</f>
        <v>5325.76</v>
      </c>
      <c r="C17" s="45">
        <f>SUM(SI!G11:G23)+SUM(SI!G27:G38)</f>
        <v>266.28800000000001</v>
      </c>
      <c r="D17" s="45">
        <f>SUM(SI!H11:H23)+SUM(SI!H27:H38)</f>
        <v>532.57600000000002</v>
      </c>
      <c r="E17" s="52">
        <f t="shared" si="0"/>
        <v>6124.6240000000007</v>
      </c>
      <c r="F17" s="46">
        <f>SUM(SI!I11:I23)+SUM(SI!I27:I38)</f>
        <v>735335.67183999997</v>
      </c>
      <c r="G17" s="39">
        <f>F17/$O$4</f>
        <v>689771.92511183163</v>
      </c>
      <c r="H17" s="53">
        <v>0</v>
      </c>
      <c r="I17" s="126">
        <f t="shared" si="2"/>
        <v>735335.67183999997</v>
      </c>
      <c r="J17" s="39">
        <f>I17/$O$4</f>
        <v>689771.92511183163</v>
      </c>
    </row>
    <row r="18" spans="1:10" x14ac:dyDescent="0.3">
      <c r="A18" s="123" t="s">
        <v>57</v>
      </c>
      <c r="B18" s="45">
        <f>SUM(SI!F11:F23)+SUM(SI!F27:F38)</f>
        <v>5325.76</v>
      </c>
      <c r="C18" s="45">
        <f>SUM(SI!G11:G23)+SUM(SI!G27:G38)</f>
        <v>266.28800000000001</v>
      </c>
      <c r="D18" s="45">
        <f>SUM(SI!H11:H23)+SUM(SI!H27:H38)</f>
        <v>532.57600000000002</v>
      </c>
      <c r="E18" s="52">
        <f t="shared" si="0"/>
        <v>6124.6240000000007</v>
      </c>
      <c r="F18" s="46">
        <f>SUM(SI!I11:I23)+SUM(SI!I27:I38)</f>
        <v>735335.67183999997</v>
      </c>
      <c r="G18" s="39">
        <f>F18/$Q$4</f>
        <v>668059.97589523648</v>
      </c>
      <c r="H18" s="53">
        <f>SUM(SS!G8:G11)</f>
        <v>43648</v>
      </c>
      <c r="I18" s="126">
        <f t="shared" si="2"/>
        <v>778983.67183999997</v>
      </c>
      <c r="J18" s="39">
        <f>I18/$Q$4</f>
        <v>707714.63014981756</v>
      </c>
    </row>
    <row r="19" spans="1:10" ht="52" x14ac:dyDescent="0.3">
      <c r="A19" s="125" t="s">
        <v>295</v>
      </c>
      <c r="B19" s="45"/>
      <c r="C19" s="45"/>
      <c r="D19" s="45"/>
      <c r="E19" s="52"/>
      <c r="F19" s="46"/>
      <c r="G19" s="153"/>
      <c r="H19" s="53"/>
      <c r="I19" s="126"/>
      <c r="J19" s="153"/>
    </row>
    <row r="20" spans="1:10" x14ac:dyDescent="0.3">
      <c r="A20" s="123" t="s">
        <v>55</v>
      </c>
      <c r="B20" s="45">
        <f>SUM('BPPI-Y1'!F6:F32)+SUM('BPPI-Y1'!F35:F47)</f>
        <v>1628</v>
      </c>
      <c r="C20" s="45">
        <f>SUM('BPPI-Y1'!G6:G32)+SUM('BPPI-Y1'!G35:G47)</f>
        <v>81.400000000000006</v>
      </c>
      <c r="D20" s="45">
        <f>SUM('BPPI-Y1'!H6:H32)+SUM('BPPI-Y1'!H35:H47)</f>
        <v>162.80000000000001</v>
      </c>
      <c r="E20" s="52">
        <f t="shared" si="0"/>
        <v>1872.2</v>
      </c>
      <c r="F20" s="46">
        <f>'BPPI-Y1'!I33+'BPPI-Y1'!I48</f>
        <v>224780.402</v>
      </c>
      <c r="G20" s="39">
        <f>F20</f>
        <v>224780.402</v>
      </c>
      <c r="H20" s="53">
        <f>SUM(BPPCOM!H7:H8)</f>
        <v>0</v>
      </c>
      <c r="I20" s="126">
        <f t="shared" si="2"/>
        <v>224780.402</v>
      </c>
      <c r="J20" s="39">
        <f>I20</f>
        <v>224780.402</v>
      </c>
    </row>
    <row r="21" spans="1:10" x14ac:dyDescent="0.3">
      <c r="A21" s="123" t="s">
        <v>56</v>
      </c>
      <c r="B21" s="45">
        <f>SUM('BPPI-Y2'!F6:F32)+SUM('BPPI-Y2'!F35:F47)</f>
        <v>528.00000000000011</v>
      </c>
      <c r="C21" s="45">
        <f>SUM('BPPI-Y2'!G6:G32)+SUM('BPPI-Y2'!G35:G47)</f>
        <v>26.400000000000006</v>
      </c>
      <c r="D21" s="45">
        <f>SUM('BPPI-Y2'!H6:H32)+SUM('BPPI-Y2'!H35:H47)</f>
        <v>52.800000000000011</v>
      </c>
      <c r="E21" s="52">
        <f t="shared" si="0"/>
        <v>607.20000000000005</v>
      </c>
      <c r="F21" s="46">
        <f>'BPPI-Y2'!I33+'BPPI-Y2'!I48</f>
        <v>72901.752000000022</v>
      </c>
      <c r="G21" s="39">
        <f>F21/$O$4</f>
        <v>68384.52661386304</v>
      </c>
      <c r="H21" s="53">
        <f>SUM(BPPCOM!H9:H10)</f>
        <v>0</v>
      </c>
      <c r="I21" s="126">
        <f t="shared" si="2"/>
        <v>72901.752000000022</v>
      </c>
      <c r="J21" s="39">
        <f>I21/$O$4</f>
        <v>68384.52661386304</v>
      </c>
    </row>
    <row r="22" spans="1:10" ht="13.5" thickBot="1" x14ac:dyDescent="0.35">
      <c r="A22" s="42" t="s">
        <v>57</v>
      </c>
      <c r="B22" s="42">
        <f>SUM('BPPI-Y3'!F6:F34)+SUM('BPPI-Y3'!F38:F49)</f>
        <v>13167.6</v>
      </c>
      <c r="C22" s="42">
        <f>SUM('BPPI-Y3'!G6:G34)+SUM('BPPI-Y3'!G38:G49)</f>
        <v>658.38000000000011</v>
      </c>
      <c r="D22" s="42">
        <f>SUM('BPPI-Y3'!H6:H34)+SUM('BPPI-Y3'!H38:H49)</f>
        <v>1316.7600000000002</v>
      </c>
      <c r="E22" s="42">
        <f t="shared" si="0"/>
        <v>15142.74</v>
      </c>
      <c r="F22" s="133">
        <f>'BPPI-Y3'!I35+'BPPI-Y3'!I50</f>
        <v>1818070.2834000001</v>
      </c>
      <c r="G22" s="133">
        <f>F22/$Q$4</f>
        <v>1651735.4403123904</v>
      </c>
      <c r="H22" s="133">
        <f>SUM(BPPCOM!H7:H16)</f>
        <v>10171903.5</v>
      </c>
      <c r="I22" s="133">
        <f t="shared" si="2"/>
        <v>11989973.783399999</v>
      </c>
      <c r="J22" s="133">
        <f>I22/$Q$4</f>
        <v>10893013.767004633</v>
      </c>
    </row>
    <row r="23" spans="1:10" ht="13.5" thickTop="1" x14ac:dyDescent="0.3">
      <c r="A23" s="123" t="s">
        <v>35</v>
      </c>
      <c r="B23" s="37">
        <f>SUM(B4:B22)</f>
        <v>137324.06447999997</v>
      </c>
      <c r="C23" s="37">
        <f>SUM(C4:C22)</f>
        <v>6866.2032239999999</v>
      </c>
      <c r="D23" s="37">
        <f>SUM(D4:D22)</f>
        <v>13732.406448</v>
      </c>
      <c r="E23" s="37">
        <f>SUM(E4:E22)</f>
        <v>157922.67415200002</v>
      </c>
      <c r="F23" s="38">
        <f>ROUND(SUM(F4:F22),-3)</f>
        <v>18961000</v>
      </c>
      <c r="G23" s="38">
        <f>ROUND(SUM(G4:G22),-4)</f>
        <v>17950000</v>
      </c>
      <c r="H23" s="50">
        <f>ROUND(SUM(H4:H22),-4)</f>
        <v>18050000</v>
      </c>
      <c r="I23" s="38">
        <f>ROUND(SUM(I4:I22),-4)</f>
        <v>37010000</v>
      </c>
      <c r="J23" s="38">
        <f>ROUND(SUM(J4:J22),-4)</f>
        <v>34350000</v>
      </c>
    </row>
    <row r="24" spans="1:10" x14ac:dyDescent="0.3">
      <c r="A24" s="124" t="s">
        <v>59</v>
      </c>
      <c r="B24" s="45">
        <f>B23/3</f>
        <v>45774.688159999991</v>
      </c>
      <c r="C24" s="45">
        <f t="shared" ref="C24:D24" si="3">C23/3</f>
        <v>2288.7344079999998</v>
      </c>
      <c r="D24" s="45">
        <f t="shared" si="3"/>
        <v>4577.4688159999996</v>
      </c>
      <c r="E24" s="45">
        <f>E23/3</f>
        <v>52640.89138400001</v>
      </c>
      <c r="F24" s="46">
        <f>ROUND(F23/3,-3)</f>
        <v>6320000</v>
      </c>
      <c r="G24" s="39">
        <f>ROUND(G23/3,-3)</f>
        <v>5983000</v>
      </c>
      <c r="H24" s="51">
        <f>ROUND(H23/3,-3)</f>
        <v>6017000</v>
      </c>
      <c r="I24" s="46">
        <f>ROUND(I23/3,-3)</f>
        <v>12337000</v>
      </c>
      <c r="J24" s="39">
        <f>ROUND(J23/3,-3)</f>
        <v>11450000</v>
      </c>
    </row>
    <row r="25" spans="1:10" x14ac:dyDescent="0.3">
      <c r="A25" s="129"/>
      <c r="B25" s="130"/>
      <c r="C25" s="130"/>
      <c r="D25" s="130"/>
      <c r="E25" s="130"/>
      <c r="F25" s="130"/>
      <c r="G25" s="130"/>
      <c r="H25" s="131"/>
      <c r="I25" s="132"/>
    </row>
    <row r="26" spans="1:10" x14ac:dyDescent="0.3">
      <c r="A26" s="36" t="s">
        <v>389</v>
      </c>
      <c r="B26" s="170">
        <f>'RI-Y1'!O58+'RI-Y2'!O58+'RI-Y3'!O58+'II-Y1'!N52+'II-Y2'!N52+'II-Y3'!N48+CI!N39+SI!O39+'BPPI-Y1'!O48+'BPPI-Y2'!O48+'BPPI-Y3'!N50</f>
        <v>236445.54016000003</v>
      </c>
    </row>
    <row r="27" spans="1:10" x14ac:dyDescent="0.3">
      <c r="A27" s="36" t="s">
        <v>390</v>
      </c>
      <c r="B27" s="170">
        <f>B26/3</f>
        <v>78815.180053333344</v>
      </c>
    </row>
  </sheetData>
  <mergeCells count="1">
    <mergeCell ref="A1:I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BF53-FC36-4086-BAF4-E4D196F3BF25}">
  <sheetPr codeName="Sheet5"/>
  <dimension ref="A1:Q25"/>
  <sheetViews>
    <sheetView zoomScale="80" zoomScaleNormal="80" workbookViewId="0">
      <pane xSplit="10" ySplit="2" topLeftCell="K3" activePane="bottomRight" state="frozen"/>
      <selection pane="topRight" activeCell="J1" sqref="J1"/>
      <selection pane="bottomLeft" activeCell="A3" sqref="A3"/>
      <selection pane="bottomRight" activeCell="L33" sqref="L33"/>
    </sheetView>
  </sheetViews>
  <sheetFormatPr defaultRowHeight="12.5" x14ac:dyDescent="0.25"/>
  <cols>
    <col min="1" max="1" width="27.36328125" customWidth="1"/>
    <col min="2" max="9" width="11.453125" customWidth="1"/>
    <col min="10" max="10" width="12.26953125" customWidth="1"/>
    <col min="11" max="11" width="5.08984375" customWidth="1"/>
    <col min="14" max="17" width="13.26953125" customWidth="1"/>
  </cols>
  <sheetData>
    <row r="1" spans="1:17" ht="57" customHeight="1" x14ac:dyDescent="0.25">
      <c r="A1" s="342" t="s">
        <v>293</v>
      </c>
      <c r="B1" s="342"/>
      <c r="C1" s="342"/>
      <c r="D1" s="342"/>
      <c r="E1" s="342"/>
      <c r="F1" s="342"/>
      <c r="G1" s="342"/>
      <c r="H1" s="342"/>
      <c r="I1" s="342"/>
    </row>
    <row r="2" spans="1:17" ht="26.5" thickBot="1" x14ac:dyDescent="0.3">
      <c r="A2" s="42" t="s">
        <v>291</v>
      </c>
      <c r="B2" s="42" t="s">
        <v>63</v>
      </c>
      <c r="C2" s="42" t="s">
        <v>64</v>
      </c>
      <c r="D2" s="42" t="s">
        <v>65</v>
      </c>
      <c r="E2" s="42" t="s">
        <v>67</v>
      </c>
      <c r="F2" s="42" t="s">
        <v>66</v>
      </c>
      <c r="G2" s="42" t="s">
        <v>351</v>
      </c>
      <c r="H2" s="42" t="s">
        <v>74</v>
      </c>
      <c r="I2" s="42" t="s">
        <v>54</v>
      </c>
      <c r="J2" s="42" t="s">
        <v>344</v>
      </c>
    </row>
    <row r="3" spans="1:17" ht="27.5" customHeight="1" thickTop="1" x14ac:dyDescent="0.35">
      <c r="A3" s="122" t="s">
        <v>242</v>
      </c>
      <c r="B3" s="128"/>
      <c r="C3" s="128"/>
      <c r="D3" s="128"/>
      <c r="E3" s="128"/>
      <c r="F3" s="128"/>
      <c r="G3" s="128"/>
      <c r="H3" s="128"/>
      <c r="I3" s="128"/>
      <c r="J3" s="153"/>
      <c r="L3" s="145" t="s">
        <v>345</v>
      </c>
      <c r="M3" s="143"/>
      <c r="N3" s="144"/>
      <c r="O3" s="36"/>
      <c r="P3" s="142"/>
      <c r="Q3" s="142"/>
    </row>
    <row r="4" spans="1:17" ht="14.5" x14ac:dyDescent="0.35">
      <c r="A4" s="43" t="s">
        <v>55</v>
      </c>
      <c r="B4" s="35">
        <f>SUM('RA-Y1'!F8:F12)</f>
        <v>2208</v>
      </c>
      <c r="C4" s="35">
        <f>SUM('RA-Y1'!G8:G12)</f>
        <v>110.4</v>
      </c>
      <c r="D4" s="35">
        <f>SUM('RA-Y1'!H8:H12)</f>
        <v>220.8</v>
      </c>
      <c r="E4" s="35">
        <f>SUM(B4:D4)</f>
        <v>2539.2000000000003</v>
      </c>
      <c r="F4" s="41">
        <f>'RA-Y1'!I13</f>
        <v>126900</v>
      </c>
      <c r="G4" s="39">
        <f>F4</f>
        <v>126900</v>
      </c>
      <c r="H4" s="41">
        <v>0</v>
      </c>
      <c r="I4" s="41">
        <f>+F4+H4</f>
        <v>126900</v>
      </c>
      <c r="J4" s="39">
        <f>I4</f>
        <v>126900</v>
      </c>
      <c r="L4" s="146" t="s">
        <v>346</v>
      </c>
      <c r="M4" s="147"/>
      <c r="N4" s="150" t="s">
        <v>347</v>
      </c>
      <c r="O4" s="148">
        <f>1.0325^2</f>
        <v>1.0660562499999999</v>
      </c>
      <c r="P4" s="151" t="s">
        <v>348</v>
      </c>
      <c r="Q4" s="149">
        <f>1.0325^3</f>
        <v>1.1007030781249998</v>
      </c>
    </row>
    <row r="5" spans="1:17" ht="13" x14ac:dyDescent="0.3">
      <c r="A5" s="44" t="s">
        <v>56</v>
      </c>
      <c r="B5" s="35">
        <f>SUM('RA-Y2'!F8:F12)</f>
        <v>3552.7518200000004</v>
      </c>
      <c r="C5" s="35">
        <f>SUM('RA-Y2'!G8:G12)</f>
        <v>177.63759099999999</v>
      </c>
      <c r="D5" s="35">
        <f>SUM('RA-Y2'!H8:H12)</f>
        <v>355.27518199999997</v>
      </c>
      <c r="E5" s="35">
        <f t="shared" ref="E5" si="0">SUM(B5:D5)</f>
        <v>4085.6645930000004</v>
      </c>
      <c r="F5" s="41">
        <f>'RA-Y2'!I13</f>
        <v>204100</v>
      </c>
      <c r="G5" s="126">
        <f>F5/$O$4</f>
        <v>191453.31214933548</v>
      </c>
      <c r="H5" s="41">
        <v>0</v>
      </c>
      <c r="I5" s="41">
        <f>+F5+H5</f>
        <v>204100</v>
      </c>
      <c r="J5" s="126">
        <f>I5/$O$4</f>
        <v>191453.31214933548</v>
      </c>
    </row>
    <row r="6" spans="1:17" ht="13" x14ac:dyDescent="0.3">
      <c r="A6" s="44" t="s">
        <v>57</v>
      </c>
      <c r="B6" s="35">
        <f>SUM('RA-Y3'!F8:F12)</f>
        <v>3552.7518200000004</v>
      </c>
      <c r="C6" s="35">
        <f>SUM('RA-Y3'!G8:G12)</f>
        <v>177.63759099999999</v>
      </c>
      <c r="D6" s="35">
        <f>SUM('RA-Y3'!H8:H12)</f>
        <v>355.27518199999997</v>
      </c>
      <c r="E6" s="35">
        <f>SUM(B6:D6)</f>
        <v>4085.6645930000004</v>
      </c>
      <c r="F6" s="41">
        <f>'RA-Y3'!I13</f>
        <v>204100</v>
      </c>
      <c r="G6" s="126">
        <f>F6/$Q$4</f>
        <v>185426.93670637821</v>
      </c>
      <c r="H6" s="41">
        <v>0</v>
      </c>
      <c r="I6" s="41">
        <f>F6+H6</f>
        <v>204100</v>
      </c>
      <c r="J6" s="126">
        <f>I6/$Q$4</f>
        <v>185426.93670637821</v>
      </c>
    </row>
    <row r="7" spans="1:17" ht="26" x14ac:dyDescent="0.3">
      <c r="A7" s="125" t="s">
        <v>287</v>
      </c>
      <c r="B7" s="35"/>
      <c r="C7" s="35"/>
      <c r="D7" s="35"/>
      <c r="E7" s="35"/>
      <c r="F7" s="41"/>
      <c r="G7" s="153"/>
      <c r="H7" s="41"/>
      <c r="I7" s="41"/>
      <c r="J7" s="153"/>
    </row>
    <row r="8" spans="1:17" ht="13" x14ac:dyDescent="0.3">
      <c r="A8" s="123" t="s">
        <v>55</v>
      </c>
      <c r="B8" s="35">
        <f>SUM(CA!$F$8:$F$12)</f>
        <v>890.65</v>
      </c>
      <c r="C8" s="35">
        <f>SUM(CA!$G$8:$G$12)</f>
        <v>44.532499999999999</v>
      </c>
      <c r="D8" s="35">
        <f>SUM(CA!$H$8:$H$12)</f>
        <v>89.064999999999998</v>
      </c>
      <c r="E8" s="35">
        <f t="shared" ref="E8:E21" si="1">SUM(B8:D8)</f>
        <v>1024.2474999999999</v>
      </c>
      <c r="F8" s="41">
        <f>SUM(CA!$I$8:$I$12)</f>
        <v>51172.295750000005</v>
      </c>
      <c r="G8" s="39">
        <f>F8</f>
        <v>51172.295750000005</v>
      </c>
      <c r="H8" s="41">
        <v>0</v>
      </c>
      <c r="I8" s="41">
        <f t="shared" ref="I8:I22" si="2">F8+H8</f>
        <v>51172.295750000005</v>
      </c>
      <c r="J8" s="39">
        <f>I8</f>
        <v>51172.295750000005</v>
      </c>
    </row>
    <row r="9" spans="1:17" ht="13" x14ac:dyDescent="0.3">
      <c r="A9" s="123" t="s">
        <v>56</v>
      </c>
      <c r="B9" s="35">
        <f>SUM(CA!$F$8:$F$12)</f>
        <v>890.65</v>
      </c>
      <c r="C9" s="35">
        <f>SUM(CA!$G$8:$G$12)</f>
        <v>44.532499999999999</v>
      </c>
      <c r="D9" s="35">
        <f>SUM(CA!$H$8:$H$12)</f>
        <v>89.064999999999998</v>
      </c>
      <c r="E9" s="35">
        <f t="shared" si="1"/>
        <v>1024.2474999999999</v>
      </c>
      <c r="F9" s="41">
        <f>SUM(CA!$I$8:$I$12)</f>
        <v>51172.295750000005</v>
      </c>
      <c r="G9" s="39">
        <f>F9/$O$4</f>
        <v>48001.496872233532</v>
      </c>
      <c r="H9" s="41">
        <v>0</v>
      </c>
      <c r="I9" s="41">
        <f t="shared" si="2"/>
        <v>51172.295750000005</v>
      </c>
      <c r="J9" s="39">
        <f>I9/$O$4</f>
        <v>48001.496872233532</v>
      </c>
    </row>
    <row r="10" spans="1:17" ht="13" x14ac:dyDescent="0.3">
      <c r="A10" s="123" t="s">
        <v>57</v>
      </c>
      <c r="B10" s="35">
        <f>SUM(CA!$F$8:$F$12)</f>
        <v>890.65</v>
      </c>
      <c r="C10" s="35">
        <f>SUM(CA!$G$8:$G$12)</f>
        <v>44.532499999999999</v>
      </c>
      <c r="D10" s="35">
        <f>SUM(CA!$H$8:$H$12)</f>
        <v>89.064999999999998</v>
      </c>
      <c r="E10" s="35">
        <f t="shared" si="1"/>
        <v>1024.2474999999999</v>
      </c>
      <c r="F10" s="41">
        <f>SUM(CA!$I$8:$I$12)</f>
        <v>51172.295750000005</v>
      </c>
      <c r="G10" s="39">
        <f>F10/$Q$4</f>
        <v>46490.553871412631</v>
      </c>
      <c r="H10" s="41">
        <v>0</v>
      </c>
      <c r="I10" s="41">
        <f t="shared" si="2"/>
        <v>51172.295750000005</v>
      </c>
      <c r="J10" s="39">
        <f>I10/$Q$4</f>
        <v>46490.553871412631</v>
      </c>
    </row>
    <row r="11" spans="1:17" ht="26" x14ac:dyDescent="0.3">
      <c r="A11" s="125" t="s">
        <v>218</v>
      </c>
      <c r="B11" s="35"/>
      <c r="C11" s="35"/>
      <c r="D11" s="35"/>
      <c r="E11" s="35"/>
      <c r="F11" s="41"/>
      <c r="G11" s="153"/>
      <c r="H11" s="41"/>
      <c r="I11" s="41"/>
      <c r="J11" s="153"/>
    </row>
    <row r="12" spans="1:17" ht="13" x14ac:dyDescent="0.3">
      <c r="A12" s="123" t="s">
        <v>55</v>
      </c>
      <c r="B12" s="35">
        <f>SUM('IA-Y1'!F8:F17)</f>
        <v>645.45000000000005</v>
      </c>
      <c r="C12" s="35">
        <f>SUM('IA-Y1'!G8:G17)</f>
        <v>32.272500000000008</v>
      </c>
      <c r="D12" s="35">
        <f>SUM('IA-Y1'!H8:H17)</f>
        <v>64.545000000000016</v>
      </c>
      <c r="E12" s="35">
        <f t="shared" si="1"/>
        <v>742.26750000000015</v>
      </c>
      <c r="F12" s="41">
        <f>SUM('IA-Y1'!I8:I17)</f>
        <v>37084.329749999997</v>
      </c>
      <c r="G12" s="39">
        <f>F12</f>
        <v>37084.329749999997</v>
      </c>
      <c r="H12" s="41">
        <v>0</v>
      </c>
      <c r="I12" s="41">
        <f t="shared" si="2"/>
        <v>37084.329749999997</v>
      </c>
      <c r="J12" s="39">
        <f>I12</f>
        <v>37084.329749999997</v>
      </c>
    </row>
    <row r="13" spans="1:17" ht="13" x14ac:dyDescent="0.3">
      <c r="A13" s="123" t="s">
        <v>56</v>
      </c>
      <c r="B13" s="35">
        <f>SUM('IA-Y2'!F8:F13)</f>
        <v>333.45</v>
      </c>
      <c r="C13" s="35">
        <f>SUM('IA-Y2'!G8:G13)</f>
        <v>16.672500000000003</v>
      </c>
      <c r="D13" s="35">
        <f>SUM('IA-Y2'!H8:H13)</f>
        <v>33.345000000000006</v>
      </c>
      <c r="E13" s="35">
        <f t="shared" si="1"/>
        <v>383.46750000000003</v>
      </c>
      <c r="F13" s="41">
        <f>SUM('IA-Y2'!I8:I13)</f>
        <v>19158.369749999998</v>
      </c>
      <c r="G13" s="39">
        <f>F13/$O$4</f>
        <v>17971.255972656225</v>
      </c>
      <c r="H13" s="41">
        <v>0</v>
      </c>
      <c r="I13" s="41">
        <f t="shared" si="2"/>
        <v>19158.369749999998</v>
      </c>
      <c r="J13" s="39">
        <f>I13/$O$4</f>
        <v>17971.255972656225</v>
      </c>
    </row>
    <row r="14" spans="1:17" ht="13" x14ac:dyDescent="0.3">
      <c r="A14" s="123" t="s">
        <v>57</v>
      </c>
      <c r="B14" s="35">
        <f>SUM('IA-Y3'!F8:F13)</f>
        <v>333.45</v>
      </c>
      <c r="C14" s="35">
        <f>SUM('IA-Y3'!G8:G13)</f>
        <v>16.672500000000003</v>
      </c>
      <c r="D14" s="35">
        <f>SUM('IA-Y3'!H8:H13)</f>
        <v>33.345000000000006</v>
      </c>
      <c r="E14" s="35">
        <f t="shared" si="1"/>
        <v>383.46750000000003</v>
      </c>
      <c r="F14" s="41">
        <f>SUM('IA-Y3'!I8:I13)</f>
        <v>19158.369749999998</v>
      </c>
      <c r="G14" s="39">
        <f>F14/$Q$4</f>
        <v>17405.574791918865</v>
      </c>
      <c r="H14" s="41">
        <v>0</v>
      </c>
      <c r="I14" s="41">
        <f t="shared" si="2"/>
        <v>19158.369749999998</v>
      </c>
      <c r="J14" s="39">
        <f>I14/$Q$4</f>
        <v>17405.574791918865</v>
      </c>
    </row>
    <row r="15" spans="1:17" ht="26" x14ac:dyDescent="0.3">
      <c r="A15" s="125" t="s">
        <v>178</v>
      </c>
      <c r="B15" s="35"/>
      <c r="C15" s="35"/>
      <c r="D15" s="35"/>
      <c r="E15" s="35"/>
      <c r="F15" s="41"/>
      <c r="G15" s="153"/>
      <c r="H15" s="41"/>
      <c r="I15" s="41"/>
      <c r="J15" s="153"/>
    </row>
    <row r="16" spans="1:17" ht="13" x14ac:dyDescent="0.3">
      <c r="A16" s="123" t="s">
        <v>55</v>
      </c>
      <c r="B16" s="35">
        <f>SUM(SA!F8:F12)</f>
        <v>833.8</v>
      </c>
      <c r="C16" s="35">
        <f>SUM(SA!G8:G12)</f>
        <v>41.690000000000005</v>
      </c>
      <c r="D16" s="35">
        <f>SUM(SA!H8:H12)</f>
        <v>83.38000000000001</v>
      </c>
      <c r="E16" s="35">
        <f t="shared" si="1"/>
        <v>958.87</v>
      </c>
      <c r="F16" s="41">
        <f>SUM(SA!I8:I12)</f>
        <v>47905.978999999999</v>
      </c>
      <c r="G16" s="39">
        <f>F16</f>
        <v>47905.978999999999</v>
      </c>
      <c r="H16" s="41">
        <v>0</v>
      </c>
      <c r="I16" s="41">
        <f t="shared" si="2"/>
        <v>47905.978999999999</v>
      </c>
      <c r="J16" s="39">
        <f>I16</f>
        <v>47905.978999999999</v>
      </c>
    </row>
    <row r="17" spans="1:10" ht="13" x14ac:dyDescent="0.3">
      <c r="A17" s="123" t="s">
        <v>56</v>
      </c>
      <c r="B17" s="35">
        <f>SUM(SA!F8:F12)</f>
        <v>833.8</v>
      </c>
      <c r="C17" s="35">
        <f>SUM(SA!G8:G12)</f>
        <v>41.690000000000005</v>
      </c>
      <c r="D17" s="35">
        <f>SUM(SA!H8:H12)</f>
        <v>83.38000000000001</v>
      </c>
      <c r="E17" s="35">
        <f t="shared" si="1"/>
        <v>958.87</v>
      </c>
      <c r="F17" s="41">
        <f>SUM(SA!I8:I12)</f>
        <v>47905.978999999999</v>
      </c>
      <c r="G17" s="39">
        <f>F17/$O$4</f>
        <v>44937.571539963305</v>
      </c>
      <c r="H17" s="41">
        <v>0</v>
      </c>
      <c r="I17" s="41">
        <f t="shared" si="2"/>
        <v>47905.978999999999</v>
      </c>
      <c r="J17" s="39">
        <f>I17/$O$4</f>
        <v>44937.571539963305</v>
      </c>
    </row>
    <row r="18" spans="1:10" ht="13" x14ac:dyDescent="0.3">
      <c r="A18" s="123" t="s">
        <v>57</v>
      </c>
      <c r="B18" s="35">
        <f>SUM(SA!F8:F12)</f>
        <v>833.8</v>
      </c>
      <c r="C18" s="35">
        <f>SUM(SA!G8:G12)</f>
        <v>41.690000000000005</v>
      </c>
      <c r="D18" s="35">
        <f>SUM(SA!H8:H12)</f>
        <v>83.38000000000001</v>
      </c>
      <c r="E18" s="35">
        <f t="shared" si="1"/>
        <v>958.87</v>
      </c>
      <c r="F18" s="41">
        <f>SUM(SA!I8:I12)</f>
        <v>47905.978999999999</v>
      </c>
      <c r="G18" s="39">
        <f>F18/$Q$4</f>
        <v>43523.071709407559</v>
      </c>
      <c r="H18" s="41">
        <v>0</v>
      </c>
      <c r="I18" s="41">
        <f t="shared" si="2"/>
        <v>47905.978999999999</v>
      </c>
      <c r="J18" s="39">
        <f>I18/$Q$4</f>
        <v>43523.071709407559</v>
      </c>
    </row>
    <row r="19" spans="1:10" ht="51" customHeight="1" x14ac:dyDescent="0.3">
      <c r="A19" s="125" t="s">
        <v>295</v>
      </c>
      <c r="B19" s="35"/>
      <c r="C19" s="35"/>
      <c r="D19" s="35"/>
      <c r="E19" s="35"/>
      <c r="F19" s="41"/>
      <c r="G19" s="153"/>
      <c r="H19" s="41"/>
      <c r="I19" s="41"/>
      <c r="J19" s="153"/>
    </row>
    <row r="20" spans="1:10" ht="13" x14ac:dyDescent="0.3">
      <c r="A20" s="123" t="s">
        <v>55</v>
      </c>
      <c r="B20" s="35">
        <f>SUM('BPPA-Y1'!F8:F13)</f>
        <v>0</v>
      </c>
      <c r="C20" s="35">
        <f>SUM('BPPA-Y1'!G8:G13)</f>
        <v>0</v>
      </c>
      <c r="D20" s="35">
        <f>SUM('BPPA-Y1'!H8:H13)</f>
        <v>0</v>
      </c>
      <c r="E20" s="35">
        <f t="shared" si="1"/>
        <v>0</v>
      </c>
      <c r="F20" s="41">
        <f>SUM('BPPA-Y1'!I8:I13)</f>
        <v>0</v>
      </c>
      <c r="G20" s="39">
        <f>F20</f>
        <v>0</v>
      </c>
      <c r="H20" s="41">
        <v>0</v>
      </c>
      <c r="I20" s="41">
        <f t="shared" si="2"/>
        <v>0</v>
      </c>
      <c r="J20" s="39">
        <f>I20</f>
        <v>0</v>
      </c>
    </row>
    <row r="21" spans="1:10" ht="13" x14ac:dyDescent="0.3">
      <c r="A21" s="123" t="s">
        <v>56</v>
      </c>
      <c r="B21" s="35">
        <f>SUM('BPPA-Y2'!F8:F13)</f>
        <v>0</v>
      </c>
      <c r="C21" s="35">
        <f>SUM('BPPA-Y2'!G8:G13)</f>
        <v>0</v>
      </c>
      <c r="D21" s="35">
        <f>SUM('BPPA-Y2'!H8:H13)</f>
        <v>0</v>
      </c>
      <c r="E21" s="35">
        <f t="shared" si="1"/>
        <v>0</v>
      </c>
      <c r="F21" s="41">
        <f>SUM('BPPA-Y2'!I8:I13)</f>
        <v>0</v>
      </c>
      <c r="G21" s="39">
        <f>F21/$O$4</f>
        <v>0</v>
      </c>
      <c r="H21" s="41">
        <v>0</v>
      </c>
      <c r="I21" s="41">
        <f t="shared" si="2"/>
        <v>0</v>
      </c>
      <c r="J21" s="39">
        <f>I21/$O$4</f>
        <v>0</v>
      </c>
    </row>
    <row r="22" spans="1:10" ht="13.5" thickBot="1" x14ac:dyDescent="0.3">
      <c r="A22" s="42" t="s">
        <v>57</v>
      </c>
      <c r="B22" s="134">
        <f>SUM('BPPA-Y3'!F8:F13)</f>
        <v>470.25</v>
      </c>
      <c r="C22" s="134">
        <f>SUM('BPPA-Y3'!G8:G13)</f>
        <v>23.512499999999999</v>
      </c>
      <c r="D22" s="134">
        <f>SUM('BPPA-Y3'!H8:H13)</f>
        <v>47.024999999999999</v>
      </c>
      <c r="E22" s="134">
        <f>SUM(B22:D22)</f>
        <v>540.78750000000002</v>
      </c>
      <c r="F22" s="133">
        <f>SUM('BPPA-Y3'!I8:I13)</f>
        <v>27018.213749999995</v>
      </c>
      <c r="G22" s="133">
        <f>F22/$Q$4</f>
        <v>24546.323424500963</v>
      </c>
      <c r="H22" s="133">
        <v>0</v>
      </c>
      <c r="I22" s="133">
        <f t="shared" si="2"/>
        <v>27018.213749999995</v>
      </c>
      <c r="J22" s="133">
        <f>I22/$Q$4</f>
        <v>24546.323424500963</v>
      </c>
    </row>
    <row r="23" spans="1:10" ht="13.5" thickTop="1" x14ac:dyDescent="0.3">
      <c r="A23" s="43" t="s">
        <v>35</v>
      </c>
      <c r="B23" s="37">
        <f>SUM(B4:B22)</f>
        <v>16269.45364</v>
      </c>
      <c r="C23" s="37">
        <f>SUM(C4:C22)</f>
        <v>813.4726820000003</v>
      </c>
      <c r="D23" s="37">
        <f>SUM(D4:D22)</f>
        <v>1626.9453640000006</v>
      </c>
      <c r="E23" s="37">
        <f>SUM(E4:E22)</f>
        <v>18709.871685999999</v>
      </c>
      <c r="F23" s="38">
        <f>ROUND(SUM(F4:F22),-1)</f>
        <v>934750</v>
      </c>
      <c r="G23" s="38">
        <f>ROUND(SUM(G4:G22),-4)</f>
        <v>880000</v>
      </c>
      <c r="H23" s="38">
        <f>SUM(H4:H22)</f>
        <v>0</v>
      </c>
      <c r="I23" s="38">
        <f>ROUND(SUM(I4:I22),-1)</f>
        <v>934750</v>
      </c>
      <c r="J23" s="38">
        <f>ROUND(SUM(J4:J22),-4)</f>
        <v>880000</v>
      </c>
    </row>
    <row r="24" spans="1:10" ht="13" x14ac:dyDescent="0.3">
      <c r="A24" s="44" t="s">
        <v>59</v>
      </c>
      <c r="B24" s="35">
        <f>B23/3</f>
        <v>5423.1512133333335</v>
      </c>
      <c r="C24" s="35">
        <f>C23/3</f>
        <v>271.15756066666677</v>
      </c>
      <c r="D24" s="35">
        <f>D23/3</f>
        <v>542.31512133333354</v>
      </c>
      <c r="E24" s="35">
        <f>E23/3</f>
        <v>6236.6238953333332</v>
      </c>
      <c r="F24" s="39">
        <f>ROUND(AVERAGE(F4:F22),-1)</f>
        <v>62320</v>
      </c>
      <c r="G24" s="39">
        <f>ROUND(G23/3,-3)</f>
        <v>293000</v>
      </c>
      <c r="H24" s="39">
        <f>AVERAGE(H4:H22)</f>
        <v>0</v>
      </c>
      <c r="I24" s="39">
        <f>ROUND(AVERAGE(I4:I22),-1)</f>
        <v>62320</v>
      </c>
      <c r="J24" s="39">
        <f>ROUND(J23/3,-3)</f>
        <v>293000</v>
      </c>
    </row>
    <row r="25" spans="1:10" ht="13" x14ac:dyDescent="0.3">
      <c r="A25" s="40"/>
      <c r="B25" s="40"/>
      <c r="C25" s="40"/>
      <c r="D25" s="40"/>
      <c r="E25" s="40"/>
      <c r="F25" s="40"/>
      <c r="G25" s="40"/>
      <c r="H25" s="40"/>
      <c r="I25" s="40"/>
    </row>
  </sheetData>
  <mergeCells count="1">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87442-D883-45AB-82A0-A62079621CB8}">
  <sheetPr codeName="Sheet6">
    <pageSetUpPr fitToPage="1"/>
  </sheetPr>
  <dimension ref="A1:P69"/>
  <sheetViews>
    <sheetView zoomScale="80" zoomScaleNormal="80" workbookViewId="0">
      <pane xSplit="13" ySplit="5" topLeftCell="N6" activePane="bottomRight" state="frozen"/>
      <selection activeCell="A64" sqref="A64:I64"/>
      <selection pane="topRight" activeCell="A64" sqref="A64:I64"/>
      <selection pane="bottomLeft" activeCell="A64" sqref="A64:I64"/>
      <selection pane="bottomRight" activeCell="O58" sqref="O58"/>
    </sheetView>
  </sheetViews>
  <sheetFormatPr defaultColWidth="9.1796875" defaultRowHeight="13" x14ac:dyDescent="0.3"/>
  <cols>
    <col min="1" max="1" width="40.08984375" style="72" customWidth="1"/>
    <col min="2" max="2" width="10.1796875" style="72" customWidth="1"/>
    <col min="3" max="3" width="12" style="81" customWidth="1"/>
    <col min="4" max="4" width="11.1796875" style="72" customWidth="1"/>
    <col min="5" max="5" width="12.1796875" style="81" customWidth="1"/>
    <col min="6" max="6" width="10.26953125" style="72" customWidth="1"/>
    <col min="7" max="7" width="11.7265625" style="72" customWidth="1"/>
    <col min="8" max="8" width="11.26953125" style="72" customWidth="1"/>
    <col min="9" max="9" width="14.26953125" style="72" customWidth="1"/>
    <col min="10" max="10" width="7.1796875" style="72" customWidth="1"/>
    <col min="11" max="11" width="37.81640625" style="72" customWidth="1"/>
    <col min="12" max="12" width="14.453125" style="72" customWidth="1"/>
    <col min="13" max="14" width="42.26953125" style="72" customWidth="1"/>
    <col min="15" max="15" width="20.453125" style="72" customWidth="1"/>
    <col min="16" max="16" width="14.1796875" style="72" customWidth="1"/>
    <col min="17" max="16384" width="9.1796875" style="72"/>
  </cols>
  <sheetData>
    <row r="1" spans="1:15" s="54" customFormat="1" ht="15" x14ac:dyDescent="0.3">
      <c r="A1" s="57" t="s">
        <v>242</v>
      </c>
      <c r="J1" s="56"/>
    </row>
    <row r="2" spans="1:15" s="54" customFormat="1" ht="15" x14ac:dyDescent="0.3">
      <c r="A2" s="55" t="s">
        <v>243</v>
      </c>
      <c r="J2" s="56"/>
    </row>
    <row r="3" spans="1:15" s="54" customFormat="1" ht="31" customHeight="1" x14ac:dyDescent="0.3">
      <c r="A3" s="343" t="s">
        <v>454</v>
      </c>
      <c r="B3" s="344"/>
      <c r="C3" s="344"/>
      <c r="D3" s="344"/>
      <c r="E3" s="344"/>
      <c r="F3" s="344"/>
      <c r="G3" s="344"/>
      <c r="H3" s="344"/>
      <c r="I3" s="178"/>
      <c r="J3" s="56"/>
    </row>
    <row r="5" spans="1:15" ht="65" x14ac:dyDescent="0.3">
      <c r="A5" s="73" t="s">
        <v>32</v>
      </c>
      <c r="B5" s="74" t="s">
        <v>88</v>
      </c>
      <c r="C5" s="75" t="s">
        <v>89</v>
      </c>
      <c r="D5" s="74" t="s">
        <v>90</v>
      </c>
      <c r="E5" s="75" t="s">
        <v>91</v>
      </c>
      <c r="F5" s="74" t="s">
        <v>92</v>
      </c>
      <c r="G5" s="74" t="s">
        <v>93</v>
      </c>
      <c r="H5" s="74" t="s">
        <v>94</v>
      </c>
      <c r="I5" s="74" t="s">
        <v>95</v>
      </c>
      <c r="J5" s="76"/>
      <c r="O5" s="72" t="s">
        <v>383</v>
      </c>
    </row>
    <row r="6" spans="1:15" x14ac:dyDescent="0.3">
      <c r="A6" s="77" t="s">
        <v>96</v>
      </c>
      <c r="B6" s="74" t="s">
        <v>77</v>
      </c>
      <c r="C6" s="78"/>
      <c r="D6" s="79"/>
      <c r="E6" s="78"/>
      <c r="F6" s="79"/>
      <c r="G6" s="79"/>
      <c r="H6" s="79"/>
      <c r="I6" s="79"/>
      <c r="K6" s="346" t="s">
        <v>68</v>
      </c>
      <c r="L6" s="346"/>
    </row>
    <row r="7" spans="1:15" ht="52" x14ac:dyDescent="0.3">
      <c r="A7" s="77" t="s">
        <v>97</v>
      </c>
      <c r="B7" s="74" t="s">
        <v>77</v>
      </c>
      <c r="C7" s="78"/>
      <c r="D7" s="79"/>
      <c r="E7" s="78"/>
      <c r="F7" s="79"/>
      <c r="G7" s="79"/>
      <c r="H7" s="79"/>
      <c r="I7" s="79"/>
      <c r="K7" s="80" t="s">
        <v>69</v>
      </c>
      <c r="L7" s="223">
        <v>157.61000000000001</v>
      </c>
      <c r="M7" s="167" t="s">
        <v>180</v>
      </c>
      <c r="N7" s="167"/>
    </row>
    <row r="8" spans="1:15" ht="46.5" customHeight="1" x14ac:dyDescent="0.3">
      <c r="A8" s="77" t="s">
        <v>98</v>
      </c>
      <c r="B8" s="74">
        <v>24</v>
      </c>
      <c r="C8" s="75">
        <v>1</v>
      </c>
      <c r="D8" s="74">
        <f>B8*C8</f>
        <v>24</v>
      </c>
      <c r="E8" s="325">
        <f>L12</f>
        <v>2.5787999999999998</v>
      </c>
      <c r="F8" s="324">
        <f>D8*E8</f>
        <v>61.891199999999998</v>
      </c>
      <c r="G8" s="324">
        <f>F8*0.05</f>
        <v>3.09456</v>
      </c>
      <c r="H8" s="324">
        <f>F8*0.1</f>
        <v>6.18912</v>
      </c>
      <c r="I8" s="82">
        <f>F8*$L$8+G8*$L$7+H8*$L$9</f>
        <v>8545.4108207999998</v>
      </c>
      <c r="K8" s="80" t="s">
        <v>33</v>
      </c>
      <c r="L8" s="223">
        <v>123.94</v>
      </c>
      <c r="M8" s="168"/>
      <c r="N8" s="168"/>
      <c r="O8" s="72">
        <f>C8*E8</f>
        <v>2.5787999999999998</v>
      </c>
    </row>
    <row r="9" spans="1:15" x14ac:dyDescent="0.3">
      <c r="A9" s="77" t="s">
        <v>99</v>
      </c>
      <c r="B9" s="74"/>
      <c r="C9" s="75"/>
      <c r="D9" s="74"/>
      <c r="E9" s="75"/>
      <c r="F9" s="74"/>
      <c r="G9" s="74"/>
      <c r="H9" s="74"/>
      <c r="I9" s="79"/>
      <c r="K9" s="80" t="s">
        <v>34</v>
      </c>
      <c r="L9" s="223">
        <v>62.51</v>
      </c>
      <c r="M9" s="168"/>
      <c r="N9" s="168"/>
      <c r="O9" s="72">
        <f t="shared" ref="O9:O57" si="0">C9*E9</f>
        <v>0</v>
      </c>
    </row>
    <row r="10" spans="1:15" x14ac:dyDescent="0.3">
      <c r="A10" s="84" t="s">
        <v>100</v>
      </c>
      <c r="B10" s="74">
        <v>20</v>
      </c>
      <c r="C10" s="75">
        <v>1</v>
      </c>
      <c r="D10" s="74">
        <f>B10*C10</f>
        <v>20</v>
      </c>
      <c r="E10" s="75">
        <v>307</v>
      </c>
      <c r="F10" s="74">
        <f>D10*E10</f>
        <v>6140</v>
      </c>
      <c r="G10" s="74">
        <f>F10*0.05</f>
        <v>307</v>
      </c>
      <c r="H10" s="74">
        <f>F10*0.1</f>
        <v>614</v>
      </c>
      <c r="I10" s="85">
        <f>F10*$L$8+G10*$L$7+H10*$L$9</f>
        <v>847759.01</v>
      </c>
      <c r="K10" s="86"/>
      <c r="L10" s="174"/>
      <c r="M10" s="86"/>
      <c r="N10" s="86"/>
      <c r="O10" s="72">
        <f t="shared" si="0"/>
        <v>307</v>
      </c>
    </row>
    <row r="11" spans="1:15" ht="15.75" customHeight="1" x14ac:dyDescent="0.3">
      <c r="A11" s="84" t="s">
        <v>101</v>
      </c>
      <c r="B11" s="74"/>
      <c r="C11" s="75"/>
      <c r="D11" s="74"/>
      <c r="E11" s="75"/>
      <c r="F11" s="74"/>
      <c r="G11" s="74"/>
      <c r="H11" s="74"/>
      <c r="I11" s="85"/>
      <c r="K11" s="87"/>
      <c r="L11" s="87" t="s">
        <v>261</v>
      </c>
      <c r="M11" s="86"/>
      <c r="N11" s="86"/>
      <c r="O11" s="72">
        <f t="shared" si="0"/>
        <v>0</v>
      </c>
    </row>
    <row r="12" spans="1:15" ht="28.5" x14ac:dyDescent="0.3">
      <c r="A12" s="121" t="s">
        <v>268</v>
      </c>
      <c r="B12" s="74"/>
      <c r="C12" s="75"/>
      <c r="D12" s="74"/>
      <c r="E12" s="89"/>
      <c r="F12" s="90"/>
      <c r="G12" s="74"/>
      <c r="H12" s="74"/>
      <c r="I12" s="85"/>
      <c r="K12" s="87" t="s">
        <v>104</v>
      </c>
      <c r="L12" s="87">
        <f>L14*0.0084</f>
        <v>2.5787999999999998</v>
      </c>
      <c r="M12" s="86" t="s">
        <v>269</v>
      </c>
      <c r="N12" s="86"/>
      <c r="O12" s="72">
        <f t="shared" si="0"/>
        <v>0</v>
      </c>
    </row>
    <row r="13" spans="1:15" ht="15" customHeight="1" x14ac:dyDescent="0.3">
      <c r="A13" s="91" t="s">
        <v>264</v>
      </c>
      <c r="B13" s="75">
        <v>8</v>
      </c>
      <c r="C13" s="75">
        <v>1</v>
      </c>
      <c r="D13" s="74">
        <f>B13*C13</f>
        <v>8</v>
      </c>
      <c r="E13" s="89">
        <v>0</v>
      </c>
      <c r="F13" s="90">
        <f>D13*E13</f>
        <v>0</v>
      </c>
      <c r="G13" s="74">
        <f>F13*0.05</f>
        <v>0</v>
      </c>
      <c r="H13" s="74">
        <f>F13*0.1</f>
        <v>0</v>
      </c>
      <c r="I13" s="85">
        <f>F13*$L$8+G13*$L$7+H13*$L$9</f>
        <v>0</v>
      </c>
      <c r="K13" s="87" t="s">
        <v>105</v>
      </c>
      <c r="L13" s="87">
        <f>L12+L14*0.1</f>
        <v>33.278800000000004</v>
      </c>
      <c r="M13" s="86"/>
      <c r="N13" s="86"/>
      <c r="O13" s="72">
        <f t="shared" si="0"/>
        <v>0</v>
      </c>
    </row>
    <row r="14" spans="1:15" x14ac:dyDescent="0.3">
      <c r="A14" s="91" t="s">
        <v>265</v>
      </c>
      <c r="B14" s="75">
        <v>8</v>
      </c>
      <c r="C14" s="75">
        <v>1</v>
      </c>
      <c r="D14" s="74">
        <f t="shared" ref="D14" si="1">B14*C14</f>
        <v>8</v>
      </c>
      <c r="E14" s="89">
        <v>0</v>
      </c>
      <c r="F14" s="90">
        <f t="shared" ref="F14:F21" si="2">D14*E14</f>
        <v>0</v>
      </c>
      <c r="G14" s="74">
        <f t="shared" ref="G14:G21" si="3">F14*0.05</f>
        <v>0</v>
      </c>
      <c r="H14" s="74">
        <f t="shared" ref="H14:H21" si="4">F14*0.1</f>
        <v>0</v>
      </c>
      <c r="I14" s="85">
        <f t="shared" ref="I14:I21" si="5">F14*$L$8+G14*$L$7+H14*$L$9</f>
        <v>0</v>
      </c>
      <c r="J14" s="86"/>
      <c r="K14" s="87" t="s">
        <v>80</v>
      </c>
      <c r="L14" s="87">
        <v>307</v>
      </c>
      <c r="M14" s="86"/>
      <c r="N14" s="86"/>
      <c r="O14" s="72">
        <f t="shared" si="0"/>
        <v>0</v>
      </c>
    </row>
    <row r="15" spans="1:15" ht="26" x14ac:dyDescent="0.3">
      <c r="A15" s="88" t="s">
        <v>402</v>
      </c>
      <c r="B15" s="74"/>
      <c r="C15" s="75"/>
      <c r="D15" s="74"/>
      <c r="E15" s="75"/>
      <c r="F15" s="90"/>
      <c r="G15" s="74"/>
      <c r="H15" s="74"/>
      <c r="I15" s="85"/>
      <c r="K15" s="87" t="s">
        <v>397</v>
      </c>
      <c r="L15" s="87">
        <f>L17*0.0084</f>
        <v>1.3271999999999999</v>
      </c>
      <c r="M15" s="86" t="s">
        <v>269</v>
      </c>
      <c r="N15" s="86"/>
      <c r="O15" s="72">
        <f t="shared" si="0"/>
        <v>0</v>
      </c>
    </row>
    <row r="16" spans="1:15" ht="26" x14ac:dyDescent="0.3">
      <c r="A16" s="91" t="s">
        <v>264</v>
      </c>
      <c r="B16" s="74">
        <v>8</v>
      </c>
      <c r="C16" s="75">
        <v>1</v>
      </c>
      <c r="D16" s="74">
        <f>B16*C16</f>
        <v>8</v>
      </c>
      <c r="E16" s="89">
        <v>0</v>
      </c>
      <c r="F16" s="90">
        <f t="shared" si="2"/>
        <v>0</v>
      </c>
      <c r="G16" s="74">
        <f t="shared" si="3"/>
        <v>0</v>
      </c>
      <c r="H16" s="74">
        <f t="shared" si="4"/>
        <v>0</v>
      </c>
      <c r="I16" s="85">
        <f t="shared" si="5"/>
        <v>0</v>
      </c>
      <c r="J16" s="83"/>
      <c r="K16" s="87" t="s">
        <v>398</v>
      </c>
      <c r="L16" s="87">
        <f>L18*0.0084</f>
        <v>1.2515999999999998</v>
      </c>
      <c r="M16" s="86" t="s">
        <v>269</v>
      </c>
      <c r="N16" s="86"/>
      <c r="O16" s="72">
        <f t="shared" si="0"/>
        <v>0</v>
      </c>
    </row>
    <row r="17" spans="1:15" x14ac:dyDescent="0.3">
      <c r="A17" s="91" t="s">
        <v>265</v>
      </c>
      <c r="B17" s="75">
        <v>8</v>
      </c>
      <c r="C17" s="75">
        <v>1</v>
      </c>
      <c r="D17" s="74">
        <f t="shared" ref="D17:D19" si="6">B17*C17</f>
        <v>8</v>
      </c>
      <c r="E17" s="89">
        <f>E16*0.05</f>
        <v>0</v>
      </c>
      <c r="F17" s="90">
        <f t="shared" si="2"/>
        <v>0</v>
      </c>
      <c r="G17" s="74">
        <f t="shared" si="3"/>
        <v>0</v>
      </c>
      <c r="H17" s="74">
        <f t="shared" si="4"/>
        <v>0</v>
      </c>
      <c r="I17" s="85">
        <f t="shared" si="5"/>
        <v>0</v>
      </c>
      <c r="J17" s="83"/>
      <c r="K17" s="87" t="s">
        <v>399</v>
      </c>
      <c r="L17" s="120">
        <v>158</v>
      </c>
      <c r="O17" s="72">
        <f t="shared" si="0"/>
        <v>0</v>
      </c>
    </row>
    <row r="18" spans="1:15" x14ac:dyDescent="0.3">
      <c r="A18" s="92" t="s">
        <v>403</v>
      </c>
      <c r="B18" s="94">
        <v>24</v>
      </c>
      <c r="C18" s="94">
        <v>2</v>
      </c>
      <c r="D18" s="93">
        <f t="shared" si="6"/>
        <v>48</v>
      </c>
      <c r="E18" s="95">
        <f>L20</f>
        <v>230.25</v>
      </c>
      <c r="F18" s="90">
        <f t="shared" si="2"/>
        <v>11052</v>
      </c>
      <c r="G18" s="74">
        <f t="shared" si="3"/>
        <v>552.6</v>
      </c>
      <c r="H18" s="74">
        <f t="shared" si="4"/>
        <v>1105.2</v>
      </c>
      <c r="I18" s="85">
        <f t="shared" si="5"/>
        <v>1525966.2179999999</v>
      </c>
      <c r="K18" s="87" t="s">
        <v>400</v>
      </c>
      <c r="L18" s="87">
        <v>149</v>
      </c>
      <c r="O18" s="72">
        <f t="shared" si="0"/>
        <v>460.5</v>
      </c>
    </row>
    <row r="19" spans="1:15" ht="26" x14ac:dyDescent="0.3">
      <c r="A19" s="98" t="s">
        <v>404</v>
      </c>
      <c r="B19" s="94">
        <v>24</v>
      </c>
      <c r="C19" s="94">
        <v>2</v>
      </c>
      <c r="D19" s="93">
        <f t="shared" si="6"/>
        <v>48</v>
      </c>
      <c r="E19" s="95">
        <f>E18*0.05</f>
        <v>11.512500000000001</v>
      </c>
      <c r="F19" s="90">
        <f t="shared" ref="F19" si="7">D19*E19</f>
        <v>552.6</v>
      </c>
      <c r="G19" s="74">
        <f t="shared" ref="G19" si="8">F19*0.05</f>
        <v>27.630000000000003</v>
      </c>
      <c r="H19" s="74">
        <f t="shared" ref="H19" si="9">F19*0.1</f>
        <v>55.260000000000005</v>
      </c>
      <c r="I19" s="85">
        <f t="shared" ref="I19" si="10">F19*$L$8+G19*$L$7+H19*$L$9</f>
        <v>76298.310899999997</v>
      </c>
      <c r="K19" s="72" t="s">
        <v>395</v>
      </c>
      <c r="L19" s="72">
        <f>L14*0.25</f>
        <v>76.75</v>
      </c>
      <c r="M19" s="86" t="s">
        <v>401</v>
      </c>
      <c r="N19" s="86"/>
      <c r="O19" s="72">
        <f t="shared" si="0"/>
        <v>23.025000000000002</v>
      </c>
    </row>
    <row r="20" spans="1:15" ht="26" x14ac:dyDescent="0.3">
      <c r="A20" s="88" t="s">
        <v>107</v>
      </c>
      <c r="B20" s="93"/>
      <c r="C20" s="94"/>
      <c r="D20" s="93"/>
      <c r="E20" s="95"/>
      <c r="F20" s="90"/>
      <c r="G20" s="74"/>
      <c r="H20" s="74"/>
      <c r="I20" s="85"/>
      <c r="K20" s="72" t="s">
        <v>396</v>
      </c>
      <c r="L20" s="72">
        <f>L14*0.75</f>
        <v>230.25</v>
      </c>
      <c r="M20" s="86" t="s">
        <v>401</v>
      </c>
      <c r="N20" s="86"/>
      <c r="O20" s="72">
        <f t="shared" si="0"/>
        <v>0</v>
      </c>
    </row>
    <row r="21" spans="1:15" x14ac:dyDescent="0.3">
      <c r="A21" s="92" t="s">
        <v>190</v>
      </c>
      <c r="B21" s="74">
        <v>0.3</v>
      </c>
      <c r="C21" s="75">
        <v>330</v>
      </c>
      <c r="D21" s="74">
        <f>B21*C21</f>
        <v>99</v>
      </c>
      <c r="E21" s="89">
        <v>0</v>
      </c>
      <c r="F21" s="90">
        <f t="shared" si="2"/>
        <v>0</v>
      </c>
      <c r="G21" s="74">
        <f t="shared" si="3"/>
        <v>0</v>
      </c>
      <c r="H21" s="74">
        <f t="shared" si="4"/>
        <v>0</v>
      </c>
      <c r="I21" s="85">
        <f t="shared" si="5"/>
        <v>0</v>
      </c>
      <c r="O21" s="72">
        <f t="shared" si="0"/>
        <v>0</v>
      </c>
    </row>
    <row r="22" spans="1:15" x14ac:dyDescent="0.3">
      <c r="A22" s="84" t="s">
        <v>108</v>
      </c>
      <c r="B22" s="74"/>
      <c r="C22" s="78"/>
      <c r="D22" s="79"/>
      <c r="E22" s="96"/>
      <c r="F22" s="79"/>
      <c r="G22" s="79"/>
      <c r="H22" s="79"/>
      <c r="I22" s="79"/>
      <c r="O22" s="72">
        <f t="shared" si="0"/>
        <v>0</v>
      </c>
    </row>
    <row r="23" spans="1:15" x14ac:dyDescent="0.3">
      <c r="A23" s="114" t="s">
        <v>109</v>
      </c>
      <c r="B23" s="74"/>
      <c r="C23" s="78"/>
      <c r="D23" s="79"/>
      <c r="E23" s="96"/>
      <c r="F23" s="79"/>
      <c r="G23" s="79"/>
      <c r="H23" s="79"/>
      <c r="I23" s="79"/>
      <c r="O23" s="72">
        <f t="shared" si="0"/>
        <v>0</v>
      </c>
    </row>
    <row r="24" spans="1:15" x14ac:dyDescent="0.3">
      <c r="A24" s="84" t="s">
        <v>110</v>
      </c>
      <c r="B24" s="79"/>
      <c r="C24" s="78"/>
      <c r="D24" s="79"/>
      <c r="E24" s="96"/>
      <c r="F24" s="79"/>
      <c r="G24" s="79"/>
      <c r="H24" s="79"/>
      <c r="I24" s="79"/>
      <c r="O24" s="72">
        <f t="shared" si="0"/>
        <v>0</v>
      </c>
    </row>
    <row r="25" spans="1:15" ht="15.75" customHeight="1" x14ac:dyDescent="0.3">
      <c r="A25" s="97" t="s">
        <v>111</v>
      </c>
      <c r="B25" s="74"/>
      <c r="C25" s="75"/>
      <c r="D25" s="74"/>
      <c r="E25" s="89"/>
      <c r="F25" s="74"/>
      <c r="G25" s="74"/>
      <c r="H25" s="74"/>
      <c r="I25" s="85"/>
      <c r="O25" s="72">
        <f t="shared" si="0"/>
        <v>0</v>
      </c>
    </row>
    <row r="26" spans="1:15" x14ac:dyDescent="0.3">
      <c r="A26" s="98" t="s">
        <v>112</v>
      </c>
      <c r="B26" s="74">
        <v>2</v>
      </c>
      <c r="C26" s="75">
        <v>1</v>
      </c>
      <c r="D26" s="74">
        <v>2</v>
      </c>
      <c r="E26" s="89">
        <v>0</v>
      </c>
      <c r="F26" s="74">
        <f t="shared" ref="F26:F29" si="11">D26*E26</f>
        <v>0</v>
      </c>
      <c r="G26" s="74">
        <f t="shared" ref="G26:G29" si="12">F26*0.05</f>
        <v>0</v>
      </c>
      <c r="H26" s="74">
        <f t="shared" ref="H26:H29" si="13">F26*0.1</f>
        <v>0</v>
      </c>
      <c r="I26" s="85">
        <f>F26*$L$8+G26*$L$7+H26*$L$9</f>
        <v>0</v>
      </c>
      <c r="O26" s="72">
        <f t="shared" si="0"/>
        <v>0</v>
      </c>
    </row>
    <row r="27" spans="1:15" x14ac:dyDescent="0.3">
      <c r="A27" s="98" t="s">
        <v>113</v>
      </c>
      <c r="B27" s="74">
        <v>2</v>
      </c>
      <c r="C27" s="75">
        <v>1</v>
      </c>
      <c r="D27" s="74">
        <v>2</v>
      </c>
      <c r="E27" s="89">
        <v>0</v>
      </c>
      <c r="F27" s="74">
        <f t="shared" si="11"/>
        <v>0</v>
      </c>
      <c r="G27" s="74">
        <f t="shared" si="12"/>
        <v>0</v>
      </c>
      <c r="H27" s="74">
        <f t="shared" si="13"/>
        <v>0</v>
      </c>
      <c r="I27" s="85">
        <f>F27*$L$8+G27*$L$7+H27*$L$9</f>
        <v>0</v>
      </c>
      <c r="O27" s="72">
        <f t="shared" si="0"/>
        <v>0</v>
      </c>
    </row>
    <row r="28" spans="1:15" x14ac:dyDescent="0.3">
      <c r="A28" s="98" t="s">
        <v>272</v>
      </c>
      <c r="B28" s="74">
        <v>2</v>
      </c>
      <c r="C28" s="75">
        <v>1</v>
      </c>
      <c r="D28" s="74">
        <v>2</v>
      </c>
      <c r="E28" s="89">
        <v>0</v>
      </c>
      <c r="F28" s="74">
        <f t="shared" si="11"/>
        <v>0</v>
      </c>
      <c r="G28" s="74">
        <f t="shared" si="12"/>
        <v>0</v>
      </c>
      <c r="H28" s="74">
        <f t="shared" si="13"/>
        <v>0</v>
      </c>
      <c r="I28" s="85">
        <f>F28*$L$8+G28*$L$7+H28*$L$9</f>
        <v>0</v>
      </c>
      <c r="O28" s="72">
        <f t="shared" si="0"/>
        <v>0</v>
      </c>
    </row>
    <row r="29" spans="1:15" ht="38" customHeight="1" x14ac:dyDescent="0.3">
      <c r="A29" s="115" t="s">
        <v>273</v>
      </c>
      <c r="B29" s="74">
        <v>8</v>
      </c>
      <c r="C29" s="116">
        <v>2</v>
      </c>
      <c r="D29" s="74">
        <f>B29*C29</f>
        <v>16</v>
      </c>
      <c r="E29" s="323">
        <f>L12</f>
        <v>2.5787999999999998</v>
      </c>
      <c r="F29" s="324">
        <f t="shared" si="11"/>
        <v>41.260799999999996</v>
      </c>
      <c r="G29" s="324">
        <f t="shared" si="12"/>
        <v>2.06304</v>
      </c>
      <c r="H29" s="324">
        <f t="shared" si="13"/>
        <v>4.12608</v>
      </c>
      <c r="I29" s="82">
        <f>F29*$L$8+G29*$L$7+H29*$L$9</f>
        <v>5696.9405471999999</v>
      </c>
      <c r="O29" s="72">
        <f t="shared" si="0"/>
        <v>5.1575999999999995</v>
      </c>
    </row>
    <row r="30" spans="1:15" x14ac:dyDescent="0.3">
      <c r="A30" s="97" t="s">
        <v>75</v>
      </c>
      <c r="B30" s="79"/>
      <c r="C30" s="78"/>
      <c r="D30" s="79"/>
      <c r="E30" s="96"/>
      <c r="F30" s="79"/>
      <c r="G30" s="79"/>
      <c r="H30" s="79"/>
      <c r="I30" s="79"/>
      <c r="O30" s="72">
        <f t="shared" si="0"/>
        <v>0</v>
      </c>
    </row>
    <row r="31" spans="1:15" x14ac:dyDescent="0.3">
      <c r="A31" s="98" t="s">
        <v>112</v>
      </c>
      <c r="B31" s="74">
        <v>2</v>
      </c>
      <c r="C31" s="75">
        <v>1</v>
      </c>
      <c r="D31" s="74">
        <v>2</v>
      </c>
      <c r="E31" s="89">
        <v>0</v>
      </c>
      <c r="F31" s="74">
        <f>D31*E31</f>
        <v>0</v>
      </c>
      <c r="G31" s="74">
        <f>F31*0.05</f>
        <v>0</v>
      </c>
      <c r="H31" s="74">
        <f>F31*0.1</f>
        <v>0</v>
      </c>
      <c r="I31" s="85">
        <f>F31*$L$8+G31*$L$7+H31*$L$9</f>
        <v>0</v>
      </c>
      <c r="O31" s="72">
        <f t="shared" si="0"/>
        <v>0</v>
      </c>
    </row>
    <row r="32" spans="1:15" ht="26" x14ac:dyDescent="0.3">
      <c r="A32" s="98" t="s">
        <v>405</v>
      </c>
      <c r="B32" s="74">
        <v>2</v>
      </c>
      <c r="C32" s="75">
        <v>2</v>
      </c>
      <c r="D32" s="74">
        <v>2</v>
      </c>
      <c r="E32" s="323">
        <f>SUM(E18:E19)</f>
        <v>241.76249999999999</v>
      </c>
      <c r="F32" s="324">
        <f>D32*E32</f>
        <v>483.52499999999998</v>
      </c>
      <c r="G32" s="324">
        <f>F32*0.05</f>
        <v>24.17625</v>
      </c>
      <c r="H32" s="324">
        <f>F32*0.1</f>
        <v>48.352499999999999</v>
      </c>
      <c r="I32" s="85">
        <f>F32*$L$8+G32*$L$7+H32*$L$9</f>
        <v>66761.022037499992</v>
      </c>
      <c r="O32" s="72">
        <f t="shared" si="0"/>
        <v>483.52499999999998</v>
      </c>
    </row>
    <row r="33" spans="1:15" ht="49" customHeight="1" x14ac:dyDescent="0.3">
      <c r="A33" s="98" t="s">
        <v>406</v>
      </c>
      <c r="B33" s="74">
        <v>2</v>
      </c>
      <c r="C33" s="75">
        <v>2</v>
      </c>
      <c r="D33" s="74">
        <v>2</v>
      </c>
      <c r="E33" s="323">
        <f>SUM(E18:E19)</f>
        <v>241.76249999999999</v>
      </c>
      <c r="F33" s="324">
        <f>D33*E33</f>
        <v>483.52499999999998</v>
      </c>
      <c r="G33" s="324">
        <f>F33*0.05</f>
        <v>24.17625</v>
      </c>
      <c r="H33" s="324">
        <f>F33*0.1</f>
        <v>48.352499999999999</v>
      </c>
      <c r="I33" s="85">
        <f>F33*$L$8+G33*$L$7+H33*$L$9</f>
        <v>66761.022037499992</v>
      </c>
      <c r="O33" s="72">
        <f t="shared" si="0"/>
        <v>483.52499999999998</v>
      </c>
    </row>
    <row r="34" spans="1:15" ht="26" x14ac:dyDescent="0.3">
      <c r="A34" s="115" t="s">
        <v>407</v>
      </c>
      <c r="B34" s="74">
        <v>8</v>
      </c>
      <c r="C34" s="116">
        <v>2</v>
      </c>
      <c r="D34" s="74">
        <f>B34*C34</f>
        <v>16</v>
      </c>
      <c r="E34" s="89">
        <f>L14</f>
        <v>307</v>
      </c>
      <c r="F34" s="74">
        <f t="shared" ref="F34" si="14">D34*E34</f>
        <v>4912</v>
      </c>
      <c r="G34" s="74">
        <f t="shared" ref="G34" si="15">F34*0.05</f>
        <v>245.60000000000002</v>
      </c>
      <c r="H34" s="74">
        <f t="shared" ref="H34" si="16">F34*0.1</f>
        <v>491.20000000000005</v>
      </c>
      <c r="I34" s="82">
        <f>F34*$L$8+G34*$L$7+H34*$L$9</f>
        <v>678207.2080000001</v>
      </c>
      <c r="O34" s="72">
        <f t="shared" si="0"/>
        <v>614</v>
      </c>
    </row>
    <row r="35" spans="1:15" ht="13.5" x14ac:dyDescent="0.3">
      <c r="A35" s="99" t="s">
        <v>86</v>
      </c>
      <c r="B35" s="100"/>
      <c r="C35" s="101"/>
      <c r="D35" s="100"/>
      <c r="E35" s="102"/>
      <c r="F35" s="165">
        <f>SUM(F8:H34)</f>
        <v>27285.8223</v>
      </c>
      <c r="G35" s="165"/>
      <c r="H35" s="165"/>
      <c r="I35" s="103">
        <f>SUM(I8:I34)</f>
        <v>3275995.142343</v>
      </c>
      <c r="O35" s="72">
        <f t="shared" si="0"/>
        <v>0</v>
      </c>
    </row>
    <row r="36" spans="1:15" x14ac:dyDescent="0.3">
      <c r="A36" s="77" t="s">
        <v>115</v>
      </c>
      <c r="B36" s="79"/>
      <c r="C36" s="78"/>
      <c r="D36" s="79"/>
      <c r="E36" s="96"/>
      <c r="F36" s="79"/>
      <c r="G36" s="79"/>
      <c r="H36" s="79"/>
      <c r="I36" s="79"/>
      <c r="O36" s="72">
        <f t="shared" si="0"/>
        <v>0</v>
      </c>
    </row>
    <row r="37" spans="1:15" x14ac:dyDescent="0.3">
      <c r="A37" s="84" t="s">
        <v>100</v>
      </c>
      <c r="B37" s="74"/>
      <c r="C37" s="78"/>
      <c r="D37" s="79"/>
      <c r="E37" s="78"/>
      <c r="F37" s="79"/>
      <c r="G37" s="79"/>
      <c r="H37" s="79"/>
      <c r="I37" s="79"/>
      <c r="O37" s="72">
        <f t="shared" si="0"/>
        <v>0</v>
      </c>
    </row>
    <row r="38" spans="1:15" x14ac:dyDescent="0.3">
      <c r="A38" s="84" t="s">
        <v>116</v>
      </c>
      <c r="B38" s="74"/>
      <c r="C38" s="78"/>
      <c r="D38" s="79"/>
      <c r="E38" s="78"/>
      <c r="F38" s="79"/>
      <c r="G38" s="79"/>
      <c r="H38" s="79"/>
      <c r="I38" s="79"/>
      <c r="O38" s="72">
        <f t="shared" si="0"/>
        <v>0</v>
      </c>
    </row>
    <row r="39" spans="1:15" x14ac:dyDescent="0.3">
      <c r="A39" s="84" t="s">
        <v>117</v>
      </c>
      <c r="B39" s="74"/>
      <c r="C39" s="78"/>
      <c r="D39" s="79"/>
      <c r="E39" s="78"/>
      <c r="F39" s="79"/>
      <c r="G39" s="79"/>
      <c r="H39" s="79"/>
      <c r="I39" s="79"/>
      <c r="O39" s="72">
        <f t="shared" si="0"/>
        <v>0</v>
      </c>
    </row>
    <row r="40" spans="1:15" x14ac:dyDescent="0.3">
      <c r="A40" s="84" t="s">
        <v>118</v>
      </c>
      <c r="B40" s="74" t="s">
        <v>77</v>
      </c>
      <c r="C40" s="78"/>
      <c r="D40" s="79"/>
      <c r="E40" s="78"/>
      <c r="F40" s="79"/>
      <c r="G40" s="79"/>
      <c r="H40" s="79"/>
      <c r="I40" s="79"/>
      <c r="O40" s="72">
        <f t="shared" si="0"/>
        <v>0</v>
      </c>
    </row>
    <row r="41" spans="1:15" x14ac:dyDescent="0.3">
      <c r="A41" s="84" t="s">
        <v>119</v>
      </c>
      <c r="B41" s="79"/>
      <c r="C41" s="78"/>
      <c r="D41" s="79"/>
      <c r="E41" s="78"/>
      <c r="F41" s="79"/>
      <c r="G41" s="79"/>
      <c r="H41" s="79"/>
      <c r="I41" s="79"/>
      <c r="O41" s="72">
        <f t="shared" si="0"/>
        <v>0</v>
      </c>
    </row>
    <row r="42" spans="1:15" x14ac:dyDescent="0.3">
      <c r="A42" s="97" t="s">
        <v>75</v>
      </c>
      <c r="B42" s="79"/>
      <c r="C42" s="78"/>
      <c r="D42" s="79"/>
      <c r="E42" s="78"/>
      <c r="F42" s="79"/>
      <c r="G42" s="79"/>
      <c r="H42" s="79"/>
      <c r="I42" s="79"/>
      <c r="O42" s="72">
        <f t="shared" si="0"/>
        <v>0</v>
      </c>
    </row>
    <row r="43" spans="1:15" x14ac:dyDescent="0.3">
      <c r="A43" s="92" t="s">
        <v>120</v>
      </c>
      <c r="B43" s="74">
        <v>0.1</v>
      </c>
      <c r="C43" s="75">
        <v>12</v>
      </c>
      <c r="D43" s="74">
        <f t="shared" ref="D43:D57" si="17">B43*C43</f>
        <v>1.2000000000000002</v>
      </c>
      <c r="E43" s="89">
        <v>307</v>
      </c>
      <c r="F43" s="90">
        <f t="shared" ref="F43:F57" si="18">D43*E43</f>
        <v>368.40000000000003</v>
      </c>
      <c r="G43" s="74">
        <f t="shared" ref="G43:G57" si="19">F43*0.05</f>
        <v>18.420000000000002</v>
      </c>
      <c r="H43" s="74">
        <f t="shared" ref="H43:H57" si="20">F43*0.1</f>
        <v>36.840000000000003</v>
      </c>
      <c r="I43" s="85">
        <f>F43*$L$8+G43*$L$7+H43*$L$9</f>
        <v>50865.540600000008</v>
      </c>
      <c r="K43" s="174"/>
      <c r="L43" s="174"/>
      <c r="M43" s="174"/>
      <c r="N43" s="174"/>
      <c r="O43" s="72">
        <f t="shared" si="0"/>
        <v>3684</v>
      </c>
    </row>
    <row r="44" spans="1:15" ht="14.5" customHeight="1" x14ac:dyDescent="0.3">
      <c r="A44" s="92" t="s">
        <v>252</v>
      </c>
      <c r="B44" s="74">
        <v>0.4</v>
      </c>
      <c r="C44" s="75">
        <v>1</v>
      </c>
      <c r="D44" s="74">
        <f t="shared" ref="D44" si="21">B44*C44</f>
        <v>0.4</v>
      </c>
      <c r="E44" s="89">
        <v>307</v>
      </c>
      <c r="F44" s="90">
        <f t="shared" ref="F44" si="22">D44*E44</f>
        <v>122.80000000000001</v>
      </c>
      <c r="G44" s="74">
        <f t="shared" ref="G44" si="23">F44*0.05</f>
        <v>6.1400000000000006</v>
      </c>
      <c r="H44" s="74">
        <f t="shared" ref="H44" si="24">F44*0.1</f>
        <v>12.280000000000001</v>
      </c>
      <c r="I44" s="85">
        <f>F44*$L$8+G44*$L$7+H44*$L$9</f>
        <v>16955.180199999999</v>
      </c>
      <c r="L44" s="174"/>
      <c r="M44" s="174"/>
      <c r="N44" s="174"/>
      <c r="O44" s="72">
        <f t="shared" si="0"/>
        <v>307</v>
      </c>
    </row>
    <row r="45" spans="1:15" ht="17.5" customHeight="1" x14ac:dyDescent="0.3">
      <c r="A45" s="92" t="s">
        <v>277</v>
      </c>
      <c r="B45" s="74">
        <v>0.1</v>
      </c>
      <c r="C45" s="116">
        <v>4</v>
      </c>
      <c r="D45" s="74">
        <f t="shared" ref="D45" si="25">B45*C45</f>
        <v>0.4</v>
      </c>
      <c r="E45" s="89">
        <v>307</v>
      </c>
      <c r="F45" s="90">
        <f t="shared" ref="F45" si="26">D45*E45</f>
        <v>122.80000000000001</v>
      </c>
      <c r="G45" s="74">
        <f t="shared" ref="G45" si="27">F45*0.05</f>
        <v>6.1400000000000006</v>
      </c>
      <c r="H45" s="74">
        <f t="shared" ref="H45" si="28">F45*0.1</f>
        <v>12.280000000000001</v>
      </c>
      <c r="I45" s="85">
        <f>F45*$L$8+G45*$L$7+H45*$L$9</f>
        <v>16955.180199999999</v>
      </c>
      <c r="L45" s="174"/>
      <c r="M45" s="174"/>
      <c r="N45" s="174"/>
      <c r="O45" s="72">
        <f t="shared" si="0"/>
        <v>1228</v>
      </c>
    </row>
    <row r="46" spans="1:15" ht="26.5" customHeight="1" x14ac:dyDescent="0.3">
      <c r="A46" s="115" t="s">
        <v>251</v>
      </c>
      <c r="B46" s="74">
        <v>0.1</v>
      </c>
      <c r="C46" s="75">
        <v>4</v>
      </c>
      <c r="D46" s="74">
        <f t="shared" si="17"/>
        <v>0.4</v>
      </c>
      <c r="E46" s="89">
        <f>E43</f>
        <v>307</v>
      </c>
      <c r="F46" s="90">
        <f t="shared" si="18"/>
        <v>122.80000000000001</v>
      </c>
      <c r="G46" s="74">
        <f t="shared" si="19"/>
        <v>6.1400000000000006</v>
      </c>
      <c r="H46" s="74">
        <f t="shared" si="20"/>
        <v>12.280000000000001</v>
      </c>
      <c r="I46" s="85">
        <f>F46*$L$8+G46*$L$7+H46*$L$9</f>
        <v>16955.180199999999</v>
      </c>
      <c r="O46" s="72">
        <f t="shared" si="0"/>
        <v>1228</v>
      </c>
    </row>
    <row r="47" spans="1:15" ht="26.5" customHeight="1" x14ac:dyDescent="0.3">
      <c r="A47" s="88" t="s">
        <v>262</v>
      </c>
      <c r="B47" s="74"/>
      <c r="C47" s="75"/>
      <c r="D47" s="74"/>
      <c r="E47" s="89"/>
      <c r="F47" s="90"/>
      <c r="G47" s="74"/>
      <c r="H47" s="74"/>
      <c r="I47" s="85"/>
      <c r="O47" s="72">
        <f t="shared" si="0"/>
        <v>0</v>
      </c>
    </row>
    <row r="48" spans="1:15" ht="26.5" customHeight="1" x14ac:dyDescent="0.3">
      <c r="A48" s="115" t="s">
        <v>253</v>
      </c>
      <c r="B48" s="74">
        <v>5.0000000000000001E-3</v>
      </c>
      <c r="C48" s="75">
        <v>365</v>
      </c>
      <c r="D48" s="74">
        <f t="shared" ref="D48" si="29">B48*C48</f>
        <v>1.825</v>
      </c>
      <c r="E48" s="89">
        <v>0</v>
      </c>
      <c r="F48" s="90">
        <f t="shared" ref="F48" si="30">D48*E48</f>
        <v>0</v>
      </c>
      <c r="G48" s="74">
        <f t="shared" ref="G48" si="31">F48*0.05</f>
        <v>0</v>
      </c>
      <c r="H48" s="74">
        <f t="shared" ref="H48" si="32">F48*0.1</f>
        <v>0</v>
      </c>
      <c r="I48" s="85">
        <f>F48*$L$8+G48*$L$7+H48*$L$9</f>
        <v>0</v>
      </c>
      <c r="O48" s="72">
        <f t="shared" si="0"/>
        <v>0</v>
      </c>
    </row>
    <row r="49" spans="1:16" ht="26.5" customHeight="1" x14ac:dyDescent="0.3">
      <c r="A49" s="115" t="s">
        <v>254</v>
      </c>
      <c r="B49" s="74">
        <v>0.1</v>
      </c>
      <c r="C49" s="75">
        <v>12</v>
      </c>
      <c r="D49" s="74">
        <f t="shared" ref="D49" si="33">B49*C49</f>
        <v>1.2000000000000002</v>
      </c>
      <c r="E49" s="89">
        <v>0</v>
      </c>
      <c r="F49" s="90">
        <f t="shared" ref="F49" si="34">D49*E49</f>
        <v>0</v>
      </c>
      <c r="G49" s="74">
        <f t="shared" ref="G49" si="35">F49*0.05</f>
        <v>0</v>
      </c>
      <c r="H49" s="74">
        <f t="shared" ref="H49" si="36">F49*0.1</f>
        <v>0</v>
      </c>
      <c r="I49" s="85">
        <f>F49*$L$8+G49*$L$7+H49*$L$9</f>
        <v>0</v>
      </c>
      <c r="K49" s="127"/>
      <c r="O49" s="72">
        <f t="shared" si="0"/>
        <v>0</v>
      </c>
    </row>
    <row r="50" spans="1:16" ht="26.5" customHeight="1" x14ac:dyDescent="0.3">
      <c r="A50" s="88" t="s">
        <v>263</v>
      </c>
      <c r="B50" s="74"/>
      <c r="C50" s="75"/>
      <c r="D50" s="74"/>
      <c r="E50" s="89"/>
      <c r="F50" s="90"/>
      <c r="G50" s="74"/>
      <c r="H50" s="74"/>
      <c r="I50" s="85"/>
      <c r="K50" s="127"/>
      <c r="O50" s="72">
        <f t="shared" si="0"/>
        <v>0</v>
      </c>
    </row>
    <row r="51" spans="1:16" ht="26.5" customHeight="1" x14ac:dyDescent="0.3">
      <c r="A51" s="115" t="s">
        <v>257</v>
      </c>
      <c r="B51" s="74">
        <v>16</v>
      </c>
      <c r="C51" s="75">
        <v>1</v>
      </c>
      <c r="D51" s="74">
        <f t="shared" ref="D51" si="37">B51*C51</f>
        <v>16</v>
      </c>
      <c r="E51" s="89">
        <v>0</v>
      </c>
      <c r="F51" s="90">
        <f t="shared" ref="F51" si="38">D51*E51</f>
        <v>0</v>
      </c>
      <c r="G51" s="74">
        <f t="shared" ref="G51" si="39">F51*0.05</f>
        <v>0</v>
      </c>
      <c r="H51" s="74">
        <f t="shared" ref="H51" si="40">F51*0.1</f>
        <v>0</v>
      </c>
      <c r="I51" s="85">
        <f>F51*$L$8+G51*$L$7+H51*$L$9</f>
        <v>0</v>
      </c>
      <c r="O51" s="72">
        <f t="shared" si="0"/>
        <v>0</v>
      </c>
    </row>
    <row r="52" spans="1:16" ht="26" x14ac:dyDescent="0.3">
      <c r="A52" s="115" t="s">
        <v>276</v>
      </c>
      <c r="B52" s="74">
        <v>1</v>
      </c>
      <c r="C52" s="75">
        <v>1</v>
      </c>
      <c r="D52" s="74">
        <f t="shared" ref="D52" si="41">B52*C52</f>
        <v>1</v>
      </c>
      <c r="E52" s="89">
        <v>0</v>
      </c>
      <c r="F52" s="90">
        <f t="shared" ref="F52" si="42">D52*E52</f>
        <v>0</v>
      </c>
      <c r="G52" s="74">
        <f t="shared" ref="G52" si="43">F52*0.05</f>
        <v>0</v>
      </c>
      <c r="H52" s="74">
        <f t="shared" ref="H52" si="44">F52*0.1</f>
        <v>0</v>
      </c>
      <c r="I52" s="85">
        <f>F52*$L$8+G52*$L$7+H52*$L$9</f>
        <v>0</v>
      </c>
      <c r="O52" s="72">
        <f t="shared" si="0"/>
        <v>0</v>
      </c>
    </row>
    <row r="53" spans="1:16" ht="26" x14ac:dyDescent="0.3">
      <c r="A53" s="115" t="s">
        <v>260</v>
      </c>
      <c r="B53" s="74">
        <v>0.5</v>
      </c>
      <c r="C53" s="75">
        <v>1</v>
      </c>
      <c r="D53" s="74">
        <f t="shared" ref="D53" si="45">B53*C53</f>
        <v>0.5</v>
      </c>
      <c r="E53" s="89">
        <v>0</v>
      </c>
      <c r="F53" s="90">
        <f t="shared" ref="F53" si="46">D53*E53</f>
        <v>0</v>
      </c>
      <c r="G53" s="74">
        <f t="shared" ref="G53" si="47">F53*0.05</f>
        <v>0</v>
      </c>
      <c r="H53" s="74">
        <f t="shared" ref="H53" si="48">F53*0.1</f>
        <v>0</v>
      </c>
      <c r="I53" s="85">
        <f>F53*$L$8+G53*$L$7+H53*$L$9</f>
        <v>0</v>
      </c>
      <c r="O53" s="72">
        <f t="shared" si="0"/>
        <v>0</v>
      </c>
    </row>
    <row r="54" spans="1:16" x14ac:dyDescent="0.3">
      <c r="A54" s="97" t="s">
        <v>76</v>
      </c>
      <c r="B54" s="74"/>
      <c r="C54" s="75"/>
      <c r="D54" s="74"/>
      <c r="E54" s="89"/>
      <c r="F54" s="90"/>
      <c r="G54" s="74"/>
      <c r="H54" s="74"/>
      <c r="I54" s="85"/>
      <c r="O54" s="72">
        <f t="shared" si="0"/>
        <v>0</v>
      </c>
    </row>
    <row r="55" spans="1:16" x14ac:dyDescent="0.3">
      <c r="A55" s="92" t="s">
        <v>120</v>
      </c>
      <c r="B55" s="74">
        <v>0</v>
      </c>
      <c r="C55" s="75">
        <v>0</v>
      </c>
      <c r="D55" s="74">
        <f>B55*C55</f>
        <v>0</v>
      </c>
      <c r="E55" s="89">
        <f>$L$12</f>
        <v>2.5787999999999998</v>
      </c>
      <c r="F55" s="90">
        <f t="shared" ref="F55:F56" si="49">D55*E55</f>
        <v>0</v>
      </c>
      <c r="G55" s="74">
        <f t="shared" ref="G55:G56" si="50">F55*0.05</f>
        <v>0</v>
      </c>
      <c r="H55" s="74">
        <f t="shared" ref="H55:H56" si="51">F55*0.1</f>
        <v>0</v>
      </c>
      <c r="I55" s="82">
        <f>F55*$L$8+G55*$L$7+H55*$L$9</f>
        <v>0</v>
      </c>
      <c r="O55" s="72">
        <f t="shared" si="0"/>
        <v>0</v>
      </c>
    </row>
    <row r="56" spans="1:16" x14ac:dyDescent="0.3">
      <c r="A56" s="92" t="s">
        <v>250</v>
      </c>
      <c r="B56" s="74">
        <v>0</v>
      </c>
      <c r="C56" s="75">
        <v>0</v>
      </c>
      <c r="D56" s="74">
        <f t="shared" ref="D56" si="52">B56*C56</f>
        <v>0</v>
      </c>
      <c r="E56" s="89">
        <f>$L$12</f>
        <v>2.5787999999999998</v>
      </c>
      <c r="F56" s="90">
        <f t="shared" si="49"/>
        <v>0</v>
      </c>
      <c r="G56" s="74">
        <f t="shared" si="50"/>
        <v>0</v>
      </c>
      <c r="H56" s="74">
        <f t="shared" si="51"/>
        <v>0</v>
      </c>
      <c r="I56" s="82">
        <f>F56*$L$8+G56*$L$7+H56*$L$9</f>
        <v>0</v>
      </c>
      <c r="O56" s="72">
        <f t="shared" si="0"/>
        <v>0</v>
      </c>
    </row>
    <row r="57" spans="1:16" ht="17.25" customHeight="1" x14ac:dyDescent="0.3">
      <c r="A57" s="84" t="s">
        <v>274</v>
      </c>
      <c r="B57" s="74">
        <v>16</v>
      </c>
      <c r="C57" s="75">
        <v>1</v>
      </c>
      <c r="D57" s="74">
        <f t="shared" si="17"/>
        <v>16</v>
      </c>
      <c r="E57" s="89">
        <v>307</v>
      </c>
      <c r="F57" s="90">
        <f t="shared" si="18"/>
        <v>4912</v>
      </c>
      <c r="G57" s="74">
        <f t="shared" si="19"/>
        <v>245.60000000000002</v>
      </c>
      <c r="H57" s="74">
        <f t="shared" si="20"/>
        <v>491.20000000000005</v>
      </c>
      <c r="I57" s="82">
        <f>F57*$L$8+G57*$L$7+H57*$L$9</f>
        <v>678207.2080000001</v>
      </c>
      <c r="O57" s="72">
        <f t="shared" si="0"/>
        <v>307</v>
      </c>
    </row>
    <row r="58" spans="1:16" x14ac:dyDescent="0.3">
      <c r="A58" s="84" t="s">
        <v>122</v>
      </c>
      <c r="B58" s="74" t="s">
        <v>77</v>
      </c>
      <c r="C58" s="78"/>
      <c r="D58" s="79"/>
      <c r="E58" s="78"/>
      <c r="F58" s="79"/>
      <c r="G58" s="79"/>
      <c r="H58" s="79"/>
      <c r="I58" s="79"/>
      <c r="O58" s="72">
        <f>SUM(O8:O57)</f>
        <v>9133.3114000000005</v>
      </c>
      <c r="P58" s="72" t="s">
        <v>384</v>
      </c>
    </row>
    <row r="59" spans="1:16" ht="13.5" x14ac:dyDescent="0.3">
      <c r="A59" s="99" t="s">
        <v>60</v>
      </c>
      <c r="B59" s="104"/>
      <c r="C59" s="105"/>
      <c r="D59" s="104"/>
      <c r="E59" s="106"/>
      <c r="F59" s="165">
        <f>SUM(F43:H57)</f>
        <v>6496.12</v>
      </c>
      <c r="G59" s="165"/>
      <c r="H59" s="165"/>
      <c r="I59" s="103">
        <f>SUM(I43:I58)</f>
        <v>779938.28920000012</v>
      </c>
    </row>
    <row r="60" spans="1:16" ht="15" x14ac:dyDescent="0.3">
      <c r="A60" s="107" t="s">
        <v>123</v>
      </c>
      <c r="B60" s="108"/>
      <c r="C60" s="109"/>
      <c r="D60" s="108"/>
      <c r="E60" s="110"/>
      <c r="F60" s="347">
        <f>ROUND(F59+F35, -2)</f>
        <v>33800</v>
      </c>
      <c r="G60" s="347"/>
      <c r="H60" s="347"/>
      <c r="I60" s="111">
        <f>ROUND(I59+I35, -4)</f>
        <v>4060000</v>
      </c>
      <c r="K60" s="112">
        <f>F60/212</f>
        <v>159.43396226415095</v>
      </c>
      <c r="L60" s="72" t="s">
        <v>124</v>
      </c>
    </row>
    <row r="61" spans="1:16" ht="15" x14ac:dyDescent="0.3">
      <c r="A61" s="113" t="s">
        <v>78</v>
      </c>
      <c r="B61" s="79"/>
      <c r="C61" s="78"/>
      <c r="D61" s="79"/>
      <c r="E61" s="78"/>
      <c r="F61" s="79"/>
      <c r="G61" s="79"/>
      <c r="H61" s="79"/>
      <c r="I61" s="111">
        <v>0</v>
      </c>
    </row>
    <row r="62" spans="1:16" ht="15" x14ac:dyDescent="0.3">
      <c r="A62" s="113" t="s">
        <v>125</v>
      </c>
      <c r="B62" s="79"/>
      <c r="C62" s="78"/>
      <c r="D62" s="79"/>
      <c r="E62" s="78"/>
      <c r="F62" s="79"/>
      <c r="G62" s="79"/>
      <c r="H62" s="79"/>
      <c r="I62" s="111">
        <f>ROUND(I60+I61, -5)</f>
        <v>4100000</v>
      </c>
    </row>
    <row r="63" spans="1:16" ht="15.5" customHeight="1" x14ac:dyDescent="0.3"/>
    <row r="64" spans="1:16" ht="23" customHeight="1" x14ac:dyDescent="0.3">
      <c r="A64" s="348" t="s">
        <v>270</v>
      </c>
      <c r="B64" s="348"/>
      <c r="C64" s="348"/>
      <c r="D64" s="348"/>
      <c r="E64" s="348"/>
      <c r="F64" s="348"/>
      <c r="G64" s="348"/>
      <c r="H64" s="348"/>
      <c r="I64" s="348"/>
    </row>
    <row r="65" spans="1:9" ht="39" customHeight="1" x14ac:dyDescent="0.3">
      <c r="A65" s="349" t="s">
        <v>182</v>
      </c>
      <c r="B65" s="349"/>
      <c r="C65" s="349"/>
      <c r="D65" s="349"/>
      <c r="E65" s="349"/>
      <c r="F65" s="349"/>
      <c r="G65" s="349"/>
      <c r="H65" s="349"/>
      <c r="I65" s="349"/>
    </row>
    <row r="66" spans="1:9" ht="15.5" x14ac:dyDescent="0.3">
      <c r="A66" s="348" t="s">
        <v>271</v>
      </c>
      <c r="B66" s="348"/>
      <c r="C66" s="348"/>
      <c r="D66" s="348"/>
      <c r="E66" s="348"/>
      <c r="F66" s="348"/>
      <c r="G66" s="348"/>
      <c r="H66" s="348"/>
      <c r="I66" s="348"/>
    </row>
    <row r="67" spans="1:9" ht="18.75" customHeight="1" x14ac:dyDescent="0.3">
      <c r="A67" s="350" t="s">
        <v>267</v>
      </c>
      <c r="B67" s="350"/>
      <c r="C67" s="350"/>
      <c r="D67" s="350"/>
      <c r="E67" s="350"/>
      <c r="F67" s="350"/>
      <c r="G67" s="350"/>
      <c r="H67" s="350"/>
      <c r="I67" s="350"/>
    </row>
    <row r="68" spans="1:9" ht="15.5" x14ac:dyDescent="0.3">
      <c r="A68" s="351" t="s">
        <v>191</v>
      </c>
      <c r="B68" s="351"/>
      <c r="C68" s="351"/>
      <c r="D68" s="351"/>
      <c r="E68" s="351"/>
      <c r="F68" s="351"/>
      <c r="G68" s="351"/>
      <c r="H68" s="351"/>
      <c r="I68" s="351"/>
    </row>
    <row r="69" spans="1:9" ht="24.5" customHeight="1" x14ac:dyDescent="0.3">
      <c r="A69" s="345" t="s">
        <v>126</v>
      </c>
      <c r="B69" s="345"/>
      <c r="C69" s="345"/>
      <c r="D69" s="345"/>
      <c r="E69" s="345"/>
      <c r="F69" s="345"/>
      <c r="G69" s="345"/>
      <c r="H69" s="345"/>
      <c r="I69" s="345"/>
    </row>
  </sheetData>
  <mergeCells count="9">
    <mergeCell ref="A3:H3"/>
    <mergeCell ref="A69:I69"/>
    <mergeCell ref="K6:L6"/>
    <mergeCell ref="F60:H60"/>
    <mergeCell ref="A64:I64"/>
    <mergeCell ref="A65:I65"/>
    <mergeCell ref="A66:I66"/>
    <mergeCell ref="A67:I67"/>
    <mergeCell ref="A68:I68"/>
  </mergeCells>
  <pageMargins left="0.7" right="0.7" top="0.75" bottom="0.75" header="0.3" footer="0.3"/>
  <pageSetup scale="3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8C2B9-3053-4336-AD6E-D0376AE8E3A7}">
  <sheetPr codeName="Sheet7">
    <pageSetUpPr fitToPage="1"/>
  </sheetPr>
  <dimension ref="A1:P69"/>
  <sheetViews>
    <sheetView zoomScale="80" zoomScaleNormal="80" workbookViewId="0">
      <pane xSplit="13" ySplit="5" topLeftCell="N6" activePane="bottomRight" state="frozen"/>
      <selection activeCell="I3" sqref="A3:I3"/>
      <selection pane="topRight" activeCell="I3" sqref="A3:I3"/>
      <selection pane="bottomLeft" activeCell="I3" sqref="A3:I3"/>
      <selection pane="bottomRight" activeCell="O59" sqref="O59"/>
    </sheetView>
  </sheetViews>
  <sheetFormatPr defaultColWidth="9.1796875" defaultRowHeight="13" x14ac:dyDescent="0.3"/>
  <cols>
    <col min="1" max="1" width="30.08984375" style="72" customWidth="1"/>
    <col min="2" max="2" width="10.1796875" style="72" customWidth="1"/>
    <col min="3" max="3" width="12" style="81" customWidth="1"/>
    <col min="4" max="4" width="11.1796875" style="72" customWidth="1"/>
    <col min="5" max="5" width="12.1796875" style="81" customWidth="1"/>
    <col min="6" max="6" width="10.26953125" style="72" customWidth="1"/>
    <col min="7" max="7" width="11.7265625" style="72" customWidth="1"/>
    <col min="8" max="8" width="11.26953125" style="72" customWidth="1"/>
    <col min="9" max="9" width="14.26953125" style="72" customWidth="1"/>
    <col min="10" max="10" width="7.1796875" style="72" customWidth="1"/>
    <col min="11" max="11" width="37.81640625" style="72" customWidth="1"/>
    <col min="12" max="12" width="14.453125" style="72" customWidth="1"/>
    <col min="13" max="13" width="34.6328125" style="86" customWidth="1"/>
    <col min="14" max="14" width="20.453125" style="72" customWidth="1"/>
    <col min="15" max="15" width="14.1796875" style="72" customWidth="1"/>
    <col min="16" max="16384" width="9.1796875" style="72"/>
  </cols>
  <sheetData>
    <row r="1" spans="1:15" s="54" customFormat="1" ht="15" x14ac:dyDescent="0.3">
      <c r="A1" s="57" t="s">
        <v>242</v>
      </c>
      <c r="J1" s="56"/>
      <c r="M1" s="169"/>
    </row>
    <row r="2" spans="1:15" s="54" customFormat="1" ht="15" x14ac:dyDescent="0.3">
      <c r="A2" s="55" t="s">
        <v>248</v>
      </c>
      <c r="J2" s="56"/>
      <c r="M2" s="169"/>
    </row>
    <row r="3" spans="1:15" s="54" customFormat="1" ht="33.5" customHeight="1" x14ac:dyDescent="0.3">
      <c r="A3" s="343" t="s">
        <v>429</v>
      </c>
      <c r="B3" s="344"/>
      <c r="C3" s="344"/>
      <c r="D3" s="344"/>
      <c r="E3" s="344"/>
      <c r="F3" s="344"/>
      <c r="G3" s="344"/>
      <c r="H3" s="344"/>
      <c r="I3" s="178"/>
      <c r="J3" s="56"/>
      <c r="M3" s="169"/>
    </row>
    <row r="5" spans="1:15" ht="65" x14ac:dyDescent="0.3">
      <c r="A5" s="73" t="s">
        <v>32</v>
      </c>
      <c r="B5" s="74" t="s">
        <v>88</v>
      </c>
      <c r="C5" s="75" t="s">
        <v>89</v>
      </c>
      <c r="D5" s="74" t="s">
        <v>90</v>
      </c>
      <c r="E5" s="75" t="s">
        <v>91</v>
      </c>
      <c r="F5" s="74" t="s">
        <v>92</v>
      </c>
      <c r="G5" s="74" t="s">
        <v>93</v>
      </c>
      <c r="H5" s="74" t="s">
        <v>94</v>
      </c>
      <c r="I5" s="74" t="s">
        <v>95</v>
      </c>
      <c r="J5" s="76"/>
      <c r="O5" s="72" t="s">
        <v>30</v>
      </c>
    </row>
    <row r="6" spans="1:15" x14ac:dyDescent="0.3">
      <c r="A6" s="77" t="s">
        <v>96</v>
      </c>
      <c r="B6" s="74" t="s">
        <v>77</v>
      </c>
      <c r="C6" s="78"/>
      <c r="D6" s="79"/>
      <c r="E6" s="78"/>
      <c r="F6" s="79"/>
      <c r="G6" s="79"/>
      <c r="H6" s="79"/>
      <c r="I6" s="79"/>
      <c r="K6" s="346" t="s">
        <v>68</v>
      </c>
      <c r="L6" s="346"/>
      <c r="O6" s="72">
        <f>C6*E6</f>
        <v>0</v>
      </c>
    </row>
    <row r="7" spans="1:15" ht="26.5" customHeight="1" x14ac:dyDescent="0.3">
      <c r="A7" s="77" t="s">
        <v>97</v>
      </c>
      <c r="B7" s="74" t="s">
        <v>77</v>
      </c>
      <c r="C7" s="78"/>
      <c r="D7" s="79"/>
      <c r="E7" s="78"/>
      <c r="F7" s="79"/>
      <c r="G7" s="79"/>
      <c r="H7" s="79"/>
      <c r="I7" s="79"/>
      <c r="K7" s="80" t="s">
        <v>69</v>
      </c>
      <c r="L7" s="223">
        <v>157.61000000000001</v>
      </c>
      <c r="M7" s="167" t="s">
        <v>180</v>
      </c>
      <c r="O7" s="72">
        <f t="shared" ref="O7:O57" si="0">C7*E7</f>
        <v>0</v>
      </c>
    </row>
    <row r="8" spans="1:15" ht="58" customHeight="1" x14ac:dyDescent="0.3">
      <c r="A8" s="77" t="s">
        <v>98</v>
      </c>
      <c r="B8" s="74">
        <v>24</v>
      </c>
      <c r="C8" s="75">
        <v>1</v>
      </c>
      <c r="D8" s="74">
        <f>B8*C8</f>
        <v>24</v>
      </c>
      <c r="E8" s="325">
        <f>L12</f>
        <v>2.5787999999999998</v>
      </c>
      <c r="F8" s="324">
        <f>D8*E8</f>
        <v>61.891199999999998</v>
      </c>
      <c r="G8" s="324">
        <f>F8*0.05</f>
        <v>3.09456</v>
      </c>
      <c r="H8" s="324">
        <f>F8*0.1</f>
        <v>6.18912</v>
      </c>
      <c r="I8" s="82">
        <f>F8*$L$8+G8*$L$7+H8*$L$9</f>
        <v>8545.4108207999998</v>
      </c>
      <c r="K8" s="80" t="s">
        <v>33</v>
      </c>
      <c r="L8" s="223">
        <v>123.94</v>
      </c>
      <c r="M8" s="168"/>
      <c r="O8" s="72">
        <f t="shared" si="0"/>
        <v>2.5787999999999998</v>
      </c>
    </row>
    <row r="9" spans="1:15" x14ac:dyDescent="0.3">
      <c r="A9" s="77" t="s">
        <v>99</v>
      </c>
      <c r="B9" s="74"/>
      <c r="C9" s="75"/>
      <c r="D9" s="74"/>
      <c r="E9" s="75"/>
      <c r="F9" s="74"/>
      <c r="G9" s="74"/>
      <c r="H9" s="74"/>
      <c r="I9" s="79"/>
      <c r="K9" s="80" t="s">
        <v>34</v>
      </c>
      <c r="L9" s="223">
        <v>62.51</v>
      </c>
      <c r="M9" s="168"/>
      <c r="O9" s="72">
        <f t="shared" si="0"/>
        <v>0</v>
      </c>
    </row>
    <row r="10" spans="1:15" ht="29.5" customHeight="1" x14ac:dyDescent="0.3">
      <c r="A10" s="326" t="s">
        <v>100</v>
      </c>
      <c r="B10" s="74">
        <v>20</v>
      </c>
      <c r="C10" s="75">
        <v>1</v>
      </c>
      <c r="D10" s="74">
        <f>B10*C10</f>
        <v>20</v>
      </c>
      <c r="E10" s="75">
        <v>0</v>
      </c>
      <c r="F10" s="74">
        <f>D10*E10</f>
        <v>0</v>
      </c>
      <c r="G10" s="74">
        <f>F10*0.05</f>
        <v>0</v>
      </c>
      <c r="H10" s="74">
        <f>F10*0.1</f>
        <v>0</v>
      </c>
      <c r="I10" s="85">
        <f>F10*$L$8+G10*$L$7+H10*$L$9</f>
        <v>0</v>
      </c>
      <c r="K10" s="86"/>
      <c r="O10" s="72">
        <f t="shared" si="0"/>
        <v>0</v>
      </c>
    </row>
    <row r="11" spans="1:15" ht="15.75" customHeight="1" x14ac:dyDescent="0.3">
      <c r="A11" s="326" t="s">
        <v>101</v>
      </c>
      <c r="B11" s="74"/>
      <c r="C11" s="75"/>
      <c r="D11" s="74"/>
      <c r="E11" s="75"/>
      <c r="F11" s="74"/>
      <c r="G11" s="74"/>
      <c r="H11" s="74"/>
      <c r="I11" s="85"/>
      <c r="K11" s="87"/>
      <c r="L11" s="87" t="s">
        <v>261</v>
      </c>
      <c r="O11" s="72">
        <f t="shared" si="0"/>
        <v>0</v>
      </c>
    </row>
    <row r="12" spans="1:15" ht="41.5" x14ac:dyDescent="0.3">
      <c r="A12" s="327" t="s">
        <v>268</v>
      </c>
      <c r="B12" s="74"/>
      <c r="C12" s="75"/>
      <c r="D12" s="74"/>
      <c r="E12" s="89"/>
      <c r="F12" s="90"/>
      <c r="G12" s="74"/>
      <c r="H12" s="74"/>
      <c r="I12" s="85"/>
      <c r="K12" s="87" t="s">
        <v>104</v>
      </c>
      <c r="L12" s="87">
        <f>L14*0.0084</f>
        <v>2.5787999999999998</v>
      </c>
      <c r="M12" s="86" t="s">
        <v>269</v>
      </c>
      <c r="O12" s="72">
        <f t="shared" si="0"/>
        <v>0</v>
      </c>
    </row>
    <row r="13" spans="1:15" ht="29.5" customHeight="1" x14ac:dyDescent="0.3">
      <c r="A13" s="328" t="s">
        <v>264</v>
      </c>
      <c r="B13" s="75">
        <v>8</v>
      </c>
      <c r="C13" s="75">
        <v>1</v>
      </c>
      <c r="D13" s="74">
        <f>B13*C13</f>
        <v>8</v>
      </c>
      <c r="E13" s="323">
        <f>L16</f>
        <v>1.2515999999999998</v>
      </c>
      <c r="F13" s="90">
        <f>D13*E13</f>
        <v>10.012799999999999</v>
      </c>
      <c r="G13" s="324">
        <f>F13*0.05</f>
        <v>0.50063999999999997</v>
      </c>
      <c r="H13" s="324">
        <f>F13*0.1</f>
        <v>1.0012799999999999</v>
      </c>
      <c r="I13" s="85">
        <f>F13*$L$8+G13*$L$7+H13*$L$9</f>
        <v>1382.4823151999997</v>
      </c>
      <c r="K13" s="87" t="s">
        <v>105</v>
      </c>
      <c r="L13" s="87">
        <f>L12+L14*0.1</f>
        <v>33.278800000000004</v>
      </c>
      <c r="O13" s="72">
        <f t="shared" si="0"/>
        <v>1.2515999999999998</v>
      </c>
    </row>
    <row r="14" spans="1:15" ht="26" x14ac:dyDescent="0.3">
      <c r="A14" s="328" t="s">
        <v>265</v>
      </c>
      <c r="B14" s="75">
        <v>8</v>
      </c>
      <c r="C14" s="75">
        <v>1</v>
      </c>
      <c r="D14" s="74">
        <f t="shared" ref="D14" si="1">B14*C14</f>
        <v>8</v>
      </c>
      <c r="E14" s="323">
        <f>E13*0.05</f>
        <v>6.2579999999999997E-2</v>
      </c>
      <c r="F14" s="90">
        <f t="shared" ref="F14:F21" si="2">D14*E14</f>
        <v>0.50063999999999997</v>
      </c>
      <c r="G14" s="324">
        <f t="shared" ref="G14:G21" si="3">F14*0.05</f>
        <v>2.5031999999999999E-2</v>
      </c>
      <c r="H14" s="324">
        <f t="shared" ref="H14:H21" si="4">F14*0.1</f>
        <v>5.0063999999999997E-2</v>
      </c>
      <c r="I14" s="85">
        <f t="shared" ref="I14:I21" si="5">F14*$L$8+G14*$L$7+H14*$L$9</f>
        <v>69.124115760000009</v>
      </c>
      <c r="J14" s="86"/>
      <c r="K14" s="87" t="s">
        <v>80</v>
      </c>
      <c r="L14" s="87">
        <v>307</v>
      </c>
      <c r="O14" s="72">
        <f t="shared" si="0"/>
        <v>6.2579999999999997E-2</v>
      </c>
    </row>
    <row r="15" spans="1:15" ht="28.5" x14ac:dyDescent="0.3">
      <c r="A15" s="327" t="s">
        <v>266</v>
      </c>
      <c r="B15" s="74"/>
      <c r="C15" s="75"/>
      <c r="D15" s="74"/>
      <c r="E15" s="75"/>
      <c r="F15" s="90"/>
      <c r="G15" s="74"/>
      <c r="H15" s="74"/>
      <c r="I15" s="85"/>
      <c r="K15" s="87" t="s">
        <v>397</v>
      </c>
      <c r="L15" s="87">
        <f>L17*0.0084</f>
        <v>1.3271999999999999</v>
      </c>
      <c r="M15" s="86" t="s">
        <v>269</v>
      </c>
      <c r="O15" s="72">
        <f t="shared" si="0"/>
        <v>0</v>
      </c>
    </row>
    <row r="16" spans="1:15" ht="26" x14ac:dyDescent="0.3">
      <c r="A16" s="328" t="s">
        <v>264</v>
      </c>
      <c r="B16" s="74">
        <v>8</v>
      </c>
      <c r="C16" s="75">
        <v>1</v>
      </c>
      <c r="D16" s="74">
        <f>B16*C16</f>
        <v>8</v>
      </c>
      <c r="E16" s="89">
        <f>L18</f>
        <v>149</v>
      </c>
      <c r="F16" s="90">
        <f t="shared" si="2"/>
        <v>1192</v>
      </c>
      <c r="G16" s="74">
        <f t="shared" si="3"/>
        <v>59.6</v>
      </c>
      <c r="H16" s="74">
        <f t="shared" si="4"/>
        <v>119.2</v>
      </c>
      <c r="I16" s="85">
        <f t="shared" si="5"/>
        <v>164581.22800000003</v>
      </c>
      <c r="J16" s="83"/>
      <c r="K16" s="87" t="s">
        <v>398</v>
      </c>
      <c r="L16" s="87">
        <f>L18*0.0084</f>
        <v>1.2515999999999998</v>
      </c>
      <c r="M16" s="86" t="s">
        <v>269</v>
      </c>
      <c r="N16" s="86"/>
      <c r="O16" s="72">
        <f t="shared" si="0"/>
        <v>149</v>
      </c>
    </row>
    <row r="17" spans="1:15" ht="26" x14ac:dyDescent="0.3">
      <c r="A17" s="328" t="s">
        <v>265</v>
      </c>
      <c r="B17" s="75">
        <v>8</v>
      </c>
      <c r="C17" s="75">
        <v>1</v>
      </c>
      <c r="D17" s="74">
        <f t="shared" ref="D17:D19" si="6">B17*C17</f>
        <v>8</v>
      </c>
      <c r="E17" s="89">
        <f>E16*0.05</f>
        <v>7.45</v>
      </c>
      <c r="F17" s="90">
        <f t="shared" si="2"/>
        <v>59.6</v>
      </c>
      <c r="G17" s="74">
        <f t="shared" si="3"/>
        <v>2.9800000000000004</v>
      </c>
      <c r="H17" s="74">
        <f t="shared" si="4"/>
        <v>5.9600000000000009</v>
      </c>
      <c r="I17" s="85">
        <f t="shared" si="5"/>
        <v>8229.0614000000005</v>
      </c>
      <c r="J17" s="83"/>
      <c r="K17" s="87" t="s">
        <v>399</v>
      </c>
      <c r="L17" s="120">
        <v>158</v>
      </c>
      <c r="O17" s="72">
        <f t="shared" si="0"/>
        <v>7.45</v>
      </c>
    </row>
    <row r="18" spans="1:15" ht="26" x14ac:dyDescent="0.3">
      <c r="A18" s="326" t="s">
        <v>403</v>
      </c>
      <c r="B18" s="94">
        <v>24</v>
      </c>
      <c r="C18" s="94">
        <v>2</v>
      </c>
      <c r="D18" s="93">
        <f t="shared" si="6"/>
        <v>48</v>
      </c>
      <c r="E18" s="95">
        <f>L20</f>
        <v>230.25</v>
      </c>
      <c r="F18" s="90">
        <f t="shared" si="2"/>
        <v>11052</v>
      </c>
      <c r="G18" s="74">
        <f t="shared" si="3"/>
        <v>552.6</v>
      </c>
      <c r="H18" s="74">
        <f t="shared" si="4"/>
        <v>1105.2</v>
      </c>
      <c r="I18" s="85">
        <f t="shared" si="5"/>
        <v>1525966.2179999999</v>
      </c>
      <c r="K18" s="87" t="s">
        <v>400</v>
      </c>
      <c r="L18" s="87">
        <v>149</v>
      </c>
      <c r="O18" s="72">
        <f t="shared" si="0"/>
        <v>460.5</v>
      </c>
    </row>
    <row r="19" spans="1:15" ht="26" x14ac:dyDescent="0.3">
      <c r="A19" s="326" t="s">
        <v>404</v>
      </c>
      <c r="B19" s="94">
        <v>24</v>
      </c>
      <c r="C19" s="94">
        <v>2</v>
      </c>
      <c r="D19" s="93">
        <f t="shared" si="6"/>
        <v>48</v>
      </c>
      <c r="E19" s="331">
        <f>E18*0.05</f>
        <v>11.512500000000001</v>
      </c>
      <c r="F19" s="90">
        <f t="shared" si="2"/>
        <v>552.6</v>
      </c>
      <c r="G19" s="74">
        <f t="shared" si="3"/>
        <v>27.630000000000003</v>
      </c>
      <c r="H19" s="74">
        <f t="shared" si="4"/>
        <v>55.260000000000005</v>
      </c>
      <c r="I19" s="85">
        <f t="shared" si="5"/>
        <v>76298.310899999997</v>
      </c>
      <c r="K19" s="72" t="s">
        <v>395</v>
      </c>
      <c r="L19" s="72">
        <f>L14*0.25</f>
        <v>76.75</v>
      </c>
      <c r="M19" s="86" t="s">
        <v>401</v>
      </c>
      <c r="N19" s="83"/>
      <c r="O19" s="72">
        <f t="shared" si="0"/>
        <v>23.025000000000002</v>
      </c>
    </row>
    <row r="20" spans="1:15" ht="28.5" x14ac:dyDescent="0.3">
      <c r="A20" s="327" t="s">
        <v>107</v>
      </c>
      <c r="B20" s="93"/>
      <c r="C20" s="94"/>
      <c r="D20" s="93"/>
      <c r="E20" s="95"/>
      <c r="F20" s="90"/>
      <c r="G20" s="74"/>
      <c r="H20" s="74"/>
      <c r="I20" s="85"/>
      <c r="K20" s="72" t="s">
        <v>396</v>
      </c>
      <c r="L20" s="72">
        <f>L14*0.75</f>
        <v>230.25</v>
      </c>
      <c r="M20" s="86" t="s">
        <v>401</v>
      </c>
      <c r="N20" s="83"/>
      <c r="O20" s="72">
        <f t="shared" si="0"/>
        <v>0</v>
      </c>
    </row>
    <row r="21" spans="1:15" ht="26" x14ac:dyDescent="0.3">
      <c r="A21" s="326" t="s">
        <v>190</v>
      </c>
      <c r="B21" s="74">
        <v>0.3</v>
      </c>
      <c r="C21" s="75">
        <v>330</v>
      </c>
      <c r="D21" s="74">
        <f>B21*C21</f>
        <v>99</v>
      </c>
      <c r="E21" s="89">
        <v>0</v>
      </c>
      <c r="F21" s="90">
        <f t="shared" si="2"/>
        <v>0</v>
      </c>
      <c r="G21" s="74">
        <f t="shared" si="3"/>
        <v>0</v>
      </c>
      <c r="H21" s="74">
        <f t="shared" si="4"/>
        <v>0</v>
      </c>
      <c r="I21" s="85">
        <f t="shared" si="5"/>
        <v>0</v>
      </c>
      <c r="N21" s="83"/>
      <c r="O21" s="72">
        <f t="shared" si="0"/>
        <v>0</v>
      </c>
    </row>
    <row r="22" spans="1:15" x14ac:dyDescent="0.3">
      <c r="A22" s="326" t="s">
        <v>108</v>
      </c>
      <c r="B22" s="74"/>
      <c r="C22" s="78"/>
      <c r="D22" s="79"/>
      <c r="E22" s="96"/>
      <c r="F22" s="79"/>
      <c r="G22" s="79"/>
      <c r="H22" s="79"/>
      <c r="I22" s="79"/>
      <c r="O22" s="72">
        <f t="shared" si="0"/>
        <v>0</v>
      </c>
    </row>
    <row r="23" spans="1:15" ht="26" x14ac:dyDescent="0.3">
      <c r="A23" s="326" t="s">
        <v>109</v>
      </c>
      <c r="B23" s="74"/>
      <c r="C23" s="78"/>
      <c r="D23" s="79"/>
      <c r="E23" s="96"/>
      <c r="F23" s="79"/>
      <c r="G23" s="79"/>
      <c r="H23" s="79"/>
      <c r="I23" s="79"/>
      <c r="O23" s="72">
        <f t="shared" si="0"/>
        <v>0</v>
      </c>
    </row>
    <row r="24" spans="1:15" x14ac:dyDescent="0.3">
      <c r="A24" s="326" t="s">
        <v>110</v>
      </c>
      <c r="B24" s="79"/>
      <c r="C24" s="78"/>
      <c r="D24" s="79"/>
      <c r="E24" s="96"/>
      <c r="F24" s="79"/>
      <c r="G24" s="79"/>
      <c r="H24" s="79"/>
      <c r="I24" s="79"/>
      <c r="O24" s="72">
        <f t="shared" si="0"/>
        <v>0</v>
      </c>
    </row>
    <row r="25" spans="1:15" ht="27.5" customHeight="1" x14ac:dyDescent="0.3">
      <c r="A25" s="329" t="s">
        <v>111</v>
      </c>
      <c r="B25" s="74"/>
      <c r="C25" s="75"/>
      <c r="D25" s="74"/>
      <c r="E25" s="89"/>
      <c r="F25" s="74"/>
      <c r="G25" s="74"/>
      <c r="H25" s="74"/>
      <c r="I25" s="85"/>
      <c r="O25" s="72">
        <f t="shared" si="0"/>
        <v>0</v>
      </c>
    </row>
    <row r="26" spans="1:15" x14ac:dyDescent="0.3">
      <c r="A26" s="326" t="s">
        <v>112</v>
      </c>
      <c r="B26" s="74">
        <v>2</v>
      </c>
      <c r="C26" s="75">
        <v>1</v>
      </c>
      <c r="D26" s="74">
        <v>2</v>
      </c>
      <c r="E26" s="89">
        <v>0</v>
      </c>
      <c r="F26" s="74">
        <f t="shared" ref="F26:F29" si="7">D26*E26</f>
        <v>0</v>
      </c>
      <c r="G26" s="74">
        <f t="shared" ref="G26:G29" si="8">F26*0.05</f>
        <v>0</v>
      </c>
      <c r="H26" s="74">
        <f t="shared" ref="H26:H29" si="9">F26*0.1</f>
        <v>0</v>
      </c>
      <c r="I26" s="85">
        <f>F26*$L$8+G26*$L$7+H26*$L$9</f>
        <v>0</v>
      </c>
      <c r="O26" s="72">
        <f t="shared" si="0"/>
        <v>0</v>
      </c>
    </row>
    <row r="27" spans="1:15" x14ac:dyDescent="0.3">
      <c r="A27" s="326" t="s">
        <v>113</v>
      </c>
      <c r="B27" s="74">
        <v>2</v>
      </c>
      <c r="C27" s="75">
        <v>1</v>
      </c>
      <c r="D27" s="74">
        <v>2</v>
      </c>
      <c r="E27" s="89">
        <v>0</v>
      </c>
      <c r="F27" s="74">
        <f t="shared" si="7"/>
        <v>0</v>
      </c>
      <c r="G27" s="74">
        <f t="shared" si="8"/>
        <v>0</v>
      </c>
      <c r="H27" s="74">
        <f t="shared" si="9"/>
        <v>0</v>
      </c>
      <c r="I27" s="85">
        <f>F27*$L$8+G27*$L$7+H27*$L$9</f>
        <v>0</v>
      </c>
      <c r="O27" s="72">
        <f t="shared" si="0"/>
        <v>0</v>
      </c>
    </row>
    <row r="28" spans="1:15" x14ac:dyDescent="0.3">
      <c r="A28" s="326" t="s">
        <v>272</v>
      </c>
      <c r="B28" s="74">
        <v>2</v>
      </c>
      <c r="C28" s="75">
        <v>1</v>
      </c>
      <c r="D28" s="74">
        <v>2</v>
      </c>
      <c r="E28" s="89">
        <v>0</v>
      </c>
      <c r="F28" s="74">
        <f t="shared" si="7"/>
        <v>0</v>
      </c>
      <c r="G28" s="74">
        <f t="shared" si="8"/>
        <v>0</v>
      </c>
      <c r="H28" s="74">
        <f t="shared" si="9"/>
        <v>0</v>
      </c>
      <c r="I28" s="85">
        <f>F28*$L$8+G28*$L$7+H28*$L$9</f>
        <v>0</v>
      </c>
      <c r="O28" s="72">
        <f t="shared" si="0"/>
        <v>0</v>
      </c>
    </row>
    <row r="29" spans="1:15" ht="52" x14ac:dyDescent="0.3">
      <c r="A29" s="330" t="s">
        <v>273</v>
      </c>
      <c r="B29" s="74">
        <v>8</v>
      </c>
      <c r="C29" s="116">
        <v>2</v>
      </c>
      <c r="D29" s="74">
        <f>B29*C29</f>
        <v>16</v>
      </c>
      <c r="E29" s="323">
        <f>L12</f>
        <v>2.5787999999999998</v>
      </c>
      <c r="F29" s="324">
        <f t="shared" si="7"/>
        <v>41.260799999999996</v>
      </c>
      <c r="G29" s="324">
        <f t="shared" si="8"/>
        <v>2.06304</v>
      </c>
      <c r="H29" s="324">
        <f t="shared" si="9"/>
        <v>4.12608</v>
      </c>
      <c r="I29" s="82">
        <f>F29*$L$8+G29*$L$7+H29*$L$9</f>
        <v>5696.9405471999999</v>
      </c>
      <c r="O29" s="72">
        <f t="shared" si="0"/>
        <v>5.1575999999999995</v>
      </c>
    </row>
    <row r="30" spans="1:15" x14ac:dyDescent="0.3">
      <c r="A30" s="329" t="s">
        <v>75</v>
      </c>
      <c r="B30" s="79"/>
      <c r="C30" s="78"/>
      <c r="D30" s="79"/>
      <c r="E30" s="96"/>
      <c r="F30" s="79"/>
      <c r="G30" s="79"/>
      <c r="H30" s="79"/>
      <c r="I30" s="79"/>
      <c r="O30" s="72">
        <f t="shared" si="0"/>
        <v>0</v>
      </c>
    </row>
    <row r="31" spans="1:15" x14ac:dyDescent="0.3">
      <c r="A31" s="326" t="s">
        <v>112</v>
      </c>
      <c r="B31" s="74">
        <v>2</v>
      </c>
      <c r="C31" s="75">
        <v>1</v>
      </c>
      <c r="D31" s="74">
        <v>2</v>
      </c>
      <c r="E31" s="89">
        <v>0</v>
      </c>
      <c r="F31" s="74">
        <f>D31*E31</f>
        <v>0</v>
      </c>
      <c r="G31" s="74">
        <f>F31*0.05</f>
        <v>0</v>
      </c>
      <c r="H31" s="74">
        <f>F31*0.1</f>
        <v>0</v>
      </c>
      <c r="I31" s="85">
        <f>F31*$L$8+G31*$L$7+H31*$L$9</f>
        <v>0</v>
      </c>
      <c r="O31" s="72">
        <f t="shared" si="0"/>
        <v>0</v>
      </c>
    </row>
    <row r="32" spans="1:15" ht="26" x14ac:dyDescent="0.3">
      <c r="A32" s="326" t="s">
        <v>405</v>
      </c>
      <c r="B32" s="74">
        <v>2</v>
      </c>
      <c r="C32" s="75">
        <v>2</v>
      </c>
      <c r="D32" s="74">
        <v>2</v>
      </c>
      <c r="E32" s="331">
        <f>SUM(E18:E19)</f>
        <v>241.76249999999999</v>
      </c>
      <c r="F32" s="324">
        <f>D32*E32</f>
        <v>483.52499999999998</v>
      </c>
      <c r="G32" s="324">
        <f>F32*0.05</f>
        <v>24.17625</v>
      </c>
      <c r="H32" s="324">
        <f>F32*0.1</f>
        <v>48.352499999999999</v>
      </c>
      <c r="I32" s="85">
        <f>F32*$L$8+G32*$L$7+H32*$L$9</f>
        <v>66761.022037499992</v>
      </c>
      <c r="O32" s="72">
        <f t="shared" si="0"/>
        <v>483.52499999999998</v>
      </c>
    </row>
    <row r="33" spans="1:15" ht="46.5" customHeight="1" x14ac:dyDescent="0.3">
      <c r="A33" s="326" t="s">
        <v>406</v>
      </c>
      <c r="B33" s="74">
        <v>2</v>
      </c>
      <c r="C33" s="75">
        <v>2</v>
      </c>
      <c r="D33" s="74">
        <v>2</v>
      </c>
      <c r="E33" s="323">
        <f>SUM(E18:E19)</f>
        <v>241.76249999999999</v>
      </c>
      <c r="F33" s="324">
        <f>D33*E33</f>
        <v>483.52499999999998</v>
      </c>
      <c r="G33" s="324">
        <f>F33*0.05</f>
        <v>24.17625</v>
      </c>
      <c r="H33" s="324">
        <f>F33*0.1</f>
        <v>48.352499999999999</v>
      </c>
      <c r="I33" s="85">
        <f>F33*$L$8+G33*$L$7+H33*$L$9</f>
        <v>66761.022037499992</v>
      </c>
      <c r="O33" s="72">
        <f t="shared" si="0"/>
        <v>483.52499999999998</v>
      </c>
    </row>
    <row r="34" spans="1:15" ht="39" x14ac:dyDescent="0.3">
      <c r="A34" s="330" t="s">
        <v>407</v>
      </c>
      <c r="B34" s="74">
        <v>8</v>
      </c>
      <c r="C34" s="116">
        <v>2</v>
      </c>
      <c r="D34" s="74">
        <f>B34*C34</f>
        <v>16</v>
      </c>
      <c r="E34" s="89">
        <f>L14</f>
        <v>307</v>
      </c>
      <c r="F34" s="74">
        <f t="shared" ref="F34" si="10">D34*E34</f>
        <v>4912</v>
      </c>
      <c r="G34" s="74">
        <f t="shared" ref="G34" si="11">F34*0.05</f>
        <v>245.60000000000002</v>
      </c>
      <c r="H34" s="74">
        <f t="shared" ref="H34" si="12">F34*0.1</f>
        <v>491.20000000000005</v>
      </c>
      <c r="I34" s="82">
        <f>F34*$L$8+G34*$L$7+H34*$L$9</f>
        <v>678207.2080000001</v>
      </c>
      <c r="O34" s="72">
        <f t="shared" si="0"/>
        <v>614</v>
      </c>
    </row>
    <row r="35" spans="1:15" ht="13.5" x14ac:dyDescent="0.3">
      <c r="A35" s="99" t="s">
        <v>86</v>
      </c>
      <c r="B35" s="100"/>
      <c r="C35" s="101"/>
      <c r="D35" s="100"/>
      <c r="E35" s="102"/>
      <c r="F35" s="165">
        <f>SUM(F8:H34)</f>
        <v>21676.252756000002</v>
      </c>
      <c r="G35" s="165"/>
      <c r="H35" s="165"/>
      <c r="I35" s="103">
        <f>SUM(I8:I34)</f>
        <v>2602498.0281739598</v>
      </c>
      <c r="O35" s="72">
        <f t="shared" si="0"/>
        <v>0</v>
      </c>
    </row>
    <row r="36" spans="1:15" ht="26" x14ac:dyDescent="0.3">
      <c r="A36" s="77" t="s">
        <v>115</v>
      </c>
      <c r="B36" s="79"/>
      <c r="C36" s="78"/>
      <c r="D36" s="79"/>
      <c r="E36" s="96"/>
      <c r="F36" s="79"/>
      <c r="G36" s="79"/>
      <c r="H36" s="79"/>
      <c r="I36" s="79"/>
      <c r="O36" s="72">
        <f t="shared" si="0"/>
        <v>0</v>
      </c>
    </row>
    <row r="37" spans="1:15" ht="26" x14ac:dyDescent="0.3">
      <c r="A37" s="326" t="s">
        <v>100</v>
      </c>
      <c r="B37" s="74"/>
      <c r="C37" s="78"/>
      <c r="D37" s="79"/>
      <c r="E37" s="78"/>
      <c r="F37" s="79"/>
      <c r="G37" s="79"/>
      <c r="H37" s="79"/>
      <c r="I37" s="79"/>
      <c r="O37" s="72">
        <f t="shared" si="0"/>
        <v>0</v>
      </c>
    </row>
    <row r="38" spans="1:15" x14ac:dyDescent="0.3">
      <c r="A38" s="326" t="s">
        <v>116</v>
      </c>
      <c r="B38" s="74"/>
      <c r="C38" s="78"/>
      <c r="D38" s="79"/>
      <c r="E38" s="78"/>
      <c r="F38" s="79"/>
      <c r="G38" s="79"/>
      <c r="H38" s="79"/>
      <c r="I38" s="79"/>
      <c r="O38" s="72">
        <f t="shared" si="0"/>
        <v>0</v>
      </c>
    </row>
    <row r="39" spans="1:15" x14ac:dyDescent="0.3">
      <c r="A39" s="326" t="s">
        <v>117</v>
      </c>
      <c r="B39" s="74"/>
      <c r="C39" s="78"/>
      <c r="D39" s="79"/>
      <c r="E39" s="78"/>
      <c r="F39" s="79"/>
      <c r="G39" s="79"/>
      <c r="H39" s="79"/>
      <c r="I39" s="79"/>
      <c r="O39" s="72">
        <f t="shared" si="0"/>
        <v>0</v>
      </c>
    </row>
    <row r="40" spans="1:15" x14ac:dyDescent="0.3">
      <c r="A40" s="326" t="s">
        <v>118</v>
      </c>
      <c r="B40" s="74" t="s">
        <v>77</v>
      </c>
      <c r="C40" s="78"/>
      <c r="D40" s="79"/>
      <c r="E40" s="78"/>
      <c r="F40" s="79"/>
      <c r="G40" s="79"/>
      <c r="H40" s="79"/>
      <c r="I40" s="79"/>
      <c r="K40" s="174"/>
      <c r="L40" s="174"/>
      <c r="M40" s="177"/>
      <c r="O40" s="72">
        <f t="shared" si="0"/>
        <v>0</v>
      </c>
    </row>
    <row r="41" spans="1:15" ht="26" x14ac:dyDescent="0.3">
      <c r="A41" s="326" t="s">
        <v>119</v>
      </c>
      <c r="B41" s="79"/>
      <c r="C41" s="78"/>
      <c r="D41" s="79"/>
      <c r="E41" s="78"/>
      <c r="F41" s="79"/>
      <c r="G41" s="79"/>
      <c r="H41" s="79"/>
      <c r="I41" s="79"/>
      <c r="K41" s="174"/>
      <c r="L41" s="174"/>
      <c r="M41" s="177"/>
      <c r="O41" s="72">
        <f t="shared" si="0"/>
        <v>0</v>
      </c>
    </row>
    <row r="42" spans="1:15" x14ac:dyDescent="0.3">
      <c r="A42" s="329" t="s">
        <v>75</v>
      </c>
      <c r="B42" s="79"/>
      <c r="C42" s="78"/>
      <c r="D42" s="79"/>
      <c r="E42" s="78"/>
      <c r="F42" s="79"/>
      <c r="G42" s="79"/>
      <c r="H42" s="79"/>
      <c r="I42" s="79"/>
      <c r="K42" s="174"/>
      <c r="L42" s="174"/>
      <c r="M42" s="177"/>
      <c r="O42" s="72">
        <f t="shared" si="0"/>
        <v>0</v>
      </c>
    </row>
    <row r="43" spans="1:15" x14ac:dyDescent="0.3">
      <c r="A43" s="326" t="s">
        <v>120</v>
      </c>
      <c r="B43" s="74">
        <v>0.1</v>
      </c>
      <c r="C43" s="75">
        <v>12</v>
      </c>
      <c r="D43" s="74">
        <f t="shared" ref="D43:D57" si="13">B43*C43</f>
        <v>1.2000000000000002</v>
      </c>
      <c r="E43" s="89">
        <v>307</v>
      </c>
      <c r="F43" s="90">
        <f t="shared" ref="F43:F57" si="14">D43*E43</f>
        <v>368.40000000000003</v>
      </c>
      <c r="G43" s="74">
        <f t="shared" ref="G43:G57" si="15">F43*0.05</f>
        <v>18.420000000000002</v>
      </c>
      <c r="H43" s="74">
        <f t="shared" ref="H43:H57" si="16">F43*0.1</f>
        <v>36.840000000000003</v>
      </c>
      <c r="I43" s="85">
        <f>F43*$L$8+G43*$L$7+H43*$L$9</f>
        <v>50865.540600000008</v>
      </c>
      <c r="K43" s="174"/>
      <c r="L43" s="174"/>
      <c r="M43" s="177"/>
      <c r="O43" s="72">
        <f t="shared" si="0"/>
        <v>3684</v>
      </c>
    </row>
    <row r="44" spans="1:15" ht="29.5" customHeight="1" x14ac:dyDescent="0.3">
      <c r="A44" s="326" t="s">
        <v>252</v>
      </c>
      <c r="B44" s="74">
        <v>0.4</v>
      </c>
      <c r="C44" s="75">
        <v>1</v>
      </c>
      <c r="D44" s="74">
        <f t="shared" si="13"/>
        <v>0.4</v>
      </c>
      <c r="E44" s="89">
        <v>307</v>
      </c>
      <c r="F44" s="90">
        <f t="shared" si="14"/>
        <v>122.80000000000001</v>
      </c>
      <c r="G44" s="74">
        <f t="shared" si="15"/>
        <v>6.1400000000000006</v>
      </c>
      <c r="H44" s="74">
        <f t="shared" si="16"/>
        <v>12.280000000000001</v>
      </c>
      <c r="I44" s="85">
        <f>F44*$L$8+G44*$L$7+H44*$L$9</f>
        <v>16955.180199999999</v>
      </c>
      <c r="K44" s="174"/>
      <c r="L44" s="174"/>
      <c r="M44" s="177"/>
      <c r="O44" s="72">
        <f t="shared" si="0"/>
        <v>307</v>
      </c>
    </row>
    <row r="45" spans="1:15" ht="17.5" customHeight="1" x14ac:dyDescent="0.3">
      <c r="A45" s="326" t="s">
        <v>277</v>
      </c>
      <c r="B45" s="74">
        <v>0.1</v>
      </c>
      <c r="C45" s="116">
        <v>4</v>
      </c>
      <c r="D45" s="74">
        <f t="shared" ref="D45" si="17">B45*C45</f>
        <v>0.4</v>
      </c>
      <c r="E45" s="89">
        <v>307</v>
      </c>
      <c r="F45" s="90">
        <f t="shared" ref="F45" si="18">D45*E45</f>
        <v>122.80000000000001</v>
      </c>
      <c r="G45" s="74">
        <f t="shared" ref="G45" si="19">F45*0.05</f>
        <v>6.1400000000000006</v>
      </c>
      <c r="H45" s="74">
        <f t="shared" ref="H45" si="20">F45*0.1</f>
        <v>12.280000000000001</v>
      </c>
      <c r="I45" s="85">
        <f>F45*$L$8+G45*$L$7+H45*$L$9</f>
        <v>16955.180199999999</v>
      </c>
      <c r="K45" s="174"/>
      <c r="L45" s="174"/>
      <c r="M45" s="177"/>
      <c r="O45" s="72">
        <f t="shared" si="0"/>
        <v>1228</v>
      </c>
    </row>
    <row r="46" spans="1:15" ht="26.5" customHeight="1" x14ac:dyDescent="0.3">
      <c r="A46" s="330" t="s">
        <v>251</v>
      </c>
      <c r="B46" s="74">
        <v>0.1</v>
      </c>
      <c r="C46" s="75">
        <v>4</v>
      </c>
      <c r="D46" s="74">
        <f t="shared" si="13"/>
        <v>0.4</v>
      </c>
      <c r="E46" s="89">
        <f>E43</f>
        <v>307</v>
      </c>
      <c r="F46" s="90">
        <f t="shared" si="14"/>
        <v>122.80000000000001</v>
      </c>
      <c r="G46" s="74">
        <f t="shared" si="15"/>
        <v>6.1400000000000006</v>
      </c>
      <c r="H46" s="74">
        <f t="shared" si="16"/>
        <v>12.280000000000001</v>
      </c>
      <c r="I46" s="85">
        <f>F46*$L$8+G46*$L$7+H46*$L$9</f>
        <v>16955.180199999999</v>
      </c>
      <c r="K46" s="174"/>
      <c r="L46" s="174"/>
      <c r="M46" s="177"/>
      <c r="O46" s="72">
        <f t="shared" si="0"/>
        <v>1228</v>
      </c>
    </row>
    <row r="47" spans="1:15" ht="26.5" customHeight="1" x14ac:dyDescent="0.3">
      <c r="A47" s="327" t="s">
        <v>262</v>
      </c>
      <c r="B47" s="74"/>
      <c r="C47" s="75"/>
      <c r="D47" s="74"/>
      <c r="E47" s="89"/>
      <c r="F47" s="90"/>
      <c r="G47" s="74"/>
      <c r="H47" s="74"/>
      <c r="I47" s="85"/>
      <c r="O47" s="72">
        <f t="shared" si="0"/>
        <v>0</v>
      </c>
    </row>
    <row r="48" spans="1:15" ht="26.5" customHeight="1" x14ac:dyDescent="0.3">
      <c r="A48" s="330" t="s">
        <v>253</v>
      </c>
      <c r="B48" s="74">
        <v>5.0000000000000001E-3</v>
      </c>
      <c r="C48" s="75">
        <v>365</v>
      </c>
      <c r="D48" s="74">
        <f t="shared" ref="D48:D49" si="21">B48*C48</f>
        <v>1.825</v>
      </c>
      <c r="E48" s="89">
        <v>0</v>
      </c>
      <c r="F48" s="90">
        <f t="shared" ref="F48:F49" si="22">D48*E48</f>
        <v>0</v>
      </c>
      <c r="G48" s="74">
        <f t="shared" ref="G48:G49" si="23">F48*0.05</f>
        <v>0</v>
      </c>
      <c r="H48" s="74">
        <f t="shared" ref="H48:H49" si="24">F48*0.1</f>
        <v>0</v>
      </c>
      <c r="I48" s="85">
        <f>F48*$L$8+G48*$L$7+H48*$L$9</f>
        <v>0</v>
      </c>
      <c r="O48" s="72">
        <f t="shared" si="0"/>
        <v>0</v>
      </c>
    </row>
    <row r="49" spans="1:16" ht="26.5" customHeight="1" x14ac:dyDescent="0.3">
      <c r="A49" s="330" t="s">
        <v>254</v>
      </c>
      <c r="B49" s="74">
        <v>0.1</v>
      </c>
      <c r="C49" s="75">
        <v>12</v>
      </c>
      <c r="D49" s="74">
        <f t="shared" si="21"/>
        <v>1.2000000000000002</v>
      </c>
      <c r="E49" s="89">
        <v>0</v>
      </c>
      <c r="F49" s="90">
        <f t="shared" si="22"/>
        <v>0</v>
      </c>
      <c r="G49" s="74">
        <f t="shared" si="23"/>
        <v>0</v>
      </c>
      <c r="H49" s="74">
        <f t="shared" si="24"/>
        <v>0</v>
      </c>
      <c r="I49" s="85">
        <f>F49*$L$8+G49*$L$7+H49*$L$9</f>
        <v>0</v>
      </c>
      <c r="O49" s="72">
        <f t="shared" si="0"/>
        <v>0</v>
      </c>
    </row>
    <row r="50" spans="1:16" ht="26.5" customHeight="1" x14ac:dyDescent="0.3">
      <c r="A50" s="327" t="s">
        <v>263</v>
      </c>
      <c r="B50" s="74"/>
      <c r="C50" s="75"/>
      <c r="D50" s="74"/>
      <c r="E50" s="89"/>
      <c r="F50" s="90"/>
      <c r="G50" s="74"/>
      <c r="H50" s="74"/>
      <c r="I50" s="85"/>
      <c r="O50" s="72">
        <f t="shared" si="0"/>
        <v>0</v>
      </c>
    </row>
    <row r="51" spans="1:16" ht="26.5" customHeight="1" x14ac:dyDescent="0.3">
      <c r="A51" s="330" t="s">
        <v>257</v>
      </c>
      <c r="B51" s="74">
        <v>16</v>
      </c>
      <c r="C51" s="75">
        <v>1</v>
      </c>
      <c r="D51" s="74">
        <f t="shared" ref="D51:D53" si="25">B51*C51</f>
        <v>16</v>
      </c>
      <c r="E51" s="89">
        <v>149</v>
      </c>
      <c r="F51" s="90">
        <f t="shared" ref="F51:F53" si="26">D51*E51</f>
        <v>2384</v>
      </c>
      <c r="G51" s="74">
        <f t="shared" ref="G51:G53" si="27">F51*0.05</f>
        <v>119.2</v>
      </c>
      <c r="H51" s="74">
        <f t="shared" ref="H51:H53" si="28">F51*0.1</f>
        <v>238.4</v>
      </c>
      <c r="I51" s="85">
        <f>F51*$L$8+G51*$L$7+H51*$L$9</f>
        <v>329162.45600000006</v>
      </c>
      <c r="O51" s="72">
        <f t="shared" si="0"/>
        <v>149</v>
      </c>
    </row>
    <row r="52" spans="1:16" ht="26" x14ac:dyDescent="0.3">
      <c r="A52" s="330" t="s">
        <v>276</v>
      </c>
      <c r="B52" s="74">
        <v>1</v>
      </c>
      <c r="C52" s="75">
        <v>1</v>
      </c>
      <c r="D52" s="74">
        <f t="shared" ref="D52" si="29">B52*C52</f>
        <v>1</v>
      </c>
      <c r="E52" s="89">
        <v>149</v>
      </c>
      <c r="F52" s="90">
        <f t="shared" ref="F52" si="30">D52*E52</f>
        <v>149</v>
      </c>
      <c r="G52" s="74">
        <f t="shared" ref="G52" si="31">F52*0.05</f>
        <v>7.45</v>
      </c>
      <c r="H52" s="74">
        <f t="shared" ref="H52" si="32">F52*0.1</f>
        <v>14.9</v>
      </c>
      <c r="I52" s="85">
        <f>F52*$L$8+G52*$L$7+H52*$L$9</f>
        <v>20572.653500000004</v>
      </c>
      <c r="O52" s="72">
        <f t="shared" si="0"/>
        <v>149</v>
      </c>
    </row>
    <row r="53" spans="1:16" ht="26" x14ac:dyDescent="0.3">
      <c r="A53" s="330" t="s">
        <v>259</v>
      </c>
      <c r="B53" s="74">
        <v>0.5</v>
      </c>
      <c r="C53" s="75">
        <v>1</v>
      </c>
      <c r="D53" s="74">
        <f t="shared" si="25"/>
        <v>0.5</v>
      </c>
      <c r="E53" s="89">
        <v>149</v>
      </c>
      <c r="F53" s="90">
        <f t="shared" si="26"/>
        <v>74.5</v>
      </c>
      <c r="G53" s="74">
        <f t="shared" si="27"/>
        <v>3.7250000000000001</v>
      </c>
      <c r="H53" s="74">
        <f t="shared" si="28"/>
        <v>7.45</v>
      </c>
      <c r="I53" s="85">
        <f>F53*$L$8+G53*$L$7+H53*$L$9</f>
        <v>10286.326750000002</v>
      </c>
      <c r="O53" s="72">
        <f t="shared" si="0"/>
        <v>149</v>
      </c>
    </row>
    <row r="54" spans="1:16" x14ac:dyDescent="0.3">
      <c r="A54" s="329" t="s">
        <v>76</v>
      </c>
      <c r="B54" s="74"/>
      <c r="C54" s="75"/>
      <c r="D54" s="74"/>
      <c r="E54" s="89"/>
      <c r="F54" s="90"/>
      <c r="G54" s="74"/>
      <c r="H54" s="74"/>
      <c r="I54" s="85"/>
      <c r="O54" s="72">
        <f t="shared" si="0"/>
        <v>0</v>
      </c>
    </row>
    <row r="55" spans="1:16" x14ac:dyDescent="0.3">
      <c r="A55" s="326" t="s">
        <v>120</v>
      </c>
      <c r="B55" s="74">
        <v>0</v>
      </c>
      <c r="C55" s="75">
        <v>0</v>
      </c>
      <c r="D55" s="74">
        <f>B55*C55</f>
        <v>0</v>
      </c>
      <c r="E55" s="323">
        <f>$L$12</f>
        <v>2.5787999999999998</v>
      </c>
      <c r="F55" s="90">
        <f t="shared" ref="F55:F56" si="33">D55*E55</f>
        <v>0</v>
      </c>
      <c r="G55" s="74">
        <f t="shared" ref="G55:G56" si="34">F55*0.05</f>
        <v>0</v>
      </c>
      <c r="H55" s="74">
        <f t="shared" ref="H55:H56" si="35">F55*0.1</f>
        <v>0</v>
      </c>
      <c r="I55" s="82">
        <f>F55*$L$8+G55*$L$7+H55*$L$9</f>
        <v>0</v>
      </c>
      <c r="O55" s="72">
        <f t="shared" si="0"/>
        <v>0</v>
      </c>
    </row>
    <row r="56" spans="1:16" ht="17" customHeight="1" x14ac:dyDescent="0.3">
      <c r="A56" s="326" t="s">
        <v>250</v>
      </c>
      <c r="B56" s="74">
        <v>0</v>
      </c>
      <c r="C56" s="75">
        <v>0</v>
      </c>
      <c r="D56" s="74">
        <f t="shared" ref="D56" si="36">B56*C56</f>
        <v>0</v>
      </c>
      <c r="E56" s="323">
        <f>$L$12</f>
        <v>2.5787999999999998</v>
      </c>
      <c r="F56" s="90">
        <f t="shared" si="33"/>
        <v>0</v>
      </c>
      <c r="G56" s="74">
        <f t="shared" si="34"/>
        <v>0</v>
      </c>
      <c r="H56" s="74">
        <f t="shared" si="35"/>
        <v>0</v>
      </c>
      <c r="I56" s="82">
        <f>F56*$L$8+G56*$L$7+H56*$L$9</f>
        <v>0</v>
      </c>
      <c r="O56" s="72">
        <f t="shared" si="0"/>
        <v>0</v>
      </c>
    </row>
    <row r="57" spans="1:16" ht="24" customHeight="1" x14ac:dyDescent="0.3">
      <c r="A57" s="326" t="s">
        <v>275</v>
      </c>
      <c r="B57" s="74">
        <v>16</v>
      </c>
      <c r="C57" s="75">
        <v>1</v>
      </c>
      <c r="D57" s="74">
        <f t="shared" si="13"/>
        <v>16</v>
      </c>
      <c r="E57" s="323">
        <f>L12</f>
        <v>2.5787999999999998</v>
      </c>
      <c r="F57" s="90">
        <f t="shared" si="14"/>
        <v>41.260799999999996</v>
      </c>
      <c r="G57" s="322">
        <f t="shared" si="15"/>
        <v>2.06304</v>
      </c>
      <c r="H57" s="322">
        <f t="shared" si="16"/>
        <v>4.12608</v>
      </c>
      <c r="I57" s="82">
        <f>F57*$L$8+G57*$L$7+H57*$L$9</f>
        <v>5696.9405471999999</v>
      </c>
      <c r="O57" s="72">
        <f t="shared" si="0"/>
        <v>2.5787999999999998</v>
      </c>
    </row>
    <row r="58" spans="1:16" ht="20.5" customHeight="1" x14ac:dyDescent="0.3">
      <c r="A58" s="326" t="s">
        <v>122</v>
      </c>
      <c r="B58" s="74" t="s">
        <v>77</v>
      </c>
      <c r="C58" s="78"/>
      <c r="D58" s="79"/>
      <c r="E58" s="78"/>
      <c r="F58" s="79"/>
      <c r="G58" s="79"/>
      <c r="H58" s="79"/>
      <c r="I58" s="79"/>
      <c r="O58" s="72">
        <f>SUM(O6:O57)</f>
        <v>9126.6543799999999</v>
      </c>
      <c r="P58" s="72" t="s">
        <v>384</v>
      </c>
    </row>
    <row r="59" spans="1:16" ht="27" x14ac:dyDescent="0.3">
      <c r="A59" s="99" t="s">
        <v>60</v>
      </c>
      <c r="B59" s="104"/>
      <c r="C59" s="105"/>
      <c r="D59" s="104"/>
      <c r="E59" s="106"/>
      <c r="F59" s="165">
        <f>SUM(F43:H57)</f>
        <v>3893.3949199999997</v>
      </c>
      <c r="G59" s="165"/>
      <c r="H59" s="165"/>
      <c r="I59" s="103">
        <f>SUM(I43:I58)</f>
        <v>467449.45799720008</v>
      </c>
    </row>
    <row r="60" spans="1:16" ht="28" x14ac:dyDescent="0.3">
      <c r="A60" s="107" t="s">
        <v>123</v>
      </c>
      <c r="B60" s="108"/>
      <c r="C60" s="109"/>
      <c r="D60" s="108"/>
      <c r="E60" s="110"/>
      <c r="F60" s="347">
        <f>ROUND(F59+F35, -2)</f>
        <v>25600</v>
      </c>
      <c r="G60" s="347"/>
      <c r="H60" s="347"/>
      <c r="I60" s="111">
        <f>ROUND(I59+I35, -4)</f>
        <v>3070000</v>
      </c>
      <c r="K60" s="112">
        <f>F60/212</f>
        <v>120.75471698113208</v>
      </c>
      <c r="L60" s="72" t="s">
        <v>124</v>
      </c>
    </row>
    <row r="61" spans="1:16" ht="28" x14ac:dyDescent="0.3">
      <c r="A61" s="113" t="s">
        <v>78</v>
      </c>
      <c r="B61" s="79"/>
      <c r="C61" s="78"/>
      <c r="D61" s="79"/>
      <c r="E61" s="78"/>
      <c r="F61" s="79"/>
      <c r="G61" s="79"/>
      <c r="H61" s="79"/>
      <c r="I61" s="111">
        <v>0</v>
      </c>
    </row>
    <row r="62" spans="1:16" ht="15" x14ac:dyDescent="0.3">
      <c r="A62" s="113" t="s">
        <v>125</v>
      </c>
      <c r="B62" s="79"/>
      <c r="C62" s="78"/>
      <c r="D62" s="79"/>
      <c r="E62" s="78"/>
      <c r="F62" s="79"/>
      <c r="G62" s="79"/>
      <c r="H62" s="79"/>
      <c r="I62" s="111">
        <f>ROUND(I60+I61, -5)</f>
        <v>3100000</v>
      </c>
    </row>
    <row r="63" spans="1:16" ht="9" customHeight="1" x14ac:dyDescent="0.3"/>
    <row r="64" spans="1:16" ht="33" customHeight="1" x14ac:dyDescent="0.3">
      <c r="A64" s="348" t="s">
        <v>270</v>
      </c>
      <c r="B64" s="348"/>
      <c r="C64" s="348"/>
      <c r="D64" s="348"/>
      <c r="E64" s="348"/>
      <c r="F64" s="348"/>
      <c r="G64" s="348"/>
      <c r="H64" s="348"/>
      <c r="I64" s="348"/>
    </row>
    <row r="65" spans="1:9" ht="39" customHeight="1" x14ac:dyDescent="0.3">
      <c r="A65" s="349" t="s">
        <v>182</v>
      </c>
      <c r="B65" s="349"/>
      <c r="C65" s="349"/>
      <c r="D65" s="349"/>
      <c r="E65" s="349"/>
      <c r="F65" s="349"/>
      <c r="G65" s="349"/>
      <c r="H65" s="349"/>
      <c r="I65" s="349"/>
    </row>
    <row r="66" spans="1:9" ht="15.5" x14ac:dyDescent="0.3">
      <c r="A66" s="348" t="s">
        <v>271</v>
      </c>
      <c r="B66" s="348"/>
      <c r="C66" s="348"/>
      <c r="D66" s="348"/>
      <c r="E66" s="348"/>
      <c r="F66" s="348"/>
      <c r="G66" s="348"/>
      <c r="H66" s="348"/>
      <c r="I66" s="348"/>
    </row>
    <row r="67" spans="1:9" ht="18.75" customHeight="1" x14ac:dyDescent="0.3">
      <c r="A67" s="350" t="s">
        <v>267</v>
      </c>
      <c r="B67" s="350"/>
      <c r="C67" s="350"/>
      <c r="D67" s="350"/>
      <c r="E67" s="350"/>
      <c r="F67" s="350"/>
      <c r="G67" s="350"/>
      <c r="H67" s="350"/>
      <c r="I67" s="350"/>
    </row>
    <row r="68" spans="1:9" ht="15.5" x14ac:dyDescent="0.3">
      <c r="A68" s="351" t="s">
        <v>191</v>
      </c>
      <c r="B68" s="351"/>
      <c r="C68" s="351"/>
      <c r="D68" s="351"/>
      <c r="E68" s="351"/>
      <c r="F68" s="351"/>
      <c r="G68" s="351"/>
      <c r="H68" s="351"/>
      <c r="I68" s="351"/>
    </row>
    <row r="69" spans="1:9" ht="17" customHeight="1" x14ac:dyDescent="0.3">
      <c r="A69" s="345" t="s">
        <v>126</v>
      </c>
      <c r="B69" s="345"/>
      <c r="C69" s="345"/>
      <c r="D69" s="345"/>
      <c r="E69" s="345"/>
      <c r="F69" s="345"/>
      <c r="G69" s="345"/>
      <c r="H69" s="345"/>
      <c r="I69" s="345"/>
    </row>
  </sheetData>
  <mergeCells count="9">
    <mergeCell ref="A3:H3"/>
    <mergeCell ref="A66:I66"/>
    <mergeCell ref="A67:I67"/>
    <mergeCell ref="A68:I68"/>
    <mergeCell ref="A69:I69"/>
    <mergeCell ref="K6:L6"/>
    <mergeCell ref="F60:H60"/>
    <mergeCell ref="A64:I64"/>
    <mergeCell ref="A65:I65"/>
  </mergeCells>
  <pageMargins left="0.7" right="0.7" top="0.75" bottom="0.75" header="0.3" footer="0.3"/>
  <pageSetup scale="3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DC567-D49F-4AEC-90B3-0D0956C2C6B2}">
  <sheetPr codeName="Sheet8">
    <pageSetUpPr fitToPage="1"/>
  </sheetPr>
  <dimension ref="A1:P69"/>
  <sheetViews>
    <sheetView zoomScale="80" zoomScaleNormal="80" workbookViewId="0">
      <pane xSplit="13" ySplit="5" topLeftCell="N6" activePane="bottomRight" state="frozen"/>
      <selection activeCell="I3" sqref="A3:I3"/>
      <selection pane="topRight" activeCell="I3" sqref="A3:I3"/>
      <selection pane="bottomLeft" activeCell="I3" sqref="A3:I3"/>
      <selection pane="bottomRight" activeCell="O59" sqref="O59"/>
    </sheetView>
  </sheetViews>
  <sheetFormatPr defaultColWidth="9.1796875" defaultRowHeight="13" x14ac:dyDescent="0.3"/>
  <cols>
    <col min="1" max="1" width="30.54296875" style="72" customWidth="1"/>
    <col min="2" max="2" width="10.1796875" style="72" customWidth="1"/>
    <col min="3" max="3" width="12" style="81" customWidth="1"/>
    <col min="4" max="4" width="11.1796875" style="72" customWidth="1"/>
    <col min="5" max="5" width="12.1796875" style="81" customWidth="1"/>
    <col min="6" max="6" width="10.26953125" style="72" customWidth="1"/>
    <col min="7" max="7" width="11.7265625" style="72" customWidth="1"/>
    <col min="8" max="8" width="11.26953125" style="72" customWidth="1"/>
    <col min="9" max="9" width="14.26953125" style="72" customWidth="1"/>
    <col min="10" max="10" width="7.1796875" style="72" customWidth="1"/>
    <col min="11" max="11" width="37.81640625" style="72" customWidth="1"/>
    <col min="12" max="12" width="14.453125" style="72" customWidth="1"/>
    <col min="13" max="13" width="24" style="86" customWidth="1"/>
    <col min="14" max="14" width="20.453125" style="72" customWidth="1"/>
    <col min="15" max="15" width="14.1796875" style="72" customWidth="1"/>
    <col min="16" max="16384" width="9.1796875" style="72"/>
  </cols>
  <sheetData>
    <row r="1" spans="1:15" s="54" customFormat="1" ht="15" x14ac:dyDescent="0.3">
      <c r="A1" s="57" t="s">
        <v>242</v>
      </c>
      <c r="J1" s="56"/>
      <c r="M1" s="169"/>
    </row>
    <row r="2" spans="1:15" s="54" customFormat="1" ht="15" x14ac:dyDescent="0.3">
      <c r="A2" s="55" t="s">
        <v>249</v>
      </c>
      <c r="J2" s="56"/>
      <c r="M2" s="169"/>
    </row>
    <row r="3" spans="1:15" s="54" customFormat="1" ht="32" customHeight="1" x14ac:dyDescent="0.3">
      <c r="A3" s="343" t="s">
        <v>430</v>
      </c>
      <c r="B3" s="344"/>
      <c r="C3" s="344"/>
      <c r="D3" s="344"/>
      <c r="E3" s="344"/>
      <c r="F3" s="344"/>
      <c r="G3" s="344"/>
      <c r="H3" s="344"/>
      <c r="I3" s="178"/>
      <c r="J3" s="56"/>
      <c r="M3" s="169"/>
    </row>
    <row r="5" spans="1:15" ht="65" x14ac:dyDescent="0.3">
      <c r="A5" s="73" t="s">
        <v>32</v>
      </c>
      <c r="B5" s="74" t="s">
        <v>88</v>
      </c>
      <c r="C5" s="75" t="s">
        <v>89</v>
      </c>
      <c r="D5" s="74" t="s">
        <v>90</v>
      </c>
      <c r="E5" s="75" t="s">
        <v>91</v>
      </c>
      <c r="F5" s="74" t="s">
        <v>92</v>
      </c>
      <c r="G5" s="74" t="s">
        <v>93</v>
      </c>
      <c r="H5" s="74" t="s">
        <v>94</v>
      </c>
      <c r="I5" s="74" t="s">
        <v>95</v>
      </c>
      <c r="J5" s="76"/>
      <c r="O5" s="72" t="s">
        <v>383</v>
      </c>
    </row>
    <row r="6" spans="1:15" x14ac:dyDescent="0.3">
      <c r="A6" s="77" t="s">
        <v>96</v>
      </c>
      <c r="B6" s="74" t="s">
        <v>77</v>
      </c>
      <c r="C6" s="78"/>
      <c r="D6" s="79"/>
      <c r="E6" s="78"/>
      <c r="F6" s="79"/>
      <c r="G6" s="79"/>
      <c r="H6" s="79"/>
      <c r="I6" s="79"/>
      <c r="K6" s="346" t="s">
        <v>68</v>
      </c>
      <c r="L6" s="346"/>
      <c r="O6" s="72">
        <f>C6*E6</f>
        <v>0</v>
      </c>
    </row>
    <row r="7" spans="1:15" ht="27.5" customHeight="1" x14ac:dyDescent="0.3">
      <c r="A7" s="77" t="s">
        <v>97</v>
      </c>
      <c r="B7" s="74" t="s">
        <v>77</v>
      </c>
      <c r="C7" s="78"/>
      <c r="D7" s="79"/>
      <c r="E7" s="78"/>
      <c r="F7" s="79"/>
      <c r="G7" s="79"/>
      <c r="H7" s="79"/>
      <c r="I7" s="79"/>
      <c r="K7" s="80" t="s">
        <v>69</v>
      </c>
      <c r="L7" s="223">
        <v>157.61000000000001</v>
      </c>
      <c r="M7" s="167" t="s">
        <v>180</v>
      </c>
      <c r="O7" s="72">
        <f t="shared" ref="O7:O57" si="0">C7*E7</f>
        <v>0</v>
      </c>
    </row>
    <row r="8" spans="1:15" ht="41.5" customHeight="1" x14ac:dyDescent="0.3">
      <c r="A8" s="77" t="s">
        <v>98</v>
      </c>
      <c r="B8" s="74">
        <v>24</v>
      </c>
      <c r="C8" s="75">
        <v>1</v>
      </c>
      <c r="D8" s="74">
        <f>B8*C8</f>
        <v>24</v>
      </c>
      <c r="E8" s="325">
        <f>L12</f>
        <v>2.5787999999999998</v>
      </c>
      <c r="F8" s="325">
        <f>D8*E8</f>
        <v>61.891199999999998</v>
      </c>
      <c r="G8" s="325">
        <f>F8*0.05</f>
        <v>3.09456</v>
      </c>
      <c r="H8" s="325">
        <f>F8*0.1</f>
        <v>6.18912</v>
      </c>
      <c r="I8" s="82">
        <f>F8*$L$8+G8*$L$7+H8*$L$9</f>
        <v>8545.4108207999998</v>
      </c>
      <c r="K8" s="80" t="s">
        <v>33</v>
      </c>
      <c r="L8" s="223">
        <v>123.94</v>
      </c>
      <c r="M8" s="168"/>
      <c r="O8" s="72">
        <f t="shared" si="0"/>
        <v>2.5787999999999998</v>
      </c>
    </row>
    <row r="9" spans="1:15" x14ac:dyDescent="0.3">
      <c r="A9" s="77" t="s">
        <v>99</v>
      </c>
      <c r="B9" s="74"/>
      <c r="C9" s="75"/>
      <c r="D9" s="74"/>
      <c r="E9" s="75"/>
      <c r="F9" s="74"/>
      <c r="G9" s="74"/>
      <c r="H9" s="74"/>
      <c r="I9" s="79"/>
      <c r="K9" s="80" t="s">
        <v>34</v>
      </c>
      <c r="L9" s="223">
        <v>62.51</v>
      </c>
      <c r="M9" s="168"/>
      <c r="O9" s="72">
        <f t="shared" si="0"/>
        <v>0</v>
      </c>
    </row>
    <row r="10" spans="1:15" ht="26" x14ac:dyDescent="0.3">
      <c r="A10" s="326" t="s">
        <v>100</v>
      </c>
      <c r="B10" s="74">
        <v>20</v>
      </c>
      <c r="C10" s="75">
        <v>1</v>
      </c>
      <c r="D10" s="74">
        <f>B10*C10</f>
        <v>20</v>
      </c>
      <c r="E10" s="75">
        <v>0</v>
      </c>
      <c r="F10" s="74">
        <f>D10*E10</f>
        <v>0</v>
      </c>
      <c r="G10" s="74">
        <f>F10*0.05</f>
        <v>0</v>
      </c>
      <c r="H10" s="74">
        <f>F10*0.1</f>
        <v>0</v>
      </c>
      <c r="I10" s="85">
        <f>F10*$L$8+G10*$L$7+H10*$L$9</f>
        <v>0</v>
      </c>
      <c r="K10" s="86"/>
      <c r="O10" s="72">
        <f t="shared" si="0"/>
        <v>0</v>
      </c>
    </row>
    <row r="11" spans="1:15" ht="15.75" customHeight="1" x14ac:dyDescent="0.3">
      <c r="A11" s="326" t="s">
        <v>101</v>
      </c>
      <c r="B11" s="74"/>
      <c r="C11" s="75"/>
      <c r="D11" s="74"/>
      <c r="E11" s="75"/>
      <c r="F11" s="74"/>
      <c r="G11" s="74"/>
      <c r="H11" s="74"/>
      <c r="I11" s="85"/>
      <c r="K11" s="87"/>
      <c r="L11" s="87" t="s">
        <v>261</v>
      </c>
      <c r="O11" s="72">
        <f t="shared" si="0"/>
        <v>0</v>
      </c>
    </row>
    <row r="12" spans="1:15" ht="41.5" x14ac:dyDescent="0.3">
      <c r="A12" s="327" t="s">
        <v>268</v>
      </c>
      <c r="B12" s="74"/>
      <c r="C12" s="75"/>
      <c r="D12" s="74"/>
      <c r="E12" s="89"/>
      <c r="F12" s="90"/>
      <c r="G12" s="74"/>
      <c r="H12" s="74"/>
      <c r="I12" s="85"/>
      <c r="K12" s="87" t="s">
        <v>104</v>
      </c>
      <c r="L12" s="87">
        <f>L14*0.0084</f>
        <v>2.5787999999999998</v>
      </c>
      <c r="M12" s="86" t="s">
        <v>269</v>
      </c>
      <c r="O12" s="72">
        <f t="shared" si="0"/>
        <v>0</v>
      </c>
    </row>
    <row r="13" spans="1:15" ht="26.5" customHeight="1" x14ac:dyDescent="0.3">
      <c r="A13" s="328" t="s">
        <v>264</v>
      </c>
      <c r="B13" s="75">
        <v>8</v>
      </c>
      <c r="C13" s="75">
        <v>1</v>
      </c>
      <c r="D13" s="74">
        <f>B13*C13</f>
        <v>8</v>
      </c>
      <c r="E13" s="325">
        <f>L16</f>
        <v>1.2515999999999998</v>
      </c>
      <c r="F13" s="90">
        <f>D13*E13</f>
        <v>10.012799999999999</v>
      </c>
      <c r="G13" s="325">
        <f>F13*0.05</f>
        <v>0.50063999999999997</v>
      </c>
      <c r="H13" s="325">
        <f>F13*0.1</f>
        <v>1.0012799999999999</v>
      </c>
      <c r="I13" s="85">
        <f>F13*$L$8+G13*$L$7+H13*$L$9</f>
        <v>1382.4823151999997</v>
      </c>
      <c r="K13" s="87" t="s">
        <v>105</v>
      </c>
      <c r="L13" s="87">
        <f>L12+L14*0.1</f>
        <v>33.278800000000004</v>
      </c>
      <c r="O13" s="72">
        <f t="shared" si="0"/>
        <v>1.2515999999999998</v>
      </c>
    </row>
    <row r="14" spans="1:15" ht="26" x14ac:dyDescent="0.3">
      <c r="A14" s="328" t="s">
        <v>265</v>
      </c>
      <c r="B14" s="75">
        <v>8</v>
      </c>
      <c r="C14" s="75">
        <v>1</v>
      </c>
      <c r="D14" s="74">
        <f t="shared" ref="D14" si="1">B14*C14</f>
        <v>8</v>
      </c>
      <c r="E14" s="325">
        <f>E13*0.05</f>
        <v>6.2579999999999997E-2</v>
      </c>
      <c r="F14" s="90">
        <f t="shared" ref="F14:F21" si="2">D14*E14</f>
        <v>0.50063999999999997</v>
      </c>
      <c r="G14" s="325">
        <f t="shared" ref="G14:G21" si="3">F14*0.05</f>
        <v>2.5031999999999999E-2</v>
      </c>
      <c r="H14" s="325">
        <f t="shared" ref="H14:H21" si="4">F14*0.1</f>
        <v>5.0063999999999997E-2</v>
      </c>
      <c r="I14" s="85">
        <f t="shared" ref="I14:I21" si="5">F14*$L$8+G14*$L$7+H14*$L$9</f>
        <v>69.124115760000009</v>
      </c>
      <c r="J14" s="86"/>
      <c r="K14" s="87" t="s">
        <v>80</v>
      </c>
      <c r="L14" s="87">
        <v>307</v>
      </c>
      <c r="O14" s="72">
        <f t="shared" si="0"/>
        <v>6.2579999999999997E-2</v>
      </c>
    </row>
    <row r="15" spans="1:15" ht="39" x14ac:dyDescent="0.3">
      <c r="A15" s="327" t="s">
        <v>266</v>
      </c>
      <c r="B15" s="74"/>
      <c r="C15" s="75"/>
      <c r="D15" s="74"/>
      <c r="E15" s="75"/>
      <c r="F15" s="90"/>
      <c r="G15" s="74"/>
      <c r="H15" s="74"/>
      <c r="I15" s="85"/>
      <c r="K15" s="87" t="s">
        <v>397</v>
      </c>
      <c r="L15" s="87">
        <f>L17*0.0084</f>
        <v>1.3271999999999999</v>
      </c>
      <c r="M15" s="86" t="s">
        <v>269</v>
      </c>
      <c r="O15" s="72">
        <f t="shared" si="0"/>
        <v>0</v>
      </c>
    </row>
    <row r="16" spans="1:15" ht="39" x14ac:dyDescent="0.3">
      <c r="A16" s="328" t="s">
        <v>264</v>
      </c>
      <c r="B16" s="74">
        <v>8</v>
      </c>
      <c r="C16" s="75">
        <v>1</v>
      </c>
      <c r="D16" s="74">
        <f>B16*C16</f>
        <v>8</v>
      </c>
      <c r="E16" s="89">
        <f>L18</f>
        <v>149</v>
      </c>
      <c r="F16" s="90">
        <f t="shared" si="2"/>
        <v>1192</v>
      </c>
      <c r="G16" s="74">
        <f t="shared" si="3"/>
        <v>59.6</v>
      </c>
      <c r="H16" s="74">
        <f t="shared" si="4"/>
        <v>119.2</v>
      </c>
      <c r="I16" s="85">
        <f t="shared" si="5"/>
        <v>164581.22800000003</v>
      </c>
      <c r="J16" s="83"/>
      <c r="K16" s="87" t="s">
        <v>398</v>
      </c>
      <c r="L16" s="87">
        <f>L18*0.0084</f>
        <v>1.2515999999999998</v>
      </c>
      <c r="M16" s="86" t="s">
        <v>269</v>
      </c>
      <c r="N16" s="86"/>
      <c r="O16" s="72">
        <f t="shared" si="0"/>
        <v>149</v>
      </c>
    </row>
    <row r="17" spans="1:15" ht="26" x14ac:dyDescent="0.3">
      <c r="A17" s="328" t="s">
        <v>265</v>
      </c>
      <c r="B17" s="75">
        <v>8</v>
      </c>
      <c r="C17" s="75">
        <v>1</v>
      </c>
      <c r="D17" s="74">
        <f t="shared" ref="D17:D19" si="6">B17*C17</f>
        <v>8</v>
      </c>
      <c r="E17" s="89">
        <f>E16*0.05</f>
        <v>7.45</v>
      </c>
      <c r="F17" s="90">
        <f t="shared" si="2"/>
        <v>59.6</v>
      </c>
      <c r="G17" s="74">
        <f t="shared" si="3"/>
        <v>2.9800000000000004</v>
      </c>
      <c r="H17" s="74">
        <f t="shared" si="4"/>
        <v>5.9600000000000009</v>
      </c>
      <c r="I17" s="85">
        <f t="shared" si="5"/>
        <v>8229.0614000000005</v>
      </c>
      <c r="J17" s="83"/>
      <c r="K17" s="87" t="s">
        <v>399</v>
      </c>
      <c r="L17" s="120">
        <v>158</v>
      </c>
      <c r="O17" s="72">
        <f t="shared" si="0"/>
        <v>7.45</v>
      </c>
    </row>
    <row r="18" spans="1:15" ht="26" x14ac:dyDescent="0.3">
      <c r="A18" s="326" t="s">
        <v>403</v>
      </c>
      <c r="B18" s="94">
        <v>24</v>
      </c>
      <c r="C18" s="94">
        <v>2</v>
      </c>
      <c r="D18" s="93">
        <f t="shared" si="6"/>
        <v>48</v>
      </c>
      <c r="E18" s="95">
        <f>L20</f>
        <v>230.25</v>
      </c>
      <c r="F18" s="90">
        <f t="shared" si="2"/>
        <v>11052</v>
      </c>
      <c r="G18" s="74">
        <f t="shared" si="3"/>
        <v>552.6</v>
      </c>
      <c r="H18" s="74">
        <f t="shared" si="4"/>
        <v>1105.2</v>
      </c>
      <c r="I18" s="85">
        <f t="shared" si="5"/>
        <v>1525966.2179999999</v>
      </c>
      <c r="K18" s="87" t="s">
        <v>400</v>
      </c>
      <c r="L18" s="87">
        <v>149</v>
      </c>
      <c r="O18" s="72">
        <f t="shared" si="0"/>
        <v>460.5</v>
      </c>
    </row>
    <row r="19" spans="1:15" ht="39" x14ac:dyDescent="0.3">
      <c r="A19" s="326" t="s">
        <v>404</v>
      </c>
      <c r="B19" s="94">
        <v>24</v>
      </c>
      <c r="C19" s="94">
        <v>2</v>
      </c>
      <c r="D19" s="93">
        <f t="shared" si="6"/>
        <v>48</v>
      </c>
      <c r="E19" s="325">
        <f>E18*0.05</f>
        <v>11.512500000000001</v>
      </c>
      <c r="F19" s="90">
        <f t="shared" si="2"/>
        <v>552.6</v>
      </c>
      <c r="G19" s="74">
        <f t="shared" si="3"/>
        <v>27.630000000000003</v>
      </c>
      <c r="H19" s="74">
        <f t="shared" si="4"/>
        <v>55.260000000000005</v>
      </c>
      <c r="I19" s="85">
        <f t="shared" si="5"/>
        <v>76298.310899999997</v>
      </c>
      <c r="K19" s="72" t="s">
        <v>395</v>
      </c>
      <c r="L19" s="72">
        <f>L14*0.25</f>
        <v>76.75</v>
      </c>
      <c r="M19" s="86" t="s">
        <v>401</v>
      </c>
      <c r="N19" s="83"/>
      <c r="O19" s="72">
        <f t="shared" si="0"/>
        <v>23.025000000000002</v>
      </c>
    </row>
    <row r="20" spans="1:15" ht="39" x14ac:dyDescent="0.3">
      <c r="A20" s="327" t="s">
        <v>107</v>
      </c>
      <c r="B20" s="93"/>
      <c r="C20" s="94"/>
      <c r="D20" s="93"/>
      <c r="E20" s="95"/>
      <c r="F20" s="90"/>
      <c r="G20" s="325"/>
      <c r="H20" s="74"/>
      <c r="I20" s="85"/>
      <c r="K20" s="72" t="s">
        <v>396</v>
      </c>
      <c r="L20" s="72">
        <f>L14*0.75</f>
        <v>230.25</v>
      </c>
      <c r="M20" s="86" t="s">
        <v>401</v>
      </c>
      <c r="N20" s="83"/>
      <c r="O20" s="72">
        <f t="shared" si="0"/>
        <v>0</v>
      </c>
    </row>
    <row r="21" spans="1:15" ht="26" x14ac:dyDescent="0.3">
      <c r="A21" s="326" t="s">
        <v>190</v>
      </c>
      <c r="B21" s="74">
        <v>0.3</v>
      </c>
      <c r="C21" s="75">
        <v>330</v>
      </c>
      <c r="D21" s="74">
        <f>B21*C21</f>
        <v>99</v>
      </c>
      <c r="E21" s="89">
        <v>0</v>
      </c>
      <c r="F21" s="90">
        <f t="shared" si="2"/>
        <v>0</v>
      </c>
      <c r="G21" s="74">
        <f t="shared" si="3"/>
        <v>0</v>
      </c>
      <c r="H21" s="74">
        <f t="shared" si="4"/>
        <v>0</v>
      </c>
      <c r="I21" s="85">
        <f t="shared" si="5"/>
        <v>0</v>
      </c>
      <c r="N21" s="83"/>
      <c r="O21" s="72">
        <f t="shared" si="0"/>
        <v>0</v>
      </c>
    </row>
    <row r="22" spans="1:15" x14ac:dyDescent="0.3">
      <c r="A22" s="326" t="s">
        <v>108</v>
      </c>
      <c r="B22" s="74"/>
      <c r="C22" s="78"/>
      <c r="D22" s="79"/>
      <c r="E22" s="96"/>
      <c r="F22" s="79"/>
      <c r="G22" s="79"/>
      <c r="H22" s="79"/>
      <c r="I22" s="79"/>
      <c r="O22" s="72">
        <f t="shared" si="0"/>
        <v>0</v>
      </c>
    </row>
    <row r="23" spans="1:15" ht="26" x14ac:dyDescent="0.3">
      <c r="A23" s="326" t="s">
        <v>109</v>
      </c>
      <c r="B23" s="74"/>
      <c r="C23" s="78"/>
      <c r="D23" s="79"/>
      <c r="E23" s="96"/>
      <c r="F23" s="79"/>
      <c r="G23" s="79"/>
      <c r="H23" s="79"/>
      <c r="I23" s="79"/>
      <c r="O23" s="72">
        <f t="shared" si="0"/>
        <v>0</v>
      </c>
    </row>
    <row r="24" spans="1:15" x14ac:dyDescent="0.3">
      <c r="A24" s="326" t="s">
        <v>110</v>
      </c>
      <c r="B24" s="79"/>
      <c r="C24" s="78"/>
      <c r="D24" s="79"/>
      <c r="E24" s="96"/>
      <c r="F24" s="79"/>
      <c r="G24" s="79"/>
      <c r="H24" s="79"/>
      <c r="I24" s="79"/>
      <c r="O24" s="72">
        <f t="shared" si="0"/>
        <v>0</v>
      </c>
    </row>
    <row r="25" spans="1:15" ht="27" customHeight="1" x14ac:dyDescent="0.3">
      <c r="A25" s="329" t="s">
        <v>111</v>
      </c>
      <c r="B25" s="74"/>
      <c r="C25" s="75"/>
      <c r="D25" s="74"/>
      <c r="E25" s="89"/>
      <c r="F25" s="74"/>
      <c r="G25" s="74"/>
      <c r="H25" s="74"/>
      <c r="I25" s="85"/>
      <c r="O25" s="72">
        <f t="shared" si="0"/>
        <v>0</v>
      </c>
    </row>
    <row r="26" spans="1:15" x14ac:dyDescent="0.3">
      <c r="A26" s="326" t="s">
        <v>112</v>
      </c>
      <c r="B26" s="74">
        <v>2</v>
      </c>
      <c r="C26" s="75">
        <v>1</v>
      </c>
      <c r="D26" s="74">
        <v>2</v>
      </c>
      <c r="E26" s="89">
        <v>0</v>
      </c>
      <c r="F26" s="74">
        <f t="shared" ref="F26:F29" si="7">D26*E26</f>
        <v>0</v>
      </c>
      <c r="G26" s="74">
        <f t="shared" ref="G26:G29" si="8">F26*0.05</f>
        <v>0</v>
      </c>
      <c r="H26" s="74">
        <f t="shared" ref="H26:H29" si="9">F26*0.1</f>
        <v>0</v>
      </c>
      <c r="I26" s="85">
        <f>F26*$L$8+G26*$L$7+H26*$L$9</f>
        <v>0</v>
      </c>
      <c r="O26" s="72">
        <f t="shared" si="0"/>
        <v>0</v>
      </c>
    </row>
    <row r="27" spans="1:15" x14ac:dyDescent="0.3">
      <c r="A27" s="326" t="s">
        <v>113</v>
      </c>
      <c r="B27" s="74">
        <v>2</v>
      </c>
      <c r="C27" s="75">
        <v>1</v>
      </c>
      <c r="D27" s="74">
        <v>2</v>
      </c>
      <c r="E27" s="89">
        <v>0</v>
      </c>
      <c r="F27" s="74">
        <f t="shared" si="7"/>
        <v>0</v>
      </c>
      <c r="G27" s="74">
        <f t="shared" si="8"/>
        <v>0</v>
      </c>
      <c r="H27" s="74">
        <f t="shared" si="9"/>
        <v>0</v>
      </c>
      <c r="I27" s="85">
        <f>F27*$L$8+G27*$L$7+H27*$L$9</f>
        <v>0</v>
      </c>
      <c r="O27" s="72">
        <f t="shared" si="0"/>
        <v>0</v>
      </c>
    </row>
    <row r="28" spans="1:15" ht="16.5" customHeight="1" x14ac:dyDescent="0.3">
      <c r="A28" s="326" t="s">
        <v>272</v>
      </c>
      <c r="B28" s="74">
        <v>2</v>
      </c>
      <c r="C28" s="75">
        <v>1</v>
      </c>
      <c r="D28" s="74">
        <v>2</v>
      </c>
      <c r="E28" s="89">
        <v>0</v>
      </c>
      <c r="F28" s="74">
        <f t="shared" si="7"/>
        <v>0</v>
      </c>
      <c r="G28" s="74">
        <f t="shared" si="8"/>
        <v>0</v>
      </c>
      <c r="H28" s="74">
        <f t="shared" si="9"/>
        <v>0</v>
      </c>
      <c r="I28" s="85">
        <f>F28*$L$8+G28*$L$7+H28*$L$9</f>
        <v>0</v>
      </c>
      <c r="O28" s="72">
        <f t="shared" si="0"/>
        <v>0</v>
      </c>
    </row>
    <row r="29" spans="1:15" ht="39" x14ac:dyDescent="0.3">
      <c r="A29" s="330" t="s">
        <v>273</v>
      </c>
      <c r="B29" s="74">
        <v>8</v>
      </c>
      <c r="C29" s="116">
        <v>2</v>
      </c>
      <c r="D29" s="74">
        <f>B29*C29</f>
        <v>16</v>
      </c>
      <c r="E29" s="325">
        <f>L12</f>
        <v>2.5787999999999998</v>
      </c>
      <c r="F29" s="325">
        <f t="shared" si="7"/>
        <v>41.260799999999996</v>
      </c>
      <c r="G29" s="325">
        <f t="shared" si="8"/>
        <v>2.06304</v>
      </c>
      <c r="H29" s="325">
        <f t="shared" si="9"/>
        <v>4.12608</v>
      </c>
      <c r="I29" s="82">
        <f>F29*$L$8+G29*$L$7+H29*$L$9</f>
        <v>5696.9405471999999</v>
      </c>
      <c r="O29" s="72">
        <f t="shared" si="0"/>
        <v>5.1575999999999995</v>
      </c>
    </row>
    <row r="30" spans="1:15" ht="20" customHeight="1" x14ac:dyDescent="0.3">
      <c r="A30" s="329" t="s">
        <v>75</v>
      </c>
      <c r="B30" s="79"/>
      <c r="C30" s="78"/>
      <c r="D30" s="79"/>
      <c r="E30" s="96"/>
      <c r="F30" s="79"/>
      <c r="G30" s="79"/>
      <c r="H30" s="79"/>
      <c r="I30" s="79"/>
      <c r="O30" s="72">
        <f t="shared" si="0"/>
        <v>0</v>
      </c>
    </row>
    <row r="31" spans="1:15" x14ac:dyDescent="0.3">
      <c r="A31" s="326" t="s">
        <v>112</v>
      </c>
      <c r="B31" s="74">
        <v>2</v>
      </c>
      <c r="C31" s="75">
        <v>1</v>
      </c>
      <c r="D31" s="74">
        <v>2</v>
      </c>
      <c r="E31" s="89">
        <v>0</v>
      </c>
      <c r="F31" s="74">
        <f>D31*E31</f>
        <v>0</v>
      </c>
      <c r="G31" s="74">
        <f>F31*0.05</f>
        <v>0</v>
      </c>
      <c r="H31" s="74">
        <f>F31*0.1</f>
        <v>0</v>
      </c>
      <c r="I31" s="85">
        <f>F31*$L$8+G31*$L$7+H31*$L$9</f>
        <v>0</v>
      </c>
      <c r="O31" s="72">
        <f t="shared" si="0"/>
        <v>0</v>
      </c>
    </row>
    <row r="32" spans="1:15" ht="26" x14ac:dyDescent="0.3">
      <c r="A32" s="326" t="s">
        <v>405</v>
      </c>
      <c r="B32" s="74">
        <v>2</v>
      </c>
      <c r="C32" s="75">
        <v>2</v>
      </c>
      <c r="D32" s="74">
        <v>2</v>
      </c>
      <c r="E32" s="325">
        <f>SUM(E18:E19)</f>
        <v>241.76249999999999</v>
      </c>
      <c r="F32" s="325">
        <f>D32*E32</f>
        <v>483.52499999999998</v>
      </c>
      <c r="G32" s="325">
        <f>F32*0.05</f>
        <v>24.17625</v>
      </c>
      <c r="H32" s="325">
        <f>F32*0.1</f>
        <v>48.352499999999999</v>
      </c>
      <c r="I32" s="85">
        <f>F32*$L$8+G32*$L$7+H32*$L$9</f>
        <v>66761.022037499992</v>
      </c>
      <c r="O32" s="72">
        <f t="shared" si="0"/>
        <v>483.52499999999998</v>
      </c>
    </row>
    <row r="33" spans="1:15" ht="54.5" customHeight="1" x14ac:dyDescent="0.3">
      <c r="A33" s="326" t="s">
        <v>406</v>
      </c>
      <c r="B33" s="74">
        <v>2</v>
      </c>
      <c r="C33" s="75">
        <v>2</v>
      </c>
      <c r="D33" s="74">
        <v>2</v>
      </c>
      <c r="E33" s="173">
        <f>SUM(E18:E19)</f>
        <v>241.76249999999999</v>
      </c>
      <c r="F33" s="325">
        <f>D33*E33</f>
        <v>483.52499999999998</v>
      </c>
      <c r="G33" s="325">
        <f>F33*0.05</f>
        <v>24.17625</v>
      </c>
      <c r="H33" s="325">
        <f>F33*0.1</f>
        <v>48.352499999999999</v>
      </c>
      <c r="I33" s="85">
        <f>F33*$L$8+G33*$L$7+H33*$L$9</f>
        <v>66761.022037499992</v>
      </c>
      <c r="O33" s="72">
        <f t="shared" si="0"/>
        <v>483.52499999999998</v>
      </c>
    </row>
    <row r="34" spans="1:15" ht="39" x14ac:dyDescent="0.3">
      <c r="A34" s="330" t="s">
        <v>407</v>
      </c>
      <c r="B34" s="74">
        <v>8</v>
      </c>
      <c r="C34" s="116">
        <v>2</v>
      </c>
      <c r="D34" s="74">
        <f>B34*C34</f>
        <v>16</v>
      </c>
      <c r="E34" s="89">
        <f>L14</f>
        <v>307</v>
      </c>
      <c r="F34" s="74">
        <f t="shared" ref="F34" si="10">D34*E34</f>
        <v>4912</v>
      </c>
      <c r="G34" s="74">
        <f t="shared" ref="G34" si="11">F34*0.05</f>
        <v>245.60000000000002</v>
      </c>
      <c r="H34" s="74">
        <f t="shared" ref="H34" si="12">F34*0.1</f>
        <v>491.20000000000005</v>
      </c>
      <c r="I34" s="82">
        <f>F34*$L$8+G34*$L$7+H34*$L$9</f>
        <v>678207.2080000001</v>
      </c>
      <c r="O34" s="72">
        <f t="shared" si="0"/>
        <v>614</v>
      </c>
    </row>
    <row r="35" spans="1:15" ht="24" customHeight="1" x14ac:dyDescent="0.3">
      <c r="A35" s="99" t="s">
        <v>86</v>
      </c>
      <c r="B35" s="100"/>
      <c r="C35" s="101"/>
      <c r="D35" s="100"/>
      <c r="E35" s="102"/>
      <c r="F35" s="165">
        <f>SUM(F8:H34)</f>
        <v>21676.252756000002</v>
      </c>
      <c r="G35" s="165"/>
      <c r="H35" s="165"/>
      <c r="I35" s="103">
        <f>SUM(I8:I34)</f>
        <v>2602498.0281739598</v>
      </c>
      <c r="O35" s="72">
        <f t="shared" si="0"/>
        <v>0</v>
      </c>
    </row>
    <row r="36" spans="1:15" ht="26" x14ac:dyDescent="0.3">
      <c r="A36" s="77" t="s">
        <v>115</v>
      </c>
      <c r="B36" s="79"/>
      <c r="C36" s="78"/>
      <c r="D36" s="79"/>
      <c r="E36" s="96"/>
      <c r="F36" s="79"/>
      <c r="G36" s="79"/>
      <c r="H36" s="79"/>
      <c r="I36" s="79"/>
      <c r="O36" s="72">
        <f t="shared" si="0"/>
        <v>0</v>
      </c>
    </row>
    <row r="37" spans="1:15" ht="26" x14ac:dyDescent="0.3">
      <c r="A37" s="326" t="s">
        <v>100</v>
      </c>
      <c r="B37" s="74"/>
      <c r="C37" s="78"/>
      <c r="D37" s="79"/>
      <c r="E37" s="78"/>
      <c r="F37" s="79"/>
      <c r="G37" s="79"/>
      <c r="H37" s="79"/>
      <c r="I37" s="79"/>
      <c r="O37" s="72">
        <f t="shared" si="0"/>
        <v>0</v>
      </c>
    </row>
    <row r="38" spans="1:15" x14ac:dyDescent="0.3">
      <c r="A38" s="326" t="s">
        <v>116</v>
      </c>
      <c r="B38" s="74"/>
      <c r="C38" s="78"/>
      <c r="D38" s="79"/>
      <c r="E38" s="78"/>
      <c r="F38" s="79"/>
      <c r="G38" s="79"/>
      <c r="H38" s="79"/>
      <c r="I38" s="79"/>
      <c r="O38" s="72">
        <f t="shared" si="0"/>
        <v>0</v>
      </c>
    </row>
    <row r="39" spans="1:15" x14ac:dyDescent="0.3">
      <c r="A39" s="326" t="s">
        <v>117</v>
      </c>
      <c r="B39" s="74"/>
      <c r="C39" s="78"/>
      <c r="D39" s="79"/>
      <c r="E39" s="78"/>
      <c r="F39" s="79"/>
      <c r="G39" s="79"/>
      <c r="H39" s="79"/>
      <c r="I39" s="79"/>
      <c r="O39" s="72">
        <f t="shared" si="0"/>
        <v>0</v>
      </c>
    </row>
    <row r="40" spans="1:15" x14ac:dyDescent="0.3">
      <c r="A40" s="326" t="s">
        <v>118</v>
      </c>
      <c r="B40" s="74" t="s">
        <v>77</v>
      </c>
      <c r="C40" s="78"/>
      <c r="D40" s="79"/>
      <c r="E40" s="78"/>
      <c r="F40" s="79"/>
      <c r="G40" s="79"/>
      <c r="H40" s="79"/>
      <c r="I40" s="79"/>
      <c r="K40" s="174"/>
      <c r="L40" s="174"/>
      <c r="M40" s="177"/>
      <c r="O40" s="72">
        <f t="shared" si="0"/>
        <v>0</v>
      </c>
    </row>
    <row r="41" spans="1:15" ht="26" x14ac:dyDescent="0.3">
      <c r="A41" s="326" t="s">
        <v>119</v>
      </c>
      <c r="B41" s="79"/>
      <c r="C41" s="78"/>
      <c r="D41" s="79"/>
      <c r="E41" s="78"/>
      <c r="F41" s="79"/>
      <c r="G41" s="79"/>
      <c r="H41" s="79"/>
      <c r="I41" s="79"/>
      <c r="K41" s="174"/>
      <c r="L41" s="174"/>
      <c r="M41" s="177"/>
      <c r="O41" s="72">
        <f t="shared" si="0"/>
        <v>0</v>
      </c>
    </row>
    <row r="42" spans="1:15" x14ac:dyDescent="0.3">
      <c r="A42" s="329" t="s">
        <v>75</v>
      </c>
      <c r="B42" s="79"/>
      <c r="C42" s="78"/>
      <c r="D42" s="79"/>
      <c r="E42" s="78"/>
      <c r="F42" s="79"/>
      <c r="G42" s="79"/>
      <c r="H42" s="79"/>
      <c r="I42" s="79"/>
      <c r="K42" s="174"/>
      <c r="L42" s="174"/>
      <c r="M42" s="177"/>
      <c r="O42" s="72">
        <f t="shared" si="0"/>
        <v>0</v>
      </c>
    </row>
    <row r="43" spans="1:15" ht="16" customHeight="1" x14ac:dyDescent="0.3">
      <c r="A43" s="326" t="s">
        <v>120</v>
      </c>
      <c r="B43" s="74">
        <v>0.1</v>
      </c>
      <c r="C43" s="75">
        <v>12</v>
      </c>
      <c r="D43" s="74">
        <f t="shared" ref="D43:D57" si="13">B43*C43</f>
        <v>1.2000000000000002</v>
      </c>
      <c r="E43" s="89">
        <v>307</v>
      </c>
      <c r="F43" s="90">
        <f t="shared" ref="F43:F57" si="14">D43*E43</f>
        <v>368.40000000000003</v>
      </c>
      <c r="G43" s="74">
        <f t="shared" ref="G43:G57" si="15">F43*0.05</f>
        <v>18.420000000000002</v>
      </c>
      <c r="H43" s="74">
        <f t="shared" ref="H43:H57" si="16">F43*0.1</f>
        <v>36.840000000000003</v>
      </c>
      <c r="I43" s="85">
        <f>F43*$L$8+G43*$L$7+H43*$L$9</f>
        <v>50865.540600000008</v>
      </c>
      <c r="K43" s="174"/>
      <c r="L43" s="174"/>
      <c r="M43" s="177"/>
      <c r="O43" s="72">
        <f t="shared" si="0"/>
        <v>3684</v>
      </c>
    </row>
    <row r="44" spans="1:15" ht="24.5" customHeight="1" x14ac:dyDescent="0.3">
      <c r="A44" s="326" t="s">
        <v>252</v>
      </c>
      <c r="B44" s="74">
        <v>0.4</v>
      </c>
      <c r="C44" s="75">
        <v>1</v>
      </c>
      <c r="D44" s="74">
        <f t="shared" si="13"/>
        <v>0.4</v>
      </c>
      <c r="E44" s="89">
        <v>307</v>
      </c>
      <c r="F44" s="90">
        <f t="shared" si="14"/>
        <v>122.80000000000001</v>
      </c>
      <c r="G44" s="74">
        <f t="shared" si="15"/>
        <v>6.1400000000000006</v>
      </c>
      <c r="H44" s="74">
        <f t="shared" si="16"/>
        <v>12.280000000000001</v>
      </c>
      <c r="I44" s="85">
        <f>F44*$L$8+G44*$L$7+H44*$L$9</f>
        <v>16955.180199999999</v>
      </c>
      <c r="K44" s="174"/>
      <c r="L44" s="174"/>
      <c r="M44" s="177"/>
      <c r="O44" s="72">
        <f t="shared" si="0"/>
        <v>307</v>
      </c>
    </row>
    <row r="45" spans="1:15" ht="17.5" customHeight="1" x14ac:dyDescent="0.3">
      <c r="A45" s="326" t="s">
        <v>277</v>
      </c>
      <c r="B45" s="74">
        <v>0.1</v>
      </c>
      <c r="C45" s="116">
        <v>4</v>
      </c>
      <c r="D45" s="74">
        <f t="shared" ref="D45" si="17">B45*C45</f>
        <v>0.4</v>
      </c>
      <c r="E45" s="89">
        <v>307</v>
      </c>
      <c r="F45" s="90">
        <f t="shared" ref="F45" si="18">D45*E45</f>
        <v>122.80000000000001</v>
      </c>
      <c r="G45" s="74">
        <f t="shared" ref="G45" si="19">F45*0.05</f>
        <v>6.1400000000000006</v>
      </c>
      <c r="H45" s="74">
        <f t="shared" ref="H45" si="20">F45*0.1</f>
        <v>12.280000000000001</v>
      </c>
      <c r="I45" s="85">
        <f>F45*$L$8+G45*$L$7+H45*$L$9</f>
        <v>16955.180199999999</v>
      </c>
      <c r="K45" s="174"/>
      <c r="L45" s="174"/>
      <c r="M45" s="177"/>
      <c r="O45" s="72">
        <f t="shared" si="0"/>
        <v>1228</v>
      </c>
    </row>
    <row r="46" spans="1:15" ht="26.5" customHeight="1" x14ac:dyDescent="0.3">
      <c r="A46" s="330" t="s">
        <v>251</v>
      </c>
      <c r="B46" s="74">
        <v>0.1</v>
      </c>
      <c r="C46" s="75">
        <v>4</v>
      </c>
      <c r="D46" s="74">
        <f t="shared" si="13"/>
        <v>0.4</v>
      </c>
      <c r="E46" s="89">
        <f>E43</f>
        <v>307</v>
      </c>
      <c r="F46" s="90">
        <f t="shared" si="14"/>
        <v>122.80000000000001</v>
      </c>
      <c r="G46" s="74">
        <f t="shared" si="15"/>
        <v>6.1400000000000006</v>
      </c>
      <c r="H46" s="74">
        <f t="shared" si="16"/>
        <v>12.280000000000001</v>
      </c>
      <c r="I46" s="85">
        <f>F46*$L$8+G46*$L$7+H46*$L$9</f>
        <v>16955.180199999999</v>
      </c>
      <c r="K46" s="174"/>
      <c r="L46" s="174"/>
      <c r="M46" s="177"/>
      <c r="O46" s="72">
        <f t="shared" si="0"/>
        <v>1228</v>
      </c>
    </row>
    <row r="47" spans="1:15" ht="26.5" customHeight="1" x14ac:dyDescent="0.3">
      <c r="A47" s="327" t="s">
        <v>262</v>
      </c>
      <c r="B47" s="74"/>
      <c r="C47" s="75"/>
      <c r="D47" s="74"/>
      <c r="E47" s="89"/>
      <c r="F47" s="90"/>
      <c r="G47" s="74"/>
      <c r="H47" s="74"/>
      <c r="I47" s="85"/>
      <c r="O47" s="72">
        <f t="shared" si="0"/>
        <v>0</v>
      </c>
    </row>
    <row r="48" spans="1:15" ht="26.5" customHeight="1" x14ac:dyDescent="0.3">
      <c r="A48" s="330" t="s">
        <v>253</v>
      </c>
      <c r="B48" s="74">
        <v>5.0000000000000001E-3</v>
      </c>
      <c r="C48" s="75">
        <v>365</v>
      </c>
      <c r="D48" s="325">
        <f t="shared" ref="D48:D49" si="21">B48*C48</f>
        <v>1.825</v>
      </c>
      <c r="E48" s="89">
        <v>158</v>
      </c>
      <c r="F48" s="90">
        <f t="shared" ref="F48:F49" si="22">D48*E48</f>
        <v>288.34999999999997</v>
      </c>
      <c r="G48" s="325">
        <f t="shared" ref="G48:G49" si="23">F48*0.05</f>
        <v>14.417499999999999</v>
      </c>
      <c r="H48" s="325">
        <f t="shared" ref="H48:H49" si="24">F48*0.1</f>
        <v>28.834999999999997</v>
      </c>
      <c r="I48" s="85">
        <f>F48*$L$8+G48*$L$7+H48*$L$9</f>
        <v>39812.917024999995</v>
      </c>
      <c r="O48" s="72">
        <f t="shared" si="0"/>
        <v>57670</v>
      </c>
    </row>
    <row r="49" spans="1:16" ht="26.5" customHeight="1" x14ac:dyDescent="0.3">
      <c r="A49" s="330" t="s">
        <v>254</v>
      </c>
      <c r="B49" s="74">
        <v>0.1</v>
      </c>
      <c r="C49" s="75">
        <v>12</v>
      </c>
      <c r="D49" s="74">
        <f t="shared" si="21"/>
        <v>1.2000000000000002</v>
      </c>
      <c r="E49" s="89">
        <v>158</v>
      </c>
      <c r="F49" s="90">
        <f t="shared" si="22"/>
        <v>189.60000000000002</v>
      </c>
      <c r="G49" s="74">
        <f t="shared" si="23"/>
        <v>9.4800000000000022</v>
      </c>
      <c r="H49" s="74">
        <f t="shared" si="24"/>
        <v>18.960000000000004</v>
      </c>
      <c r="I49" s="85">
        <f>F49*$L$8+G49*$L$7+H49*$L$9</f>
        <v>26178.356400000004</v>
      </c>
      <c r="O49" s="72">
        <f t="shared" si="0"/>
        <v>1896</v>
      </c>
    </row>
    <row r="50" spans="1:16" ht="26.5" customHeight="1" x14ac:dyDescent="0.3">
      <c r="A50" s="327" t="s">
        <v>263</v>
      </c>
      <c r="B50" s="74"/>
      <c r="C50" s="75"/>
      <c r="D50" s="74"/>
      <c r="E50" s="89"/>
      <c r="F50" s="90"/>
      <c r="G50" s="74"/>
      <c r="H50" s="74"/>
      <c r="I50" s="85"/>
      <c r="O50" s="72">
        <f t="shared" si="0"/>
        <v>0</v>
      </c>
    </row>
    <row r="51" spans="1:16" ht="26.5" customHeight="1" x14ac:dyDescent="0.3">
      <c r="A51" s="330" t="s">
        <v>257</v>
      </c>
      <c r="B51" s="74">
        <v>16</v>
      </c>
      <c r="C51" s="75">
        <v>1</v>
      </c>
      <c r="D51" s="74">
        <f t="shared" ref="D51:D53" si="25">B51*C51</f>
        <v>16</v>
      </c>
      <c r="E51" s="89">
        <v>0</v>
      </c>
      <c r="F51" s="90">
        <f t="shared" ref="F51:F53" si="26">D51*E51</f>
        <v>0</v>
      </c>
      <c r="G51" s="74">
        <f t="shared" ref="G51:G53" si="27">F51*0.05</f>
        <v>0</v>
      </c>
      <c r="H51" s="74">
        <f t="shared" ref="H51:H53" si="28">F51*0.1</f>
        <v>0</v>
      </c>
      <c r="I51" s="85">
        <f>F51*$L$8+G51*$L$7+H51*$L$9</f>
        <v>0</v>
      </c>
      <c r="O51" s="72">
        <f t="shared" si="0"/>
        <v>0</v>
      </c>
    </row>
    <row r="52" spans="1:16" ht="26" x14ac:dyDescent="0.3">
      <c r="A52" s="330" t="s">
        <v>276</v>
      </c>
      <c r="B52" s="74">
        <v>1</v>
      </c>
      <c r="C52" s="75">
        <v>1</v>
      </c>
      <c r="D52" s="74">
        <f t="shared" ref="D52" si="29">B52*C52</f>
        <v>1</v>
      </c>
      <c r="E52" s="89">
        <v>149</v>
      </c>
      <c r="F52" s="90">
        <f t="shared" ref="F52" si="30">D52*E52</f>
        <v>149</v>
      </c>
      <c r="G52" s="74">
        <f t="shared" ref="G52" si="31">F52*0.05</f>
        <v>7.45</v>
      </c>
      <c r="H52" s="74">
        <f t="shared" ref="H52" si="32">F52*0.1</f>
        <v>14.9</v>
      </c>
      <c r="I52" s="85">
        <f>F52*$L$8+G52*$L$7+H52*$L$9</f>
        <v>20572.653500000004</v>
      </c>
      <c r="O52" s="72">
        <f t="shared" si="0"/>
        <v>149</v>
      </c>
    </row>
    <row r="53" spans="1:16" ht="26" x14ac:dyDescent="0.3">
      <c r="A53" s="330" t="s">
        <v>259</v>
      </c>
      <c r="B53" s="74">
        <v>0.5</v>
      </c>
      <c r="C53" s="75">
        <v>1</v>
      </c>
      <c r="D53" s="74">
        <f t="shared" si="25"/>
        <v>0.5</v>
      </c>
      <c r="E53" s="89">
        <v>149</v>
      </c>
      <c r="F53" s="90">
        <f t="shared" si="26"/>
        <v>74.5</v>
      </c>
      <c r="G53" s="74">
        <f t="shared" si="27"/>
        <v>3.7250000000000001</v>
      </c>
      <c r="H53" s="74">
        <f t="shared" si="28"/>
        <v>7.45</v>
      </c>
      <c r="I53" s="85">
        <f>F53*$L$8+G53*$L$7+H53*$L$9</f>
        <v>10286.326750000002</v>
      </c>
      <c r="O53" s="72">
        <f t="shared" si="0"/>
        <v>149</v>
      </c>
    </row>
    <row r="54" spans="1:16" x14ac:dyDescent="0.3">
      <c r="A54" s="329" t="s">
        <v>76</v>
      </c>
      <c r="B54" s="74"/>
      <c r="C54" s="75"/>
      <c r="D54" s="74"/>
      <c r="E54" s="89"/>
      <c r="F54" s="90"/>
      <c r="G54" s="74"/>
      <c r="H54" s="74"/>
      <c r="I54" s="85"/>
      <c r="O54" s="72">
        <f t="shared" si="0"/>
        <v>0</v>
      </c>
    </row>
    <row r="55" spans="1:16" x14ac:dyDescent="0.3">
      <c r="A55" s="326" t="s">
        <v>120</v>
      </c>
      <c r="B55" s="74">
        <v>0</v>
      </c>
      <c r="C55" s="75">
        <v>0</v>
      </c>
      <c r="D55" s="74">
        <f>B55*C55</f>
        <v>0</v>
      </c>
      <c r="E55" s="325">
        <f>$L$12</f>
        <v>2.5787999999999998</v>
      </c>
      <c r="F55" s="90">
        <f t="shared" ref="F55:F56" si="33">D55*E55</f>
        <v>0</v>
      </c>
      <c r="G55" s="74">
        <f t="shared" ref="G55:G56" si="34">F55*0.05</f>
        <v>0</v>
      </c>
      <c r="H55" s="74">
        <f t="shared" ref="H55:H56" si="35">F55*0.1</f>
        <v>0</v>
      </c>
      <c r="I55" s="82">
        <f>F55*$L$8+G55*$L$7+H55*$L$9</f>
        <v>0</v>
      </c>
      <c r="O55" s="72">
        <f t="shared" si="0"/>
        <v>0</v>
      </c>
    </row>
    <row r="56" spans="1:16" x14ac:dyDescent="0.3">
      <c r="A56" s="326" t="s">
        <v>250</v>
      </c>
      <c r="B56" s="74">
        <v>0</v>
      </c>
      <c r="C56" s="75">
        <v>0</v>
      </c>
      <c r="D56" s="74">
        <f t="shared" ref="D56" si="36">B56*C56</f>
        <v>0</v>
      </c>
      <c r="E56" s="325">
        <f>$L$12</f>
        <v>2.5787999999999998</v>
      </c>
      <c r="F56" s="90">
        <f t="shared" si="33"/>
        <v>0</v>
      </c>
      <c r="G56" s="74">
        <f t="shared" si="34"/>
        <v>0</v>
      </c>
      <c r="H56" s="74">
        <f t="shared" si="35"/>
        <v>0</v>
      </c>
      <c r="I56" s="82">
        <f>F56*$L$8+G56*$L$7+H56*$L$9</f>
        <v>0</v>
      </c>
      <c r="O56" s="72">
        <f t="shared" si="0"/>
        <v>0</v>
      </c>
    </row>
    <row r="57" spans="1:16" ht="27" customHeight="1" x14ac:dyDescent="0.3">
      <c r="A57" s="326" t="s">
        <v>275</v>
      </c>
      <c r="B57" s="74">
        <v>16</v>
      </c>
      <c r="C57" s="75">
        <v>1</v>
      </c>
      <c r="D57" s="74">
        <f t="shared" si="13"/>
        <v>16</v>
      </c>
      <c r="E57" s="325">
        <f>L12</f>
        <v>2.5787999999999998</v>
      </c>
      <c r="F57" s="90">
        <f t="shared" si="14"/>
        <v>41.260799999999996</v>
      </c>
      <c r="G57" s="325">
        <f t="shared" si="15"/>
        <v>2.06304</v>
      </c>
      <c r="H57" s="325">
        <f t="shared" si="16"/>
        <v>4.12608</v>
      </c>
      <c r="I57" s="82">
        <f>F57*$L$8+G57*$L$7+H57*$L$9</f>
        <v>5696.9405471999999</v>
      </c>
      <c r="O57" s="72">
        <f t="shared" si="0"/>
        <v>2.5787999999999998</v>
      </c>
    </row>
    <row r="58" spans="1:16" x14ac:dyDescent="0.3">
      <c r="A58" s="326" t="s">
        <v>122</v>
      </c>
      <c r="B58" s="74" t="s">
        <v>77</v>
      </c>
      <c r="C58" s="78"/>
      <c r="D58" s="79"/>
      <c r="E58" s="78"/>
      <c r="F58" s="79"/>
      <c r="G58" s="79"/>
      <c r="H58" s="79"/>
      <c r="I58" s="79"/>
      <c r="O58" s="72">
        <f>SUM(O6:O57)</f>
        <v>68543.654380000007</v>
      </c>
      <c r="P58" s="72" t="s">
        <v>384</v>
      </c>
    </row>
    <row r="59" spans="1:16" ht="27" x14ac:dyDescent="0.3">
      <c r="A59" s="99" t="s">
        <v>60</v>
      </c>
      <c r="B59" s="104"/>
      <c r="C59" s="105"/>
      <c r="D59" s="104"/>
      <c r="E59" s="325"/>
      <c r="F59" s="165">
        <f>SUM(F43:H57)</f>
        <v>1701.4374200000002</v>
      </c>
      <c r="G59" s="165"/>
      <c r="H59" s="165"/>
      <c r="I59" s="103">
        <f>SUM(I43:I58)</f>
        <v>204278.27542220007</v>
      </c>
    </row>
    <row r="60" spans="1:16" ht="28" x14ac:dyDescent="0.3">
      <c r="A60" s="107" t="s">
        <v>123</v>
      </c>
      <c r="B60" s="108"/>
      <c r="C60" s="109"/>
      <c r="D60" s="108"/>
      <c r="E60" s="110"/>
      <c r="F60" s="347">
        <f>ROUND(F59+F35, -2)</f>
        <v>23400</v>
      </c>
      <c r="G60" s="347"/>
      <c r="H60" s="347"/>
      <c r="I60" s="111">
        <f>ROUND(I59+I35, -4)</f>
        <v>2810000</v>
      </c>
      <c r="K60" s="112">
        <f>F60/212</f>
        <v>110.37735849056604</v>
      </c>
      <c r="L60" s="72" t="s">
        <v>124</v>
      </c>
    </row>
    <row r="61" spans="1:16" ht="28" x14ac:dyDescent="0.3">
      <c r="A61" s="113" t="s">
        <v>78</v>
      </c>
      <c r="B61" s="79"/>
      <c r="C61" s="78"/>
      <c r="D61" s="79"/>
      <c r="E61" s="78"/>
      <c r="F61" s="79"/>
      <c r="G61" s="79"/>
      <c r="H61" s="79"/>
      <c r="I61" s="111">
        <v>0</v>
      </c>
    </row>
    <row r="62" spans="1:16" ht="15" x14ac:dyDescent="0.3">
      <c r="A62" s="113" t="s">
        <v>125</v>
      </c>
      <c r="B62" s="79"/>
      <c r="C62" s="78"/>
      <c r="D62" s="79"/>
      <c r="E62" s="78"/>
      <c r="F62" s="79"/>
      <c r="G62" s="79"/>
      <c r="H62" s="79"/>
      <c r="I62" s="111">
        <f>ROUND(I60+I61, -5)</f>
        <v>2800000</v>
      </c>
    </row>
    <row r="63" spans="1:16" ht="12" customHeight="1" x14ac:dyDescent="0.3"/>
    <row r="64" spans="1:16" ht="31.5" customHeight="1" x14ac:dyDescent="0.3">
      <c r="A64" s="348" t="s">
        <v>270</v>
      </c>
      <c r="B64" s="348"/>
      <c r="C64" s="348"/>
      <c r="D64" s="348"/>
      <c r="E64" s="348"/>
      <c r="F64" s="348"/>
      <c r="G64" s="348"/>
      <c r="H64" s="348"/>
      <c r="I64" s="348"/>
    </row>
    <row r="65" spans="1:11" ht="39" customHeight="1" x14ac:dyDescent="0.3">
      <c r="A65" s="349" t="s">
        <v>182</v>
      </c>
      <c r="B65" s="349"/>
      <c r="C65" s="349"/>
      <c r="D65" s="349"/>
      <c r="E65" s="349"/>
      <c r="F65" s="349"/>
      <c r="G65" s="349"/>
      <c r="H65" s="349"/>
      <c r="I65" s="349"/>
    </row>
    <row r="66" spans="1:11" ht="15.5" x14ac:dyDescent="0.3">
      <c r="A66" s="348" t="s">
        <v>271</v>
      </c>
      <c r="B66" s="348"/>
      <c r="C66" s="348"/>
      <c r="D66" s="348"/>
      <c r="E66" s="348"/>
      <c r="F66" s="348"/>
      <c r="G66" s="348"/>
      <c r="H66" s="348"/>
      <c r="I66" s="348"/>
    </row>
    <row r="67" spans="1:11" ht="18.75" customHeight="1" x14ac:dyDescent="0.3">
      <c r="A67" s="350" t="s">
        <v>267</v>
      </c>
      <c r="B67" s="350"/>
      <c r="C67" s="350"/>
      <c r="D67" s="350"/>
      <c r="E67" s="350"/>
      <c r="F67" s="350"/>
      <c r="G67" s="350"/>
      <c r="H67" s="350"/>
      <c r="I67" s="350"/>
      <c r="K67" s="325"/>
    </row>
    <row r="68" spans="1:11" ht="15.5" x14ac:dyDescent="0.3">
      <c r="A68" s="351" t="s">
        <v>191</v>
      </c>
      <c r="B68" s="351"/>
      <c r="C68" s="351"/>
      <c r="D68" s="351"/>
      <c r="E68" s="351"/>
      <c r="F68" s="351"/>
      <c r="G68" s="351"/>
      <c r="H68" s="351"/>
      <c r="I68" s="351"/>
    </row>
    <row r="69" spans="1:11" ht="20.5" customHeight="1" x14ac:dyDescent="0.3">
      <c r="A69" s="345" t="s">
        <v>126</v>
      </c>
      <c r="B69" s="345"/>
      <c r="C69" s="345"/>
      <c r="D69" s="345"/>
      <c r="E69" s="345"/>
      <c r="F69" s="345"/>
      <c r="G69" s="345"/>
      <c r="H69" s="345"/>
      <c r="I69" s="345"/>
    </row>
  </sheetData>
  <mergeCells count="9">
    <mergeCell ref="A3:H3"/>
    <mergeCell ref="A66:I66"/>
    <mergeCell ref="A67:I67"/>
    <mergeCell ref="A68:I68"/>
    <mergeCell ref="A69:I69"/>
    <mergeCell ref="K6:L6"/>
    <mergeCell ref="F60:H60"/>
    <mergeCell ref="A64:I64"/>
    <mergeCell ref="A65:I65"/>
  </mergeCells>
  <pageMargins left="0.7" right="0.7" top="0.75" bottom="0.75" header="0.3" footer="0.3"/>
  <pageSetup scale="3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A53A-CA98-4423-9D4A-C0EE088262F8}">
  <sheetPr codeName="Sheet9"/>
  <dimension ref="A1:P26"/>
  <sheetViews>
    <sheetView zoomScaleNormal="100" workbookViewId="0">
      <selection activeCell="A3" sqref="A3:H3"/>
    </sheetView>
  </sheetViews>
  <sheetFormatPr defaultColWidth="9.1796875" defaultRowHeight="14.5" x14ac:dyDescent="0.35"/>
  <cols>
    <col min="1" max="1" width="44.90625" style="61" customWidth="1"/>
    <col min="2" max="2" width="9.81640625" style="61" customWidth="1"/>
    <col min="3" max="6" width="9.1796875" style="61"/>
    <col min="7" max="7" width="12.36328125" style="61" customWidth="1"/>
    <col min="8" max="8" width="9.1796875" style="61"/>
    <col min="9" max="9" width="13.81640625" style="61" customWidth="1"/>
    <col min="10" max="10" width="9.1796875" style="61"/>
    <col min="11" max="11" width="13.1796875" style="62" customWidth="1"/>
    <col min="12" max="12" width="9.1796875" style="61"/>
    <col min="13" max="13" width="26.08984375" style="61" customWidth="1"/>
    <col min="14" max="16384" width="9.1796875" style="61"/>
  </cols>
  <sheetData>
    <row r="1" spans="1:16" ht="15.5" x14ac:dyDescent="0.35">
      <c r="A1" s="57" t="s">
        <v>242</v>
      </c>
      <c r="B1" s="57"/>
      <c r="C1" s="57"/>
      <c r="D1" s="57"/>
      <c r="E1" s="57"/>
      <c r="F1" s="57"/>
      <c r="G1" s="57"/>
      <c r="H1" s="57"/>
      <c r="I1" s="57"/>
    </row>
    <row r="2" spans="1:16" ht="19" customHeight="1" x14ac:dyDescent="0.35">
      <c r="A2" s="57" t="s">
        <v>243</v>
      </c>
      <c r="B2" s="57"/>
      <c r="C2" s="57"/>
      <c r="D2" s="57"/>
      <c r="E2" s="57"/>
      <c r="F2" s="57"/>
      <c r="G2" s="57"/>
      <c r="H2" s="57"/>
      <c r="I2" s="57"/>
    </row>
    <row r="3" spans="1:16" ht="34.5" customHeight="1" x14ac:dyDescent="0.35">
      <c r="A3" s="343" t="s">
        <v>431</v>
      </c>
      <c r="B3" s="344"/>
      <c r="C3" s="344"/>
      <c r="D3" s="344"/>
      <c r="E3" s="344"/>
      <c r="F3" s="344"/>
      <c r="G3" s="344"/>
      <c r="H3" s="344"/>
      <c r="I3" s="179"/>
    </row>
    <row r="4" spans="1:16" ht="15" x14ac:dyDescent="0.35">
      <c r="A4" s="353"/>
      <c r="B4" s="353"/>
      <c r="C4" s="353"/>
      <c r="D4" s="353"/>
      <c r="E4" s="353"/>
      <c r="F4" s="353"/>
      <c r="G4" s="353"/>
      <c r="H4" s="353"/>
      <c r="I4" s="353"/>
    </row>
    <row r="5" spans="1:16" x14ac:dyDescent="0.35">
      <c r="A5" s="354" t="s">
        <v>87</v>
      </c>
      <c r="B5" s="71" t="s">
        <v>22</v>
      </c>
      <c r="C5" s="71" t="s">
        <v>23</v>
      </c>
      <c r="D5" s="71" t="s">
        <v>24</v>
      </c>
      <c r="E5" s="71" t="s">
        <v>71</v>
      </c>
      <c r="F5" s="71" t="s">
        <v>26</v>
      </c>
      <c r="G5" s="71" t="s">
        <v>25</v>
      </c>
      <c r="H5" s="71" t="s">
        <v>72</v>
      </c>
      <c r="I5" s="71" t="s">
        <v>73</v>
      </c>
    </row>
    <row r="6" spans="1:16" ht="65" x14ac:dyDescent="0.35">
      <c r="A6" s="354"/>
      <c r="B6" s="71" t="s">
        <v>127</v>
      </c>
      <c r="C6" s="71" t="s">
        <v>128</v>
      </c>
      <c r="D6" s="71" t="s">
        <v>129</v>
      </c>
      <c r="E6" s="71" t="s">
        <v>130</v>
      </c>
      <c r="F6" s="71" t="s">
        <v>131</v>
      </c>
      <c r="G6" s="71" t="s">
        <v>132</v>
      </c>
      <c r="H6" s="71" t="s">
        <v>133</v>
      </c>
      <c r="I6" s="71" t="s">
        <v>134</v>
      </c>
      <c r="K6" s="355" t="s">
        <v>68</v>
      </c>
      <c r="L6" s="355"/>
      <c r="M6" s="64"/>
    </row>
    <row r="7" spans="1:16" ht="65.5" x14ac:dyDescent="0.35">
      <c r="A7" s="354"/>
      <c r="B7" s="63"/>
      <c r="C7" s="63"/>
      <c r="D7" s="180" t="s">
        <v>135</v>
      </c>
      <c r="E7" s="181"/>
      <c r="F7" s="180" t="s">
        <v>136</v>
      </c>
      <c r="G7" s="180" t="s">
        <v>137</v>
      </c>
      <c r="H7" s="180" t="s">
        <v>138</v>
      </c>
      <c r="I7" s="181"/>
      <c r="J7" s="182"/>
      <c r="K7" s="183" t="s">
        <v>69</v>
      </c>
      <c r="L7" s="184">
        <v>69.040000000000006</v>
      </c>
      <c r="M7" s="167" t="s">
        <v>172</v>
      </c>
      <c r="O7" s="61" t="s">
        <v>383</v>
      </c>
    </row>
    <row r="8" spans="1:16" ht="15.5" x14ac:dyDescent="0.35">
      <c r="A8" s="65" t="s">
        <v>281</v>
      </c>
      <c r="B8" s="58">
        <v>8</v>
      </c>
      <c r="C8" s="58">
        <v>1</v>
      </c>
      <c r="D8" s="185">
        <f>B8*C8</f>
        <v>8</v>
      </c>
      <c r="E8" s="185">
        <v>0</v>
      </c>
      <c r="F8" s="186">
        <f>D8*E8</f>
        <v>0</v>
      </c>
      <c r="G8" s="186">
        <f>F8*0.05</f>
        <v>0</v>
      </c>
      <c r="H8" s="186">
        <f>F8*0.1</f>
        <v>0</v>
      </c>
      <c r="I8" s="187">
        <f>(F8*$L$8)+(G8*$L$7)+(H8*$L$9)</f>
        <v>0</v>
      </c>
      <c r="J8" s="182"/>
      <c r="K8" s="183" t="s">
        <v>33</v>
      </c>
      <c r="L8" s="188">
        <v>51.23</v>
      </c>
      <c r="M8" s="59"/>
      <c r="O8" s="61">
        <f>C8*E8</f>
        <v>0</v>
      </c>
    </row>
    <row r="9" spans="1:16" ht="15.5" x14ac:dyDescent="0.35">
      <c r="A9" s="65" t="s">
        <v>280</v>
      </c>
      <c r="B9" s="58">
        <v>8</v>
      </c>
      <c r="C9" s="58">
        <v>1</v>
      </c>
      <c r="D9" s="185">
        <f>B9*C9</f>
        <v>8</v>
      </c>
      <c r="E9" s="185">
        <v>0</v>
      </c>
      <c r="F9" s="189">
        <f>D9*E9</f>
        <v>0</v>
      </c>
      <c r="G9" s="189">
        <f>F9*0.05</f>
        <v>0</v>
      </c>
      <c r="H9" s="189">
        <f>F9*0.1</f>
        <v>0</v>
      </c>
      <c r="I9" s="190">
        <f>(F9*$L$8)+(G9*$L$7)+(H9*$L$9)</f>
        <v>0</v>
      </c>
      <c r="J9" s="182"/>
      <c r="K9" s="183" t="s">
        <v>34</v>
      </c>
      <c r="L9" s="188">
        <v>27.73</v>
      </c>
      <c r="M9" s="59"/>
      <c r="O9" s="61">
        <f t="shared" ref="O9:O12" si="0">C9*E9</f>
        <v>0</v>
      </c>
    </row>
    <row r="10" spans="1:16" x14ac:dyDescent="0.35">
      <c r="A10" s="65" t="s">
        <v>141</v>
      </c>
      <c r="B10" s="58"/>
      <c r="C10" s="58"/>
      <c r="D10" s="185"/>
      <c r="E10" s="185"/>
      <c r="F10" s="186"/>
      <c r="G10" s="186"/>
      <c r="H10" s="186"/>
      <c r="I10" s="191"/>
      <c r="J10" s="182"/>
      <c r="K10" s="192"/>
      <c r="L10" s="182"/>
      <c r="O10" s="61">
        <f t="shared" si="0"/>
        <v>0</v>
      </c>
    </row>
    <row r="11" spans="1:16" ht="28.5" x14ac:dyDescent="0.35">
      <c r="A11" s="66" t="s">
        <v>282</v>
      </c>
      <c r="B11" s="58">
        <v>0.5</v>
      </c>
      <c r="C11" s="58">
        <v>1.1000000000000001</v>
      </c>
      <c r="D11" s="185">
        <f t="shared" ref="D11:D12" si="1">B11*C11</f>
        <v>0.55000000000000004</v>
      </c>
      <c r="E11" s="185">
        <v>0</v>
      </c>
      <c r="F11" s="186">
        <f t="shared" ref="F11:F12" si="2">D11*E11</f>
        <v>0</v>
      </c>
      <c r="G11" s="186">
        <f t="shared" ref="G11:G12" si="3">F11*0.05</f>
        <v>0</v>
      </c>
      <c r="H11" s="186">
        <f t="shared" ref="H11:H12" si="4">F11*0.1</f>
        <v>0</v>
      </c>
      <c r="I11" s="187">
        <f t="shared" ref="I11:I12" si="5">(F11*$L$8)+(G11*$L$7)+(H11*$L$9)</f>
        <v>0</v>
      </c>
      <c r="J11" s="182"/>
      <c r="K11" s="192"/>
      <c r="L11" s="182"/>
      <c r="O11" s="61">
        <f t="shared" si="0"/>
        <v>0</v>
      </c>
    </row>
    <row r="12" spans="1:16" ht="20.25" customHeight="1" x14ac:dyDescent="0.35">
      <c r="A12" s="66" t="s">
        <v>283</v>
      </c>
      <c r="B12" s="58">
        <v>8</v>
      </c>
      <c r="C12" s="58">
        <v>2</v>
      </c>
      <c r="D12" s="185">
        <f t="shared" si="1"/>
        <v>16</v>
      </c>
      <c r="E12" s="185">
        <v>138</v>
      </c>
      <c r="F12" s="186">
        <f t="shared" si="2"/>
        <v>2208</v>
      </c>
      <c r="G12" s="193">
        <f t="shared" si="3"/>
        <v>110.4</v>
      </c>
      <c r="H12" s="193">
        <f t="shared" si="4"/>
        <v>220.8</v>
      </c>
      <c r="I12" s="187">
        <f t="shared" si="5"/>
        <v>126860.64</v>
      </c>
      <c r="J12" s="182"/>
      <c r="K12" s="192"/>
      <c r="L12" s="182"/>
      <c r="O12" s="61">
        <f t="shared" si="0"/>
        <v>276</v>
      </c>
    </row>
    <row r="13" spans="1:16" ht="15" x14ac:dyDescent="0.35">
      <c r="A13" s="60" t="s">
        <v>144</v>
      </c>
      <c r="B13" s="60"/>
      <c r="C13" s="60">
        <f>SUM(C8:C12)</f>
        <v>5.0999999999999996</v>
      </c>
      <c r="D13" s="60"/>
      <c r="E13" s="60"/>
      <c r="F13" s="357">
        <f>ROUND(SUM(F8:H12), -1)</f>
        <v>2540</v>
      </c>
      <c r="G13" s="358"/>
      <c r="H13" s="359"/>
      <c r="I13" s="67">
        <f>ROUND(SUM(I8:I12), -2)</f>
        <v>126900</v>
      </c>
      <c r="O13" s="61">
        <f>SUM(O8:O12)</f>
        <v>276</v>
      </c>
      <c r="P13" s="61" t="s">
        <v>385</v>
      </c>
    </row>
    <row r="14" spans="1:16" x14ac:dyDescent="0.35">
      <c r="A14" s="68"/>
      <c r="G14" s="69"/>
    </row>
    <row r="15" spans="1:16" ht="24.75" customHeight="1" x14ac:dyDescent="0.35">
      <c r="A15" s="68" t="s">
        <v>61</v>
      </c>
    </row>
    <row r="16" spans="1:16" ht="31.5" customHeight="1" x14ac:dyDescent="0.35">
      <c r="A16" s="356" t="s">
        <v>278</v>
      </c>
      <c r="B16" s="356"/>
      <c r="C16" s="356"/>
      <c r="D16" s="356"/>
      <c r="E16" s="356"/>
      <c r="F16" s="356"/>
      <c r="G16" s="356"/>
      <c r="H16" s="356"/>
      <c r="I16" s="356"/>
    </row>
    <row r="17" spans="1:9" ht="45.5" customHeight="1" x14ac:dyDescent="0.35">
      <c r="A17" s="356" t="s">
        <v>174</v>
      </c>
      <c r="B17" s="356"/>
      <c r="C17" s="356"/>
      <c r="D17" s="356"/>
      <c r="E17" s="356"/>
      <c r="F17" s="356"/>
      <c r="G17" s="356"/>
      <c r="H17" s="356"/>
      <c r="I17" s="356"/>
    </row>
    <row r="18" spans="1:9" ht="28.5" customHeight="1" x14ac:dyDescent="0.35">
      <c r="A18" s="360" t="s">
        <v>175</v>
      </c>
      <c r="B18" s="360"/>
      <c r="C18" s="360"/>
      <c r="D18" s="360"/>
      <c r="E18" s="360"/>
      <c r="F18" s="360"/>
      <c r="G18" s="360"/>
      <c r="H18" s="360"/>
      <c r="I18" s="360"/>
    </row>
    <row r="19" spans="1:9" ht="15.5" x14ac:dyDescent="0.35">
      <c r="A19" s="361" t="s">
        <v>146</v>
      </c>
      <c r="B19" s="361"/>
      <c r="C19" s="361"/>
      <c r="D19" s="361"/>
      <c r="E19" s="361"/>
      <c r="F19" s="361"/>
      <c r="G19" s="361"/>
      <c r="H19" s="361"/>
      <c r="I19" s="361"/>
    </row>
    <row r="20" spans="1:9" ht="15.5" x14ac:dyDescent="0.35">
      <c r="A20" s="352" t="s">
        <v>279</v>
      </c>
      <c r="B20" s="352"/>
      <c r="C20" s="352"/>
      <c r="D20" s="352"/>
      <c r="E20" s="352"/>
      <c r="F20" s="352"/>
      <c r="G20" s="352"/>
      <c r="H20" s="352"/>
      <c r="I20" s="352"/>
    </row>
    <row r="21" spans="1:9" ht="15.5" x14ac:dyDescent="0.35">
      <c r="A21" s="352" t="s">
        <v>147</v>
      </c>
      <c r="B21" s="352"/>
      <c r="C21" s="352"/>
      <c r="D21" s="352"/>
      <c r="E21" s="352"/>
      <c r="F21" s="352"/>
      <c r="G21" s="352"/>
      <c r="H21" s="352"/>
      <c r="I21" s="352"/>
    </row>
    <row r="22" spans="1:9" ht="15.5" x14ac:dyDescent="0.35">
      <c r="A22" s="352" t="s">
        <v>284</v>
      </c>
      <c r="B22" s="352"/>
      <c r="C22" s="352"/>
      <c r="D22" s="352"/>
      <c r="E22" s="352"/>
      <c r="F22" s="352"/>
      <c r="G22" s="352"/>
      <c r="H22" s="352"/>
      <c r="I22" s="352"/>
    </row>
    <row r="23" spans="1:9" x14ac:dyDescent="0.35">
      <c r="A23" s="70"/>
    </row>
    <row r="24" spans="1:9" x14ac:dyDescent="0.35">
      <c r="A24" s="70"/>
    </row>
    <row r="25" spans="1:9" x14ac:dyDescent="0.35">
      <c r="A25" s="70"/>
    </row>
    <row r="26" spans="1:9" x14ac:dyDescent="0.35">
      <c r="A26" s="70"/>
    </row>
  </sheetData>
  <mergeCells count="12">
    <mergeCell ref="A3:H3"/>
    <mergeCell ref="A22:I22"/>
    <mergeCell ref="A4:I4"/>
    <mergeCell ref="A5:A7"/>
    <mergeCell ref="K6:L6"/>
    <mergeCell ref="A16:I16"/>
    <mergeCell ref="F13:H13"/>
    <mergeCell ref="A17:I17"/>
    <mergeCell ref="A18:I18"/>
    <mergeCell ref="A19:I19"/>
    <mergeCell ref="A20:I20"/>
    <mergeCell ref="A21:I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Monitors</vt:lpstr>
      <vt:lpstr>ICR Summary</vt:lpstr>
      <vt:lpstr>NoSourcesPerIndustry</vt:lpstr>
      <vt:lpstr>RespondentBurdenSUMbySector</vt:lpstr>
      <vt:lpstr>AgencyBurdenSUMbySector</vt:lpstr>
      <vt:lpstr>RI-Y1</vt:lpstr>
      <vt:lpstr>RI-Y2</vt:lpstr>
      <vt:lpstr>RI-Y3</vt:lpstr>
      <vt:lpstr>RA-Y1</vt:lpstr>
      <vt:lpstr>RA-Y2</vt:lpstr>
      <vt:lpstr>RA-Y3</vt:lpstr>
      <vt:lpstr>RCOM</vt:lpstr>
      <vt:lpstr>CI</vt:lpstr>
      <vt:lpstr>CA</vt:lpstr>
      <vt:lpstr>II-Y1</vt:lpstr>
      <vt:lpstr>II-Y2</vt:lpstr>
      <vt:lpstr>II-Y3</vt:lpstr>
      <vt:lpstr>IA-Y1</vt:lpstr>
      <vt:lpstr>IA-Y2</vt:lpstr>
      <vt:lpstr>IA-Y3</vt:lpstr>
      <vt:lpstr>ICOM</vt:lpstr>
      <vt:lpstr>SI</vt:lpstr>
      <vt:lpstr>SA</vt:lpstr>
      <vt:lpstr>SS</vt:lpstr>
      <vt:lpstr>BPPI-Y1</vt:lpstr>
      <vt:lpstr>BPPI-Y2</vt:lpstr>
      <vt:lpstr>BPPI-Y3</vt:lpstr>
      <vt:lpstr>BPPA-Y1</vt:lpstr>
      <vt:lpstr>BPPA-Y2</vt:lpstr>
      <vt:lpstr>BPPA-Y3</vt:lpstr>
      <vt:lpstr>BPPCOM</vt:lpstr>
    </vt:vector>
  </TitlesOfParts>
  <Company>Eastern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Purdy, Mark</cp:lastModifiedBy>
  <cp:lastPrinted>2022-01-07T19:23:47Z</cp:lastPrinted>
  <dcterms:created xsi:type="dcterms:W3CDTF">2000-08-03T19:32:28Z</dcterms:created>
  <dcterms:modified xsi:type="dcterms:W3CDTF">2022-04-06T20:35:38Z</dcterms:modified>
</cp:coreProperties>
</file>