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https://usepa-my.sharepoint.com/personal/wrigley_william_epa_gov/Documents/Desktop/temp/"/>
    </mc:Choice>
  </mc:AlternateContent>
  <xr:revisionPtr revIDLastSave="0" documentId="8_{D7D64A5B-0324-4CB4-9891-95CEAFD8B9D0}" xr6:coauthVersionLast="47" xr6:coauthVersionMax="47" xr10:uidLastSave="{00000000-0000-0000-0000-000000000000}"/>
  <bookViews>
    <workbookView xWindow="-110" yWindow="-110" windowWidth="19420" windowHeight="10420" xr2:uid="{D855CF00-F869-48B3-9963-4AD001D31E8A}"/>
  </bookViews>
  <sheets>
    <sheet name="Table 1" sheetId="1" r:id="rId1"/>
    <sheet name="Table 2" sheetId="2" r:id="rId2"/>
    <sheet name="Capital O&amp;M" sheetId="3" r:id="rId3"/>
  </sheets>
  <calcPr calcId="191029"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9" i="1" l="1"/>
  <c r="E6" i="2" s="1"/>
  <c r="E10" i="1"/>
  <c r="E11" i="1"/>
  <c r="E12" i="1"/>
  <c r="E16" i="1"/>
  <c r="E15" i="1" s="1"/>
  <c r="C12" i="2"/>
  <c r="D10" i="2"/>
  <c r="D11" i="2"/>
  <c r="D8" i="2"/>
  <c r="C12" i="1"/>
  <c r="D12" i="1" s="1"/>
  <c r="E32" i="1"/>
  <c r="E29" i="1"/>
  <c r="D33" i="3"/>
  <c r="F34" i="3"/>
  <c r="D35" i="3"/>
  <c r="C22" i="3"/>
  <c r="C21" i="3"/>
  <c r="C20" i="3"/>
  <c r="E17" i="1"/>
  <c r="B21" i="3" s="1"/>
  <c r="D16" i="1"/>
  <c r="E14" i="1" l="1"/>
  <c r="F16" i="1"/>
  <c r="H16" i="1" s="1"/>
  <c r="E21" i="3"/>
  <c r="B20" i="3"/>
  <c r="E20" i="3" l="1"/>
  <c r="B22" i="3"/>
  <c r="G16" i="1"/>
  <c r="I16" i="1" s="1"/>
  <c r="C36" i="3" l="1"/>
  <c r="E10" i="2"/>
  <c r="F10" i="2" s="1"/>
  <c r="E11" i="2"/>
  <c r="F11" i="2" s="1"/>
  <c r="D34" i="1"/>
  <c r="D17" i="1"/>
  <c r="F17" i="1" s="1"/>
  <c r="D15" i="1"/>
  <c r="F15" i="1" s="1"/>
  <c r="D14" i="1"/>
  <c r="F14" i="1" s="1"/>
  <c r="G10" i="2" l="1"/>
  <c r="H10" i="2"/>
  <c r="G11" i="2"/>
  <c r="H11" i="2"/>
  <c r="H15" i="1"/>
  <c r="G15" i="1"/>
  <c r="H14" i="1"/>
  <c r="G14" i="1"/>
  <c r="H17" i="1"/>
  <c r="G17" i="1"/>
  <c r="G37" i="3"/>
  <c r="D36" i="3"/>
  <c r="I17" i="1" l="1"/>
  <c r="I10" i="2"/>
  <c r="I11" i="2"/>
  <c r="I15" i="1"/>
  <c r="I14" i="1"/>
  <c r="G35" i="3" l="1"/>
  <c r="G34" i="3"/>
  <c r="D34" i="3"/>
  <c r="D38" i="3" s="1"/>
  <c r="G38" i="3" l="1"/>
  <c r="I38" i="3" s="1"/>
  <c r="C23" i="3"/>
  <c r="C18" i="3"/>
  <c r="C17" i="3"/>
  <c r="C16" i="3"/>
  <c r="C15" i="3"/>
  <c r="C9" i="3"/>
  <c r="B9" i="3"/>
  <c r="E19" i="3" s="1"/>
  <c r="F8" i="3"/>
  <c r="F7" i="3"/>
  <c r="F6" i="3"/>
  <c r="F12" i="1" l="1"/>
  <c r="G12" i="1" s="1"/>
  <c r="E8" i="2"/>
  <c r="F8" i="2" s="1"/>
  <c r="I43" i="1"/>
  <c r="E27" i="1"/>
  <c r="E16" i="3"/>
  <c r="E36" i="1"/>
  <c r="F9" i="3"/>
  <c r="E6" i="1"/>
  <c r="E22" i="1"/>
  <c r="E23" i="1"/>
  <c r="E30" i="1"/>
  <c r="E26" i="1"/>
  <c r="H12" i="1" l="1"/>
  <c r="I12" i="1" s="1"/>
  <c r="G8" i="2"/>
  <c r="H8" i="2"/>
  <c r="E17" i="3"/>
  <c r="E7" i="2"/>
  <c r="E18" i="3"/>
  <c r="E22" i="3"/>
  <c r="E19" i="1"/>
  <c r="E34" i="1"/>
  <c r="F34" i="1" s="1"/>
  <c r="E38" i="1"/>
  <c r="E39" i="1"/>
  <c r="E40" i="1"/>
  <c r="E5" i="1"/>
  <c r="E33" i="1" s="1"/>
  <c r="E37" i="1" s="1"/>
  <c r="D12" i="2"/>
  <c r="D7" i="2"/>
  <c r="D6" i="2"/>
  <c r="D5" i="2"/>
  <c r="D40" i="1"/>
  <c r="D39" i="1"/>
  <c r="D38" i="1"/>
  <c r="D37" i="1"/>
  <c r="D36" i="1"/>
  <c r="F36" i="1" s="1"/>
  <c r="D33" i="1"/>
  <c r="D32" i="1"/>
  <c r="D30" i="1"/>
  <c r="F30" i="1" s="1"/>
  <c r="D29" i="1"/>
  <c r="D27" i="1"/>
  <c r="F27" i="1" s="1"/>
  <c r="D26" i="1"/>
  <c r="F26" i="1" s="1"/>
  <c r="D24" i="1"/>
  <c r="F24" i="1" s="1"/>
  <c r="D23" i="1"/>
  <c r="F23" i="1" s="1"/>
  <c r="D22" i="1"/>
  <c r="F22" i="1" s="1"/>
  <c r="D19" i="1"/>
  <c r="D11" i="1"/>
  <c r="F11" i="1" s="1"/>
  <c r="D10" i="1"/>
  <c r="F10" i="1" s="1"/>
  <c r="H10" i="1" s="1"/>
  <c r="D9" i="1"/>
  <c r="F9" i="1" s="1"/>
  <c r="D8" i="1"/>
  <c r="D6" i="1"/>
  <c r="F6" i="1" s="1"/>
  <c r="D5" i="1"/>
  <c r="F19" i="1" l="1"/>
  <c r="G19" i="1" s="1"/>
  <c r="B23" i="3"/>
  <c r="E23" i="3" s="1"/>
  <c r="E12" i="2"/>
  <c r="F12" i="2" s="1"/>
  <c r="H34" i="1"/>
  <c r="G34" i="1"/>
  <c r="I8" i="2"/>
  <c r="F29" i="1"/>
  <c r="G29" i="1" s="1"/>
  <c r="F32" i="1"/>
  <c r="H32" i="1" s="1"/>
  <c r="F7" i="2"/>
  <c r="H7" i="2" s="1"/>
  <c r="F39" i="1"/>
  <c r="H39" i="1" s="1"/>
  <c r="F40" i="1"/>
  <c r="G40" i="1" s="1"/>
  <c r="F6" i="2"/>
  <c r="H6" i="2" s="1"/>
  <c r="H6" i="1"/>
  <c r="G6" i="1"/>
  <c r="F38" i="1"/>
  <c r="H38" i="1" s="1"/>
  <c r="F37" i="1"/>
  <c r="H37" i="1" s="1"/>
  <c r="H26" i="1"/>
  <c r="H11" i="1"/>
  <c r="H23" i="1"/>
  <c r="G9" i="1"/>
  <c r="H27" i="1"/>
  <c r="G27" i="1"/>
  <c r="H36" i="1"/>
  <c r="G30" i="1"/>
  <c r="H30" i="1"/>
  <c r="H24" i="1"/>
  <c r="G24" i="1"/>
  <c r="H22" i="1"/>
  <c r="G22" i="1"/>
  <c r="G36" i="1"/>
  <c r="G26" i="1"/>
  <c r="G23" i="1"/>
  <c r="G11" i="1"/>
  <c r="H9" i="1"/>
  <c r="G10" i="1"/>
  <c r="I10" i="1" s="1"/>
  <c r="F5" i="1"/>
  <c r="F33" i="1"/>
  <c r="H19" i="1" l="1"/>
  <c r="I19" i="1" s="1"/>
  <c r="H29" i="1"/>
  <c r="I29" i="1" s="1"/>
  <c r="I34" i="1"/>
  <c r="H12" i="2"/>
  <c r="G12" i="2"/>
  <c r="I12" i="2" s="1"/>
  <c r="G32" i="1"/>
  <c r="I32" i="1" s="1"/>
  <c r="I22" i="1"/>
  <c r="G7" i="2"/>
  <c r="I7" i="2" s="1"/>
  <c r="I6" i="1"/>
  <c r="H5" i="1"/>
  <c r="H40" i="1"/>
  <c r="I40" i="1" s="1"/>
  <c r="G6" i="2"/>
  <c r="I36" i="1"/>
  <c r="I11" i="1"/>
  <c r="G39" i="1"/>
  <c r="I39" i="1" s="1"/>
  <c r="I23" i="1"/>
  <c r="I27" i="1"/>
  <c r="G38" i="1"/>
  <c r="I38" i="1" s="1"/>
  <c r="G37" i="1"/>
  <c r="I37" i="1" s="1"/>
  <c r="I9" i="1"/>
  <c r="I24" i="1"/>
  <c r="I30" i="1"/>
  <c r="G5" i="1"/>
  <c r="I26" i="1"/>
  <c r="G33" i="1"/>
  <c r="H33" i="1"/>
  <c r="I5" i="1" l="1"/>
  <c r="F41" i="1"/>
  <c r="I6" i="2"/>
  <c r="I33" i="1"/>
  <c r="I41" i="1" s="1"/>
  <c r="E15" i="3" l="1"/>
  <c r="E24" i="3" s="1"/>
  <c r="E8" i="1"/>
  <c r="E5" i="2" s="1"/>
  <c r="F5" i="2" s="1"/>
  <c r="F8" i="1" l="1"/>
  <c r="H8" i="1"/>
  <c r="G8" i="1"/>
  <c r="F20" i="1" s="1"/>
  <c r="F42" i="1" s="1"/>
  <c r="G5" i="2"/>
  <c r="H5" i="2"/>
  <c r="F13" i="2" s="1"/>
  <c r="I8" i="1"/>
  <c r="I20" i="1" s="1"/>
  <c r="I42" i="1" s="1"/>
  <c r="I44" i="1" s="1"/>
  <c r="I5" i="2" l="1"/>
  <c r="I13" i="2" s="1"/>
  <c r="K41" i="1"/>
</calcChain>
</file>

<file path=xl/sharedStrings.xml><?xml version="1.0" encoding="utf-8"?>
<sst xmlns="http://schemas.openxmlformats.org/spreadsheetml/2006/main" count="162" uniqueCount="147">
  <si>
    <t>Table 1: Annual Respondent Burden and Cost – NESHAP for Paper and Other Web Coating (40 CFR Part 63, Subpart JJJJ) (Renewal)</t>
  </si>
  <si>
    <t>Burden item</t>
  </si>
  <si>
    <t>(D)</t>
  </si>
  <si>
    <t>1.  Reporting requirements</t>
  </si>
  <si>
    <t>2.  Recordkeeping requirements</t>
  </si>
  <si>
    <t>Assumptions:</t>
  </si>
  <si>
    <t>Table 2: Average Annual EPA Burden and Cost – NESHAP for Paper and Other Web Coating (40 CFR Part 63, Subpart JJJJ) (Renewal)</t>
  </si>
  <si>
    <t>Number of Respondents</t>
  </si>
  <si>
    <t>Respondents That Submit Reports</t>
  </si>
  <si>
    <t>Respondents That Do Not Submit Any Reports</t>
  </si>
  <si>
    <t>Year</t>
  </si>
  <si>
    <t>(A)</t>
  </si>
  <si>
    <t>(B)</t>
  </si>
  <si>
    <t>Number of Existing Respondents</t>
  </si>
  <si>
    <t>(C)</t>
  </si>
  <si>
    <t>Number of Existing Respondents that keep records but do not submit reports</t>
  </si>
  <si>
    <t>Number of Existing Respondents That Are Also New Respondents</t>
  </si>
  <si>
    <t>(E)</t>
  </si>
  <si>
    <t>Average</t>
  </si>
  <si>
    <t>Total Annual Responses</t>
  </si>
  <si>
    <t>Information Collection Activity</t>
  </si>
  <si>
    <t>Number of Responses</t>
  </si>
  <si>
    <t>Number of Existing Respondents That Keep Records But Do Not Submit Reports</t>
  </si>
  <si>
    <t>Initial Notification</t>
  </si>
  <si>
    <t>Notification of performance test</t>
  </si>
  <si>
    <t>Notification of compliance status</t>
  </si>
  <si>
    <t>Performance test reports</t>
  </si>
  <si>
    <t>Semiannual report</t>
  </si>
  <si>
    <t>Total</t>
  </si>
  <si>
    <t>Total Annual Responses E=(BxC)+D</t>
  </si>
  <si>
    <t>Number of Respondents (E=A+B+C-D)</t>
  </si>
  <si>
    <t>(A)
 Person hours per occurrence</t>
  </si>
  <si>
    <t>(B) 
No. of occurrences per respondent per year</t>
  </si>
  <si>
    <t>(C) 
Person hours per respondent per year (C=AxB)</t>
  </si>
  <si>
    <t>(E) 
Technical person- hours per year (E=CxD)</t>
  </si>
  <si>
    <t>(F) 
Management person hours per year (Ex0.05)</t>
  </si>
  <si>
    <t>(G) 
Clerical person hours per year (Ex0.1)</t>
  </si>
  <si>
    <t>(A)
Person hours per occurrence</t>
  </si>
  <si>
    <t>(B)
No. of occurrences per respondent per year</t>
  </si>
  <si>
    <t>(F)
Management person hours per year (Ex0.05)</t>
  </si>
  <si>
    <t>(G)
Clerical person hours per year (Ex0.1)</t>
  </si>
  <si>
    <t>(C) 
Person hours per respondent per year 
(C=AxB)</t>
  </si>
  <si>
    <t>Continuous Monitoring Device</t>
  </si>
  <si>
    <t>Capital/Startup Cost for One Respondent</t>
  </si>
  <si>
    <t>Total Capital/Startup Cost,  (B X C)</t>
  </si>
  <si>
    <t>Annual O&amp;M Costs for One Respondent</t>
  </si>
  <si>
    <t>(F)</t>
  </si>
  <si>
    <t>(G)</t>
  </si>
  <si>
    <t>Continuous emission monitoring system (CEMS)</t>
  </si>
  <si>
    <t>Total O&amp;M, 
(E X F)</t>
  </si>
  <si>
    <t>Subtotal for Reporting Requirements</t>
  </si>
  <si>
    <t xml:space="preserve">Subtotal for Recordkeeping Requirements  </t>
  </si>
  <si>
    <r>
      <t>h</t>
    </r>
    <r>
      <rPr>
        <sz val="10"/>
        <rFont val="Times New Roman"/>
        <family val="1"/>
      </rPr>
      <t xml:space="preserve">  Totals have been rounded to 3 significant figures. Figures may not add exactly due to rounding.</t>
    </r>
  </si>
  <si>
    <t>Labor Rates</t>
  </si>
  <si>
    <t>Management</t>
  </si>
  <si>
    <t xml:space="preserve">Technical </t>
  </si>
  <si>
    <t>Clerical</t>
  </si>
  <si>
    <r>
      <t>b</t>
    </r>
    <r>
      <rPr>
        <sz val="10"/>
        <rFont val="Times New Roman"/>
        <family val="1"/>
      </rPr>
      <t xml:space="preserve">  This cost is based on the average hourly labor rate as follows: Managerial $69.04 (GS-13, Step 5, $43.15 + 60%); Technical $51.23 (GS-12, Step 1, $32.02 + 60%); and Clerical $27.73 (GS-6, Step 3, $17.33 + 60%). This ICR assumes that Managerial hours are 5 percent of Technical hours, and Clerical hours are 10 percent of Technical hours. These rates are from the Office of Personnel Management (OPM), 2021 General Schedule, which excludes locality, rates of pay. The rates have been increased by 60 percent to account for the benefit packages available to government employees.</t>
    </r>
  </si>
  <si>
    <t>Technical</t>
  </si>
  <si>
    <r>
      <t>b</t>
    </r>
    <r>
      <rPr>
        <sz val="10"/>
        <rFont val="Times New Roman"/>
        <family val="1"/>
      </rPr>
      <t xml:space="preserve">  This ICR uses the following labor rates: Managerial $153.55 ($73.12+ 110%); Technical $122.20 ($58.19 + 110%); and Clerical $61.51 ($29.29 + 110%). These rates are from the United States Department of Labor, Bureau of Labor Statistics, March 2021, “Table 2. Civilian Workers, by occupational and industry group.” The rates are from column 1, “Total compensation.”  The rates have been increased by 110 percent to account for the benefit packages available to those employed by private industry.</t>
    </r>
  </si>
  <si>
    <r>
      <t>Capital/Startup vs. Operation and Maintenance (O&amp;M) Costs</t>
    </r>
    <r>
      <rPr>
        <sz val="10"/>
        <color theme="1"/>
        <rFont val="Times New Roman"/>
        <family val="1"/>
      </rPr>
      <t> </t>
    </r>
  </si>
  <si>
    <t>Annual Catalyst Testing of Catalytic Oxidizers</t>
  </si>
  <si>
    <t>Initial performance test (inlet/outlet)</t>
  </si>
  <si>
    <t>Periodic Emissions Testing of Thermal Oxidizers</t>
  </si>
  <si>
    <t>Parametric/continuous monitoring system (CMS)</t>
  </si>
  <si>
    <t xml:space="preserve">A.  Familiarization with regulatory requirements </t>
  </si>
  <si>
    <r>
      <t xml:space="preserve">B.  Gather information </t>
    </r>
    <r>
      <rPr>
        <vertAlign val="superscript"/>
        <sz val="10"/>
        <color theme="1"/>
        <rFont val="Times New Roman"/>
        <family val="1"/>
      </rPr>
      <t>c</t>
    </r>
  </si>
  <si>
    <t>i.   Initial notification</t>
  </si>
  <si>
    <t>ii.  Notification of performance test</t>
  </si>
  <si>
    <t>iii. Notification of compliance status</t>
  </si>
  <si>
    <r>
      <t>ii.  Equipment inspection and monitoring</t>
    </r>
    <r>
      <rPr>
        <vertAlign val="superscript"/>
        <sz val="10"/>
        <rFont val="Times New Roman"/>
        <family val="1"/>
      </rPr>
      <t xml:space="preserve"> f</t>
    </r>
  </si>
  <si>
    <r>
      <t xml:space="preserve">i.  Acquisition and installation </t>
    </r>
    <r>
      <rPr>
        <vertAlign val="superscript"/>
        <sz val="10"/>
        <rFont val="Times New Roman"/>
        <family val="1"/>
      </rPr>
      <t>c</t>
    </r>
  </si>
  <si>
    <t>G.  Time to train personnel</t>
  </si>
  <si>
    <t>F.  Time to enter information</t>
  </si>
  <si>
    <r>
      <t xml:space="preserve">iii. Control equipment and maintenance plan </t>
    </r>
    <r>
      <rPr>
        <vertAlign val="superscript"/>
        <sz val="10"/>
        <rFont val="Times New Roman"/>
        <family val="1"/>
      </rPr>
      <t>c</t>
    </r>
  </si>
  <si>
    <t>E.  Develop record system</t>
  </si>
  <si>
    <t>ii. Performance test oversight</t>
  </si>
  <si>
    <t>i.  Design analysis</t>
  </si>
  <si>
    <r>
      <t xml:space="preserve">D.  Implement activities for control devices and process equipment </t>
    </r>
    <r>
      <rPr>
        <vertAlign val="superscript"/>
        <sz val="10"/>
        <rFont val="Times New Roman"/>
        <family val="1"/>
      </rPr>
      <t>c</t>
    </r>
  </si>
  <si>
    <r>
      <t xml:space="preserve">B.  Plan activities </t>
    </r>
    <r>
      <rPr>
        <vertAlign val="superscript"/>
        <sz val="10"/>
        <rFont val="Times New Roman"/>
        <family val="1"/>
      </rPr>
      <t>c</t>
    </r>
  </si>
  <si>
    <r>
      <t xml:space="preserve">A.  Read instructions </t>
    </r>
    <r>
      <rPr>
        <vertAlign val="superscript"/>
        <sz val="10"/>
        <color theme="1"/>
        <rFont val="Times New Roman"/>
        <family val="1"/>
      </rPr>
      <t>c</t>
    </r>
  </si>
  <si>
    <t>Annual Catalyst Activity Testing - Catalytic Oxidizers</t>
  </si>
  <si>
    <r>
      <t xml:space="preserve">Number of New Respondents </t>
    </r>
    <r>
      <rPr>
        <b/>
        <vertAlign val="superscript"/>
        <sz val="10"/>
        <color rgb="FF000000"/>
        <rFont val="Times New Roman"/>
        <family val="1"/>
      </rPr>
      <t>a</t>
    </r>
  </si>
  <si>
    <r>
      <t xml:space="preserve">a </t>
    </r>
    <r>
      <rPr>
        <sz val="10"/>
        <color rgb="FF000000"/>
        <rFont val="Times New Roman"/>
        <family val="1"/>
      </rPr>
      <t xml:space="preserve">  New respondents include sources with constructed and reconstructed affected facilities.</t>
    </r>
  </si>
  <si>
    <r>
      <t xml:space="preserve">D.  Periodic performance testing </t>
    </r>
    <r>
      <rPr>
        <vertAlign val="superscript"/>
        <sz val="10"/>
        <color theme="1"/>
        <rFont val="Times New Roman"/>
        <family val="1"/>
      </rPr>
      <t>d</t>
    </r>
  </si>
  <si>
    <t>iv. Performance test report</t>
  </si>
  <si>
    <r>
      <t xml:space="preserve">C.  Initial performance testing (new sources) </t>
    </r>
    <r>
      <rPr>
        <vertAlign val="superscript"/>
        <sz val="10"/>
        <color theme="1"/>
        <rFont val="Times New Roman"/>
        <family val="1"/>
      </rPr>
      <t>c</t>
    </r>
  </si>
  <si>
    <t>i.  Notification of test - thermal oxidizers</t>
  </si>
  <si>
    <t>ii.  Attend test - thermal oxidizers</t>
  </si>
  <si>
    <t>iv.  Annual catalyst test - catalytic oxidizers</t>
  </si>
  <si>
    <t>Semiannual summary report</t>
  </si>
  <si>
    <t>iii.  CMS performance evaluation - thermal oxidizers</t>
  </si>
  <si>
    <t>E.  Write reports</t>
  </si>
  <si>
    <r>
      <t xml:space="preserve">C.  Implement activities for compliance coating use </t>
    </r>
    <r>
      <rPr>
        <vertAlign val="superscript"/>
        <sz val="10"/>
        <rFont val="Times New Roman"/>
        <family val="1"/>
      </rPr>
      <t>e</t>
    </r>
  </si>
  <si>
    <r>
      <t xml:space="preserve">Number of New  Respondents </t>
    </r>
    <r>
      <rPr>
        <b/>
        <vertAlign val="superscript"/>
        <sz val="10"/>
        <color theme="1"/>
        <rFont val="Times New Roman"/>
        <family val="1"/>
      </rPr>
      <t>a</t>
    </r>
  </si>
  <si>
    <t>Repeat emissions performance test - Thermal Oxidizers</t>
  </si>
  <si>
    <r>
      <t xml:space="preserve">ii.  Develop plan for material used </t>
    </r>
    <r>
      <rPr>
        <vertAlign val="superscript"/>
        <sz val="10"/>
        <rFont val="Times New Roman"/>
        <family val="1"/>
      </rPr>
      <t>e</t>
    </r>
  </si>
  <si>
    <r>
      <t xml:space="preserve">i.  Compliance calculation </t>
    </r>
    <r>
      <rPr>
        <vertAlign val="superscript"/>
        <sz val="10"/>
        <rFont val="Times New Roman"/>
        <family val="1"/>
      </rPr>
      <t>e</t>
    </r>
  </si>
  <si>
    <r>
      <t>e</t>
    </r>
    <r>
      <rPr>
        <sz val="10"/>
        <rFont val="Times New Roman"/>
        <family val="1"/>
      </rPr>
      <t xml:space="preserve">  Based on permit data, we assume that 80 sources comply with the rule through the use of compliant coatings and will record activities for compliant coating use.</t>
    </r>
  </si>
  <si>
    <r>
      <t>g</t>
    </r>
    <r>
      <rPr>
        <sz val="10"/>
        <rFont val="Times New Roman"/>
        <family val="1"/>
      </rPr>
      <t xml:space="preserve">  We  have assumed that 5% of respondents will fail to meet standards each year (0.05 x 171 = 8.6, rounded to 9). </t>
    </r>
  </si>
  <si>
    <r>
      <t>ii. Control equipment testing</t>
    </r>
    <r>
      <rPr>
        <vertAlign val="superscript"/>
        <sz val="10"/>
        <rFont val="Times New Roman"/>
        <family val="1"/>
      </rPr>
      <t xml:space="preserve"> f</t>
    </r>
  </si>
  <si>
    <r>
      <t xml:space="preserve">iii. Records of failures to meet standards/actions taken to minimize emissions </t>
    </r>
    <r>
      <rPr>
        <vertAlign val="superscript"/>
        <sz val="10"/>
        <color theme="1"/>
        <rFont val="Times New Roman"/>
        <family val="1"/>
      </rPr>
      <t>g</t>
    </r>
  </si>
  <si>
    <t xml:space="preserve">iii. Use of technology and systems </t>
  </si>
  <si>
    <r>
      <t xml:space="preserve">H.  Store, file and maintain records </t>
    </r>
    <r>
      <rPr>
        <vertAlign val="superscript"/>
        <sz val="10"/>
        <rFont val="Times New Roman"/>
        <family val="1"/>
      </rPr>
      <t>h</t>
    </r>
  </si>
  <si>
    <r>
      <t xml:space="preserve">I.  Retrieve records/reports </t>
    </r>
    <r>
      <rPr>
        <vertAlign val="superscript"/>
        <sz val="10"/>
        <rFont val="Times New Roman"/>
        <family val="1"/>
      </rPr>
      <t>h</t>
    </r>
  </si>
  <si>
    <r>
      <t>i</t>
    </r>
    <r>
      <rPr>
        <sz val="10"/>
        <rFont val="Times New Roman"/>
        <family val="1"/>
      </rPr>
      <t xml:space="preserve">  Totals have been rounded to 3 significant figures. Figures may not add exactly due to rounding.</t>
    </r>
  </si>
  <si>
    <r>
      <t>h</t>
    </r>
    <r>
      <rPr>
        <sz val="10"/>
        <rFont val="Times New Roman"/>
        <family val="1"/>
      </rPr>
      <t xml:space="preserve">  We have assumed that 171 respondents will be involved in the storage, filing, maintenance and retrieval of records and reports twelve times per year. </t>
    </r>
  </si>
  <si>
    <t>hr/response</t>
  </si>
  <si>
    <r>
      <t>a</t>
    </r>
    <r>
      <rPr>
        <sz val="10"/>
        <rFont val="Times New Roman"/>
        <family val="1"/>
      </rPr>
      <t xml:space="preserve">  We  assume that an average of 171 respondents (170 existing, 1 new) will be subject to this rule, and that one new source will become subject to the rule each year over the three-year period of the ICR.</t>
    </r>
  </si>
  <si>
    <t>A. New Sources</t>
  </si>
  <si>
    <t>B. Periodic Testing</t>
  </si>
  <si>
    <r>
      <t xml:space="preserve">1. Review initial notification </t>
    </r>
    <r>
      <rPr>
        <vertAlign val="superscript"/>
        <sz val="10"/>
        <color theme="1"/>
        <rFont val="Times New Roman"/>
        <family val="1"/>
      </rPr>
      <t>c</t>
    </r>
  </si>
  <si>
    <r>
      <t xml:space="preserve">3. Review notification of compliance status </t>
    </r>
    <r>
      <rPr>
        <vertAlign val="superscript"/>
        <sz val="10"/>
        <color theme="1"/>
        <rFont val="Times New Roman"/>
        <family val="1"/>
      </rPr>
      <t>c</t>
    </r>
  </si>
  <si>
    <r>
      <t xml:space="preserve">2. Review notification of performance test </t>
    </r>
    <r>
      <rPr>
        <vertAlign val="superscript"/>
        <sz val="10"/>
        <color theme="1"/>
        <rFont val="Times New Roman"/>
        <family val="1"/>
      </rPr>
      <t>d</t>
    </r>
  </si>
  <si>
    <r>
      <t>c</t>
    </r>
    <r>
      <rPr>
        <sz val="10"/>
        <rFont val="Times New Roman"/>
        <family val="1"/>
      </rPr>
      <t xml:space="preserve">  We have assumed that this is a one-time activity for each new facility.</t>
    </r>
    <r>
      <rPr>
        <vertAlign val="superscript"/>
        <sz val="10"/>
        <rFont val="Times New Roman"/>
        <family val="1"/>
      </rPr>
      <t xml:space="preserve"> </t>
    </r>
    <r>
      <rPr>
        <sz val="10"/>
        <rFont val="Times New Roman"/>
        <family val="1"/>
      </rPr>
      <t xml:space="preserve">We assume that new sources will use a solvent recovery device as an add-on control device to comply with the rule. </t>
    </r>
  </si>
  <si>
    <r>
      <t xml:space="preserve">1. Review notification of periodic performance test and CMS performance evaluation </t>
    </r>
    <r>
      <rPr>
        <vertAlign val="superscript"/>
        <sz val="10"/>
        <color theme="1"/>
        <rFont val="Times New Roman"/>
        <family val="1"/>
      </rPr>
      <t>e</t>
    </r>
  </si>
  <si>
    <r>
      <t xml:space="preserve">2. Review periodic performance test and CMS performance evaluation results </t>
    </r>
    <r>
      <rPr>
        <vertAlign val="superscript"/>
        <sz val="10"/>
        <color theme="1"/>
        <rFont val="Times New Roman"/>
        <family val="1"/>
      </rPr>
      <t>e, f</t>
    </r>
  </si>
  <si>
    <r>
      <t>f</t>
    </r>
    <r>
      <rPr>
        <sz val="10"/>
        <rFont val="Times New Roman"/>
        <family val="1"/>
      </rPr>
      <t xml:space="preserve">   We assume that it will take the agency ten hours to review test results.</t>
    </r>
  </si>
  <si>
    <r>
      <t xml:space="preserve">C. Semiannual summary report </t>
    </r>
    <r>
      <rPr>
        <vertAlign val="superscript"/>
        <sz val="10"/>
        <color theme="1"/>
        <rFont val="Times New Roman"/>
        <family val="1"/>
      </rPr>
      <t>g</t>
    </r>
  </si>
  <si>
    <r>
      <t xml:space="preserve">TOTAL (rounded) </t>
    </r>
    <r>
      <rPr>
        <b/>
        <vertAlign val="superscript"/>
        <sz val="10"/>
        <rFont val="Times New Roman"/>
        <family val="1"/>
      </rPr>
      <t>h</t>
    </r>
  </si>
  <si>
    <r>
      <t>g</t>
    </r>
    <r>
      <rPr>
        <sz val="10"/>
        <rFont val="Times New Roman"/>
        <family val="1"/>
      </rPr>
      <t xml:space="preserve">  We assume that it will take the agency 15 hours to review the semiannual reports and that the agency will review summary reports twice per year.</t>
    </r>
  </si>
  <si>
    <r>
      <t xml:space="preserve">Total Labor Burden and Costs (rounded) </t>
    </r>
    <r>
      <rPr>
        <b/>
        <vertAlign val="superscript"/>
        <sz val="10"/>
        <rFont val="Times New Roman"/>
        <family val="1"/>
      </rPr>
      <t>i</t>
    </r>
  </si>
  <si>
    <r>
      <t xml:space="preserve">GRAND TOTAL (rounded) </t>
    </r>
    <r>
      <rPr>
        <b/>
        <vertAlign val="superscript"/>
        <sz val="10"/>
        <rFont val="Times New Roman"/>
        <family val="1"/>
      </rPr>
      <t>i</t>
    </r>
  </si>
  <si>
    <r>
      <t>Total Capital and O&amp;M Cost (rounded)</t>
    </r>
    <r>
      <rPr>
        <b/>
        <vertAlign val="superscript"/>
        <sz val="10"/>
        <rFont val="Times New Roman"/>
        <family val="1"/>
      </rPr>
      <t xml:space="preserve"> i</t>
    </r>
  </si>
  <si>
    <r>
      <rPr>
        <vertAlign val="superscript"/>
        <sz val="10"/>
        <color theme="1"/>
        <rFont val="Times New Roman"/>
        <family val="1"/>
      </rPr>
      <t xml:space="preserve">b  </t>
    </r>
    <r>
      <rPr>
        <sz val="10"/>
        <color theme="1"/>
        <rFont val="Times New Roman"/>
        <family val="1"/>
      </rPr>
      <t>We estimate an average of 171 sources (170 existing, 1 new) during the three-year period of this ICR.  Permit data indicates that an average of 90 facilities use add-on controls (79 use oxidizers and 11 use carbon adsorption). All of the oxidizers use parametric monitoring (CMS), and it was assumed that 5 of the facilities using carbon adsorption do as well.  The remaining 6 facilities using carbon adsorption were assumed to use CEMs. Three catalytic oxidizers do not already have a testing requirement in their permit and will comply by having the catalyst activity tested every year.</t>
    </r>
  </si>
  <si>
    <r>
      <rPr>
        <vertAlign val="superscript"/>
        <sz val="10"/>
        <color theme="1"/>
        <rFont val="Times New Roman"/>
        <family val="1"/>
      </rPr>
      <t>c</t>
    </r>
    <r>
      <rPr>
        <sz val="10"/>
        <color theme="1"/>
        <rFont val="Times New Roman"/>
        <family val="1"/>
      </rPr>
      <t xml:space="preserve"> Totals have been rounded to 3 significant digits. Figures may not add exactly due to rounding. </t>
    </r>
  </si>
  <si>
    <r>
      <t>Number of Respondents with O&amp;M</t>
    </r>
    <r>
      <rPr>
        <b/>
        <vertAlign val="superscript"/>
        <sz val="10"/>
        <color theme="1"/>
        <rFont val="Times New Roman"/>
        <family val="1"/>
      </rPr>
      <t xml:space="preserve"> b</t>
    </r>
  </si>
  <si>
    <r>
      <t>Totals</t>
    </r>
    <r>
      <rPr>
        <sz val="10"/>
        <color theme="1"/>
        <rFont val="Times New Roman"/>
        <family val="1"/>
      </rPr>
      <t xml:space="preserve"> (rounded)</t>
    </r>
    <r>
      <rPr>
        <b/>
        <sz val="10"/>
        <color theme="1"/>
        <rFont val="Times New Roman"/>
        <family val="1"/>
      </rPr>
      <t xml:space="preserve"> </t>
    </r>
    <r>
      <rPr>
        <b/>
        <vertAlign val="superscript"/>
        <sz val="10"/>
        <color theme="1"/>
        <rFont val="Times New Roman"/>
        <family val="1"/>
      </rPr>
      <t>c</t>
    </r>
  </si>
  <si>
    <r>
      <t xml:space="preserve">Number of Respondents </t>
    </r>
    <r>
      <rPr>
        <vertAlign val="superscript"/>
        <sz val="10"/>
        <color rgb="FF000000"/>
        <rFont val="Times New Roman"/>
        <family val="1"/>
      </rPr>
      <t>a</t>
    </r>
  </si>
  <si>
    <t>Burden Item</t>
  </si>
  <si>
    <r>
      <t xml:space="preserve">(D)
Respondents per year </t>
    </r>
    <r>
      <rPr>
        <vertAlign val="superscript"/>
        <sz val="10"/>
        <color theme="1"/>
        <rFont val="Times New Roman"/>
        <family val="1"/>
      </rPr>
      <t>a</t>
    </r>
  </si>
  <si>
    <r>
      <t xml:space="preserve">(H)
Cost, $ </t>
    </r>
    <r>
      <rPr>
        <vertAlign val="superscript"/>
        <sz val="10"/>
        <color theme="1"/>
        <rFont val="Times New Roman"/>
        <family val="1"/>
      </rPr>
      <t>b</t>
    </r>
  </si>
  <si>
    <r>
      <t>f</t>
    </r>
    <r>
      <rPr>
        <sz val="10"/>
        <rFont val="Times New Roman"/>
        <family val="1"/>
      </rPr>
      <t xml:space="preserve">  We have estimated that 90 facilities currently use add on control equipment. Assuming each new facility added uses add-on control equipment, we assumed an average of 91 facilities per year with add on controls over the 3-year period.</t>
    </r>
  </si>
  <si>
    <r>
      <t xml:space="preserve">(D) 
Respondents per year  </t>
    </r>
    <r>
      <rPr>
        <vertAlign val="superscript"/>
        <sz val="10"/>
        <rFont val="Times New Roman"/>
        <family val="1"/>
      </rPr>
      <t>a</t>
    </r>
  </si>
  <si>
    <r>
      <t xml:space="preserve">(H) 
Cost, $ </t>
    </r>
    <r>
      <rPr>
        <vertAlign val="superscript"/>
        <sz val="10"/>
        <rFont val="Times New Roman"/>
        <family val="1"/>
      </rPr>
      <t>b</t>
    </r>
  </si>
  <si>
    <r>
      <t>a</t>
    </r>
    <r>
      <rPr>
        <sz val="10"/>
        <rFont val="Times New Roman"/>
        <family val="1"/>
      </rPr>
      <t xml:space="preserve">  We assume that an average of 171 respondents (170 existing, 1 new) will be subject to this rule. We assume that one new source each year will become subject to the rule over the three-year period of the ICR.</t>
    </r>
    <r>
      <rPr>
        <vertAlign val="superscript"/>
        <sz val="10"/>
        <rFont val="Times New Roman"/>
        <family val="1"/>
      </rPr>
      <t xml:space="preserve">  </t>
    </r>
  </si>
  <si>
    <r>
      <t xml:space="preserve">d </t>
    </r>
    <r>
      <rPr>
        <sz val="10"/>
        <rFont val="Times New Roman"/>
        <family val="1"/>
      </rPr>
      <t xml:space="preserve"> Based on review of permit data for ICR 1951.09, we estimate that an average of 90 facilities currently use add on control equipment and 80 facilities comply with the rule through the use of compliant coatings. Some permits already require periodic testing for control equipment. Periodic emissions performance testing will be required under this rule for 62 thermal oxidizers. Assume one-third are tested each year (62/3 = 21 per year). CMS performance is evaluated during the control device performance test for the thermal oxidizers. Annual catalyst testing will be required for 3 catalytic oxidizers. </t>
    </r>
  </si>
  <si>
    <r>
      <t>e</t>
    </r>
    <r>
      <rPr>
        <sz val="10"/>
        <rFont val="Times New Roman"/>
        <family val="1"/>
      </rPr>
      <t xml:space="preserve">  A total of 62 thermal oxidizers will have periodic emissions performance testing requirements and CMS performance evaluations. We assume one-third of thermal oxidizers will be tested each year (62/3 = 21, rounded).</t>
    </r>
  </si>
  <si>
    <r>
      <rPr>
        <vertAlign val="superscript"/>
        <sz val="10"/>
        <color rgb="FF000000"/>
        <rFont val="Times New Roman"/>
        <family val="1"/>
      </rPr>
      <t>a</t>
    </r>
    <r>
      <rPr>
        <sz val="10"/>
        <color rgb="FF000000"/>
        <rFont val="Times New Roman"/>
        <family val="1"/>
      </rPr>
      <t xml:space="preserve">  Based on permits examined for the recent final rule, we assume that an average of 90 facilities use add-on controls, with a total of 123 oxidizers and 18 carbon adsorbers.  Some permits already require periodic testing. We estimate that an additional 65 oxidizers (62 thermal oxidizers and 3 catalytic oxidizers) will have to perform repeat testing under the rule. We assume one-third of the thermal ozidizers are tested each year </t>
    </r>
    <r>
      <rPr>
        <sz val="10"/>
        <rFont val="Times New Roman"/>
        <family val="1"/>
      </rPr>
      <t>(62/3 = 21, rounded)</t>
    </r>
    <r>
      <rPr>
        <sz val="10"/>
        <color rgb="FF000000"/>
        <rFont val="Times New Roman"/>
        <family val="1"/>
      </rPr>
      <t>. Three additional catalytic oxidizers will have to perform annual catalyst testing, in lieu of emissions testing.</t>
    </r>
  </si>
  <si>
    <r>
      <t>c</t>
    </r>
    <r>
      <rPr>
        <sz val="10"/>
        <rFont val="Times New Roman"/>
        <family val="1"/>
      </rPr>
      <t xml:space="preserve">  We assume that new sources will use a solvent recovery device as an add-on control device to comply with the rule. This is a one-time activity for a new facility using a solvent recovery device. Sources using solvent recovery and CEMS or CMS to comply with the rule are required to perform initial performance testing.</t>
    </r>
  </si>
  <si>
    <r>
      <t>d</t>
    </r>
    <r>
      <rPr>
        <sz val="10"/>
        <rFont val="Times New Roman"/>
        <family val="1"/>
      </rPr>
      <t xml:space="preserve">  Sources using solvent recovery and CEMS or CMS to comply with the rule are required to do initial performance testing.</t>
    </r>
  </si>
  <si>
    <t>v. CMS performance evaluation</t>
  </si>
  <si>
    <t xml:space="preserve">CMS performance evaluation </t>
  </si>
  <si>
    <r>
      <rPr>
        <vertAlign val="superscript"/>
        <sz val="10"/>
        <rFont val="Times New Roman"/>
        <family val="1"/>
      </rPr>
      <t>b</t>
    </r>
    <r>
      <rPr>
        <sz val="10"/>
        <rFont val="Times New Roman"/>
        <family val="1"/>
      </rPr>
      <t xml:space="preserve">  CMS performance is evaluated when a control device is tested. We assume 21 existing thermal oxidizers will be tested each year.</t>
    </r>
  </si>
  <si>
    <r>
      <t xml:space="preserve">CMS Performance Evaluation </t>
    </r>
    <r>
      <rPr>
        <vertAlign val="superscript"/>
        <sz val="10"/>
        <rFont val="Times New Roman"/>
        <family val="1"/>
      </rPr>
      <t>b</t>
    </r>
  </si>
  <si>
    <r>
      <t xml:space="preserve">4. Review performance test report and CMS performance evaluation </t>
    </r>
    <r>
      <rPr>
        <vertAlign val="superscript"/>
        <sz val="10"/>
        <color theme="1"/>
        <rFont val="Times New Roman"/>
        <family val="1"/>
      </rPr>
      <t>c, d</t>
    </r>
  </si>
  <si>
    <r>
      <rPr>
        <vertAlign val="superscript"/>
        <sz val="10"/>
        <color theme="1"/>
        <rFont val="Times New Roman"/>
        <family val="1"/>
      </rPr>
      <t xml:space="preserve">a  </t>
    </r>
    <r>
      <rPr>
        <sz val="10"/>
        <color theme="1"/>
        <rFont val="Times New Roman"/>
        <family val="1"/>
      </rPr>
      <t>We estimate that one new facility using solvent recovery (carbon adsorption) and CEMs or CMS will be constructed each year. A facility using solvent recovery and CEMS or CMS requires initial testing. Thermal oxidizers require testing, and 62 of the 123 thermal oxidizers do not already have a testing requirement in their permit. We assume 21 (62/3 = 21, rounded) thermal oxidizers will perform periodic testing every year.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</si>
</sst>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_);[Red]\(&quot;$&quot;#,##0\)"/>
    <numFmt numFmtId="8" formatCode="&quot;$&quot;#,##0.00_);[Red]\(&quot;$&quot;#,##0.00\)"/>
    <numFmt numFmtId="41" formatCode="_(* #,##0_);_(* \(#,##0\);_(* &quot;-&quot;_);_(@_)"/>
    <numFmt numFmtId="164" formatCode="General_)"/>
    <numFmt numFmtId="165" formatCode="&quot;$&quot;#,##0.00"/>
    <numFmt numFmtId="166" formatCode="&quot;$&quot;#,##0"/>
    <numFmt numFmtId="167" formatCode="0.0"/>
  </numFmts>
  <fonts count="30" x14ac:knownFonts="1">
    <font>
      <sz val="11"/>
      <color theme="1"/>
      <name val="Calibri"/>
      <family val="2"/>
      <scheme val="minor"/>
    </font>
    <font>
      <b/>
      <sz val="12"/>
      <color theme="1"/>
      <name val="Times New Roman"/>
      <family val="1"/>
    </font>
    <font>
      <sz val="10"/>
      <color theme="1"/>
      <name val="Times New Roman"/>
      <family val="1"/>
    </font>
    <font>
      <b/>
      <sz val="10"/>
      <color theme="1"/>
      <name val="Times New Roman"/>
      <family val="1"/>
    </font>
    <font>
      <b/>
      <vertAlign val="superscript"/>
      <sz val="10"/>
      <color theme="1"/>
      <name val="Times New Roman"/>
      <family val="1"/>
    </font>
    <font>
      <vertAlign val="superscript"/>
      <sz val="10"/>
      <color theme="1"/>
      <name val="Times New Roman"/>
      <family val="1"/>
    </font>
    <font>
      <b/>
      <i/>
      <sz val="10"/>
      <color rgb="FF000000"/>
      <name val="Times New Roman"/>
      <family val="1"/>
    </font>
    <font>
      <b/>
      <i/>
      <sz val="10"/>
      <color theme="1"/>
      <name val="Times New Roman"/>
      <family val="1"/>
    </font>
    <font>
      <i/>
      <sz val="10"/>
      <color theme="1"/>
      <name val="Times New Roman"/>
      <family val="1"/>
    </font>
    <font>
      <sz val="10"/>
      <color rgb="FFFF0000"/>
      <name val="Times New Roman"/>
      <family val="1"/>
    </font>
    <font>
      <sz val="10"/>
      <name val="Times New Roman"/>
      <family val="1"/>
    </font>
    <font>
      <sz val="8"/>
      <name val="Helv"/>
    </font>
    <font>
      <b/>
      <sz val="10"/>
      <name val="Times New Roman"/>
      <family val="1"/>
    </font>
    <font>
      <b/>
      <u/>
      <sz val="10"/>
      <name val="Times New Roman"/>
      <family val="1"/>
    </font>
    <font>
      <b/>
      <sz val="12"/>
      <color rgb="FF000000"/>
      <name val="Times New Roman"/>
      <family val="1"/>
    </font>
    <font>
      <sz val="10"/>
      <color rgb="FF000000"/>
      <name val="Times New Roman"/>
      <family val="1"/>
    </font>
    <font>
      <b/>
      <sz val="10"/>
      <color rgb="FF000000"/>
      <name val="Times New Roman"/>
      <family val="1"/>
    </font>
    <font>
      <b/>
      <vertAlign val="superscript"/>
      <sz val="10"/>
      <color rgb="FF000000"/>
      <name val="Times New Roman"/>
      <family val="1"/>
    </font>
    <font>
      <b/>
      <sz val="10"/>
      <color rgb="FFFF0000"/>
      <name val="Times New Roman"/>
      <family val="1"/>
    </font>
    <font>
      <vertAlign val="superscript"/>
      <sz val="10"/>
      <name val="Times New Roman"/>
      <family val="1"/>
    </font>
    <font>
      <b/>
      <vertAlign val="superscript"/>
      <sz val="10"/>
      <name val="Times New Roman"/>
      <family val="1"/>
    </font>
    <font>
      <b/>
      <i/>
      <sz val="10"/>
      <name val="Times New Roman"/>
      <family val="1"/>
    </font>
    <font>
      <b/>
      <sz val="16"/>
      <color theme="1"/>
      <name val="Times New Roman"/>
      <family val="1"/>
    </font>
    <font>
      <vertAlign val="superscript"/>
      <sz val="10"/>
      <color rgb="FF000000"/>
      <name val="Times New Roman"/>
      <family val="1"/>
    </font>
    <font>
      <sz val="10"/>
      <color theme="1"/>
      <name val="Calibri"/>
      <family val="2"/>
      <scheme val="minor"/>
    </font>
    <font>
      <sz val="10"/>
      <color rgb="FFFF0000"/>
      <name val="Calibri"/>
      <family val="2"/>
      <scheme val="minor"/>
    </font>
    <font>
      <sz val="10"/>
      <name val="Calibri"/>
      <family val="2"/>
      <scheme val="minor"/>
    </font>
    <font>
      <sz val="8"/>
      <name val="Calibri"/>
      <family val="2"/>
      <scheme val="minor"/>
    </font>
    <font>
      <sz val="12"/>
      <color theme="1"/>
      <name val="Times New Roman"/>
      <family val="1"/>
    </font>
    <font>
      <sz val="12"/>
      <color rgb="FF000000"/>
      <name val="Times New Roman"/>
      <family val="1"/>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style="thin">
        <color indexed="64"/>
      </top>
      <bottom/>
      <diagonal/>
    </border>
  </borders>
  <cellStyleXfs count="2">
    <xf numFmtId="0" fontId="0" fillId="0" borderId="0"/>
    <xf numFmtId="164" fontId="11" fillId="0" borderId="0"/>
  </cellStyleXfs>
  <cellXfs count="167">
    <xf numFmtId="0" fontId="0" fillId="0" borderId="0" xfId="0"/>
    <xf numFmtId="0" fontId="2" fillId="0" borderId="0" xfId="0" applyFont="1"/>
    <xf numFmtId="0" fontId="2" fillId="0" borderId="0" xfId="0" applyFont="1" applyFill="1"/>
    <xf numFmtId="0" fontId="2" fillId="0" borderId="1" xfId="0" applyFont="1" applyFill="1" applyBorder="1" applyAlignment="1">
      <alignment horizontal="center" wrapText="1"/>
    </xf>
    <xf numFmtId="0" fontId="9" fillId="0" borderId="0" xfId="0" applyFont="1"/>
    <xf numFmtId="0" fontId="9" fillId="0" borderId="0" xfId="0" applyFont="1" applyFill="1"/>
    <xf numFmtId="164" fontId="13" fillId="0" borderId="0" xfId="1" applyFont="1" applyFill="1" applyBorder="1" applyAlignment="1">
      <alignment horizontal="center" vertical="center" wrapText="1"/>
    </xf>
    <xf numFmtId="164" fontId="10" fillId="0" borderId="0" xfId="1" applyFont="1" applyFill="1" applyBorder="1" applyAlignment="1">
      <alignment horizontal="center" vertical="center" wrapText="1"/>
    </xf>
    <xf numFmtId="165" fontId="10" fillId="0" borderId="0" xfId="1" applyNumberFormat="1" applyFont="1" applyFill="1" applyBorder="1" applyAlignment="1">
      <alignment horizontal="right" wrapText="1"/>
    </xf>
    <xf numFmtId="0" fontId="2" fillId="0" borderId="0" xfId="0" applyFont="1" applyBorder="1"/>
    <xf numFmtId="0" fontId="10" fillId="0" borderId="0" xfId="0" applyFont="1" applyFill="1" applyBorder="1"/>
    <xf numFmtId="0" fontId="2" fillId="0" borderId="0" xfId="0" applyFont="1" applyFill="1" applyBorder="1" applyAlignment="1">
      <alignment horizontal="right"/>
    </xf>
    <xf numFmtId="0" fontId="9" fillId="0" borderId="0" xfId="0" applyFont="1" applyFill="1" applyAlignment="1">
      <alignment wrapText="1"/>
    </xf>
    <xf numFmtId="0" fontId="10" fillId="0" borderId="1" xfId="0" applyFont="1" applyFill="1" applyBorder="1" applyAlignment="1">
      <alignment horizontal="center" wrapText="1"/>
    </xf>
    <xf numFmtId="8" fontId="10" fillId="0" borderId="1" xfId="0" applyNumberFormat="1" applyFont="1" applyFill="1" applyBorder="1" applyAlignment="1">
      <alignment horizontal="right" wrapText="1"/>
    </xf>
    <xf numFmtId="6" fontId="21" fillId="0" borderId="2" xfId="0" applyNumberFormat="1" applyFont="1" applyFill="1" applyBorder="1" applyAlignment="1">
      <alignment horizontal="right" wrapText="1"/>
    </xf>
    <xf numFmtId="0" fontId="18" fillId="0" borderId="0" xfId="0" applyFont="1" applyBorder="1"/>
    <xf numFmtId="0" fontId="18" fillId="0" borderId="5" xfId="0" applyFont="1" applyBorder="1"/>
    <xf numFmtId="0" fontId="15" fillId="0" borderId="1" xfId="0" applyFont="1" applyBorder="1"/>
    <xf numFmtId="41" fontId="18" fillId="0" borderId="0" xfId="0" applyNumberFormat="1" applyFont="1" applyBorder="1"/>
    <xf numFmtId="0" fontId="18" fillId="0" borderId="5" xfId="0" applyFont="1" applyBorder="1" applyAlignment="1">
      <alignment horizontal="center"/>
    </xf>
    <xf numFmtId="41" fontId="18" fillId="0" borderId="5" xfId="0" applyNumberFormat="1" applyFont="1" applyBorder="1"/>
    <xf numFmtId="164" fontId="13" fillId="0" borderId="0" xfId="1" applyFont="1" applyFill="1" applyBorder="1" applyAlignment="1">
      <alignment wrapText="1"/>
    </xf>
    <xf numFmtId="0" fontId="24" fillId="0" borderId="0" xfId="0" applyFont="1" applyBorder="1"/>
    <xf numFmtId="0" fontId="24" fillId="0" borderId="0" xfId="0" applyFont="1"/>
    <xf numFmtId="0" fontId="15" fillId="0" borderId="1" xfId="0" applyFont="1" applyBorder="1" applyAlignment="1">
      <alignment horizontal="center" vertical="center" wrapText="1"/>
    </xf>
    <xf numFmtId="0" fontId="2" fillId="0" borderId="1" xfId="0" applyFont="1" applyBorder="1" applyAlignment="1">
      <alignment horizontal="center" vertical="center" wrapText="1"/>
    </xf>
    <xf numFmtId="0" fontId="23" fillId="0" borderId="0" xfId="0" applyFont="1" applyAlignment="1">
      <alignment vertical="center"/>
    </xf>
    <xf numFmtId="0" fontId="15" fillId="0" borderId="0" xfId="0" applyFont="1" applyBorder="1" applyAlignment="1">
      <alignment vertical="center" wrapText="1"/>
    </xf>
    <xf numFmtId="0" fontId="2" fillId="0" borderId="0" xfId="0" applyFont="1" applyBorder="1" applyAlignment="1">
      <alignment vertical="center" wrapText="1"/>
    </xf>
    <xf numFmtId="0" fontId="2" fillId="0" borderId="1" xfId="0" applyFont="1" applyFill="1" applyBorder="1" applyAlignment="1">
      <alignment horizontal="center" vertical="center" wrapText="1"/>
    </xf>
    <xf numFmtId="0" fontId="2" fillId="0" borderId="1" xfId="0" applyFont="1" applyBorder="1" applyAlignment="1">
      <alignment vertical="center" wrapText="1"/>
    </xf>
    <xf numFmtId="0" fontId="3" fillId="0" borderId="1" xfId="0" applyFont="1" applyBorder="1" applyAlignment="1">
      <alignment horizontal="center" vertical="center" wrapText="1"/>
    </xf>
    <xf numFmtId="6" fontId="2" fillId="0" borderId="1" xfId="0" applyNumberFormat="1" applyFont="1" applyBorder="1" applyAlignment="1">
      <alignment horizontal="center" vertical="center" wrapText="1"/>
    </xf>
    <xf numFmtId="0" fontId="3" fillId="0" borderId="1" xfId="0" applyFont="1" applyBorder="1" applyAlignment="1">
      <alignment vertical="center" wrapText="1"/>
    </xf>
    <xf numFmtId="6" fontId="3" fillId="0" borderId="1" xfId="0" applyNumberFormat="1" applyFont="1" applyBorder="1" applyAlignment="1">
      <alignment horizontal="center" vertical="center" wrapText="1"/>
    </xf>
    <xf numFmtId="0" fontId="3" fillId="0" borderId="0" xfId="0" applyFont="1" applyBorder="1" applyAlignment="1">
      <alignment horizontal="center" vertical="center" wrapText="1"/>
    </xf>
    <xf numFmtId="6" fontId="2" fillId="0" borderId="0" xfId="0" applyNumberFormat="1" applyFont="1" applyBorder="1" applyAlignment="1">
      <alignment horizontal="center" vertical="center" wrapText="1"/>
    </xf>
    <xf numFmtId="6" fontId="3" fillId="0" borderId="0" xfId="0" applyNumberFormat="1" applyFont="1" applyBorder="1" applyAlignment="1">
      <alignment horizontal="center" vertical="center" wrapText="1"/>
    </xf>
    <xf numFmtId="0" fontId="24" fillId="0" borderId="0" xfId="0" applyFont="1" applyFill="1" applyAlignment="1">
      <alignment wrapText="1"/>
    </xf>
    <xf numFmtId="0" fontId="16" fillId="0" borderId="1" xfId="0" applyFont="1" applyFill="1" applyBorder="1" applyAlignment="1">
      <alignment vertical="center" wrapText="1"/>
    </xf>
    <xf numFmtId="0" fontId="16" fillId="0" borderId="1" xfId="0" applyFont="1" applyFill="1" applyBorder="1" applyAlignment="1">
      <alignment horizontal="center" vertical="center" wrapText="1"/>
    </xf>
    <xf numFmtId="0" fontId="24" fillId="0" borderId="1" xfId="0" applyFont="1" applyBorder="1"/>
    <xf numFmtId="0" fontId="15" fillId="0" borderId="0" xfId="0" applyFont="1" applyAlignment="1">
      <alignment vertical="top" wrapText="1"/>
    </xf>
    <xf numFmtId="165" fontId="10" fillId="0" borderId="1" xfId="0" applyNumberFormat="1" applyFont="1" applyFill="1" applyBorder="1"/>
    <xf numFmtId="0" fontId="2" fillId="0" borderId="1" xfId="0" applyFont="1" applyFill="1" applyBorder="1" applyAlignment="1">
      <alignment horizontal="left" vertical="top" wrapText="1" indent="2"/>
    </xf>
    <xf numFmtId="0" fontId="10" fillId="0" borderId="1" xfId="0" applyFont="1" applyBorder="1" applyAlignment="1">
      <alignment horizontal="left" vertical="center" wrapText="1"/>
    </xf>
    <xf numFmtId="6" fontId="10" fillId="0" borderId="1" xfId="0" applyNumberFormat="1" applyFont="1" applyBorder="1" applyAlignment="1">
      <alignment horizontal="center" vertical="center" wrapText="1"/>
    </xf>
    <xf numFmtId="0" fontId="10" fillId="0" borderId="1" xfId="0" applyFont="1" applyBorder="1" applyAlignment="1">
      <alignment horizontal="center" vertical="center" wrapText="1"/>
    </xf>
    <xf numFmtId="0" fontId="26" fillId="0" borderId="1" xfId="0" applyFont="1" applyBorder="1"/>
    <xf numFmtId="0" fontId="10" fillId="0" borderId="1" xfId="0" applyFont="1" applyBorder="1" applyAlignment="1">
      <alignment wrapText="1"/>
    </xf>
    <xf numFmtId="0" fontId="2" fillId="0" borderId="1" xfId="0" applyFont="1" applyBorder="1" applyAlignment="1">
      <alignment horizontal="left" vertical="center" wrapText="1"/>
    </xf>
    <xf numFmtId="0" fontId="2" fillId="0" borderId="1" xfId="0" applyFont="1" applyFill="1" applyBorder="1" applyAlignment="1">
      <alignment horizontal="left" vertical="center" wrapText="1" indent="2"/>
    </xf>
    <xf numFmtId="0" fontId="2" fillId="0" borderId="1" xfId="0" applyFont="1" applyFill="1" applyBorder="1" applyAlignment="1">
      <alignment horizontal="left" vertical="center" wrapText="1"/>
    </xf>
    <xf numFmtId="0" fontId="10" fillId="0" borderId="1" xfId="0" applyFont="1" applyBorder="1" applyAlignment="1">
      <alignment vertical="center" wrapText="1"/>
    </xf>
    <xf numFmtId="1" fontId="2" fillId="0" borderId="1" xfId="0" applyNumberFormat="1" applyFont="1" applyFill="1" applyBorder="1" applyAlignment="1">
      <alignment horizontal="center" wrapText="1"/>
    </xf>
    <xf numFmtId="0" fontId="1" fillId="0" borderId="0" xfId="0" applyFont="1" applyFill="1"/>
    <xf numFmtId="0" fontId="2" fillId="0" borderId="0" xfId="0" applyFont="1" applyFill="1" applyAlignment="1">
      <alignment horizontal="right"/>
    </xf>
    <xf numFmtId="0" fontId="2" fillId="0" borderId="1" xfId="0" applyFont="1" applyFill="1" applyBorder="1" applyAlignment="1">
      <alignment horizontal="right" wrapText="1"/>
    </xf>
    <xf numFmtId="0" fontId="2" fillId="0" borderId="1" xfId="0" applyFont="1" applyFill="1" applyBorder="1" applyAlignment="1">
      <alignment horizontal="left" vertical="center" wrapText="1" indent="1"/>
    </xf>
    <xf numFmtId="8" fontId="2" fillId="0" borderId="1" xfId="0" applyNumberFormat="1" applyFont="1" applyFill="1" applyBorder="1" applyAlignment="1">
      <alignment horizontal="right" vertical="center" wrapText="1"/>
    </xf>
    <xf numFmtId="0" fontId="2" fillId="0" borderId="1" xfId="0" applyFont="1" applyFill="1" applyBorder="1" applyAlignment="1">
      <alignment horizontal="right" vertical="center" wrapText="1"/>
    </xf>
    <xf numFmtId="167" fontId="2" fillId="0" borderId="1" xfId="0" applyNumberFormat="1" applyFont="1" applyFill="1" applyBorder="1" applyAlignment="1">
      <alignment horizontal="center" vertical="center" wrapText="1"/>
    </xf>
    <xf numFmtId="1" fontId="2" fillId="0" borderId="1" xfId="0" applyNumberFormat="1" applyFont="1" applyFill="1" applyBorder="1" applyAlignment="1">
      <alignment horizontal="center" vertical="center" wrapText="1"/>
    </xf>
    <xf numFmtId="6" fontId="7" fillId="0" borderId="1" xfId="0" applyNumberFormat="1" applyFont="1" applyFill="1" applyBorder="1" applyAlignment="1">
      <alignment horizontal="right" wrapText="1"/>
    </xf>
    <xf numFmtId="0" fontId="2" fillId="0" borderId="1" xfId="0" applyFont="1" applyFill="1" applyBorder="1" applyAlignment="1">
      <alignment horizontal="left" vertical="top" wrapText="1"/>
    </xf>
    <xf numFmtId="0" fontId="2" fillId="0" borderId="1" xfId="0" applyFont="1" applyFill="1" applyBorder="1" applyAlignment="1">
      <alignment horizontal="left" vertical="top" wrapText="1" indent="1"/>
    </xf>
    <xf numFmtId="8" fontId="2" fillId="0" borderId="1" xfId="0" applyNumberFormat="1" applyFont="1" applyFill="1" applyBorder="1" applyAlignment="1">
      <alignment horizontal="right" wrapText="1"/>
    </xf>
    <xf numFmtId="0" fontId="10" fillId="0" borderId="1" xfId="0" applyFont="1" applyFill="1" applyBorder="1" applyAlignment="1">
      <alignment horizontal="left" vertical="top" wrapText="1" indent="1"/>
    </xf>
    <xf numFmtId="0" fontId="10" fillId="0" borderId="1" xfId="0" applyFont="1" applyFill="1" applyBorder="1" applyAlignment="1">
      <alignment horizontal="right" wrapText="1"/>
    </xf>
    <xf numFmtId="0" fontId="10" fillId="0" borderId="1" xfId="0" applyFont="1" applyFill="1" applyBorder="1" applyAlignment="1">
      <alignment horizontal="left" vertical="top" wrapText="1" indent="2"/>
    </xf>
    <xf numFmtId="8" fontId="10" fillId="0" borderId="2" xfId="0" applyNumberFormat="1" applyFont="1" applyFill="1" applyBorder="1" applyAlignment="1">
      <alignment horizontal="right" wrapText="1"/>
    </xf>
    <xf numFmtId="3" fontId="2" fillId="0" borderId="0" xfId="0" applyNumberFormat="1" applyFont="1" applyFill="1"/>
    <xf numFmtId="0" fontId="3" fillId="0" borderId="0" xfId="0" applyFont="1" applyFill="1"/>
    <xf numFmtId="0" fontId="2" fillId="0" borderId="0" xfId="0" applyFont="1" applyFill="1" applyAlignment="1">
      <alignment vertical="top" wrapText="1"/>
    </xf>
    <xf numFmtId="0" fontId="0" fillId="0" borderId="0" xfId="0" applyFill="1"/>
    <xf numFmtId="0" fontId="25" fillId="0" borderId="0" xfId="0" applyFont="1" applyAlignment="1">
      <alignment vertical="top" wrapText="1"/>
    </xf>
    <xf numFmtId="41" fontId="10" fillId="0" borderId="0" xfId="0" applyNumberFormat="1" applyFont="1" applyBorder="1"/>
    <xf numFmtId="0" fontId="10" fillId="0" borderId="1" xfId="0" applyFont="1" applyFill="1" applyBorder="1" applyAlignment="1">
      <alignment horizontal="left" vertical="top" wrapText="1"/>
    </xf>
    <xf numFmtId="0" fontId="15" fillId="0" borderId="1" xfId="0" applyFont="1" applyFill="1" applyBorder="1"/>
    <xf numFmtId="6" fontId="10" fillId="0" borderId="1" xfId="0" applyNumberFormat="1" applyFont="1" applyFill="1" applyBorder="1" applyAlignment="1">
      <alignment horizontal="right" wrapText="1"/>
    </xf>
    <xf numFmtId="0" fontId="18" fillId="0" borderId="0" xfId="0" applyFont="1" applyFill="1" applyBorder="1"/>
    <xf numFmtId="0" fontId="12" fillId="0" borderId="1" xfId="0" applyFont="1" applyFill="1" applyBorder="1" applyAlignment="1">
      <alignment wrapText="1"/>
    </xf>
    <xf numFmtId="41" fontId="18" fillId="0" borderId="0" xfId="0" applyNumberFormat="1" applyFont="1" applyFill="1" applyBorder="1"/>
    <xf numFmtId="3" fontId="9" fillId="0" borderId="0" xfId="0" applyNumberFormat="1" applyFont="1" applyFill="1"/>
    <xf numFmtId="0" fontId="22" fillId="0" borderId="0" xfId="0" applyFont="1" applyFill="1" applyBorder="1"/>
    <xf numFmtId="0" fontId="0" fillId="0" borderId="0" xfId="0" applyFill="1" applyBorder="1"/>
    <xf numFmtId="0" fontId="2" fillId="0" borderId="0" xfId="0" applyFont="1" applyFill="1" applyBorder="1"/>
    <xf numFmtId="0" fontId="3" fillId="0" borderId="0" xfId="0" applyFont="1" applyFill="1" applyBorder="1" applyAlignment="1">
      <alignment horizontal="center" wrapText="1"/>
    </xf>
    <xf numFmtId="0" fontId="2" fillId="0" borderId="0" xfId="0" applyFont="1" applyFill="1" applyBorder="1" applyAlignment="1">
      <alignment horizontal="left" vertical="top" wrapText="1" indent="1"/>
    </xf>
    <xf numFmtId="0" fontId="2" fillId="0" borderId="0" xfId="0" applyFont="1" applyFill="1" applyBorder="1" applyAlignment="1">
      <alignment horizontal="center" wrapText="1"/>
    </xf>
    <xf numFmtId="0" fontId="2" fillId="0" borderId="0" xfId="0" applyFont="1" applyFill="1" applyBorder="1" applyAlignment="1">
      <alignment horizontal="right" wrapText="1"/>
    </xf>
    <xf numFmtId="3" fontId="2" fillId="0" borderId="0" xfId="0" applyNumberFormat="1" applyFont="1" applyFill="1" applyBorder="1" applyAlignment="1">
      <alignment horizontal="center" wrapText="1"/>
    </xf>
    <xf numFmtId="166" fontId="2" fillId="0" borderId="0" xfId="0" applyNumberFormat="1" applyFont="1" applyFill="1" applyBorder="1" applyAlignment="1">
      <alignment horizontal="right" wrapText="1"/>
    </xf>
    <xf numFmtId="1" fontId="2" fillId="0" borderId="0" xfId="0" applyNumberFormat="1" applyFont="1" applyFill="1" applyBorder="1" applyAlignment="1">
      <alignment horizontal="center" wrapText="1"/>
    </xf>
    <xf numFmtId="167" fontId="2" fillId="0" borderId="0" xfId="0" applyNumberFormat="1" applyFont="1" applyFill="1" applyBorder="1" applyAlignment="1">
      <alignment horizontal="center" wrapText="1"/>
    </xf>
    <xf numFmtId="0" fontId="8" fillId="0" borderId="0" xfId="0" applyFont="1" applyFill="1" applyBorder="1" applyAlignment="1">
      <alignment vertical="top" wrapText="1"/>
    </xf>
    <xf numFmtId="3" fontId="7" fillId="0" borderId="0" xfId="0" applyNumberFormat="1" applyFont="1" applyFill="1" applyBorder="1" applyAlignment="1">
      <alignment wrapText="1"/>
    </xf>
    <xf numFmtId="6" fontId="7" fillId="0" borderId="0" xfId="0" applyNumberFormat="1" applyFont="1" applyFill="1" applyBorder="1" applyAlignment="1">
      <alignment horizontal="right" wrapText="1"/>
    </xf>
    <xf numFmtId="0" fontId="3" fillId="0" borderId="0" xfId="0" applyFont="1" applyFill="1" applyBorder="1" applyAlignment="1">
      <alignment wrapText="1"/>
    </xf>
    <xf numFmtId="0" fontId="15" fillId="0" borderId="0" xfId="0" applyFont="1" applyFill="1" applyBorder="1" applyAlignment="1">
      <alignment vertical="top" wrapText="1"/>
    </xf>
    <xf numFmtId="0" fontId="15" fillId="0" borderId="0" xfId="0" applyFont="1" applyFill="1" applyBorder="1" applyAlignment="1">
      <alignment vertical="top"/>
    </xf>
    <xf numFmtId="0" fontId="21" fillId="0" borderId="1" xfId="0" applyFont="1" applyFill="1" applyBorder="1" applyAlignment="1">
      <alignment vertical="top" wrapText="1"/>
    </xf>
    <xf numFmtId="167" fontId="10" fillId="0" borderId="1" xfId="0" applyNumberFormat="1" applyFont="1" applyFill="1" applyBorder="1" applyAlignment="1">
      <alignment horizontal="center" wrapText="1"/>
    </xf>
    <xf numFmtId="3" fontId="2" fillId="0" borderId="1" xfId="0" applyNumberFormat="1" applyFont="1" applyFill="1" applyBorder="1" applyAlignment="1">
      <alignment horizontal="center" vertical="center" wrapText="1"/>
    </xf>
    <xf numFmtId="3" fontId="10" fillId="0" borderId="1" xfId="0" applyNumberFormat="1" applyFont="1" applyFill="1" applyBorder="1" applyAlignment="1">
      <alignment horizontal="center" wrapText="1"/>
    </xf>
    <xf numFmtId="1" fontId="10" fillId="0" borderId="1" xfId="0" applyNumberFormat="1" applyFont="1" applyFill="1" applyBorder="1" applyAlignment="1">
      <alignment horizontal="center" wrapText="1"/>
    </xf>
    <xf numFmtId="164" fontId="9" fillId="0" borderId="0" xfId="1" applyFont="1" applyFill="1" applyBorder="1" applyAlignment="1">
      <alignment vertical="center"/>
    </xf>
    <xf numFmtId="164" fontId="9" fillId="0" borderId="0" xfId="1" applyFont="1" applyFill="1" applyBorder="1" applyAlignment="1"/>
    <xf numFmtId="0" fontId="9" fillId="0" borderId="0" xfId="0" applyFont="1" applyBorder="1"/>
    <xf numFmtId="0" fontId="28" fillId="0" borderId="0" xfId="0" applyFont="1" applyBorder="1" applyAlignment="1">
      <alignment vertical="center" wrapText="1"/>
    </xf>
    <xf numFmtId="0" fontId="29" fillId="0" borderId="0" xfId="0" applyFont="1" applyBorder="1" applyAlignment="1">
      <alignment vertical="center" wrapText="1"/>
    </xf>
    <xf numFmtId="0" fontId="3" fillId="0" borderId="1" xfId="0" applyFont="1" applyFill="1" applyBorder="1" applyAlignment="1">
      <alignment horizontal="center" vertical="center" wrapText="1"/>
    </xf>
    <xf numFmtId="1" fontId="3" fillId="0" borderId="1" xfId="0" applyNumberFormat="1" applyFont="1" applyFill="1" applyBorder="1" applyAlignment="1">
      <alignment horizontal="center" vertical="center" wrapText="1"/>
    </xf>
    <xf numFmtId="0" fontId="3" fillId="0" borderId="0" xfId="0" applyFont="1" applyBorder="1" applyAlignment="1">
      <alignment vertical="center" wrapText="1"/>
    </xf>
    <xf numFmtId="0" fontId="2" fillId="0" borderId="0" xfId="0" applyFont="1" applyBorder="1" applyAlignment="1">
      <alignment horizontal="center" vertical="center" wrapText="1"/>
    </xf>
    <xf numFmtId="6" fontId="24" fillId="0" borderId="0" xfId="0" applyNumberFormat="1" applyFont="1"/>
    <xf numFmtId="0" fontId="15" fillId="0" borderId="1" xfId="0" applyFont="1" applyFill="1" applyBorder="1" applyAlignment="1">
      <alignment horizontal="center" vertical="center" wrapText="1"/>
    </xf>
    <xf numFmtId="0" fontId="2" fillId="0" borderId="6" xfId="0" applyFont="1" applyBorder="1" applyAlignment="1">
      <alignment vertical="center" wrapText="1"/>
    </xf>
    <xf numFmtId="0" fontId="2" fillId="0" borderId="6" xfId="0" applyFont="1" applyFill="1" applyBorder="1" applyAlignment="1">
      <alignment horizontal="center" vertical="center" wrapText="1"/>
    </xf>
    <xf numFmtId="0" fontId="3" fillId="0" borderId="6" xfId="0" applyFont="1" applyFill="1" applyBorder="1" applyAlignment="1">
      <alignment horizontal="center" vertical="center" wrapText="1"/>
    </xf>
    <xf numFmtId="1" fontId="3" fillId="0" borderId="6" xfId="0" applyNumberFormat="1" applyFont="1" applyFill="1" applyBorder="1" applyAlignment="1">
      <alignment horizontal="center" vertical="center" wrapText="1"/>
    </xf>
    <xf numFmtId="0" fontId="2" fillId="0" borderId="1" xfId="0" applyFont="1" applyFill="1" applyBorder="1" applyAlignment="1">
      <alignment horizontal="center" vertical="top" wrapText="1"/>
    </xf>
    <xf numFmtId="0" fontId="10" fillId="0" borderId="1" xfId="0" applyFont="1" applyFill="1" applyBorder="1" applyAlignment="1">
      <alignment horizontal="center" vertical="center" wrapText="1"/>
    </xf>
    <xf numFmtId="0" fontId="10" fillId="0" borderId="1" xfId="0" applyFont="1" applyFill="1" applyBorder="1" applyAlignment="1">
      <alignment horizontal="center" vertical="top" wrapText="1"/>
    </xf>
    <xf numFmtId="1" fontId="10" fillId="0" borderId="1" xfId="0" applyNumberFormat="1" applyFont="1" applyFill="1" applyBorder="1" applyAlignment="1">
      <alignment horizontal="center" vertical="center" wrapText="1"/>
    </xf>
    <xf numFmtId="164" fontId="9" fillId="0" borderId="0" xfId="1" applyFont="1" applyFill="1" applyBorder="1" applyAlignment="1">
      <alignment horizontal="left" vertical="center"/>
    </xf>
    <xf numFmtId="6" fontId="21" fillId="0" borderId="1" xfId="0" applyNumberFormat="1" applyFont="1" applyFill="1" applyBorder="1" applyAlignment="1">
      <alignment horizontal="right" wrapText="1"/>
    </xf>
    <xf numFmtId="6" fontId="12" fillId="0" borderId="1" xfId="0" applyNumberFormat="1" applyFont="1" applyFill="1" applyBorder="1" applyAlignment="1">
      <alignment horizontal="right" wrapText="1"/>
    </xf>
    <xf numFmtId="0" fontId="10" fillId="0" borderId="1" xfId="0" applyFont="1" applyFill="1" applyBorder="1" applyAlignment="1">
      <alignment horizontal="left" vertical="center" wrapText="1"/>
    </xf>
    <xf numFmtId="0" fontId="19" fillId="0" borderId="0" xfId="0" applyFont="1" applyFill="1" applyAlignment="1">
      <alignment horizontal="left" vertical="top" wrapText="1"/>
    </xf>
    <xf numFmtId="0" fontId="10" fillId="0" borderId="0" xfId="0" applyFont="1" applyFill="1" applyAlignment="1">
      <alignment horizontal="left" vertical="top" wrapText="1"/>
    </xf>
    <xf numFmtId="0" fontId="15" fillId="0" borderId="1" xfId="0" applyFont="1" applyBorder="1" applyAlignment="1">
      <alignment horizontal="center"/>
    </xf>
    <xf numFmtId="0" fontId="7" fillId="0" borderId="2" xfId="0" applyFont="1" applyFill="1" applyBorder="1" applyAlignment="1">
      <alignment horizontal="left" vertical="top" wrapText="1"/>
    </xf>
    <xf numFmtId="0" fontId="7" fillId="0" borderId="3" xfId="0" applyFont="1" applyFill="1" applyBorder="1" applyAlignment="1">
      <alignment horizontal="left" vertical="top" wrapText="1"/>
    </xf>
    <xf numFmtId="0" fontId="7" fillId="0" borderId="4" xfId="0" applyFont="1" applyFill="1" applyBorder="1" applyAlignment="1">
      <alignment horizontal="left" vertical="top" wrapText="1"/>
    </xf>
    <xf numFmtId="3" fontId="6" fillId="0" borderId="2" xfId="0" applyNumberFormat="1" applyFont="1" applyFill="1" applyBorder="1" applyAlignment="1">
      <alignment horizontal="center" wrapText="1"/>
    </xf>
    <xf numFmtId="3" fontId="6" fillId="0" borderId="3" xfId="0" applyNumberFormat="1" applyFont="1" applyFill="1" applyBorder="1" applyAlignment="1">
      <alignment horizontal="center" wrapText="1"/>
    </xf>
    <xf numFmtId="3" fontId="6" fillId="0" borderId="4" xfId="0" applyNumberFormat="1" applyFont="1" applyFill="1" applyBorder="1" applyAlignment="1">
      <alignment horizontal="center" wrapText="1"/>
    </xf>
    <xf numFmtId="0" fontId="21" fillId="0" borderId="2" xfId="0" applyFont="1" applyFill="1" applyBorder="1" applyAlignment="1">
      <alignment horizontal="center" vertical="top" wrapText="1"/>
    </xf>
    <xf numFmtId="0" fontId="21" fillId="0" borderId="3" xfId="0" applyFont="1" applyFill="1" applyBorder="1" applyAlignment="1">
      <alignment horizontal="center" vertical="top" wrapText="1"/>
    </xf>
    <xf numFmtId="0" fontId="21" fillId="0" borderId="4" xfId="0" applyFont="1" applyFill="1" applyBorder="1" applyAlignment="1">
      <alignment horizontal="center" vertical="top" wrapText="1"/>
    </xf>
    <xf numFmtId="0" fontId="12" fillId="0" borderId="2" xfId="0" applyFont="1" applyFill="1" applyBorder="1" applyAlignment="1">
      <alignment horizontal="center" wrapText="1"/>
    </xf>
    <xf numFmtId="0" fontId="12" fillId="0" borderId="3" xfId="0" applyFont="1" applyFill="1" applyBorder="1" applyAlignment="1">
      <alignment horizontal="center" wrapText="1"/>
    </xf>
    <xf numFmtId="0" fontId="12" fillId="0" borderId="4" xfId="0" applyFont="1" applyFill="1" applyBorder="1" applyAlignment="1">
      <alignment horizontal="center" wrapText="1"/>
    </xf>
    <xf numFmtId="3" fontId="21" fillId="0" borderId="2" xfId="0" applyNumberFormat="1" applyFont="1" applyFill="1" applyBorder="1" applyAlignment="1">
      <alignment horizontal="center" wrapText="1"/>
    </xf>
    <xf numFmtId="3" fontId="21" fillId="0" borderId="3" xfId="0" applyNumberFormat="1" applyFont="1" applyFill="1" applyBorder="1" applyAlignment="1">
      <alignment horizontal="center" wrapText="1"/>
    </xf>
    <xf numFmtId="3" fontId="21" fillId="0" borderId="4" xfId="0" applyNumberFormat="1" applyFont="1" applyFill="1" applyBorder="1" applyAlignment="1">
      <alignment horizontal="center" wrapText="1"/>
    </xf>
    <xf numFmtId="0" fontId="19" fillId="0" borderId="0" xfId="0" applyFont="1" applyFill="1" applyAlignment="1">
      <alignment vertical="center" wrapText="1"/>
    </xf>
    <xf numFmtId="0" fontId="10" fillId="0" borderId="0" xfId="0" applyFont="1" applyFill="1" applyAlignment="1">
      <alignment wrapText="1"/>
    </xf>
    <xf numFmtId="0" fontId="19" fillId="0" borderId="0" xfId="0" applyFont="1" applyFill="1" applyAlignment="1">
      <alignment wrapText="1"/>
    </xf>
    <xf numFmtId="0" fontId="15" fillId="0" borderId="1" xfId="0" applyFont="1" applyFill="1" applyBorder="1" applyAlignment="1">
      <alignment horizontal="center"/>
    </xf>
    <xf numFmtId="0" fontId="12" fillId="0" borderId="1" xfId="0" applyFont="1" applyFill="1" applyBorder="1" applyAlignment="1">
      <alignment horizontal="center" wrapText="1"/>
    </xf>
    <xf numFmtId="3" fontId="12" fillId="0" borderId="1" xfId="0" applyNumberFormat="1" applyFont="1" applyFill="1" applyBorder="1" applyAlignment="1">
      <alignment horizontal="center" wrapText="1"/>
    </xf>
    <xf numFmtId="0" fontId="19" fillId="0" borderId="0" xfId="0" applyFont="1" applyFill="1" applyAlignment="1">
      <alignment horizontal="left" wrapText="1"/>
    </xf>
    <xf numFmtId="0" fontId="12" fillId="0" borderId="0" xfId="0" applyFont="1" applyFill="1" applyAlignment="1">
      <alignment horizontal="left"/>
    </xf>
    <xf numFmtId="0" fontId="10" fillId="0" borderId="6" xfId="0" applyFont="1" applyFill="1" applyBorder="1" applyAlignment="1">
      <alignment horizontal="left" vertical="top"/>
    </xf>
    <xf numFmtId="0" fontId="14" fillId="0" borderId="1" xfId="0" applyFont="1" applyFill="1" applyBorder="1" applyAlignment="1">
      <alignment horizontal="center" vertical="center" wrapText="1"/>
    </xf>
    <xf numFmtId="0" fontId="15" fillId="0" borderId="0" xfId="0" applyFont="1" applyBorder="1" applyAlignment="1">
      <alignment vertical="center" wrapText="1"/>
    </xf>
    <xf numFmtId="0" fontId="16" fillId="0" borderId="1" xfId="0" applyFont="1" applyFill="1" applyBorder="1" applyAlignment="1">
      <alignment vertical="center" wrapText="1"/>
    </xf>
    <xf numFmtId="0" fontId="2" fillId="0" borderId="0" xfId="0" applyFont="1" applyAlignment="1">
      <alignment horizontal="left" vertical="top" wrapText="1"/>
    </xf>
    <xf numFmtId="0" fontId="2" fillId="0" borderId="0" xfId="0" applyFont="1" applyFill="1" applyAlignment="1">
      <alignment vertical="center" wrapText="1"/>
    </xf>
    <xf numFmtId="0" fontId="24" fillId="0" borderId="0" xfId="0" applyFont="1" applyFill="1" applyAlignment="1">
      <alignment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15" fillId="0" borderId="0" xfId="0" applyFont="1" applyFill="1" applyBorder="1" applyAlignment="1">
      <alignment horizontal="left" vertical="top" wrapText="1"/>
    </xf>
    <xf numFmtId="164" fontId="10" fillId="0" borderId="0" xfId="1" applyFont="1" applyFill="1" applyBorder="1" applyAlignment="1">
      <alignment horizontal="left" vertical="top" wrapText="1"/>
    </xf>
  </cellXfs>
  <cellStyles count="2">
    <cellStyle name="Normal" xfId="0" builtinId="0"/>
    <cellStyle name="Normal_SSI Burden Estimate BML 060710" xfId="1" xr:uid="{A07D4530-980E-478C-AD05-99F0F1CD2970}"/>
  </cellStyles>
  <dxfs count="0"/>
  <tableStyles count="0" defaultTableStyle="TableStyleMedium2" defaultPivotStyle="PivotStyleLight16"/>
  <colors>
    <mruColors>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C54DA1-2EC2-470A-B0BB-BC64BD0BE2BC}">
  <dimension ref="A1:V76"/>
  <sheetViews>
    <sheetView tabSelected="1" topLeftCell="A16" zoomScale="87" zoomScaleNormal="87" workbookViewId="0">
      <selection activeCell="E21" sqref="E21"/>
    </sheetView>
  </sheetViews>
  <sheetFormatPr defaultRowHeight="14.5" x14ac:dyDescent="0.35"/>
  <cols>
    <col min="1" max="1" width="44.1796875" customWidth="1"/>
    <col min="2" max="8" width="11" customWidth="1"/>
    <col min="9" max="9" width="12.7265625" customWidth="1"/>
    <col min="10" max="10" width="6.7265625" customWidth="1"/>
    <col min="11" max="11" width="11.453125" customWidth="1"/>
    <col min="12" max="12" width="7.7265625" customWidth="1"/>
    <col min="13" max="13" width="47.81640625" customWidth="1"/>
    <col min="14" max="14" width="12.1796875" customWidth="1"/>
    <col min="21" max="21" width="11.7265625" customWidth="1"/>
  </cols>
  <sheetData>
    <row r="1" spans="1:22" ht="20" x14ac:dyDescent="0.4">
      <c r="A1" s="56" t="s">
        <v>0</v>
      </c>
      <c r="B1" s="2"/>
      <c r="C1" s="2"/>
      <c r="D1" s="2"/>
      <c r="E1" s="2"/>
      <c r="F1" s="2"/>
      <c r="G1" s="2"/>
      <c r="H1" s="2"/>
      <c r="I1" s="57"/>
      <c r="J1" s="1"/>
      <c r="K1" s="1"/>
      <c r="L1" s="1"/>
      <c r="M1" s="85"/>
      <c r="N1" s="81"/>
      <c r="O1" s="86"/>
      <c r="P1" s="86"/>
      <c r="Q1" s="86"/>
      <c r="R1" s="86"/>
      <c r="S1" s="86"/>
      <c r="T1" s="86"/>
      <c r="U1" s="86"/>
      <c r="V1" s="86"/>
    </row>
    <row r="2" spans="1:22" s="1" customFormat="1" ht="13" x14ac:dyDescent="0.3">
      <c r="A2" s="2"/>
      <c r="B2" s="2"/>
      <c r="C2" s="2"/>
      <c r="D2" s="2"/>
      <c r="E2" s="2"/>
      <c r="F2" s="10"/>
      <c r="G2" s="10"/>
      <c r="H2" s="10"/>
      <c r="I2" s="11"/>
      <c r="J2" s="5"/>
      <c r="M2" s="87"/>
      <c r="N2" s="87"/>
      <c r="O2" s="87"/>
      <c r="P2" s="87"/>
      <c r="Q2" s="87"/>
      <c r="R2" s="87"/>
      <c r="S2" s="87"/>
      <c r="T2" s="87"/>
      <c r="U2" s="87"/>
      <c r="V2" s="87"/>
    </row>
    <row r="3" spans="1:22" s="1" customFormat="1" ht="78" x14ac:dyDescent="0.3">
      <c r="A3" s="30" t="s">
        <v>129</v>
      </c>
      <c r="B3" s="122" t="s">
        <v>37</v>
      </c>
      <c r="C3" s="122" t="s">
        <v>38</v>
      </c>
      <c r="D3" s="122" t="s">
        <v>41</v>
      </c>
      <c r="E3" s="122" t="s">
        <v>130</v>
      </c>
      <c r="F3" s="122" t="s">
        <v>34</v>
      </c>
      <c r="G3" s="122" t="s">
        <v>39</v>
      </c>
      <c r="H3" s="122" t="s">
        <v>40</v>
      </c>
      <c r="I3" s="122" t="s">
        <v>131</v>
      </c>
      <c r="J3" s="4"/>
      <c r="M3" s="88"/>
      <c r="N3" s="88"/>
      <c r="O3" s="88"/>
      <c r="P3" s="88"/>
      <c r="Q3" s="88"/>
      <c r="R3" s="88"/>
      <c r="S3" s="88"/>
      <c r="T3" s="88"/>
      <c r="U3" s="88"/>
      <c r="V3" s="87"/>
    </row>
    <row r="4" spans="1:22" s="1" customFormat="1" ht="13" x14ac:dyDescent="0.3">
      <c r="A4" s="53" t="s">
        <v>3</v>
      </c>
      <c r="B4" s="3"/>
      <c r="C4" s="3"/>
      <c r="D4" s="3"/>
      <c r="E4" s="3"/>
      <c r="F4" s="3"/>
      <c r="G4" s="3"/>
      <c r="H4" s="3"/>
      <c r="I4" s="58"/>
      <c r="J4" s="4"/>
      <c r="K4" s="132" t="s">
        <v>53</v>
      </c>
      <c r="L4" s="132"/>
      <c r="M4" s="89"/>
      <c r="N4" s="90"/>
      <c r="O4" s="90"/>
      <c r="P4" s="90"/>
      <c r="Q4" s="90"/>
      <c r="R4" s="90"/>
      <c r="S4" s="90"/>
      <c r="T4" s="90"/>
      <c r="U4" s="91"/>
      <c r="V4" s="87"/>
    </row>
    <row r="5" spans="1:22" s="1" customFormat="1" ht="13" x14ac:dyDescent="0.3">
      <c r="A5" s="59" t="s">
        <v>65</v>
      </c>
      <c r="B5" s="30">
        <v>8</v>
      </c>
      <c r="C5" s="30">
        <v>1</v>
      </c>
      <c r="D5" s="30">
        <f>B5*C5</f>
        <v>8</v>
      </c>
      <c r="E5" s="30">
        <f>'Capital O&amp;M'!F9</f>
        <v>171</v>
      </c>
      <c r="F5" s="104">
        <f>D5*E5</f>
        <v>1368</v>
      </c>
      <c r="G5" s="63">
        <f>F5*0.05</f>
        <v>68.400000000000006</v>
      </c>
      <c r="H5" s="63">
        <f>F5*0.1</f>
        <v>136.80000000000001</v>
      </c>
      <c r="I5" s="60">
        <f>F5*$L$6+G5*$L$5+H5*$L$7</f>
        <v>186086.98800000001</v>
      </c>
      <c r="J5" s="12"/>
      <c r="K5" s="18" t="s">
        <v>54</v>
      </c>
      <c r="L5" s="44">
        <v>153.55000000000001</v>
      </c>
      <c r="M5" s="89"/>
      <c r="N5" s="90"/>
      <c r="O5" s="90"/>
      <c r="P5" s="90"/>
      <c r="Q5" s="90"/>
      <c r="R5" s="92"/>
      <c r="S5" s="90"/>
      <c r="T5" s="90"/>
      <c r="U5" s="93"/>
      <c r="V5" s="87"/>
    </row>
    <row r="6" spans="1:22" s="1" customFormat="1" ht="15.5" x14ac:dyDescent="0.3">
      <c r="A6" s="59" t="s">
        <v>66</v>
      </c>
      <c r="B6" s="30">
        <v>4</v>
      </c>
      <c r="C6" s="30">
        <v>4</v>
      </c>
      <c r="D6" s="30">
        <f>B6*C6</f>
        <v>16</v>
      </c>
      <c r="E6" s="30">
        <f>'Capital O&amp;M'!B9</f>
        <v>1</v>
      </c>
      <c r="F6" s="30">
        <f>D6*E6</f>
        <v>16</v>
      </c>
      <c r="G6" s="30">
        <f>F6*0.05</f>
        <v>0.8</v>
      </c>
      <c r="H6" s="30">
        <f>F6*0.1</f>
        <v>1.6</v>
      </c>
      <c r="I6" s="60">
        <f>F6*$L$6+G6*$L$5+H6*$L$7</f>
        <v>2176.4560000000001</v>
      </c>
      <c r="J6" s="4"/>
      <c r="K6" s="18" t="s">
        <v>58</v>
      </c>
      <c r="L6" s="44">
        <v>122.2</v>
      </c>
      <c r="M6" s="89"/>
      <c r="N6" s="90"/>
      <c r="O6" s="90"/>
      <c r="P6" s="90"/>
      <c r="Q6" s="90"/>
      <c r="R6" s="90"/>
      <c r="S6" s="90"/>
      <c r="T6" s="90"/>
      <c r="U6" s="93"/>
      <c r="V6" s="87"/>
    </row>
    <row r="7" spans="1:22" s="1" customFormat="1" ht="15.5" x14ac:dyDescent="0.3">
      <c r="A7" s="59" t="s">
        <v>86</v>
      </c>
      <c r="B7" s="30"/>
      <c r="C7" s="30"/>
      <c r="D7" s="30"/>
      <c r="E7" s="30"/>
      <c r="F7" s="30"/>
      <c r="G7" s="30"/>
      <c r="H7" s="30"/>
      <c r="I7" s="61"/>
      <c r="J7" s="4"/>
      <c r="K7" s="18" t="s">
        <v>56</v>
      </c>
      <c r="L7" s="44">
        <v>61.51</v>
      </c>
      <c r="M7" s="89"/>
      <c r="N7" s="90"/>
      <c r="O7" s="90"/>
      <c r="P7" s="90"/>
      <c r="Q7" s="90"/>
      <c r="R7" s="90"/>
      <c r="S7" s="90"/>
      <c r="T7" s="90"/>
      <c r="U7" s="93"/>
      <c r="V7" s="87"/>
    </row>
    <row r="8" spans="1:22" s="1" customFormat="1" ht="13" x14ac:dyDescent="0.3">
      <c r="A8" s="52" t="s">
        <v>67</v>
      </c>
      <c r="B8" s="30">
        <v>2</v>
      </c>
      <c r="C8" s="30">
        <v>1</v>
      </c>
      <c r="D8" s="30">
        <f>B8*C8</f>
        <v>2</v>
      </c>
      <c r="E8" s="30">
        <f>'Capital O&amp;M'!B15</f>
        <v>1</v>
      </c>
      <c r="F8" s="30">
        <f>D8*E8</f>
        <v>2</v>
      </c>
      <c r="G8" s="30">
        <f>F8*0.05</f>
        <v>0.1</v>
      </c>
      <c r="H8" s="30">
        <f>F8*0.1</f>
        <v>0.2</v>
      </c>
      <c r="I8" s="60">
        <f>F8*$L$6+G8*$L$5+H8*$L$7</f>
        <v>272.05700000000002</v>
      </c>
      <c r="J8" s="4"/>
      <c r="K8" s="108"/>
      <c r="L8" s="22"/>
      <c r="M8" s="89"/>
      <c r="N8" s="90"/>
      <c r="O8" s="90"/>
      <c r="P8" s="90"/>
      <c r="Q8" s="94"/>
      <c r="R8" s="94"/>
      <c r="S8" s="94"/>
      <c r="T8" s="94"/>
      <c r="U8" s="93"/>
      <c r="V8" s="87"/>
    </row>
    <row r="9" spans="1:22" s="1" customFormat="1" ht="13" x14ac:dyDescent="0.3">
      <c r="A9" s="52" t="s">
        <v>68</v>
      </c>
      <c r="B9" s="30">
        <v>2</v>
      </c>
      <c r="C9" s="30">
        <v>1</v>
      </c>
      <c r="D9" s="30">
        <f>B9*C9</f>
        <v>2</v>
      </c>
      <c r="E9" s="30">
        <f>'Capital O&amp;M'!B16</f>
        <v>1</v>
      </c>
      <c r="F9" s="30">
        <f>D9*E9</f>
        <v>2</v>
      </c>
      <c r="G9" s="30">
        <f>F9*0.05</f>
        <v>0.1</v>
      </c>
      <c r="H9" s="30">
        <f>F9*0.1</f>
        <v>0.2</v>
      </c>
      <c r="I9" s="60">
        <f>F9*$L$6+G9*$L$5+H9*$L$7</f>
        <v>272.05700000000002</v>
      </c>
      <c r="J9" s="4"/>
      <c r="K9" s="126"/>
      <c r="L9" s="6"/>
      <c r="M9" s="89"/>
      <c r="N9" s="90"/>
      <c r="O9" s="90"/>
      <c r="P9" s="90"/>
      <c r="Q9" s="94"/>
      <c r="R9" s="94"/>
      <c r="S9" s="94"/>
      <c r="T9" s="94"/>
      <c r="U9" s="93"/>
      <c r="V9" s="87"/>
    </row>
    <row r="10" spans="1:22" s="1" customFormat="1" ht="13" x14ac:dyDescent="0.3">
      <c r="A10" s="52" t="s">
        <v>69</v>
      </c>
      <c r="B10" s="30">
        <v>2</v>
      </c>
      <c r="C10" s="30">
        <v>1</v>
      </c>
      <c r="D10" s="30">
        <f>B10*C10</f>
        <v>2</v>
      </c>
      <c r="E10" s="30">
        <f>'Capital O&amp;M'!B17</f>
        <v>1</v>
      </c>
      <c r="F10" s="30">
        <f>D10*E10</f>
        <v>2</v>
      </c>
      <c r="G10" s="30">
        <f>F10*0.05</f>
        <v>0.1</v>
      </c>
      <c r="H10" s="30">
        <f>F10*0.1</f>
        <v>0.2</v>
      </c>
      <c r="I10" s="60">
        <f>F10*$L$6+G10*$L$5+H10*$L$7</f>
        <v>272.05700000000002</v>
      </c>
      <c r="J10" s="4"/>
      <c r="K10" s="6"/>
      <c r="L10" s="6"/>
      <c r="M10" s="89"/>
      <c r="N10" s="90"/>
      <c r="O10" s="90"/>
      <c r="P10" s="90"/>
      <c r="Q10" s="94"/>
      <c r="R10" s="94"/>
      <c r="S10" s="94"/>
      <c r="T10" s="94"/>
      <c r="U10" s="93"/>
      <c r="V10" s="87"/>
    </row>
    <row r="11" spans="1:22" s="1" customFormat="1" ht="13" x14ac:dyDescent="0.3">
      <c r="A11" s="52" t="s">
        <v>85</v>
      </c>
      <c r="B11" s="30">
        <v>2</v>
      </c>
      <c r="C11" s="30">
        <v>1</v>
      </c>
      <c r="D11" s="30">
        <f>B11*C11</f>
        <v>2</v>
      </c>
      <c r="E11" s="30">
        <f>'Capital O&amp;M'!B18</f>
        <v>1</v>
      </c>
      <c r="F11" s="30">
        <f>D11*E11</f>
        <v>2</v>
      </c>
      <c r="G11" s="30">
        <f>F11*0.05</f>
        <v>0.1</v>
      </c>
      <c r="H11" s="30">
        <f>F11*0.1</f>
        <v>0.2</v>
      </c>
      <c r="I11" s="60">
        <f>F11*$L$6+G11*$L$5+H11*$L$7</f>
        <v>272.05700000000002</v>
      </c>
      <c r="J11" s="4"/>
      <c r="K11" s="7"/>
      <c r="L11" s="8"/>
      <c r="M11" s="89"/>
      <c r="N11" s="90"/>
      <c r="O11" s="90"/>
      <c r="P11" s="90"/>
      <c r="Q11" s="94"/>
      <c r="R11" s="94"/>
      <c r="S11" s="95"/>
      <c r="T11" s="95"/>
      <c r="U11" s="93"/>
      <c r="V11" s="87"/>
    </row>
    <row r="12" spans="1:22" s="1" customFormat="1" ht="13" x14ac:dyDescent="0.3">
      <c r="A12" s="52" t="s">
        <v>141</v>
      </c>
      <c r="B12" s="30">
        <v>2</v>
      </c>
      <c r="C12" s="30">
        <f>'Capital O&amp;M'!C35</f>
        <v>1</v>
      </c>
      <c r="D12" s="30">
        <f>B12*C12</f>
        <v>2</v>
      </c>
      <c r="E12" s="30">
        <f>'Capital O&amp;M'!B19</f>
        <v>1</v>
      </c>
      <c r="F12" s="30">
        <f>D12*E12</f>
        <v>2</v>
      </c>
      <c r="G12" s="30">
        <f>F12*0.05</f>
        <v>0.1</v>
      </c>
      <c r="H12" s="30">
        <f>F12*0.1</f>
        <v>0.2</v>
      </c>
      <c r="I12" s="60">
        <f>F12*$L$6+G12*$L$5+H12*$L$7</f>
        <v>272.05700000000002</v>
      </c>
      <c r="J12" s="5"/>
      <c r="K12" s="7"/>
      <c r="L12" s="8"/>
      <c r="M12" s="89"/>
      <c r="N12" s="90"/>
      <c r="O12" s="90"/>
      <c r="P12" s="90"/>
      <c r="Q12" s="94"/>
      <c r="R12" s="94"/>
      <c r="S12" s="95"/>
      <c r="T12" s="95"/>
      <c r="U12" s="93"/>
      <c r="V12" s="87"/>
    </row>
    <row r="13" spans="1:22" s="1" customFormat="1" ht="15.5" x14ac:dyDescent="0.3">
      <c r="A13" s="59" t="s">
        <v>84</v>
      </c>
      <c r="B13" s="30"/>
      <c r="C13" s="30"/>
      <c r="D13" s="30"/>
      <c r="E13" s="30"/>
      <c r="F13" s="30"/>
      <c r="G13" s="30"/>
      <c r="H13" s="30"/>
      <c r="I13" s="60"/>
      <c r="J13" s="4"/>
      <c r="K13" s="7"/>
      <c r="L13" s="8"/>
      <c r="M13" s="89"/>
      <c r="N13" s="90"/>
      <c r="O13" s="90"/>
      <c r="P13" s="90"/>
      <c r="Q13" s="90"/>
      <c r="R13" s="90"/>
      <c r="S13" s="90"/>
      <c r="T13" s="90"/>
      <c r="U13" s="93"/>
      <c r="V13" s="87"/>
    </row>
    <row r="14" spans="1:22" s="1" customFormat="1" ht="18" customHeight="1" x14ac:dyDescent="0.3">
      <c r="A14" s="52" t="s">
        <v>87</v>
      </c>
      <c r="B14" s="30">
        <v>24</v>
      </c>
      <c r="C14" s="30">
        <v>1</v>
      </c>
      <c r="D14" s="30">
        <f t="shared" ref="D14:D17" si="0">B14*C14</f>
        <v>24</v>
      </c>
      <c r="E14" s="63">
        <f>E16</f>
        <v>21</v>
      </c>
      <c r="F14" s="63">
        <f t="shared" ref="F14:F17" si="1">D14*E14</f>
        <v>504</v>
      </c>
      <c r="G14" s="63">
        <f t="shared" ref="G14:G17" si="2">F14*0.05</f>
        <v>25.200000000000003</v>
      </c>
      <c r="H14" s="63">
        <f t="shared" ref="H14:H17" si="3">F14*0.1</f>
        <v>50.400000000000006</v>
      </c>
      <c r="I14" s="60">
        <f t="shared" ref="I14:I17" si="4">F14*$L$6+G14*$L$5+H14*$L$7</f>
        <v>68558.364000000001</v>
      </c>
      <c r="J14" s="12"/>
      <c r="K14" s="107"/>
      <c r="L14" s="8"/>
      <c r="M14" s="89"/>
      <c r="N14" s="90"/>
      <c r="O14" s="90"/>
      <c r="P14" s="90"/>
      <c r="Q14" s="90"/>
      <c r="R14" s="90"/>
      <c r="S14" s="90"/>
      <c r="T14" s="90"/>
      <c r="U14" s="93"/>
      <c r="V14" s="87"/>
    </row>
    <row r="15" spans="1:22" s="1" customFormat="1" ht="13" x14ac:dyDescent="0.3">
      <c r="A15" s="52" t="s">
        <v>88</v>
      </c>
      <c r="B15" s="30">
        <v>10</v>
      </c>
      <c r="C15" s="30">
        <v>1</v>
      </c>
      <c r="D15" s="30">
        <f t="shared" si="0"/>
        <v>10</v>
      </c>
      <c r="E15" s="63">
        <f>E16</f>
        <v>21</v>
      </c>
      <c r="F15" s="30">
        <f t="shared" si="1"/>
        <v>210</v>
      </c>
      <c r="G15" s="30">
        <f t="shared" si="2"/>
        <v>10.5</v>
      </c>
      <c r="H15" s="30">
        <f t="shared" si="3"/>
        <v>21</v>
      </c>
      <c r="I15" s="60">
        <f t="shared" si="4"/>
        <v>28565.985000000001</v>
      </c>
      <c r="J15" s="4"/>
      <c r="K15" s="107"/>
      <c r="L15" s="9"/>
      <c r="M15" s="89"/>
      <c r="N15" s="90"/>
      <c r="O15" s="90"/>
      <c r="P15" s="90"/>
      <c r="Q15" s="90"/>
      <c r="R15" s="90"/>
      <c r="S15" s="90"/>
      <c r="T15" s="90"/>
      <c r="U15" s="93"/>
      <c r="V15" s="87"/>
    </row>
    <row r="16" spans="1:22" s="1" customFormat="1" ht="27.75" customHeight="1" x14ac:dyDescent="0.3">
      <c r="A16" s="52" t="s">
        <v>91</v>
      </c>
      <c r="B16" s="30">
        <v>2</v>
      </c>
      <c r="C16" s="30">
        <v>1</v>
      </c>
      <c r="D16" s="30">
        <f t="shared" ref="D16" si="5">B16*C16</f>
        <v>2</v>
      </c>
      <c r="E16" s="63">
        <f>ROUND(62/3,0)</f>
        <v>21</v>
      </c>
      <c r="F16" s="63">
        <f t="shared" si="1"/>
        <v>42</v>
      </c>
      <c r="G16" s="30">
        <f t="shared" si="2"/>
        <v>2.1</v>
      </c>
      <c r="H16" s="62">
        <f t="shared" si="3"/>
        <v>4.2</v>
      </c>
      <c r="I16" s="60">
        <f t="shared" si="4"/>
        <v>5713.1970000000001</v>
      </c>
      <c r="J16" s="4"/>
      <c r="K16" s="107"/>
      <c r="L16" s="9"/>
      <c r="M16" s="89"/>
      <c r="N16" s="90"/>
      <c r="O16" s="90"/>
      <c r="P16" s="90"/>
      <c r="Q16" s="90"/>
      <c r="R16" s="90"/>
      <c r="S16" s="90"/>
      <c r="T16" s="90"/>
      <c r="U16" s="93"/>
      <c r="V16" s="87"/>
    </row>
    <row r="17" spans="1:22" s="1" customFormat="1" ht="13" x14ac:dyDescent="0.3">
      <c r="A17" s="52" t="s">
        <v>89</v>
      </c>
      <c r="B17" s="30">
        <v>2</v>
      </c>
      <c r="C17" s="30">
        <v>1</v>
      </c>
      <c r="D17" s="30">
        <f t="shared" si="0"/>
        <v>2</v>
      </c>
      <c r="E17" s="63">
        <f>'Capital O&amp;M'!F37</f>
        <v>3</v>
      </c>
      <c r="F17" s="30">
        <f t="shared" si="1"/>
        <v>6</v>
      </c>
      <c r="G17" s="30">
        <f t="shared" si="2"/>
        <v>0.30000000000000004</v>
      </c>
      <c r="H17" s="30">
        <f t="shared" si="3"/>
        <v>0.60000000000000009</v>
      </c>
      <c r="I17" s="60">
        <f t="shared" si="4"/>
        <v>816.17100000000005</v>
      </c>
      <c r="J17" s="4"/>
      <c r="K17" s="107"/>
      <c r="M17" s="89"/>
      <c r="N17" s="90"/>
      <c r="O17" s="90"/>
      <c r="P17" s="90"/>
      <c r="Q17" s="90"/>
      <c r="R17" s="90"/>
      <c r="S17" s="90"/>
      <c r="T17" s="90"/>
      <c r="U17" s="93"/>
      <c r="V17" s="87"/>
    </row>
    <row r="18" spans="1:22" s="1" customFormat="1" ht="19.5" customHeight="1" x14ac:dyDescent="0.3">
      <c r="A18" s="59" t="s">
        <v>92</v>
      </c>
      <c r="B18" s="30"/>
      <c r="C18" s="30"/>
      <c r="D18" s="30"/>
      <c r="E18" s="63"/>
      <c r="F18" s="30"/>
      <c r="G18" s="30"/>
      <c r="H18" s="30"/>
      <c r="I18" s="60"/>
      <c r="J18" s="4"/>
      <c r="K18" s="107"/>
      <c r="M18" s="89"/>
      <c r="N18" s="90"/>
      <c r="O18" s="90"/>
      <c r="P18" s="90"/>
      <c r="Q18" s="90"/>
      <c r="R18" s="90"/>
      <c r="S18" s="90"/>
      <c r="T18" s="90"/>
      <c r="U18" s="93"/>
      <c r="V18" s="87"/>
    </row>
    <row r="19" spans="1:22" s="1" customFormat="1" ht="16.5" customHeight="1" x14ac:dyDescent="0.3">
      <c r="A19" s="52" t="s">
        <v>90</v>
      </c>
      <c r="B19" s="30">
        <v>4</v>
      </c>
      <c r="C19" s="30">
        <v>2</v>
      </c>
      <c r="D19" s="30">
        <f t="shared" ref="D19" si="6">B19*C19</f>
        <v>8</v>
      </c>
      <c r="E19" s="30">
        <f>'Capital O&amp;M'!F$9</f>
        <v>171</v>
      </c>
      <c r="F19" s="104">
        <f t="shared" ref="F19" si="7">D19*E19</f>
        <v>1368</v>
      </c>
      <c r="G19" s="30">
        <f t="shared" ref="G19" si="8">F19*0.05</f>
        <v>68.400000000000006</v>
      </c>
      <c r="H19" s="30">
        <f t="shared" ref="H19" si="9">F19*0.1</f>
        <v>136.80000000000001</v>
      </c>
      <c r="I19" s="60">
        <f>F19*$L$6+G19*$L$5+H19*$L$7</f>
        <v>186086.98800000001</v>
      </c>
      <c r="J19" s="4"/>
      <c r="K19" s="109"/>
      <c r="M19" s="89"/>
      <c r="N19" s="90"/>
      <c r="O19" s="90"/>
      <c r="P19" s="90"/>
      <c r="Q19" s="90"/>
      <c r="R19" s="90"/>
      <c r="S19" s="90"/>
      <c r="T19" s="90"/>
      <c r="U19" s="93"/>
      <c r="V19" s="87"/>
    </row>
    <row r="20" spans="1:22" s="1" customFormat="1" ht="13.5" x14ac:dyDescent="0.35">
      <c r="A20" s="133" t="s">
        <v>50</v>
      </c>
      <c r="B20" s="134"/>
      <c r="C20" s="134"/>
      <c r="D20" s="134"/>
      <c r="E20" s="135"/>
      <c r="F20" s="136">
        <f>SUM(F5:H19)</f>
        <v>4052.5999999999995</v>
      </c>
      <c r="G20" s="137"/>
      <c r="H20" s="138"/>
      <c r="I20" s="64">
        <f>SUM(I5:I19)</f>
        <v>479364.43400000001</v>
      </c>
      <c r="J20" s="4"/>
      <c r="M20" s="89"/>
      <c r="N20" s="90"/>
      <c r="O20" s="90"/>
      <c r="P20" s="90"/>
      <c r="Q20" s="90"/>
      <c r="R20" s="90"/>
      <c r="S20" s="90"/>
      <c r="T20" s="90"/>
      <c r="U20" s="93"/>
      <c r="V20" s="87"/>
    </row>
    <row r="21" spans="1:22" s="1" customFormat="1" ht="13" x14ac:dyDescent="0.3">
      <c r="A21" s="65" t="s">
        <v>4</v>
      </c>
      <c r="B21" s="3"/>
      <c r="C21" s="3"/>
      <c r="D21" s="3"/>
      <c r="E21" s="3"/>
      <c r="F21" s="3"/>
      <c r="G21" s="3"/>
      <c r="H21" s="3"/>
      <c r="I21" s="58"/>
      <c r="J21" s="4"/>
      <c r="M21" s="89"/>
      <c r="N21" s="90"/>
      <c r="O21" s="90"/>
      <c r="P21" s="90"/>
      <c r="Q21" s="90"/>
      <c r="R21" s="92"/>
      <c r="S21" s="90"/>
      <c r="T21" s="90"/>
      <c r="U21" s="93"/>
      <c r="V21" s="87"/>
    </row>
    <row r="22" spans="1:22" s="1" customFormat="1" ht="15.5" x14ac:dyDescent="0.35">
      <c r="A22" s="66" t="s">
        <v>80</v>
      </c>
      <c r="B22" s="3">
        <v>4</v>
      </c>
      <c r="C22" s="3">
        <v>1</v>
      </c>
      <c r="D22" s="3">
        <f t="shared" ref="D22:D24" si="10">B22*C22</f>
        <v>4</v>
      </c>
      <c r="E22" s="3">
        <f>'Capital O&amp;M'!B$9</f>
        <v>1</v>
      </c>
      <c r="F22" s="3">
        <f t="shared" ref="F22:F24" si="11">D22*E22</f>
        <v>4</v>
      </c>
      <c r="G22" s="3">
        <f t="shared" ref="G22:G24" si="12">F22*0.05</f>
        <v>0.2</v>
      </c>
      <c r="H22" s="3">
        <f t="shared" ref="H22:H24" si="13">F22*0.1</f>
        <v>0.4</v>
      </c>
      <c r="I22" s="67">
        <f>F22*$L$6+G22*$L$5+H22*$L$7</f>
        <v>544.11400000000003</v>
      </c>
      <c r="J22" s="5"/>
      <c r="K22" s="4"/>
      <c r="M22" s="96"/>
      <c r="N22" s="96"/>
      <c r="O22" s="96"/>
      <c r="P22" s="96"/>
      <c r="Q22" s="96"/>
      <c r="R22" s="97"/>
      <c r="S22" s="97"/>
      <c r="T22" s="97"/>
      <c r="U22" s="98"/>
      <c r="V22" s="87"/>
    </row>
    <row r="23" spans="1:22" s="1" customFormat="1" ht="15.5" x14ac:dyDescent="0.3">
      <c r="A23" s="68" t="s">
        <v>79</v>
      </c>
      <c r="B23" s="13">
        <v>15</v>
      </c>
      <c r="C23" s="13">
        <v>1</v>
      </c>
      <c r="D23" s="13">
        <f t="shared" si="10"/>
        <v>15</v>
      </c>
      <c r="E23" s="13">
        <f>'Capital O&amp;M'!B$9</f>
        <v>1</v>
      </c>
      <c r="F23" s="13">
        <f t="shared" si="11"/>
        <v>15</v>
      </c>
      <c r="G23" s="13">
        <f t="shared" si="12"/>
        <v>0.75</v>
      </c>
      <c r="H23" s="13">
        <f t="shared" si="13"/>
        <v>1.5</v>
      </c>
      <c r="I23" s="14">
        <f>F23*$L$6+G23*$L$5+H23*$L$7</f>
        <v>2040.4275</v>
      </c>
      <c r="J23" s="4"/>
      <c r="K23" s="4"/>
      <c r="M23" s="89"/>
      <c r="N23" s="90"/>
      <c r="O23" s="90"/>
      <c r="P23" s="90"/>
      <c r="Q23" s="90"/>
      <c r="R23" s="90"/>
      <c r="S23" s="90"/>
      <c r="T23" s="90"/>
      <c r="U23" s="91"/>
      <c r="V23" s="87"/>
    </row>
    <row r="24" spans="1:22" s="1" customFormat="1" ht="15.5" x14ac:dyDescent="0.3">
      <c r="A24" s="68" t="s">
        <v>93</v>
      </c>
      <c r="B24" s="13">
        <v>5</v>
      </c>
      <c r="C24" s="13">
        <v>12</v>
      </c>
      <c r="D24" s="13">
        <f t="shared" si="10"/>
        <v>60</v>
      </c>
      <c r="E24" s="13">
        <v>80</v>
      </c>
      <c r="F24" s="105">
        <f t="shared" si="11"/>
        <v>4800</v>
      </c>
      <c r="G24" s="13">
        <f t="shared" si="12"/>
        <v>240</v>
      </c>
      <c r="H24" s="13">
        <f t="shared" si="13"/>
        <v>480</v>
      </c>
      <c r="I24" s="14">
        <f>F24*$L$6+G24*$L$5+H24*$L$7</f>
        <v>652936.80000000005</v>
      </c>
      <c r="J24" s="4"/>
      <c r="K24" s="4"/>
      <c r="M24" s="89"/>
      <c r="N24" s="90"/>
      <c r="O24" s="90"/>
      <c r="P24" s="90"/>
      <c r="Q24" s="90"/>
      <c r="R24" s="90"/>
      <c r="S24" s="90"/>
      <c r="T24" s="90"/>
      <c r="U24" s="93"/>
      <c r="V24" s="87"/>
    </row>
    <row r="25" spans="1:22" s="1" customFormat="1" ht="28.5" x14ac:dyDescent="0.3">
      <c r="A25" s="68" t="s">
        <v>78</v>
      </c>
      <c r="B25" s="13"/>
      <c r="C25" s="13"/>
      <c r="D25" s="13"/>
      <c r="E25" s="13"/>
      <c r="F25" s="13"/>
      <c r="G25" s="13"/>
      <c r="H25" s="13"/>
      <c r="I25" s="69"/>
      <c r="J25" s="4"/>
      <c r="M25" s="89"/>
      <c r="N25" s="90"/>
      <c r="O25" s="90"/>
      <c r="P25" s="90"/>
      <c r="Q25" s="90"/>
      <c r="R25" s="90"/>
      <c r="S25" s="90"/>
      <c r="T25" s="90"/>
      <c r="U25" s="93"/>
      <c r="V25" s="87"/>
    </row>
    <row r="26" spans="1:22" s="1" customFormat="1" ht="13" x14ac:dyDescent="0.3">
      <c r="A26" s="70" t="s">
        <v>77</v>
      </c>
      <c r="B26" s="13">
        <v>12</v>
      </c>
      <c r="C26" s="13">
        <v>1</v>
      </c>
      <c r="D26" s="13">
        <f t="shared" ref="D26:D27" si="14">B26*C26</f>
        <v>12</v>
      </c>
      <c r="E26" s="13">
        <f>'Capital O&amp;M'!B$9</f>
        <v>1</v>
      </c>
      <c r="F26" s="13">
        <f t="shared" ref="F26:F27" si="15">D26*E26</f>
        <v>12</v>
      </c>
      <c r="G26" s="13">
        <f t="shared" ref="G26:G27" si="16">F26*0.05</f>
        <v>0.60000000000000009</v>
      </c>
      <c r="H26" s="13">
        <f t="shared" ref="H26:H27" si="17">F26*0.1</f>
        <v>1.2000000000000002</v>
      </c>
      <c r="I26" s="14">
        <f>F26*$L$6+G26*$L$5+H26*$L$7</f>
        <v>1632.3420000000001</v>
      </c>
      <c r="J26" s="4"/>
      <c r="K26" s="4"/>
      <c r="M26" s="89"/>
      <c r="N26" s="90"/>
      <c r="O26" s="90"/>
      <c r="P26" s="90"/>
      <c r="Q26" s="90"/>
      <c r="R26" s="92"/>
      <c r="S26" s="90"/>
      <c r="T26" s="90"/>
      <c r="U26" s="93"/>
      <c r="V26" s="87"/>
    </row>
    <row r="27" spans="1:22" s="1" customFormat="1" ht="18" customHeight="1" x14ac:dyDescent="0.3">
      <c r="A27" s="70" t="s">
        <v>76</v>
      </c>
      <c r="B27" s="13">
        <v>20</v>
      </c>
      <c r="C27" s="13">
        <v>1</v>
      </c>
      <c r="D27" s="13">
        <f t="shared" si="14"/>
        <v>20</v>
      </c>
      <c r="E27" s="13">
        <f>'Capital O&amp;M'!B$9</f>
        <v>1</v>
      </c>
      <c r="F27" s="13">
        <f t="shared" si="15"/>
        <v>20</v>
      </c>
      <c r="G27" s="13">
        <f t="shared" si="16"/>
        <v>1</v>
      </c>
      <c r="H27" s="13">
        <f t="shared" si="17"/>
        <v>2</v>
      </c>
      <c r="I27" s="14">
        <f>F27*$L$6+G27*$L$5+H27*$L$7</f>
        <v>2720.57</v>
      </c>
      <c r="J27" s="4"/>
      <c r="K27" s="4"/>
      <c r="M27" s="89"/>
      <c r="N27" s="90"/>
      <c r="O27" s="90"/>
      <c r="P27" s="90"/>
      <c r="Q27" s="90"/>
      <c r="R27" s="90"/>
      <c r="S27" s="90"/>
      <c r="T27" s="90"/>
      <c r="U27" s="93"/>
      <c r="V27" s="87"/>
    </row>
    <row r="28" spans="1:22" s="1" customFormat="1" ht="13" x14ac:dyDescent="0.3">
      <c r="A28" s="68" t="s">
        <v>75</v>
      </c>
      <c r="B28" s="13"/>
      <c r="C28" s="13"/>
      <c r="D28" s="13"/>
      <c r="E28" s="13"/>
      <c r="F28" s="13"/>
      <c r="G28" s="13"/>
      <c r="H28" s="13"/>
      <c r="I28" s="69"/>
      <c r="J28" s="5"/>
      <c r="K28" s="4"/>
      <c r="M28" s="89"/>
      <c r="N28" s="90"/>
      <c r="O28" s="90"/>
      <c r="P28" s="90"/>
      <c r="Q28" s="90"/>
      <c r="R28" s="90"/>
      <c r="S28" s="90"/>
      <c r="T28" s="90"/>
      <c r="U28" s="93"/>
      <c r="V28" s="87"/>
    </row>
    <row r="29" spans="1:22" s="1" customFormat="1" ht="15.5" x14ac:dyDescent="0.3">
      <c r="A29" s="70" t="s">
        <v>96</v>
      </c>
      <c r="B29" s="13">
        <v>10</v>
      </c>
      <c r="C29" s="13">
        <v>1</v>
      </c>
      <c r="D29" s="13">
        <f t="shared" ref="D29:D30" si="18">B29*C29</f>
        <v>10</v>
      </c>
      <c r="E29" s="13">
        <f>E24</f>
        <v>80</v>
      </c>
      <c r="F29" s="13">
        <f t="shared" ref="F29:F30" si="19">D29*E29</f>
        <v>800</v>
      </c>
      <c r="G29" s="13">
        <f t="shared" ref="G29:G30" si="20">F29*0.05</f>
        <v>40</v>
      </c>
      <c r="H29" s="13">
        <f t="shared" ref="H29:H30" si="21">F29*0.1</f>
        <v>80</v>
      </c>
      <c r="I29" s="14">
        <f>F29*$L$6+G29*$L$5+H29*$L$7</f>
        <v>108822.8</v>
      </c>
      <c r="J29" s="4"/>
      <c r="K29" s="4"/>
      <c r="M29" s="89"/>
      <c r="N29" s="90"/>
      <c r="O29" s="90"/>
      <c r="P29" s="90"/>
      <c r="Q29" s="90"/>
      <c r="R29" s="90"/>
      <c r="S29" s="90"/>
      <c r="T29" s="90"/>
      <c r="U29" s="93"/>
      <c r="V29" s="87"/>
    </row>
    <row r="30" spans="1:22" s="1" customFormat="1" ht="15.5" x14ac:dyDescent="0.3">
      <c r="A30" s="70" t="s">
        <v>74</v>
      </c>
      <c r="B30" s="13">
        <v>10</v>
      </c>
      <c r="C30" s="13">
        <v>1</v>
      </c>
      <c r="D30" s="13">
        <f t="shared" si="18"/>
        <v>10</v>
      </c>
      <c r="E30" s="13">
        <f>'Capital O&amp;M'!B$9</f>
        <v>1</v>
      </c>
      <c r="F30" s="13">
        <f t="shared" si="19"/>
        <v>10</v>
      </c>
      <c r="G30" s="13">
        <f t="shared" si="20"/>
        <v>0.5</v>
      </c>
      <c r="H30" s="13">
        <f t="shared" si="21"/>
        <v>1</v>
      </c>
      <c r="I30" s="14">
        <f>F30*$L$6+G30*$L$5+H30*$L$7</f>
        <v>1360.2850000000001</v>
      </c>
      <c r="J30" s="4"/>
      <c r="K30" s="4"/>
      <c r="M30" s="89"/>
      <c r="N30" s="90"/>
      <c r="O30" s="90"/>
      <c r="P30" s="90"/>
      <c r="Q30" s="90"/>
      <c r="R30" s="90"/>
      <c r="S30" s="90"/>
      <c r="T30" s="90"/>
      <c r="U30" s="93"/>
      <c r="V30" s="87"/>
    </row>
    <row r="31" spans="1:22" s="1" customFormat="1" ht="13" x14ac:dyDescent="0.3">
      <c r="A31" s="68" t="s">
        <v>73</v>
      </c>
      <c r="B31" s="13"/>
      <c r="C31" s="13"/>
      <c r="D31" s="13"/>
      <c r="E31" s="13"/>
      <c r="F31" s="13"/>
      <c r="G31" s="13"/>
      <c r="H31" s="13"/>
      <c r="I31" s="69"/>
      <c r="J31" s="5"/>
      <c r="K31" s="4"/>
      <c r="M31" s="89"/>
      <c r="N31" s="90"/>
      <c r="O31" s="90"/>
      <c r="P31" s="90"/>
      <c r="Q31" s="90"/>
      <c r="R31" s="90"/>
      <c r="S31" s="90"/>
      <c r="T31" s="90"/>
      <c r="U31" s="93"/>
      <c r="V31" s="87"/>
    </row>
    <row r="32" spans="1:22" s="1" customFormat="1" ht="15.5" x14ac:dyDescent="0.3">
      <c r="A32" s="70" t="s">
        <v>97</v>
      </c>
      <c r="B32" s="13">
        <v>2</v>
      </c>
      <c r="C32" s="13">
        <v>12</v>
      </c>
      <c r="D32" s="13">
        <f t="shared" ref="D32:D34" si="22">B32*C32</f>
        <v>24</v>
      </c>
      <c r="E32" s="13">
        <f>E24</f>
        <v>80</v>
      </c>
      <c r="F32" s="105">
        <f t="shared" ref="F32:F33" si="23">D32*E32</f>
        <v>1920</v>
      </c>
      <c r="G32" s="13">
        <f t="shared" ref="G32:G33" si="24">F32*0.05</f>
        <v>96</v>
      </c>
      <c r="H32" s="13">
        <f t="shared" ref="H32:H33" si="25">F32*0.1</f>
        <v>192</v>
      </c>
      <c r="I32" s="14">
        <f>F32*$L$6+G32*$L$5+H32*$L$7</f>
        <v>261174.72</v>
      </c>
      <c r="J32" s="5"/>
      <c r="K32" s="4"/>
      <c r="M32" s="89"/>
      <c r="N32" s="90"/>
      <c r="O32" s="90"/>
      <c r="P32" s="90"/>
      <c r="Q32" s="90"/>
      <c r="R32" s="90"/>
      <c r="S32" s="90"/>
      <c r="T32" s="90"/>
      <c r="U32" s="93"/>
      <c r="V32" s="87"/>
    </row>
    <row r="33" spans="1:22" s="1" customFormat="1" ht="19.5" customHeight="1" x14ac:dyDescent="0.3">
      <c r="A33" s="70" t="s">
        <v>100</v>
      </c>
      <c r="B33" s="13">
        <v>1</v>
      </c>
      <c r="C33" s="13">
        <v>1</v>
      </c>
      <c r="D33" s="13">
        <f t="shared" si="22"/>
        <v>1</v>
      </c>
      <c r="E33" s="13">
        <f>E5-E32</f>
        <v>91</v>
      </c>
      <c r="F33" s="13">
        <f t="shared" si="23"/>
        <v>91</v>
      </c>
      <c r="G33" s="13">
        <f t="shared" si="24"/>
        <v>4.55</v>
      </c>
      <c r="H33" s="13">
        <f t="shared" si="25"/>
        <v>9.1</v>
      </c>
      <c r="I33" s="14">
        <f>F33*$L$6+G33*$L$5+H33*$L$7</f>
        <v>12378.593500000001</v>
      </c>
      <c r="J33" s="5"/>
      <c r="K33" s="4"/>
      <c r="M33" s="89"/>
      <c r="N33" s="90"/>
      <c r="O33" s="90"/>
      <c r="P33" s="90"/>
      <c r="Q33" s="90"/>
      <c r="R33" s="90"/>
      <c r="S33" s="90"/>
      <c r="T33" s="90"/>
      <c r="U33" s="93"/>
      <c r="V33" s="87"/>
    </row>
    <row r="34" spans="1:22" s="1" customFormat="1" ht="31.5" customHeight="1" x14ac:dyDescent="0.3">
      <c r="A34" s="45" t="s">
        <v>101</v>
      </c>
      <c r="B34" s="3">
        <v>2</v>
      </c>
      <c r="C34" s="3">
        <v>12</v>
      </c>
      <c r="D34" s="3">
        <f t="shared" si="22"/>
        <v>24</v>
      </c>
      <c r="E34" s="55">
        <f>ROUND('Capital O&amp;M'!F$9*0.05,0)</f>
        <v>9</v>
      </c>
      <c r="F34" s="13">
        <f t="shared" ref="F34" si="26">D34*E34</f>
        <v>216</v>
      </c>
      <c r="G34" s="13">
        <f t="shared" ref="G34" si="27">F34*0.05</f>
        <v>10.8</v>
      </c>
      <c r="H34" s="13">
        <f t="shared" ref="H34" si="28">F34*0.1</f>
        <v>21.6</v>
      </c>
      <c r="I34" s="14">
        <f>F34*$L$6+G34*$L$5+H34*$L$7</f>
        <v>29382.156000000003</v>
      </c>
      <c r="J34" s="5"/>
      <c r="K34" s="4"/>
      <c r="M34" s="89"/>
      <c r="N34" s="90"/>
      <c r="O34" s="90"/>
      <c r="P34" s="90"/>
      <c r="Q34" s="90"/>
      <c r="R34" s="92"/>
      <c r="S34" s="90"/>
      <c r="T34" s="90"/>
      <c r="U34" s="93"/>
      <c r="V34" s="87"/>
    </row>
    <row r="35" spans="1:22" s="1" customFormat="1" ht="13" x14ac:dyDescent="0.3">
      <c r="A35" s="68" t="s">
        <v>72</v>
      </c>
      <c r="B35" s="13"/>
      <c r="C35" s="13"/>
      <c r="D35" s="13"/>
      <c r="E35" s="13"/>
      <c r="F35" s="13"/>
      <c r="G35" s="13"/>
      <c r="H35" s="13"/>
      <c r="I35" s="69"/>
      <c r="J35" s="5"/>
      <c r="K35" s="4"/>
      <c r="M35" s="89"/>
      <c r="N35" s="90"/>
      <c r="O35" s="90"/>
      <c r="P35" s="90"/>
      <c r="Q35" s="90"/>
      <c r="R35" s="90"/>
      <c r="S35" s="90"/>
      <c r="T35" s="90"/>
      <c r="U35" s="93"/>
      <c r="V35" s="87"/>
    </row>
    <row r="36" spans="1:22" s="1" customFormat="1" ht="18.75" customHeight="1" x14ac:dyDescent="0.3">
      <c r="A36" s="70" t="s">
        <v>71</v>
      </c>
      <c r="B36" s="13">
        <v>15</v>
      </c>
      <c r="C36" s="13">
        <v>1</v>
      </c>
      <c r="D36" s="13">
        <f t="shared" ref="D36:D40" si="29">B36*C36</f>
        <v>15</v>
      </c>
      <c r="E36" s="13">
        <f>'Capital O&amp;M'!B$9</f>
        <v>1</v>
      </c>
      <c r="F36" s="13">
        <f t="shared" ref="F36:F40" si="30">D36*E36</f>
        <v>15</v>
      </c>
      <c r="G36" s="13">
        <f t="shared" ref="G36:G40" si="31">F36*0.05</f>
        <v>0.75</v>
      </c>
      <c r="H36" s="13">
        <f t="shared" ref="H36:H40" si="32">F36*0.1</f>
        <v>1.5</v>
      </c>
      <c r="I36" s="14">
        <f>F36*$L$6+G36*$L$5+H36*$L$7</f>
        <v>2040.4275</v>
      </c>
      <c r="J36" s="5"/>
      <c r="K36" s="4"/>
      <c r="M36" s="89"/>
      <c r="N36" s="90"/>
      <c r="O36" s="90"/>
      <c r="P36" s="90"/>
      <c r="Q36" s="90"/>
      <c r="R36" s="90"/>
      <c r="S36" s="90"/>
      <c r="T36" s="90"/>
      <c r="U36" s="93"/>
      <c r="V36" s="87"/>
    </row>
    <row r="37" spans="1:22" s="1" customFormat="1" ht="15.5" x14ac:dyDescent="0.3">
      <c r="A37" s="70" t="s">
        <v>70</v>
      </c>
      <c r="B37" s="13">
        <v>10</v>
      </c>
      <c r="C37" s="13">
        <v>1</v>
      </c>
      <c r="D37" s="13">
        <f t="shared" si="29"/>
        <v>10</v>
      </c>
      <c r="E37" s="13">
        <f>E33</f>
        <v>91</v>
      </c>
      <c r="F37" s="13">
        <f t="shared" si="30"/>
        <v>910</v>
      </c>
      <c r="G37" s="13">
        <f t="shared" si="31"/>
        <v>45.5</v>
      </c>
      <c r="H37" s="13">
        <f t="shared" si="32"/>
        <v>91</v>
      </c>
      <c r="I37" s="14">
        <f>F37*$L$6+G37*$L$5+H37*$L$7</f>
        <v>123785.935</v>
      </c>
      <c r="J37" s="4"/>
      <c r="K37" s="4"/>
      <c r="M37" s="89"/>
      <c r="N37" s="90"/>
      <c r="O37" s="90"/>
      <c r="P37" s="90"/>
      <c r="Q37" s="90"/>
      <c r="R37" s="90"/>
      <c r="S37" s="90"/>
      <c r="T37" s="90"/>
      <c r="U37" s="93"/>
      <c r="V37" s="87"/>
    </row>
    <row r="38" spans="1:22" s="1" customFormat="1" ht="13" x14ac:dyDescent="0.3">
      <c r="A38" s="70" t="s">
        <v>102</v>
      </c>
      <c r="B38" s="13">
        <v>10</v>
      </c>
      <c r="C38" s="13">
        <v>1</v>
      </c>
      <c r="D38" s="13">
        <f t="shared" si="29"/>
        <v>10</v>
      </c>
      <c r="E38" s="13">
        <f>'Capital O&amp;M'!F$9</f>
        <v>171</v>
      </c>
      <c r="F38" s="105">
        <f t="shared" si="30"/>
        <v>1710</v>
      </c>
      <c r="G38" s="13">
        <f t="shared" si="31"/>
        <v>85.5</v>
      </c>
      <c r="H38" s="13">
        <f t="shared" si="32"/>
        <v>171</v>
      </c>
      <c r="I38" s="14">
        <f>F38*$L$6+G38*$L$5+H38*$L$7</f>
        <v>232608.73499999999</v>
      </c>
      <c r="J38" s="20"/>
      <c r="K38" s="109"/>
      <c r="M38" s="89"/>
      <c r="N38" s="90"/>
      <c r="O38" s="90"/>
      <c r="P38" s="90"/>
      <c r="Q38" s="90"/>
      <c r="R38" s="90"/>
      <c r="S38" s="90"/>
      <c r="T38" s="90"/>
      <c r="U38" s="93"/>
      <c r="V38" s="87"/>
    </row>
    <row r="39" spans="1:22" s="1" customFormat="1" ht="15.5" x14ac:dyDescent="0.3">
      <c r="A39" s="68" t="s">
        <v>103</v>
      </c>
      <c r="B39" s="13">
        <v>0.25</v>
      </c>
      <c r="C39" s="13">
        <v>12</v>
      </c>
      <c r="D39" s="13">
        <f t="shared" si="29"/>
        <v>3</v>
      </c>
      <c r="E39" s="13">
        <f>'Capital O&amp;M'!F$9</f>
        <v>171</v>
      </c>
      <c r="F39" s="13">
        <f t="shared" si="30"/>
        <v>513</v>
      </c>
      <c r="G39" s="103">
        <f t="shared" si="31"/>
        <v>25.650000000000002</v>
      </c>
      <c r="H39" s="13">
        <f t="shared" si="32"/>
        <v>51.300000000000004</v>
      </c>
      <c r="I39" s="14">
        <f>F39*$L$6+G39*$L$5+H39*$L$7</f>
        <v>69782.620500000005</v>
      </c>
      <c r="J39" s="17"/>
      <c r="K39" s="16"/>
      <c r="L39" s="4"/>
      <c r="M39" s="89"/>
      <c r="N39" s="90"/>
      <c r="O39" s="90"/>
      <c r="P39" s="90"/>
      <c r="Q39" s="90"/>
      <c r="R39" s="90"/>
      <c r="S39" s="90"/>
      <c r="T39" s="90"/>
      <c r="U39" s="93"/>
      <c r="V39" s="87"/>
    </row>
    <row r="40" spans="1:22" s="1" customFormat="1" ht="15.5" x14ac:dyDescent="0.3">
      <c r="A40" s="68" t="s">
        <v>104</v>
      </c>
      <c r="B40" s="13">
        <v>0.25</v>
      </c>
      <c r="C40" s="13">
        <v>12</v>
      </c>
      <c r="D40" s="13">
        <f t="shared" si="29"/>
        <v>3</v>
      </c>
      <c r="E40" s="13">
        <f>'Capital O&amp;M'!F$9</f>
        <v>171</v>
      </c>
      <c r="F40" s="13">
        <f t="shared" si="30"/>
        <v>513</v>
      </c>
      <c r="G40" s="103">
        <f t="shared" si="31"/>
        <v>25.650000000000002</v>
      </c>
      <c r="H40" s="13">
        <f t="shared" si="32"/>
        <v>51.300000000000004</v>
      </c>
      <c r="I40" s="71">
        <f>F40*$L$6+G40*$L$5+H40*$L$7</f>
        <v>69782.620500000005</v>
      </c>
      <c r="J40" s="21"/>
      <c r="L40" s="4"/>
      <c r="M40" s="89"/>
      <c r="N40" s="90"/>
      <c r="O40" s="90"/>
      <c r="P40" s="90"/>
      <c r="Q40" s="90"/>
      <c r="R40" s="92"/>
      <c r="S40" s="90"/>
      <c r="T40" s="90"/>
      <c r="U40" s="93"/>
      <c r="V40" s="87"/>
    </row>
    <row r="41" spans="1:22" s="1" customFormat="1" ht="13.5" x14ac:dyDescent="0.35">
      <c r="A41" s="102" t="s">
        <v>51</v>
      </c>
      <c r="B41" s="139"/>
      <c r="C41" s="140"/>
      <c r="D41" s="140"/>
      <c r="E41" s="141"/>
      <c r="F41" s="145">
        <f>SUM(F22:H40)</f>
        <v>13281.349999999999</v>
      </c>
      <c r="G41" s="146"/>
      <c r="H41" s="147"/>
      <c r="I41" s="15">
        <f>SUM(I22:I40)</f>
        <v>1570993.1464999998</v>
      </c>
      <c r="J41" s="21"/>
      <c r="K41" s="77">
        <f>F42/'Capital O&amp;M'!E24</f>
        <v>44.132653061224488</v>
      </c>
      <c r="L41" s="77" t="s">
        <v>107</v>
      </c>
      <c r="M41" s="89"/>
      <c r="N41" s="90"/>
      <c r="O41" s="90"/>
      <c r="P41" s="90"/>
      <c r="Q41" s="90"/>
      <c r="R41" s="90"/>
      <c r="S41" s="90"/>
      <c r="T41" s="90"/>
      <c r="U41" s="93"/>
      <c r="V41" s="87"/>
    </row>
    <row r="42" spans="1:22" s="1" customFormat="1" ht="13.5" customHeight="1" x14ac:dyDescent="0.35">
      <c r="A42" s="82" t="s">
        <v>121</v>
      </c>
      <c r="B42" s="142"/>
      <c r="C42" s="143"/>
      <c r="D42" s="143"/>
      <c r="E42" s="144"/>
      <c r="F42" s="145">
        <f>ROUND(SUM(F20,F41), -2)</f>
        <v>17300</v>
      </c>
      <c r="G42" s="146"/>
      <c r="H42" s="147"/>
      <c r="I42" s="15">
        <f>ROUND(SUM(I41,I20), -4)</f>
        <v>2050000</v>
      </c>
      <c r="J42" s="21"/>
      <c r="K42" s="19"/>
      <c r="L42" s="4"/>
      <c r="M42" s="89"/>
      <c r="N42" s="90"/>
      <c r="O42" s="90"/>
      <c r="P42" s="90"/>
      <c r="Q42" s="90"/>
      <c r="R42" s="90"/>
      <c r="S42" s="90"/>
      <c r="T42" s="90"/>
      <c r="U42" s="93"/>
      <c r="V42" s="87"/>
    </row>
    <row r="43" spans="1:22" s="1" customFormat="1" ht="13.5" customHeight="1" x14ac:dyDescent="0.35">
      <c r="A43" s="82" t="s">
        <v>123</v>
      </c>
      <c r="B43" s="142"/>
      <c r="C43" s="143"/>
      <c r="D43" s="143"/>
      <c r="E43" s="143"/>
      <c r="F43" s="143"/>
      <c r="G43" s="143"/>
      <c r="H43" s="144"/>
      <c r="I43" s="127">
        <f>ROUND('Capital O&amp;M'!G38+'Capital O&amp;M'!D38,-3)</f>
        <v>975000</v>
      </c>
      <c r="J43" s="4"/>
      <c r="M43" s="96"/>
      <c r="N43" s="96"/>
      <c r="O43" s="96"/>
      <c r="P43" s="96"/>
      <c r="Q43" s="96"/>
      <c r="R43" s="97"/>
      <c r="S43" s="97"/>
      <c r="T43" s="97"/>
      <c r="U43" s="98"/>
      <c r="V43" s="87"/>
    </row>
    <row r="44" spans="1:22" s="1" customFormat="1" ht="13.5" customHeight="1" x14ac:dyDescent="0.35">
      <c r="A44" s="82" t="s">
        <v>122</v>
      </c>
      <c r="B44" s="142"/>
      <c r="C44" s="143"/>
      <c r="D44" s="143"/>
      <c r="E44" s="143"/>
      <c r="F44" s="143"/>
      <c r="G44" s="143"/>
      <c r="H44" s="144"/>
      <c r="I44" s="127">
        <f>ROUND(SUM(I42:I43), -4)</f>
        <v>3030000</v>
      </c>
      <c r="J44" s="4"/>
      <c r="M44" s="99"/>
      <c r="N44" s="99"/>
      <c r="O44" s="99"/>
      <c r="P44" s="99"/>
      <c r="Q44" s="99"/>
      <c r="R44" s="97"/>
      <c r="S44" s="97"/>
      <c r="T44" s="97"/>
      <c r="U44" s="98"/>
      <c r="V44" s="87"/>
    </row>
    <row r="45" spans="1:22" s="1" customFormat="1" ht="13.5" x14ac:dyDescent="0.35">
      <c r="A45" s="2"/>
      <c r="B45" s="2"/>
      <c r="C45" s="2"/>
      <c r="D45" s="2"/>
      <c r="E45" s="2"/>
      <c r="F45" s="2"/>
      <c r="G45" s="72"/>
      <c r="H45" s="2"/>
      <c r="I45" s="57"/>
      <c r="J45" s="4"/>
      <c r="M45" s="99"/>
      <c r="N45" s="99"/>
      <c r="O45" s="99"/>
      <c r="P45" s="99"/>
      <c r="Q45" s="99"/>
      <c r="R45" s="99"/>
      <c r="S45" s="99"/>
      <c r="T45" s="99"/>
      <c r="U45" s="98"/>
      <c r="V45" s="87"/>
    </row>
    <row r="46" spans="1:22" s="1" customFormat="1" ht="13.5" x14ac:dyDescent="0.35">
      <c r="A46" s="73" t="s">
        <v>5</v>
      </c>
      <c r="B46" s="2"/>
      <c r="C46" s="2"/>
      <c r="D46" s="2"/>
      <c r="E46" s="2"/>
      <c r="F46" s="2"/>
      <c r="G46" s="2"/>
      <c r="H46" s="2"/>
      <c r="I46" s="57"/>
      <c r="J46" s="4"/>
      <c r="M46" s="99"/>
      <c r="N46" s="99"/>
      <c r="O46" s="99"/>
      <c r="P46" s="99"/>
      <c r="Q46" s="99"/>
      <c r="R46" s="99"/>
      <c r="S46" s="99"/>
      <c r="T46" s="99"/>
      <c r="U46" s="98"/>
      <c r="V46" s="87"/>
    </row>
    <row r="47" spans="1:22" s="1" customFormat="1" ht="34.5" customHeight="1" x14ac:dyDescent="0.3">
      <c r="A47" s="130" t="s">
        <v>135</v>
      </c>
      <c r="B47" s="131"/>
      <c r="C47" s="131"/>
      <c r="D47" s="131"/>
      <c r="E47" s="131"/>
      <c r="F47" s="131"/>
      <c r="G47" s="131"/>
      <c r="H47" s="131"/>
      <c r="I47" s="131"/>
      <c r="J47" s="4"/>
      <c r="M47" s="100"/>
      <c r="N47" s="100"/>
      <c r="O47" s="100"/>
      <c r="P47" s="100"/>
      <c r="Q47" s="100"/>
      <c r="R47" s="100"/>
      <c r="S47" s="100"/>
      <c r="T47" s="100"/>
      <c r="U47" s="100"/>
      <c r="V47" s="87"/>
    </row>
    <row r="48" spans="1:22" s="1" customFormat="1" ht="63" customHeight="1" x14ac:dyDescent="0.3">
      <c r="A48" s="130" t="s">
        <v>59</v>
      </c>
      <c r="B48" s="130"/>
      <c r="C48" s="130"/>
      <c r="D48" s="130"/>
      <c r="E48" s="130"/>
      <c r="F48" s="130"/>
      <c r="G48" s="130"/>
      <c r="H48" s="130"/>
      <c r="I48" s="130"/>
      <c r="J48" s="4"/>
      <c r="M48" s="100"/>
      <c r="N48" s="100"/>
      <c r="O48" s="100"/>
      <c r="P48" s="100"/>
      <c r="Q48" s="100"/>
      <c r="R48" s="100"/>
      <c r="S48" s="100"/>
      <c r="T48" s="100"/>
      <c r="U48" s="100"/>
      <c r="V48" s="87"/>
    </row>
    <row r="49" spans="1:22" s="1" customFormat="1" ht="30.75" customHeight="1" x14ac:dyDescent="0.3">
      <c r="A49" s="150" t="s">
        <v>139</v>
      </c>
      <c r="B49" s="149"/>
      <c r="C49" s="149"/>
      <c r="D49" s="149"/>
      <c r="E49" s="149"/>
      <c r="F49" s="149"/>
      <c r="G49" s="149"/>
      <c r="H49" s="149"/>
      <c r="I49" s="149"/>
      <c r="J49" s="12"/>
      <c r="M49" s="100"/>
      <c r="N49" s="100"/>
      <c r="O49" s="100"/>
      <c r="P49" s="100"/>
      <c r="Q49" s="100"/>
      <c r="R49" s="100"/>
      <c r="S49" s="100"/>
      <c r="T49" s="100"/>
      <c r="U49" s="100"/>
      <c r="V49" s="87"/>
    </row>
    <row r="50" spans="1:22" s="1" customFormat="1" ht="60" customHeight="1" x14ac:dyDescent="0.3">
      <c r="A50" s="150" t="s">
        <v>136</v>
      </c>
      <c r="B50" s="149"/>
      <c r="C50" s="149"/>
      <c r="D50" s="149"/>
      <c r="E50" s="149"/>
      <c r="F50" s="149"/>
      <c r="G50" s="149"/>
      <c r="H50" s="149"/>
      <c r="I50" s="149"/>
      <c r="J50" s="4"/>
      <c r="M50" s="100"/>
      <c r="N50" s="100"/>
      <c r="O50" s="100"/>
      <c r="P50" s="100"/>
      <c r="Q50" s="100"/>
      <c r="R50" s="100"/>
      <c r="S50" s="100"/>
      <c r="T50" s="100"/>
      <c r="U50" s="100"/>
      <c r="V50" s="87"/>
    </row>
    <row r="51" spans="1:22" s="1" customFormat="1" ht="20.25" customHeight="1" x14ac:dyDescent="0.3">
      <c r="A51" s="150" t="s">
        <v>98</v>
      </c>
      <c r="B51" s="149"/>
      <c r="C51" s="149"/>
      <c r="D51" s="149"/>
      <c r="E51" s="149"/>
      <c r="F51" s="149"/>
      <c r="G51" s="149"/>
      <c r="H51" s="149"/>
      <c r="I51" s="149"/>
      <c r="M51" s="100"/>
      <c r="N51" s="100"/>
      <c r="O51" s="100"/>
      <c r="P51" s="100"/>
      <c r="Q51" s="100"/>
      <c r="R51" s="100"/>
      <c r="S51" s="100"/>
      <c r="T51" s="100"/>
      <c r="U51" s="100"/>
      <c r="V51" s="87"/>
    </row>
    <row r="52" spans="1:22" s="1" customFormat="1" ht="29.25" customHeight="1" x14ac:dyDescent="0.3">
      <c r="A52" s="150" t="s">
        <v>132</v>
      </c>
      <c r="B52" s="149"/>
      <c r="C52" s="149"/>
      <c r="D52" s="149"/>
      <c r="E52" s="149"/>
      <c r="F52" s="149"/>
      <c r="G52" s="149"/>
      <c r="H52" s="149"/>
      <c r="I52" s="149"/>
      <c r="M52" s="100"/>
      <c r="N52" s="100"/>
      <c r="O52" s="100"/>
      <c r="P52" s="100"/>
      <c r="Q52" s="100"/>
      <c r="R52" s="100"/>
      <c r="S52" s="100"/>
      <c r="T52" s="100"/>
      <c r="U52" s="100"/>
      <c r="V52" s="87"/>
    </row>
    <row r="53" spans="1:22" s="1" customFormat="1" ht="29.25" customHeight="1" x14ac:dyDescent="0.3">
      <c r="A53" s="150" t="s">
        <v>99</v>
      </c>
      <c r="B53" s="149"/>
      <c r="C53" s="149"/>
      <c r="D53" s="149"/>
      <c r="E53" s="149"/>
      <c r="F53" s="149"/>
      <c r="G53" s="149"/>
      <c r="H53" s="149"/>
      <c r="I53" s="149"/>
      <c r="M53" s="101"/>
      <c r="N53" s="101"/>
      <c r="O53" s="101"/>
      <c r="P53" s="101"/>
      <c r="Q53" s="101"/>
      <c r="R53" s="101"/>
      <c r="S53" s="101"/>
      <c r="T53" s="101"/>
      <c r="U53" s="101"/>
      <c r="V53" s="87"/>
    </row>
    <row r="54" spans="1:22" s="1" customFormat="1" ht="29.25" customHeight="1" x14ac:dyDescent="0.3">
      <c r="A54" s="148" t="s">
        <v>106</v>
      </c>
      <c r="B54" s="149"/>
      <c r="C54" s="149"/>
      <c r="D54" s="149"/>
      <c r="E54" s="149"/>
      <c r="F54" s="149"/>
      <c r="G54" s="149"/>
      <c r="H54" s="149"/>
      <c r="I54" s="149"/>
      <c r="M54" s="100"/>
      <c r="N54" s="100"/>
      <c r="O54" s="100"/>
      <c r="P54" s="100"/>
      <c r="Q54" s="100"/>
      <c r="R54" s="100"/>
      <c r="S54" s="100"/>
      <c r="T54" s="100"/>
      <c r="U54" s="100"/>
      <c r="V54" s="87"/>
    </row>
    <row r="55" spans="1:22" s="1" customFormat="1" ht="17.25" customHeight="1" x14ac:dyDescent="0.3">
      <c r="A55" s="148" t="s">
        <v>105</v>
      </c>
      <c r="B55" s="149"/>
      <c r="C55" s="149"/>
      <c r="D55" s="149"/>
      <c r="E55" s="149"/>
      <c r="F55" s="149"/>
      <c r="G55" s="149"/>
      <c r="H55" s="149"/>
      <c r="I55" s="149"/>
      <c r="M55" s="100"/>
      <c r="N55" s="100"/>
      <c r="O55" s="100"/>
      <c r="P55" s="100"/>
      <c r="Q55" s="100"/>
      <c r="R55" s="100"/>
      <c r="S55" s="100"/>
      <c r="T55" s="100"/>
      <c r="U55" s="100"/>
      <c r="V55" s="87"/>
    </row>
    <row r="56" spans="1:22" s="1" customFormat="1" ht="30" customHeight="1" x14ac:dyDescent="0.3">
      <c r="A56" s="74"/>
      <c r="B56" s="74"/>
      <c r="C56" s="74"/>
      <c r="D56" s="74"/>
      <c r="E56" s="74"/>
      <c r="F56" s="74"/>
      <c r="G56" s="74"/>
      <c r="H56" s="74"/>
      <c r="I56" s="74"/>
      <c r="M56" s="43"/>
      <c r="N56" s="43"/>
      <c r="O56" s="43"/>
      <c r="P56" s="43"/>
      <c r="Q56" s="43"/>
      <c r="R56" s="43"/>
      <c r="S56" s="43"/>
      <c r="T56" s="43"/>
      <c r="U56" s="43"/>
    </row>
    <row r="61" spans="1:22" ht="15.5" x14ac:dyDescent="0.35">
      <c r="A61" s="111"/>
      <c r="B61" s="111"/>
      <c r="C61" s="111"/>
    </row>
    <row r="62" spans="1:22" ht="15.5" x14ac:dyDescent="0.35">
      <c r="A62" s="110"/>
      <c r="B62" s="110"/>
      <c r="C62" s="110"/>
    </row>
    <row r="63" spans="1:22" ht="15.5" x14ac:dyDescent="0.35">
      <c r="A63" s="110"/>
      <c r="B63" s="110"/>
      <c r="C63" s="110"/>
    </row>
    <row r="64" spans="1:22" ht="15.5" x14ac:dyDescent="0.35">
      <c r="A64" s="110"/>
      <c r="B64" s="110"/>
      <c r="C64" s="110"/>
    </row>
    <row r="65" spans="1:3" ht="15.5" x14ac:dyDescent="0.35">
      <c r="A65" s="111"/>
      <c r="B65" s="111"/>
      <c r="C65" s="111"/>
    </row>
    <row r="66" spans="1:3" ht="15.5" x14ac:dyDescent="0.35">
      <c r="A66" s="110"/>
      <c r="B66" s="110"/>
      <c r="C66" s="110"/>
    </row>
    <row r="67" spans="1:3" ht="15.5" x14ac:dyDescent="0.35">
      <c r="A67" s="110"/>
      <c r="B67" s="110"/>
      <c r="C67" s="110"/>
    </row>
    <row r="68" spans="1:3" ht="15.5" x14ac:dyDescent="0.35">
      <c r="A68" s="111"/>
      <c r="B68" s="111"/>
      <c r="C68" s="111"/>
    </row>
    <row r="69" spans="1:3" ht="15.5" x14ac:dyDescent="0.35">
      <c r="A69" s="111"/>
      <c r="B69" s="111"/>
      <c r="C69" s="111"/>
    </row>
    <row r="70" spans="1:3" ht="15.75" customHeight="1" x14ac:dyDescent="0.35">
      <c r="A70" s="110"/>
      <c r="B70" s="110"/>
      <c r="C70" s="110"/>
    </row>
    <row r="71" spans="1:3" ht="15" customHeight="1" x14ac:dyDescent="0.35">
      <c r="A71" s="110"/>
      <c r="B71" s="110"/>
      <c r="C71" s="110"/>
    </row>
    <row r="72" spans="1:3" ht="15.5" x14ac:dyDescent="0.35">
      <c r="A72" s="110"/>
      <c r="B72" s="110"/>
      <c r="C72" s="110"/>
    </row>
    <row r="73" spans="1:3" ht="15.5" x14ac:dyDescent="0.35">
      <c r="A73" s="111"/>
      <c r="B73" s="111"/>
      <c r="C73" s="111"/>
    </row>
    <row r="74" spans="1:3" ht="15.5" x14ac:dyDescent="0.35">
      <c r="A74" s="111"/>
      <c r="B74" s="110"/>
      <c r="C74" s="110"/>
    </row>
    <row r="75" spans="1:3" ht="15.5" x14ac:dyDescent="0.35">
      <c r="A75" s="110"/>
      <c r="B75" s="110"/>
      <c r="C75" s="110"/>
    </row>
    <row r="76" spans="1:3" ht="15.5" x14ac:dyDescent="0.35">
      <c r="A76" s="111"/>
      <c r="B76" s="110"/>
      <c r="C76" s="110"/>
    </row>
  </sheetData>
  <sortState xmlns:xlrd2="http://schemas.microsoft.com/office/spreadsheetml/2017/richdata2" ref="A61:C76">
    <sortCondition ref="C61:C76"/>
  </sortState>
  <mergeCells count="18">
    <mergeCell ref="A55:I55"/>
    <mergeCell ref="A54:I54"/>
    <mergeCell ref="A49:I49"/>
    <mergeCell ref="A50:I50"/>
    <mergeCell ref="A51:I51"/>
    <mergeCell ref="A52:I52"/>
    <mergeCell ref="A53:I53"/>
    <mergeCell ref="A47:I47"/>
    <mergeCell ref="K4:L4"/>
    <mergeCell ref="A48:I48"/>
    <mergeCell ref="A20:E20"/>
    <mergeCell ref="F20:H20"/>
    <mergeCell ref="B41:E41"/>
    <mergeCell ref="B42:E42"/>
    <mergeCell ref="B43:H43"/>
    <mergeCell ref="B44:H44"/>
    <mergeCell ref="F41:H41"/>
    <mergeCell ref="F42:H42"/>
  </mergeCells>
  <phoneticPr fontId="27" type="noConversion"/>
  <pageMargins left="0.7" right="0.7" top="0.75" bottom="0.75" header="0.3" footer="0.3"/>
  <pageSetup orientation="portrait" horizont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C8443F-7CF2-4AB9-A4F5-AA1F42586018}">
  <dimension ref="A1:L33"/>
  <sheetViews>
    <sheetView workbookViewId="0">
      <selection activeCell="A8" sqref="A8"/>
    </sheetView>
  </sheetViews>
  <sheetFormatPr defaultRowHeight="14.5" x14ac:dyDescent="0.35"/>
  <cols>
    <col min="1" max="1" width="37.54296875" style="75" customWidth="1"/>
    <col min="2" max="9" width="11.7265625" style="75" customWidth="1"/>
    <col min="10" max="10" width="8.1796875" style="75" customWidth="1"/>
    <col min="11" max="11" width="11.81640625" style="75" customWidth="1"/>
    <col min="12" max="12" width="9.1796875" style="75"/>
  </cols>
  <sheetData>
    <row r="1" spans="1:12" ht="15.5" x14ac:dyDescent="0.35">
      <c r="A1" s="56" t="s">
        <v>6</v>
      </c>
      <c r="B1" s="2"/>
      <c r="C1" s="2"/>
      <c r="D1" s="2"/>
      <c r="E1" s="2"/>
      <c r="F1" s="2"/>
      <c r="G1" s="2"/>
      <c r="H1" s="2"/>
      <c r="I1" s="2"/>
    </row>
    <row r="2" spans="1:12" x14ac:dyDescent="0.35">
      <c r="A2" s="2"/>
      <c r="B2" s="2"/>
      <c r="C2" s="2"/>
      <c r="D2" s="2"/>
      <c r="E2" s="2"/>
      <c r="F2" s="10"/>
      <c r="G2" s="10"/>
      <c r="H2" s="10"/>
      <c r="I2" s="10"/>
    </row>
    <row r="3" spans="1:12" ht="65" x14ac:dyDescent="0.35">
      <c r="A3" s="123" t="s">
        <v>1</v>
      </c>
      <c r="B3" s="124" t="s">
        <v>31</v>
      </c>
      <c r="C3" s="124" t="s">
        <v>32</v>
      </c>
      <c r="D3" s="124" t="s">
        <v>33</v>
      </c>
      <c r="E3" s="124" t="s">
        <v>133</v>
      </c>
      <c r="F3" s="124" t="s">
        <v>34</v>
      </c>
      <c r="G3" s="124" t="s">
        <v>35</v>
      </c>
      <c r="H3" s="124" t="s">
        <v>36</v>
      </c>
      <c r="I3" s="124" t="s">
        <v>134</v>
      </c>
      <c r="J3" s="2"/>
      <c r="K3" s="2"/>
      <c r="L3" s="2"/>
    </row>
    <row r="4" spans="1:12" x14ac:dyDescent="0.35">
      <c r="A4" s="78" t="s">
        <v>109</v>
      </c>
      <c r="B4" s="13"/>
      <c r="C4" s="13"/>
      <c r="D4" s="13"/>
      <c r="E4" s="13"/>
      <c r="F4" s="13"/>
      <c r="G4" s="13"/>
      <c r="H4" s="13"/>
      <c r="I4" s="14"/>
      <c r="J4" s="2"/>
      <c r="K4" s="151" t="s">
        <v>53</v>
      </c>
      <c r="L4" s="151"/>
    </row>
    <row r="5" spans="1:12" ht="15.5" x14ac:dyDescent="0.35">
      <c r="A5" s="59" t="s">
        <v>111</v>
      </c>
      <c r="B5" s="13">
        <v>8</v>
      </c>
      <c r="C5" s="13">
        <v>1</v>
      </c>
      <c r="D5" s="13">
        <f t="shared" ref="D5:D12" si="0">B5*C5</f>
        <v>8</v>
      </c>
      <c r="E5" s="13">
        <f>'Table 1'!E8</f>
        <v>1</v>
      </c>
      <c r="F5" s="13">
        <f t="shared" ref="F5:F12" si="1">D5*E5</f>
        <v>8</v>
      </c>
      <c r="G5" s="13">
        <f t="shared" ref="G5:G12" si="2">F5*0.05</f>
        <v>0.4</v>
      </c>
      <c r="H5" s="13">
        <f t="shared" ref="H5:H12" si="3">F5*0.1</f>
        <v>0.8</v>
      </c>
      <c r="I5" s="14">
        <f>F5*$L$6+G5*$L$5+H5*$L$7</f>
        <v>459.64</v>
      </c>
      <c r="J5" s="2"/>
      <c r="K5" s="79" t="s">
        <v>54</v>
      </c>
      <c r="L5" s="44">
        <v>69.040000000000006</v>
      </c>
    </row>
    <row r="6" spans="1:12" ht="15.5" x14ac:dyDescent="0.35">
      <c r="A6" s="59" t="s">
        <v>113</v>
      </c>
      <c r="B6" s="13">
        <v>2</v>
      </c>
      <c r="C6" s="13">
        <v>1</v>
      </c>
      <c r="D6" s="13">
        <f t="shared" si="0"/>
        <v>2</v>
      </c>
      <c r="E6" s="13">
        <f>'Table 1'!E9</f>
        <v>1</v>
      </c>
      <c r="F6" s="13">
        <f t="shared" si="1"/>
        <v>2</v>
      </c>
      <c r="G6" s="13">
        <f t="shared" si="2"/>
        <v>0.1</v>
      </c>
      <c r="H6" s="13">
        <f t="shared" si="3"/>
        <v>0.2</v>
      </c>
      <c r="I6" s="80">
        <f>F6*$L$6+G6*$L$5+H6*$L$7</f>
        <v>114.91</v>
      </c>
      <c r="J6" s="2"/>
      <c r="K6" s="79" t="s">
        <v>55</v>
      </c>
      <c r="L6" s="44">
        <v>51.23</v>
      </c>
    </row>
    <row r="7" spans="1:12" ht="15.5" x14ac:dyDescent="0.35">
      <c r="A7" s="59" t="s">
        <v>112</v>
      </c>
      <c r="B7" s="13">
        <v>10</v>
      </c>
      <c r="C7" s="13">
        <v>1</v>
      </c>
      <c r="D7" s="13">
        <f t="shared" si="0"/>
        <v>10</v>
      </c>
      <c r="E7" s="13">
        <f>'Table 1'!E10</f>
        <v>1</v>
      </c>
      <c r="F7" s="13">
        <f t="shared" si="1"/>
        <v>10</v>
      </c>
      <c r="G7" s="13">
        <f t="shared" si="2"/>
        <v>0.5</v>
      </c>
      <c r="H7" s="13">
        <f t="shared" si="3"/>
        <v>1</v>
      </c>
      <c r="I7" s="14">
        <f>F7*$L$6+G7*$L$5+H7*$L$7</f>
        <v>574.54999999999995</v>
      </c>
      <c r="J7" s="2"/>
      <c r="K7" s="79" t="s">
        <v>56</v>
      </c>
      <c r="L7" s="44">
        <v>27.73</v>
      </c>
    </row>
    <row r="8" spans="1:12" ht="28.5" x14ac:dyDescent="0.35">
      <c r="A8" s="59" t="s">
        <v>145</v>
      </c>
      <c r="B8" s="13">
        <v>10</v>
      </c>
      <c r="C8" s="13">
        <v>1</v>
      </c>
      <c r="D8" s="13">
        <f t="shared" si="0"/>
        <v>10</v>
      </c>
      <c r="E8" s="13">
        <f>'Table 1'!E12</f>
        <v>1</v>
      </c>
      <c r="F8" s="13">
        <f t="shared" ref="F8:F11" si="4">D8*E8</f>
        <v>10</v>
      </c>
      <c r="G8" s="13">
        <f t="shared" ref="G8:G11" si="5">F8*0.05</f>
        <v>0.5</v>
      </c>
      <c r="H8" s="13">
        <f t="shared" ref="H8:H11" si="6">F8*0.1</f>
        <v>1</v>
      </c>
      <c r="I8" s="14">
        <f>F8*$L$6+G8*$L$5+H8*$L$7</f>
        <v>574.54999999999995</v>
      </c>
      <c r="J8" s="81"/>
      <c r="K8" s="81"/>
      <c r="L8" s="2"/>
    </row>
    <row r="9" spans="1:12" ht="19.5" customHeight="1" x14ac:dyDescent="0.35">
      <c r="A9" s="53" t="s">
        <v>110</v>
      </c>
      <c r="B9" s="13"/>
      <c r="C9" s="13"/>
      <c r="D9" s="13"/>
      <c r="E9" s="13"/>
      <c r="F9" s="13"/>
      <c r="G9" s="13"/>
      <c r="H9" s="13"/>
      <c r="I9" s="14"/>
      <c r="J9" s="81"/>
      <c r="K9" s="81"/>
      <c r="L9" s="5"/>
    </row>
    <row r="10" spans="1:12" ht="28.5" x14ac:dyDescent="0.35">
      <c r="A10" s="59" t="s">
        <v>115</v>
      </c>
      <c r="B10" s="13">
        <v>4</v>
      </c>
      <c r="C10" s="13">
        <v>1</v>
      </c>
      <c r="D10" s="13">
        <f t="shared" si="0"/>
        <v>4</v>
      </c>
      <c r="E10" s="13">
        <f>'Table 1'!E14</f>
        <v>21</v>
      </c>
      <c r="F10" s="106">
        <f t="shared" si="4"/>
        <v>84</v>
      </c>
      <c r="G10" s="103">
        <f t="shared" si="5"/>
        <v>4.2</v>
      </c>
      <c r="H10" s="106">
        <f t="shared" si="6"/>
        <v>8.4</v>
      </c>
      <c r="I10" s="14">
        <f>F10*$L$6+G10*$L$5+H10*$L$7</f>
        <v>4826.2199999999993</v>
      </c>
      <c r="J10" s="83"/>
      <c r="K10" s="83"/>
      <c r="L10" s="84"/>
    </row>
    <row r="11" spans="1:12" ht="28.5" x14ac:dyDescent="0.35">
      <c r="A11" s="59" t="s">
        <v>116</v>
      </c>
      <c r="B11" s="13">
        <v>10</v>
      </c>
      <c r="C11" s="13">
        <v>1</v>
      </c>
      <c r="D11" s="13">
        <f t="shared" si="0"/>
        <v>10</v>
      </c>
      <c r="E11" s="13">
        <f>'Table 1'!E14</f>
        <v>21</v>
      </c>
      <c r="F11" s="13">
        <f t="shared" si="4"/>
        <v>210</v>
      </c>
      <c r="G11" s="13">
        <f t="shared" si="5"/>
        <v>10.5</v>
      </c>
      <c r="H11" s="13">
        <f t="shared" si="6"/>
        <v>21</v>
      </c>
      <c r="I11" s="14">
        <f>F11*$L$6+G11*$L$5+H11*$L$7</f>
        <v>12065.55</v>
      </c>
      <c r="J11" s="2"/>
      <c r="K11" s="2"/>
      <c r="L11" s="2"/>
    </row>
    <row r="12" spans="1:12" ht="15.5" x14ac:dyDescent="0.35">
      <c r="A12" s="53" t="s">
        <v>118</v>
      </c>
      <c r="B12" s="13">
        <v>15</v>
      </c>
      <c r="C12" s="13">
        <f>'Table 1'!C19</f>
        <v>2</v>
      </c>
      <c r="D12" s="13">
        <f t="shared" si="0"/>
        <v>30</v>
      </c>
      <c r="E12" s="13">
        <f>'Table 1'!E19</f>
        <v>171</v>
      </c>
      <c r="F12" s="105">
        <f t="shared" si="1"/>
        <v>5130</v>
      </c>
      <c r="G12" s="106">
        <f t="shared" si="2"/>
        <v>256.5</v>
      </c>
      <c r="H12" s="13">
        <f t="shared" si="3"/>
        <v>513</v>
      </c>
      <c r="I12" s="14">
        <f>F12*$L$6+G12*$L$5+H12*$L$7</f>
        <v>294744.14999999997</v>
      </c>
      <c r="J12" s="2"/>
      <c r="K12" s="2"/>
      <c r="L12" s="2"/>
    </row>
    <row r="13" spans="1:12" ht="15" customHeight="1" x14ac:dyDescent="0.35">
      <c r="A13" s="82" t="s">
        <v>119</v>
      </c>
      <c r="B13" s="152"/>
      <c r="C13" s="152"/>
      <c r="D13" s="152"/>
      <c r="E13" s="152"/>
      <c r="F13" s="153">
        <f>ROUND(SUM(F4:H12), -1)</f>
        <v>6270</v>
      </c>
      <c r="G13" s="153"/>
      <c r="H13" s="153"/>
      <c r="I13" s="128">
        <f>ROUND(SUM(I4:I12), -3)</f>
        <v>313000</v>
      </c>
      <c r="J13" s="2"/>
      <c r="K13" s="2"/>
      <c r="L13" s="2"/>
    </row>
    <row r="14" spans="1:12" ht="9.75" customHeight="1" x14ac:dyDescent="0.35">
      <c r="A14" s="156"/>
      <c r="B14" s="156"/>
      <c r="C14" s="156"/>
      <c r="D14" s="156"/>
      <c r="E14" s="156"/>
      <c r="F14" s="156"/>
      <c r="G14" s="156"/>
      <c r="H14" s="156"/>
      <c r="I14" s="156"/>
      <c r="J14" s="2"/>
      <c r="K14" s="2"/>
      <c r="L14" s="2"/>
    </row>
    <row r="15" spans="1:12" ht="18.75" customHeight="1" x14ac:dyDescent="0.35">
      <c r="A15" s="155" t="s">
        <v>5</v>
      </c>
      <c r="B15" s="155"/>
      <c r="C15" s="155"/>
      <c r="D15" s="155"/>
      <c r="E15" s="155"/>
      <c r="F15" s="155"/>
      <c r="G15" s="155"/>
      <c r="H15" s="155"/>
      <c r="I15" s="155"/>
      <c r="J15" s="2"/>
      <c r="K15" s="2"/>
      <c r="L15" s="2"/>
    </row>
    <row r="16" spans="1:12" ht="32.25" customHeight="1" x14ac:dyDescent="0.35">
      <c r="A16" s="154" t="s">
        <v>108</v>
      </c>
      <c r="B16" s="154"/>
      <c r="C16" s="154"/>
      <c r="D16" s="154"/>
      <c r="E16" s="154"/>
      <c r="F16" s="154"/>
      <c r="G16" s="154"/>
      <c r="H16" s="154"/>
      <c r="I16" s="154"/>
      <c r="J16" s="2"/>
      <c r="K16" s="2"/>
      <c r="L16" s="2"/>
    </row>
    <row r="17" spans="1:12" ht="60.75" customHeight="1" x14ac:dyDescent="0.35">
      <c r="A17" s="154" t="s">
        <v>57</v>
      </c>
      <c r="B17" s="154"/>
      <c r="C17" s="154"/>
      <c r="D17" s="154"/>
      <c r="E17" s="154"/>
      <c r="F17" s="154"/>
      <c r="G17" s="154"/>
      <c r="H17" s="154"/>
      <c r="I17" s="154"/>
      <c r="J17" s="2"/>
      <c r="K17" s="2"/>
      <c r="L17" s="2"/>
    </row>
    <row r="18" spans="1:12" ht="33.75" customHeight="1" x14ac:dyDescent="0.35">
      <c r="A18" s="150" t="s">
        <v>114</v>
      </c>
      <c r="B18" s="149"/>
      <c r="C18" s="149"/>
      <c r="D18" s="149"/>
      <c r="E18" s="149"/>
      <c r="F18" s="149"/>
      <c r="G18" s="149"/>
      <c r="H18" s="149"/>
      <c r="I18" s="149"/>
      <c r="J18" s="2"/>
      <c r="K18" s="2"/>
      <c r="L18" s="2"/>
    </row>
    <row r="19" spans="1:12" x14ac:dyDescent="0.35">
      <c r="A19" s="150" t="s">
        <v>140</v>
      </c>
      <c r="B19" s="149"/>
      <c r="C19" s="149"/>
      <c r="D19" s="149"/>
      <c r="E19" s="149"/>
      <c r="F19" s="149"/>
      <c r="G19" s="149"/>
      <c r="H19" s="149"/>
      <c r="I19" s="149"/>
      <c r="J19" s="2"/>
      <c r="K19" s="2"/>
      <c r="L19" s="2"/>
    </row>
    <row r="20" spans="1:12" ht="33" customHeight="1" x14ac:dyDescent="0.35">
      <c r="A20" s="150" t="s">
        <v>137</v>
      </c>
      <c r="B20" s="149"/>
      <c r="C20" s="149"/>
      <c r="D20" s="149"/>
      <c r="E20" s="149"/>
      <c r="F20" s="149"/>
      <c r="G20" s="149"/>
      <c r="H20" s="149"/>
      <c r="I20" s="149"/>
      <c r="J20" s="2"/>
      <c r="K20" s="2"/>
      <c r="L20" s="2"/>
    </row>
    <row r="21" spans="1:12" x14ac:dyDescent="0.35">
      <c r="A21" s="150" t="s">
        <v>117</v>
      </c>
      <c r="B21" s="149"/>
      <c r="C21" s="149"/>
      <c r="D21" s="149"/>
      <c r="E21" s="149"/>
      <c r="F21" s="149"/>
      <c r="G21" s="149"/>
      <c r="H21" s="149"/>
      <c r="I21" s="149"/>
      <c r="J21" s="2"/>
      <c r="K21" s="2"/>
      <c r="L21" s="2"/>
    </row>
    <row r="22" spans="1:12" x14ac:dyDescent="0.35">
      <c r="A22" s="148" t="s">
        <v>120</v>
      </c>
      <c r="B22" s="149"/>
      <c r="C22" s="149"/>
      <c r="D22" s="149"/>
      <c r="E22" s="149"/>
      <c r="F22" s="149"/>
      <c r="G22" s="149"/>
      <c r="H22" s="149"/>
      <c r="I22" s="149"/>
      <c r="J22" s="2"/>
      <c r="K22" s="2"/>
      <c r="L22" s="2"/>
    </row>
    <row r="23" spans="1:12" x14ac:dyDescent="0.35">
      <c r="A23" s="148" t="s">
        <v>52</v>
      </c>
      <c r="B23" s="149"/>
      <c r="C23" s="149"/>
      <c r="D23" s="149"/>
      <c r="E23" s="149"/>
      <c r="F23" s="149"/>
      <c r="G23" s="149"/>
      <c r="H23" s="149"/>
      <c r="I23" s="149"/>
      <c r="J23" s="2"/>
      <c r="K23" s="2"/>
      <c r="L23" s="2"/>
    </row>
    <row r="24" spans="1:12" x14ac:dyDescent="0.35">
      <c r="A24" s="2"/>
      <c r="B24" s="2"/>
      <c r="C24" s="2"/>
      <c r="D24" s="2"/>
      <c r="E24" s="2"/>
      <c r="F24" s="2"/>
      <c r="G24" s="2"/>
      <c r="H24" s="2"/>
      <c r="I24" s="2"/>
      <c r="J24" s="2"/>
      <c r="K24" s="2"/>
      <c r="L24" s="2"/>
    </row>
    <row r="25" spans="1:12" x14ac:dyDescent="0.35">
      <c r="A25" s="2"/>
      <c r="B25" s="2"/>
      <c r="C25" s="2"/>
      <c r="D25" s="2"/>
      <c r="E25" s="2"/>
      <c r="F25" s="2"/>
      <c r="G25" s="2"/>
      <c r="H25" s="2"/>
      <c r="I25" s="2"/>
      <c r="J25" s="2"/>
      <c r="K25" s="2"/>
      <c r="L25" s="2"/>
    </row>
    <row r="26" spans="1:12" x14ac:dyDescent="0.35">
      <c r="A26" s="2"/>
      <c r="B26" s="2"/>
      <c r="C26" s="2"/>
      <c r="D26" s="2"/>
      <c r="E26" s="2"/>
      <c r="F26" s="2"/>
      <c r="G26" s="2"/>
      <c r="H26" s="2"/>
      <c r="I26" s="2"/>
      <c r="J26" s="2"/>
      <c r="K26" s="2"/>
      <c r="L26" s="2"/>
    </row>
    <row r="27" spans="1:12" x14ac:dyDescent="0.35">
      <c r="A27" s="2"/>
      <c r="B27" s="2"/>
      <c r="C27" s="2"/>
      <c r="D27" s="2"/>
      <c r="E27" s="2"/>
      <c r="F27" s="2"/>
      <c r="G27" s="2"/>
      <c r="H27" s="2"/>
      <c r="I27" s="2"/>
      <c r="J27" s="2"/>
      <c r="K27" s="2"/>
      <c r="L27" s="2"/>
    </row>
    <row r="28" spans="1:12" x14ac:dyDescent="0.35">
      <c r="A28" s="2"/>
      <c r="B28" s="2"/>
      <c r="C28" s="2"/>
      <c r="D28" s="2"/>
      <c r="E28" s="2"/>
      <c r="F28" s="2"/>
      <c r="G28" s="2"/>
      <c r="H28" s="2"/>
      <c r="I28" s="2"/>
      <c r="J28" s="2"/>
      <c r="K28" s="2"/>
      <c r="L28" s="2"/>
    </row>
    <row r="29" spans="1:12" x14ac:dyDescent="0.35">
      <c r="A29" s="2"/>
      <c r="B29" s="2"/>
      <c r="C29" s="2"/>
      <c r="D29" s="2"/>
      <c r="E29" s="2"/>
      <c r="F29" s="2"/>
      <c r="G29" s="2"/>
      <c r="H29" s="2"/>
      <c r="I29" s="2"/>
      <c r="J29" s="2"/>
      <c r="K29" s="2"/>
      <c r="L29" s="2"/>
    </row>
    <row r="30" spans="1:12" x14ac:dyDescent="0.35">
      <c r="A30" s="2"/>
      <c r="B30" s="2"/>
      <c r="C30" s="2"/>
      <c r="D30" s="2"/>
      <c r="E30" s="2"/>
      <c r="F30" s="2"/>
      <c r="G30" s="2"/>
      <c r="H30" s="2"/>
      <c r="I30" s="2"/>
      <c r="J30" s="2"/>
      <c r="K30" s="2"/>
      <c r="L30" s="2"/>
    </row>
    <row r="31" spans="1:12" x14ac:dyDescent="0.35">
      <c r="A31" s="2"/>
      <c r="B31" s="2"/>
      <c r="C31" s="2"/>
      <c r="D31" s="2"/>
      <c r="E31" s="2"/>
      <c r="F31" s="2"/>
      <c r="G31" s="2"/>
      <c r="H31" s="2"/>
      <c r="I31" s="2"/>
      <c r="J31" s="2"/>
      <c r="K31" s="2"/>
      <c r="L31" s="2"/>
    </row>
    <row r="32" spans="1:12" x14ac:dyDescent="0.35">
      <c r="A32" s="2"/>
      <c r="B32" s="2"/>
      <c r="C32" s="2"/>
      <c r="D32" s="2"/>
      <c r="E32" s="2"/>
      <c r="F32" s="2"/>
      <c r="G32" s="2"/>
      <c r="H32" s="2"/>
      <c r="I32" s="2"/>
      <c r="J32" s="2"/>
      <c r="K32" s="2"/>
      <c r="L32" s="2"/>
    </row>
    <row r="33" spans="1:12" x14ac:dyDescent="0.35">
      <c r="A33" s="2"/>
      <c r="B33" s="2"/>
      <c r="C33" s="2"/>
      <c r="D33" s="2"/>
      <c r="E33" s="2"/>
      <c r="F33" s="2"/>
      <c r="G33" s="2"/>
      <c r="H33" s="2"/>
      <c r="I33" s="2"/>
      <c r="J33" s="2"/>
      <c r="K33" s="2"/>
      <c r="L33" s="2"/>
    </row>
  </sheetData>
  <mergeCells count="13">
    <mergeCell ref="K4:L4"/>
    <mergeCell ref="A23:I23"/>
    <mergeCell ref="B13:E13"/>
    <mergeCell ref="A20:I20"/>
    <mergeCell ref="A21:I21"/>
    <mergeCell ref="A22:I22"/>
    <mergeCell ref="F13:H13"/>
    <mergeCell ref="A16:I16"/>
    <mergeCell ref="A17:I17"/>
    <mergeCell ref="A19:I19"/>
    <mergeCell ref="A18:I18"/>
    <mergeCell ref="A15:I15"/>
    <mergeCell ref="A14:I14"/>
  </mergeCells>
  <pageMargins left="0.7" right="0.7" top="0.75" bottom="0.75" header="0.3" footer="0.3"/>
  <pageSetup orientation="portrait" horizontalDpi="4294967293"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B3E3CA-182B-4F98-B2D0-1BA8517B03CE}">
  <dimension ref="A1:I43"/>
  <sheetViews>
    <sheetView zoomScaleNormal="100" workbookViewId="0">
      <selection activeCell="A42" sqref="A42:G42"/>
    </sheetView>
  </sheetViews>
  <sheetFormatPr defaultColWidth="22" defaultRowHeight="13" x14ac:dyDescent="0.3"/>
  <cols>
    <col min="1" max="1" width="22" style="24"/>
    <col min="2" max="2" width="17.54296875" style="24" customWidth="1"/>
    <col min="3" max="3" width="17.26953125" style="24" customWidth="1"/>
    <col min="4" max="4" width="22" style="24"/>
    <col min="5" max="5" width="19.81640625" style="24" customWidth="1"/>
    <col min="6" max="7" width="16.81640625" style="24" customWidth="1"/>
    <col min="8" max="8" width="6" style="24" customWidth="1"/>
    <col min="9" max="16384" width="22" style="24"/>
  </cols>
  <sheetData>
    <row r="1" spans="1:8" x14ac:dyDescent="0.3">
      <c r="A1" s="158"/>
      <c r="B1" s="158"/>
      <c r="C1" s="158"/>
      <c r="D1" s="158"/>
      <c r="E1" s="158"/>
      <c r="F1" s="158"/>
      <c r="G1" s="23"/>
      <c r="H1" s="23"/>
    </row>
    <row r="2" spans="1:8" ht="15" x14ac:dyDescent="0.3">
      <c r="A2" s="157" t="s">
        <v>7</v>
      </c>
      <c r="B2" s="157"/>
      <c r="C2" s="157"/>
      <c r="D2" s="157"/>
      <c r="E2" s="157"/>
      <c r="F2" s="157"/>
    </row>
    <row r="3" spans="1:8" ht="26" x14ac:dyDescent="0.3">
      <c r="A3" s="40"/>
      <c r="B3" s="159" t="s">
        <v>8</v>
      </c>
      <c r="C3" s="159"/>
      <c r="D3" s="40" t="s">
        <v>9</v>
      </c>
      <c r="E3" s="159"/>
      <c r="F3" s="159"/>
    </row>
    <row r="4" spans="1:8" x14ac:dyDescent="0.3">
      <c r="A4" s="40"/>
      <c r="B4" s="41" t="s">
        <v>11</v>
      </c>
      <c r="C4" s="41" t="s">
        <v>12</v>
      </c>
      <c r="D4" s="41" t="s">
        <v>14</v>
      </c>
      <c r="E4" s="41" t="s">
        <v>2</v>
      </c>
      <c r="F4" s="41" t="s">
        <v>17</v>
      </c>
    </row>
    <row r="5" spans="1:8" ht="52" x14ac:dyDescent="0.3">
      <c r="A5" s="41" t="s">
        <v>10</v>
      </c>
      <c r="B5" s="40" t="s">
        <v>82</v>
      </c>
      <c r="C5" s="40" t="s">
        <v>13</v>
      </c>
      <c r="D5" s="40" t="s">
        <v>15</v>
      </c>
      <c r="E5" s="40" t="s">
        <v>16</v>
      </c>
      <c r="F5" s="40" t="s">
        <v>30</v>
      </c>
    </row>
    <row r="6" spans="1:8" x14ac:dyDescent="0.3">
      <c r="A6" s="25">
        <v>1</v>
      </c>
      <c r="B6" s="30">
        <v>1</v>
      </c>
      <c r="C6" s="30">
        <v>169</v>
      </c>
      <c r="D6" s="30">
        <v>0</v>
      </c>
      <c r="E6" s="30">
        <v>0</v>
      </c>
      <c r="F6" s="30">
        <f>B6+C6+D6-E6</f>
        <v>170</v>
      </c>
    </row>
    <row r="7" spans="1:8" x14ac:dyDescent="0.3">
      <c r="A7" s="25">
        <v>2</v>
      </c>
      <c r="B7" s="30">
        <v>1</v>
      </c>
      <c r="C7" s="30">
        <v>170</v>
      </c>
      <c r="D7" s="30">
        <v>0</v>
      </c>
      <c r="E7" s="30">
        <v>0</v>
      </c>
      <c r="F7" s="30">
        <f t="shared" ref="F7:F8" si="0">B7+C7+D7-E7</f>
        <v>171</v>
      </c>
    </row>
    <row r="8" spans="1:8" x14ac:dyDescent="0.3">
      <c r="A8" s="25">
        <v>3</v>
      </c>
      <c r="B8" s="30">
        <v>1</v>
      </c>
      <c r="C8" s="30">
        <v>171</v>
      </c>
      <c r="D8" s="30">
        <v>0</v>
      </c>
      <c r="E8" s="30">
        <v>0</v>
      </c>
      <c r="F8" s="30">
        <f t="shared" si="0"/>
        <v>172</v>
      </c>
    </row>
    <row r="9" spans="1:8" x14ac:dyDescent="0.3">
      <c r="A9" s="25" t="s">
        <v>18</v>
      </c>
      <c r="B9" s="30">
        <f t="shared" ref="B9:C9" si="1">AVERAGE(B6:B8)</f>
        <v>1</v>
      </c>
      <c r="C9" s="30">
        <f t="shared" si="1"/>
        <v>170</v>
      </c>
      <c r="D9" s="30">
        <v>0</v>
      </c>
      <c r="E9" s="30">
        <v>0</v>
      </c>
      <c r="F9" s="112">
        <f>AVERAGE(F6:F8)</f>
        <v>171</v>
      </c>
    </row>
    <row r="10" spans="1:8" ht="15.5" x14ac:dyDescent="0.3">
      <c r="A10" s="27" t="s">
        <v>83</v>
      </c>
    </row>
    <row r="11" spans="1:8" x14ac:dyDescent="0.3">
      <c r="A11" s="28"/>
      <c r="B11" s="29"/>
      <c r="C11" s="29"/>
      <c r="D11" s="29"/>
      <c r="E11" s="29"/>
      <c r="F11" s="29"/>
    </row>
    <row r="12" spans="1:8" ht="15" x14ac:dyDescent="0.3">
      <c r="A12" s="157" t="s">
        <v>19</v>
      </c>
      <c r="B12" s="157"/>
      <c r="C12" s="157"/>
      <c r="D12" s="157"/>
      <c r="E12" s="157"/>
    </row>
    <row r="13" spans="1:8" x14ac:dyDescent="0.3">
      <c r="A13" s="117" t="s">
        <v>11</v>
      </c>
      <c r="B13" s="117" t="s">
        <v>12</v>
      </c>
      <c r="C13" s="117" t="s">
        <v>14</v>
      </c>
      <c r="D13" s="117" t="s">
        <v>2</v>
      </c>
      <c r="E13" s="117" t="s">
        <v>17</v>
      </c>
    </row>
    <row r="14" spans="1:8" ht="52" x14ac:dyDescent="0.3">
      <c r="A14" s="117" t="s">
        <v>20</v>
      </c>
      <c r="B14" s="117" t="s">
        <v>128</v>
      </c>
      <c r="C14" s="117" t="s">
        <v>21</v>
      </c>
      <c r="D14" s="117" t="s">
        <v>22</v>
      </c>
      <c r="E14" s="117" t="s">
        <v>29</v>
      </c>
    </row>
    <row r="15" spans="1:8" ht="17.25" customHeight="1" x14ac:dyDescent="0.3">
      <c r="A15" s="53" t="s">
        <v>23</v>
      </c>
      <c r="B15" s="30">
        <v>1</v>
      </c>
      <c r="C15" s="30">
        <f>'Table 1'!C8</f>
        <v>1</v>
      </c>
      <c r="D15" s="30">
        <v>0</v>
      </c>
      <c r="E15" s="30">
        <f>(B15*C15)+D15</f>
        <v>1</v>
      </c>
    </row>
    <row r="16" spans="1:8" ht="26" x14ac:dyDescent="0.3">
      <c r="A16" s="51" t="s">
        <v>24</v>
      </c>
      <c r="B16" s="30">
        <v>1</v>
      </c>
      <c r="C16" s="30">
        <f>'Table 1'!C9</f>
        <v>1</v>
      </c>
      <c r="D16" s="30">
        <v>0</v>
      </c>
      <c r="E16" s="30">
        <f t="shared" ref="E16:E23" si="2">(B16*C16)+D16</f>
        <v>1</v>
      </c>
    </row>
    <row r="17" spans="1:8" ht="26" x14ac:dyDescent="0.3">
      <c r="A17" s="51" t="s">
        <v>25</v>
      </c>
      <c r="B17" s="30">
        <v>1</v>
      </c>
      <c r="C17" s="30">
        <f>'Table 1'!C10</f>
        <v>1</v>
      </c>
      <c r="D17" s="30">
        <v>0</v>
      </c>
      <c r="E17" s="30">
        <f t="shared" si="2"/>
        <v>1</v>
      </c>
    </row>
    <row r="18" spans="1:8" x14ac:dyDescent="0.3">
      <c r="A18" s="51" t="s">
        <v>26</v>
      </c>
      <c r="B18" s="30">
        <v>1</v>
      </c>
      <c r="C18" s="30">
        <f>'Table 1'!C11</f>
        <v>1</v>
      </c>
      <c r="D18" s="30">
        <v>0</v>
      </c>
      <c r="E18" s="30">
        <f t="shared" si="2"/>
        <v>1</v>
      </c>
    </row>
    <row r="19" spans="1:8" ht="26" x14ac:dyDescent="0.3">
      <c r="A19" s="53" t="s">
        <v>142</v>
      </c>
      <c r="B19" s="30">
        <v>1</v>
      </c>
      <c r="C19" s="30">
        <v>1</v>
      </c>
      <c r="D19" s="30">
        <v>0</v>
      </c>
      <c r="E19" s="30">
        <f t="shared" si="2"/>
        <v>1</v>
      </c>
      <c r="F19" s="4"/>
    </row>
    <row r="20" spans="1:8" ht="28.5" customHeight="1" x14ac:dyDescent="0.3">
      <c r="A20" s="129" t="s">
        <v>63</v>
      </c>
      <c r="B20" s="63">
        <f>'Table 1'!E16</f>
        <v>21</v>
      </c>
      <c r="C20" s="30">
        <f>'Table 1'!C14</f>
        <v>1</v>
      </c>
      <c r="D20" s="30">
        <v>0</v>
      </c>
      <c r="E20" s="30">
        <f t="shared" si="2"/>
        <v>21</v>
      </c>
    </row>
    <row r="21" spans="1:8" ht="28.5" customHeight="1" x14ac:dyDescent="0.3">
      <c r="A21" s="129" t="s">
        <v>61</v>
      </c>
      <c r="B21" s="63">
        <f>'Table 1'!E17</f>
        <v>3</v>
      </c>
      <c r="C21" s="30">
        <f>'Table 1'!C17</f>
        <v>1</v>
      </c>
      <c r="D21" s="30">
        <v>0</v>
      </c>
      <c r="E21" s="30">
        <f t="shared" si="2"/>
        <v>3</v>
      </c>
    </row>
    <row r="22" spans="1:8" ht="28.5" customHeight="1" x14ac:dyDescent="0.3">
      <c r="A22" s="129" t="s">
        <v>144</v>
      </c>
      <c r="B22" s="125">
        <f>B20</f>
        <v>21</v>
      </c>
      <c r="C22" s="30">
        <f>'Table 1'!C16</f>
        <v>1</v>
      </c>
      <c r="D22" s="30">
        <v>0</v>
      </c>
      <c r="E22" s="30">
        <f t="shared" si="2"/>
        <v>21</v>
      </c>
    </row>
    <row r="23" spans="1:8" ht="29.25" customHeight="1" x14ac:dyDescent="0.3">
      <c r="A23" s="51" t="s">
        <v>27</v>
      </c>
      <c r="B23" s="30">
        <f>'Table 1'!E19</f>
        <v>171</v>
      </c>
      <c r="C23" s="30">
        <f>'Table 1'!C19</f>
        <v>2</v>
      </c>
      <c r="D23" s="30">
        <v>0</v>
      </c>
      <c r="E23" s="30">
        <f t="shared" si="2"/>
        <v>342</v>
      </c>
    </row>
    <row r="24" spans="1:8" x14ac:dyDescent="0.3">
      <c r="A24" s="31"/>
      <c r="B24" s="30"/>
      <c r="C24" s="30"/>
      <c r="D24" s="112" t="s">
        <v>28</v>
      </c>
      <c r="E24" s="113">
        <f>SUM(E15:E23)</f>
        <v>392</v>
      </c>
    </row>
    <row r="25" spans="1:8" ht="9.75" customHeight="1" x14ac:dyDescent="0.3">
      <c r="A25" s="118"/>
      <c r="B25" s="119"/>
      <c r="C25" s="119"/>
      <c r="D25" s="120"/>
      <c r="E25" s="121"/>
    </row>
    <row r="26" spans="1:8" ht="18" customHeight="1" x14ac:dyDescent="0.3">
      <c r="A26" s="165" t="s">
        <v>138</v>
      </c>
      <c r="B26" s="165"/>
      <c r="C26" s="165"/>
      <c r="D26" s="165"/>
      <c r="E26" s="165"/>
    </row>
    <row r="27" spans="1:8" ht="52.5" customHeight="1" x14ac:dyDescent="0.3">
      <c r="A27" s="165"/>
      <c r="B27" s="165"/>
      <c r="C27" s="165"/>
      <c r="D27" s="165"/>
      <c r="E27" s="165"/>
    </row>
    <row r="28" spans="1:8" ht="34.5" customHeight="1" x14ac:dyDescent="0.3">
      <c r="A28" s="166" t="s">
        <v>143</v>
      </c>
      <c r="B28" s="166"/>
      <c r="C28" s="166"/>
      <c r="D28" s="166"/>
      <c r="E28" s="166"/>
    </row>
    <row r="29" spans="1:8" x14ac:dyDescent="0.3">
      <c r="A29" s="7"/>
      <c r="B29" s="8"/>
      <c r="C29" s="8"/>
    </row>
    <row r="30" spans="1:8" x14ac:dyDescent="0.3">
      <c r="A30" s="163" t="s">
        <v>60</v>
      </c>
      <c r="B30" s="163"/>
      <c r="C30" s="163"/>
      <c r="D30" s="163"/>
      <c r="E30" s="163"/>
      <c r="F30" s="163"/>
      <c r="G30" s="164"/>
      <c r="H30" s="36"/>
    </row>
    <row r="31" spans="1:8" x14ac:dyDescent="0.3">
      <c r="A31" s="32" t="s">
        <v>11</v>
      </c>
      <c r="B31" s="32" t="s">
        <v>12</v>
      </c>
      <c r="C31" s="32" t="s">
        <v>14</v>
      </c>
      <c r="D31" s="32" t="s">
        <v>2</v>
      </c>
      <c r="E31" s="32" t="s">
        <v>17</v>
      </c>
      <c r="F31" s="32" t="s">
        <v>46</v>
      </c>
      <c r="G31" s="32" t="s">
        <v>47</v>
      </c>
      <c r="H31" s="36"/>
    </row>
    <row r="32" spans="1:8" ht="46.5" customHeight="1" x14ac:dyDescent="0.3">
      <c r="A32" s="32" t="s">
        <v>42</v>
      </c>
      <c r="B32" s="32" t="s">
        <v>43</v>
      </c>
      <c r="C32" s="32" t="s">
        <v>94</v>
      </c>
      <c r="D32" s="32" t="s">
        <v>44</v>
      </c>
      <c r="E32" s="32" t="s">
        <v>45</v>
      </c>
      <c r="F32" s="32" t="s">
        <v>126</v>
      </c>
      <c r="G32" s="32" t="s">
        <v>49</v>
      </c>
      <c r="H32" s="36"/>
    </row>
    <row r="33" spans="1:9" ht="36.75" customHeight="1" x14ac:dyDescent="0.3">
      <c r="A33" s="46" t="s">
        <v>62</v>
      </c>
      <c r="B33" s="47">
        <v>28000</v>
      </c>
      <c r="C33" s="123">
        <v>1</v>
      </c>
      <c r="D33" s="33">
        <f>B33*C33</f>
        <v>28000</v>
      </c>
      <c r="E33" s="49"/>
      <c r="F33" s="49"/>
      <c r="G33" s="49"/>
      <c r="H33" s="37"/>
    </row>
    <row r="34" spans="1:9" ht="36.75" customHeight="1" x14ac:dyDescent="0.3">
      <c r="A34" s="31" t="s">
        <v>64</v>
      </c>
      <c r="B34" s="33">
        <v>10000</v>
      </c>
      <c r="C34" s="30">
        <v>1</v>
      </c>
      <c r="D34" s="33">
        <f>B34*C34</f>
        <v>10000</v>
      </c>
      <c r="E34" s="33">
        <v>25</v>
      </c>
      <c r="F34" s="26">
        <f>79+5</f>
        <v>84</v>
      </c>
      <c r="G34" s="33">
        <f>F34*E34</f>
        <v>2100</v>
      </c>
      <c r="H34" s="37"/>
    </row>
    <row r="35" spans="1:9" ht="36.75" customHeight="1" x14ac:dyDescent="0.3">
      <c r="A35" s="31" t="s">
        <v>48</v>
      </c>
      <c r="B35" s="33">
        <v>183500</v>
      </c>
      <c r="C35" s="30">
        <v>1</v>
      </c>
      <c r="D35" s="33">
        <f>B35*C35</f>
        <v>183500</v>
      </c>
      <c r="E35" s="33">
        <v>26700</v>
      </c>
      <c r="F35" s="26">
        <v>6</v>
      </c>
      <c r="G35" s="33">
        <f>F35*E35</f>
        <v>160200</v>
      </c>
      <c r="H35" s="38"/>
    </row>
    <row r="36" spans="1:9" ht="36.75" customHeight="1" x14ac:dyDescent="0.3">
      <c r="A36" s="54" t="s">
        <v>95</v>
      </c>
      <c r="B36" s="47">
        <v>28000</v>
      </c>
      <c r="C36" s="125">
        <f>'Table 1'!E14</f>
        <v>21</v>
      </c>
      <c r="D36" s="47">
        <f>C36*B36</f>
        <v>588000</v>
      </c>
      <c r="E36" s="42"/>
      <c r="F36" s="42"/>
      <c r="G36" s="42"/>
      <c r="H36" s="39"/>
    </row>
    <row r="37" spans="1:9" ht="36.75" customHeight="1" x14ac:dyDescent="0.3">
      <c r="A37" s="50" t="s">
        <v>81</v>
      </c>
      <c r="B37" s="47"/>
      <c r="C37" s="48"/>
      <c r="D37" s="47"/>
      <c r="E37" s="47">
        <v>1000</v>
      </c>
      <c r="F37" s="48">
        <v>3</v>
      </c>
      <c r="G37" s="47">
        <f>F37*E37</f>
        <v>3000</v>
      </c>
    </row>
    <row r="38" spans="1:9" ht="46.5" customHeight="1" x14ac:dyDescent="0.3">
      <c r="A38" s="34" t="s">
        <v>127</v>
      </c>
      <c r="B38" s="26"/>
      <c r="C38" s="26"/>
      <c r="D38" s="35">
        <f>ROUND(SUM(D33:D37), -3)</f>
        <v>810000</v>
      </c>
      <c r="E38" s="26"/>
      <c r="F38" s="26"/>
      <c r="G38" s="35">
        <f>ROUND(SUM(G34:G37), -3)</f>
        <v>165000</v>
      </c>
      <c r="I38" s="116">
        <f>D38+G38</f>
        <v>975000</v>
      </c>
    </row>
    <row r="39" spans="1:9" ht="11.25" customHeight="1" x14ac:dyDescent="0.3">
      <c r="A39" s="114"/>
      <c r="B39" s="115"/>
      <c r="C39" s="115"/>
      <c r="D39" s="38"/>
      <c r="E39" s="115"/>
      <c r="F39" s="115"/>
      <c r="G39" s="38"/>
    </row>
    <row r="40" spans="1:9" ht="66.75" customHeight="1" x14ac:dyDescent="0.3">
      <c r="A40" s="161" t="s">
        <v>146</v>
      </c>
      <c r="B40" s="162"/>
      <c r="C40" s="162"/>
      <c r="D40" s="162"/>
      <c r="E40" s="162"/>
      <c r="F40" s="162"/>
      <c r="G40" s="162"/>
    </row>
    <row r="41" spans="1:9" ht="59.25" customHeight="1" x14ac:dyDescent="0.3">
      <c r="A41" s="161" t="s">
        <v>124</v>
      </c>
      <c r="B41" s="162"/>
      <c r="C41" s="162"/>
      <c r="D41" s="162"/>
      <c r="E41" s="162"/>
      <c r="F41" s="162"/>
      <c r="G41" s="162"/>
    </row>
    <row r="42" spans="1:9" ht="22.5" customHeight="1" x14ac:dyDescent="0.3">
      <c r="A42" s="160" t="s">
        <v>125</v>
      </c>
      <c r="B42" s="160"/>
      <c r="C42" s="160"/>
      <c r="D42" s="160"/>
      <c r="E42" s="160"/>
      <c r="F42" s="160"/>
      <c r="G42" s="160"/>
    </row>
    <row r="43" spans="1:9" x14ac:dyDescent="0.3">
      <c r="A43" s="76"/>
      <c r="B43" s="76"/>
      <c r="C43" s="76"/>
      <c r="D43" s="76"/>
      <c r="E43" s="76"/>
      <c r="F43" s="76"/>
      <c r="G43" s="76"/>
    </row>
  </sheetData>
  <mergeCells count="11">
    <mergeCell ref="A42:G42"/>
    <mergeCell ref="A40:G40"/>
    <mergeCell ref="A30:G30"/>
    <mergeCell ref="A26:E27"/>
    <mergeCell ref="A28:E28"/>
    <mergeCell ref="A41:G41"/>
    <mergeCell ref="A12:E12"/>
    <mergeCell ref="A1:F1"/>
    <mergeCell ref="A2:F2"/>
    <mergeCell ref="B3:C3"/>
    <mergeCell ref="E3:F3"/>
  </mergeCells>
  <pageMargins left="0.7" right="0.7" top="0.75" bottom="0.75" header="0.3" footer="0.3"/>
  <pageSetup orientation="portrait" horizont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Table 1</vt:lpstr>
      <vt:lpstr>Table 2</vt:lpstr>
      <vt:lpstr>Capital O&amp;M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Denise Bevington</dc:creator>
  <cp:lastModifiedBy>Wrigley, William</cp:lastModifiedBy>
  <cp:lastPrinted>2021-09-22T14:57:54Z</cp:lastPrinted>
  <dcterms:created xsi:type="dcterms:W3CDTF">2018-07-19T14:57:42Z</dcterms:created>
  <dcterms:modified xsi:type="dcterms:W3CDTF">2022-02-14T15:58:30Z</dcterms:modified>
</cp:coreProperties>
</file>