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4136DD1-41CB-4490-9F2D-6829100AB804}" xr6:coauthVersionLast="46" xr6:coauthVersionMax="46" xr10:uidLastSave="{00000000-0000-0000-0000-000000000000}"/>
  <bookViews>
    <workbookView xWindow="-110" yWindow="-110" windowWidth="19420" windowHeight="10420" xr2:uid="{00000000-000D-0000-FFFF-FFFF00000000}"/>
  </bookViews>
  <sheets>
    <sheet name="# Respondents" sheetId="4" r:id="rId1"/>
    <sheet name="# Responses" sheetId="5" r:id="rId2"/>
    <sheet name="Respondent Burden" sheetId="1" r:id="rId3"/>
    <sheet name="Agency Burden" sheetId="3" r:id="rId4"/>
    <sheet name="Capital &amp; O&amp;M" sheetId="6" r:id="rId5"/>
  </sheets>
  <definedNames>
    <definedName name="OLE_LINK1" localSheetId="3">'Agency Burden'!#REF!</definedName>
    <definedName name="_xlnm.Print_Area" localSheetId="2">'Respondent Burden'!$B$1:$P$100</definedName>
    <definedName name="_xlnm.Print_Titles" localSheetId="2">'Respondent Burden'!$4:$5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5" l="1"/>
  <c r="J21" i="1"/>
  <c r="G37" i="1" l="1"/>
  <c r="J51" i="1"/>
  <c r="J37" i="1"/>
  <c r="F21" i="1"/>
  <c r="F22" i="1" l="1"/>
  <c r="M8" i="1"/>
  <c r="F68" i="1" l="1"/>
  <c r="D14" i="5"/>
  <c r="N31" i="3"/>
  <c r="D12" i="5" l="1"/>
  <c r="F23" i="1"/>
  <c r="N8" i="1" l="1"/>
  <c r="F9" i="1" l="1"/>
  <c r="C13" i="5"/>
  <c r="F12" i="5"/>
  <c r="C14" i="5"/>
  <c r="F14" i="5" s="1"/>
  <c r="F17" i="3" l="1"/>
  <c r="D17" i="3"/>
  <c r="E17" i="3" s="1"/>
  <c r="F53" i="1"/>
  <c r="F51" i="1"/>
  <c r="G17" i="3" l="1"/>
  <c r="H17" i="3" s="1"/>
  <c r="E24" i="1"/>
  <c r="G24" i="1" s="1"/>
  <c r="I17" i="3" l="1"/>
  <c r="J17" i="3" s="1"/>
  <c r="H24" i="1"/>
  <c r="I24" i="1"/>
  <c r="E100" i="1"/>
  <c r="D100" i="1"/>
  <c r="C100" i="1"/>
  <c r="D23" i="5"/>
  <c r="D24" i="5"/>
  <c r="D25" i="5"/>
  <c r="D26" i="5"/>
  <c r="D27" i="5"/>
  <c r="D22" i="5"/>
  <c r="C26" i="5"/>
  <c r="D18" i="5"/>
  <c r="D19" i="5"/>
  <c r="D20" i="5"/>
  <c r="D17" i="5"/>
  <c r="C20" i="5"/>
  <c r="D13" i="5"/>
  <c r="F13" i="5" s="1"/>
  <c r="D15" i="5"/>
  <c r="C10" i="5"/>
  <c r="F10" i="5" s="1"/>
  <c r="C9" i="5"/>
  <c r="F9" i="5" s="1"/>
  <c r="D6" i="5"/>
  <c r="D7" i="5"/>
  <c r="D5" i="5"/>
  <c r="F28" i="3"/>
  <c r="D25" i="3"/>
  <c r="D26" i="3"/>
  <c r="D27" i="3"/>
  <c r="D28" i="3"/>
  <c r="D29" i="3"/>
  <c r="D24" i="3"/>
  <c r="E24" i="3" s="1"/>
  <c r="F22" i="3"/>
  <c r="D22" i="3"/>
  <c r="E22" i="3" s="1"/>
  <c r="D20" i="3"/>
  <c r="E20" i="3" s="1"/>
  <c r="D21" i="3"/>
  <c r="E21" i="3" s="1"/>
  <c r="D19" i="3"/>
  <c r="E19" i="3" s="1"/>
  <c r="D15" i="3"/>
  <c r="E15" i="3" s="1"/>
  <c r="D16" i="3"/>
  <c r="E16" i="3" s="1"/>
  <c r="E14" i="3"/>
  <c r="D8" i="3"/>
  <c r="E8" i="3" s="1"/>
  <c r="D9" i="3"/>
  <c r="E9" i="3" s="1"/>
  <c r="D7" i="3"/>
  <c r="F8" i="3"/>
  <c r="F7" i="3"/>
  <c r="E55" i="1"/>
  <c r="G55" i="1" s="1"/>
  <c r="H55" i="1" s="1"/>
  <c r="E46" i="1"/>
  <c r="F46" i="1"/>
  <c r="E45" i="1"/>
  <c r="E36" i="1"/>
  <c r="F36" i="1"/>
  <c r="F29" i="3" s="1"/>
  <c r="E31" i="1"/>
  <c r="F31" i="1"/>
  <c r="C22" i="5" s="1"/>
  <c r="E29" i="1"/>
  <c r="G29" i="1" s="1"/>
  <c r="F26" i="1"/>
  <c r="F19" i="3" s="1"/>
  <c r="F15" i="1"/>
  <c r="F45" i="1" s="1"/>
  <c r="F14" i="1"/>
  <c r="C5" i="5" s="1"/>
  <c r="E15" i="1"/>
  <c r="E16" i="1"/>
  <c r="F16" i="1"/>
  <c r="C7" i="5" s="1"/>
  <c r="E10" i="4"/>
  <c r="F9" i="4"/>
  <c r="F8" i="4"/>
  <c r="F7" i="4"/>
  <c r="C8" i="4"/>
  <c r="C9" i="4"/>
  <c r="C7" i="4"/>
  <c r="D59" i="1"/>
  <c r="D53" i="1"/>
  <c r="E35" i="1"/>
  <c r="G35" i="1" s="1"/>
  <c r="G7" i="4" l="1"/>
  <c r="D8" i="4" s="1"/>
  <c r="C6" i="5"/>
  <c r="F6" i="5" s="1"/>
  <c r="F20" i="5"/>
  <c r="J24" i="1"/>
  <c r="F24" i="3"/>
  <c r="G24" i="3" s="1"/>
  <c r="I24" i="3" s="1"/>
  <c r="G19" i="3"/>
  <c r="H19" i="3" s="1"/>
  <c r="C27" i="5"/>
  <c r="F27" i="5" s="1"/>
  <c r="C17" i="5"/>
  <c r="F17" i="5" s="1"/>
  <c r="F9" i="3"/>
  <c r="G9" i="3" s="1"/>
  <c r="F26" i="5"/>
  <c r="F7" i="5"/>
  <c r="F5" i="5"/>
  <c r="G22" i="3"/>
  <c r="H22" i="3" s="1"/>
  <c r="G8" i="3"/>
  <c r="I8" i="3" s="1"/>
  <c r="G31" i="1"/>
  <c r="H31" i="1" s="1"/>
  <c r="G45" i="1"/>
  <c r="G46" i="1"/>
  <c r="H46" i="1" s="1"/>
  <c r="I55" i="1"/>
  <c r="J55" i="1" s="1"/>
  <c r="G36" i="1"/>
  <c r="H29" i="1"/>
  <c r="I29" i="1"/>
  <c r="G15" i="1"/>
  <c r="I15" i="1" s="1"/>
  <c r="G16" i="1"/>
  <c r="H16" i="1" s="1"/>
  <c r="C10" i="4"/>
  <c r="F10" i="4"/>
  <c r="H35" i="1"/>
  <c r="I35" i="1"/>
  <c r="E28" i="3"/>
  <c r="G28" i="3" s="1"/>
  <c r="E27" i="3"/>
  <c r="E26" i="3"/>
  <c r="E25" i="3"/>
  <c r="E29" i="3"/>
  <c r="G29" i="3" s="1"/>
  <c r="D57" i="1"/>
  <c r="E57" i="1" s="1"/>
  <c r="D56" i="1"/>
  <c r="E56" i="1" s="1"/>
  <c r="F59" i="1"/>
  <c r="F58" i="1"/>
  <c r="F57" i="1"/>
  <c r="F56" i="1"/>
  <c r="F63" i="1"/>
  <c r="F62" i="1"/>
  <c r="F34" i="1"/>
  <c r="F33" i="1"/>
  <c r="F32" i="1"/>
  <c r="F28" i="1"/>
  <c r="F27" i="1"/>
  <c r="O8" i="1"/>
  <c r="P10" i="1" s="1"/>
  <c r="E68" i="1"/>
  <c r="G68" i="1" s="1"/>
  <c r="H68" i="1" s="1"/>
  <c r="E64" i="1"/>
  <c r="E63" i="1"/>
  <c r="E62" i="1"/>
  <c r="E59" i="1"/>
  <c r="E58" i="1"/>
  <c r="E53" i="1"/>
  <c r="E52" i="1"/>
  <c r="E51" i="1"/>
  <c r="G51" i="1" s="1"/>
  <c r="E32" i="1"/>
  <c r="E34" i="1"/>
  <c r="E33" i="1"/>
  <c r="E26" i="1"/>
  <c r="G26" i="1" s="1"/>
  <c r="E23" i="1"/>
  <c r="E22" i="1"/>
  <c r="E21" i="1"/>
  <c r="E14" i="1"/>
  <c r="G14" i="1" s="1"/>
  <c r="E9" i="1"/>
  <c r="G9" i="1" s="1"/>
  <c r="G8" i="4" l="1"/>
  <c r="I19" i="3"/>
  <c r="J19" i="3" s="1"/>
  <c r="H24" i="3"/>
  <c r="J24" i="3" s="1"/>
  <c r="H9" i="3"/>
  <c r="I9" i="3"/>
  <c r="F25" i="3"/>
  <c r="G25" i="3" s="1"/>
  <c r="C23" i="5"/>
  <c r="F23" i="5" s="1"/>
  <c r="H29" i="3"/>
  <c r="I29" i="3"/>
  <c r="H28" i="3"/>
  <c r="I28" i="3"/>
  <c r="F26" i="3"/>
  <c r="G26" i="3" s="1"/>
  <c r="C24" i="5"/>
  <c r="F24" i="5" s="1"/>
  <c r="F15" i="5"/>
  <c r="F16" i="3"/>
  <c r="G16" i="3" s="1"/>
  <c r="G32" i="1"/>
  <c r="I32" i="1" s="1"/>
  <c r="F14" i="3"/>
  <c r="G14" i="3" s="1"/>
  <c r="C18" i="5"/>
  <c r="F18" i="5" s="1"/>
  <c r="F20" i="3"/>
  <c r="G20" i="3" s="1"/>
  <c r="C25" i="5"/>
  <c r="F25" i="5" s="1"/>
  <c r="F27" i="3"/>
  <c r="G27" i="3" s="1"/>
  <c r="F15" i="3"/>
  <c r="G15" i="3" s="1"/>
  <c r="C19" i="5"/>
  <c r="F19" i="5" s="1"/>
  <c r="F21" i="3"/>
  <c r="G21" i="3" s="1"/>
  <c r="I22" i="3"/>
  <c r="J22" i="3" s="1"/>
  <c r="H8" i="3"/>
  <c r="J8" i="3" s="1"/>
  <c r="H45" i="1"/>
  <c r="I68" i="1"/>
  <c r="J68" i="1" s="1"/>
  <c r="I31" i="1"/>
  <c r="J31" i="1" s="1"/>
  <c r="G56" i="1"/>
  <c r="G21" i="1"/>
  <c r="H21" i="1" s="1"/>
  <c r="G33" i="1"/>
  <c r="I33" i="1" s="1"/>
  <c r="I45" i="1"/>
  <c r="I46" i="1"/>
  <c r="J46" i="1" s="1"/>
  <c r="G53" i="1"/>
  <c r="J29" i="1"/>
  <c r="I51" i="1"/>
  <c r="H51" i="1"/>
  <c r="I16" i="1"/>
  <c r="J16" i="1" s="1"/>
  <c r="G34" i="1"/>
  <c r="I34" i="1" s="1"/>
  <c r="H36" i="1"/>
  <c r="I36" i="1"/>
  <c r="G22" i="1"/>
  <c r="I22" i="1" s="1"/>
  <c r="H26" i="1"/>
  <c r="I26" i="1"/>
  <c r="G23" i="1"/>
  <c r="H23" i="1" s="1"/>
  <c r="H15" i="1"/>
  <c r="J15" i="1" s="1"/>
  <c r="I9" i="1"/>
  <c r="H9" i="1"/>
  <c r="J35" i="1"/>
  <c r="F22" i="5"/>
  <c r="G59" i="1"/>
  <c r="H59" i="1" s="1"/>
  <c r="G57" i="1"/>
  <c r="H57" i="1" s="1"/>
  <c r="G58" i="1"/>
  <c r="H58" i="1" s="1"/>
  <c r="G64" i="1"/>
  <c r="G63" i="1"/>
  <c r="H63" i="1" s="1"/>
  <c r="G62" i="1"/>
  <c r="H62" i="1" s="1"/>
  <c r="G52" i="1"/>
  <c r="H52" i="1" s="1"/>
  <c r="H14" i="1"/>
  <c r="I14" i="1"/>
  <c r="E28" i="1"/>
  <c r="G28" i="1" s="1"/>
  <c r="E27" i="1"/>
  <c r="G27" i="1" s="1"/>
  <c r="H64" i="1" l="1"/>
  <c r="G72" i="1" s="1"/>
  <c r="G73" i="1" s="1"/>
  <c r="F28" i="5"/>
  <c r="H32" i="1"/>
  <c r="J32" i="1" s="1"/>
  <c r="J9" i="3"/>
  <c r="H27" i="3"/>
  <c r="I27" i="3"/>
  <c r="H21" i="3"/>
  <c r="I21" i="3"/>
  <c r="H20" i="3"/>
  <c r="I20" i="3"/>
  <c r="H25" i="3"/>
  <c r="I25" i="3"/>
  <c r="H33" i="1"/>
  <c r="J33" i="1" s="1"/>
  <c r="J45" i="1"/>
  <c r="I15" i="3"/>
  <c r="H15" i="3"/>
  <c r="H26" i="3"/>
  <c r="I26" i="3"/>
  <c r="J28" i="3"/>
  <c r="I14" i="3"/>
  <c r="H14" i="3"/>
  <c r="H16" i="3"/>
  <c r="I16" i="3"/>
  <c r="J29" i="3"/>
  <c r="I21" i="1"/>
  <c r="I56" i="1"/>
  <c r="H56" i="1"/>
  <c r="H53" i="1"/>
  <c r="I53" i="1"/>
  <c r="I23" i="1"/>
  <c r="J23" i="1" s="1"/>
  <c r="H22" i="1"/>
  <c r="J22" i="1" s="1"/>
  <c r="H34" i="1"/>
  <c r="J34" i="1" s="1"/>
  <c r="I62" i="1"/>
  <c r="J62" i="1" s="1"/>
  <c r="J36" i="1"/>
  <c r="J26" i="1"/>
  <c r="H28" i="1"/>
  <c r="I28" i="1"/>
  <c r="I27" i="1"/>
  <c r="H27" i="1"/>
  <c r="J9" i="1"/>
  <c r="I63" i="1"/>
  <c r="J63" i="1" s="1"/>
  <c r="I59" i="1"/>
  <c r="J59" i="1" s="1"/>
  <c r="I58" i="1"/>
  <c r="J58" i="1" s="1"/>
  <c r="I57" i="1"/>
  <c r="J57" i="1" s="1"/>
  <c r="I64" i="1"/>
  <c r="J64" i="1" s="1"/>
  <c r="J72" i="1" s="1"/>
  <c r="J73" i="1" s="1"/>
  <c r="I52" i="1"/>
  <c r="J52" i="1" s="1"/>
  <c r="J14" i="1"/>
  <c r="E7" i="3"/>
  <c r="G7" i="3" s="1"/>
  <c r="J20" i="3" l="1"/>
  <c r="J15" i="3"/>
  <c r="J16" i="3"/>
  <c r="J21" i="3"/>
  <c r="J14" i="3"/>
  <c r="J27" i="3"/>
  <c r="J26" i="3"/>
  <c r="J25" i="3"/>
  <c r="J56" i="1"/>
  <c r="J53" i="1"/>
  <c r="J27" i="1"/>
  <c r="J28" i="1"/>
  <c r="D9" i="4"/>
  <c r="D10" i="4" s="1"/>
  <c r="H7" i="3"/>
  <c r="G30" i="3" s="1"/>
  <c r="I7" i="3"/>
  <c r="G9" i="4" l="1"/>
  <c r="G10" i="4" s="1"/>
  <c r="J7" i="3"/>
  <c r="J30" i="3" s="1"/>
  <c r="J75" i="1" l="1"/>
</calcChain>
</file>

<file path=xl/sharedStrings.xml><?xml version="1.0" encoding="utf-8"?>
<sst xmlns="http://schemas.openxmlformats.org/spreadsheetml/2006/main" count="257" uniqueCount="184">
  <si>
    <t>(A)</t>
  </si>
  <si>
    <t>(B)</t>
  </si>
  <si>
    <t>(C)</t>
  </si>
  <si>
    <t>(D)</t>
  </si>
  <si>
    <t>(E)</t>
  </si>
  <si>
    <t>1.  Applications</t>
  </si>
  <si>
    <t>Reporting Subtotal</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</si>
  <si>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</si>
  <si>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</si>
  <si>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</si>
  <si>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</si>
  <si>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</si>
  <si>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</si>
  <si>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</si>
  <si>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</si>
  <si>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</si>
  <si>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</si>
  <si>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</si>
  <si>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</si>
  <si>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</si>
  <si>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</si>
  <si>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</si>
  <si>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</si>
  <si>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</si>
  <si>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</si>
  <si>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</si>
  <si>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</si>
  <si>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</si>
  <si>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Existing</t>
  </si>
  <si>
    <t>New</t>
  </si>
  <si>
    <t>Number of Respondents</t>
  </si>
  <si>
    <t>Respondents That Submit Reports</t>
  </si>
  <si>
    <t>Respondents That Do Not Submit Any Reports</t>
  </si>
  <si>
    <t>Year</t>
  </si>
  <si>
    <t>Number of Existing Respondents</t>
  </si>
  <si>
    <t>Number of Existing  Respondents that keep records but do not submit reports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</si>
  <si>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</si>
  <si>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</si>
  <si>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</si>
  <si>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</si>
  <si>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</si>
  <si>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</si>
  <si>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</si>
  <si>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</si>
  <si>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EPA
person-hours
per occurrence</t>
  </si>
  <si>
    <t>EPA
person-hours
per respondent
per year (AxB)</t>
  </si>
  <si>
    <t>Technical hours
per year
(CxD)</t>
  </si>
  <si>
    <t>Management
hours per year
(Ex0.05)</t>
  </si>
  <si>
    <t>Assumptions:</t>
  </si>
  <si>
    <t>ERG Review Notes:</t>
  </si>
  <si>
    <t>Recordkeeping Subtotal</t>
  </si>
  <si>
    <t>3.  Reporting requirements</t>
  </si>
  <si>
    <t>4.  Recordkeeping requirements</t>
  </si>
  <si>
    <t>Labor Rates:</t>
  </si>
  <si>
    <t>hrs/response:</t>
  </si>
  <si>
    <t>Table 1: Annual Respondent Burden and Cost – NESHAP for Asbestos (40 CFR Part 61, Subpart M) (Renewal)</t>
  </si>
  <si>
    <t>Table 2: Average Annual EPA Burden and Cost – NESHAP for Asbestos (40 CFR Part 61, Subpart M) (Renewal)</t>
  </si>
  <si>
    <t>See 3D</t>
  </si>
  <si>
    <t>C.  Gather existing information</t>
  </si>
  <si>
    <t>Spraying operations</t>
  </si>
  <si>
    <t>Excepted waste shipment report</t>
  </si>
  <si>
    <t>Waste disposal</t>
  </si>
  <si>
    <t>See 3A</t>
  </si>
  <si>
    <t>B.  Plan activities</t>
  </si>
  <si>
    <t>See 3B</t>
  </si>
  <si>
    <t>D.  Develop record system</t>
  </si>
  <si>
    <t>E.  Time to enter and transmit information</t>
  </si>
  <si>
    <t>Waste shipment records</t>
  </si>
  <si>
    <t>G.  Time for audits</t>
  </si>
  <si>
    <t>B.  Required activities including monitoring or operations</t>
  </si>
  <si>
    <t>See 3D, 4E</t>
  </si>
  <si>
    <t>D.  Write reports</t>
  </si>
  <si>
    <t>d  Report notifying EPA that waste shipment records signed by owners/operators of disposal sites were not received by waste generators within 45 days of the date of waste acceptance by initial transporters.</t>
  </si>
  <si>
    <t>Renotification due to change</t>
  </si>
  <si>
    <r>
      <t xml:space="preserve">Excepted waste shipment report </t>
    </r>
    <r>
      <rPr>
        <vertAlign val="superscript"/>
        <sz val="10"/>
        <rFont val="Times New Roman"/>
        <family val="1"/>
      </rPr>
      <t>d</t>
    </r>
  </si>
  <si>
    <t>iv.  Milling, manufacturing, and fabricating</t>
  </si>
  <si>
    <r>
      <t xml:space="preserve">Control device maintenance plan </t>
    </r>
    <r>
      <rPr>
        <vertAlign val="superscript"/>
        <sz val="10"/>
        <rFont val="Times New Roman"/>
        <family val="1"/>
      </rPr>
      <t>e</t>
    </r>
  </si>
  <si>
    <t>C.  Implement activities</t>
  </si>
  <si>
    <t>F.  Time to train personnel</t>
  </si>
  <si>
    <t>Demo/Reno</t>
  </si>
  <si>
    <t>Mill/Mfg/Fab</t>
  </si>
  <si>
    <r>
      <t xml:space="preserve">Number of New Respondents </t>
    </r>
    <r>
      <rPr>
        <vertAlign val="superscript"/>
        <sz val="10"/>
        <color rgb="FF000000"/>
        <rFont val="Times New Roman"/>
        <family val="1"/>
      </rPr>
      <t>1</t>
    </r>
  </si>
  <si>
    <r>
      <t xml:space="preserve">Number of Existing Respondents No Longer Subject to the Rule Due to Closure </t>
    </r>
    <r>
      <rPr>
        <vertAlign val="superscript"/>
        <sz val="10"/>
        <color rgb="FF000000"/>
        <rFont val="Times New Roman"/>
        <family val="1"/>
      </rPr>
      <t>2</t>
    </r>
  </si>
  <si>
    <t>No Capital/Startup and O&amp;M costs for this ICR.</t>
  </si>
  <si>
    <t>Closures</t>
  </si>
  <si>
    <t>ERG Notes:</t>
  </si>
  <si>
    <t>Semiannual visible emissions report</t>
  </si>
  <si>
    <t>C.  Excepted waste shipment report</t>
  </si>
  <si>
    <t>4.  Milling, manufacturing, and fabricating</t>
  </si>
  <si>
    <t>B.  Semiannual visible emissions report</t>
  </si>
  <si>
    <t>N/A - Not Applicable</t>
  </si>
  <si>
    <t>Milling, manufacturing, and fabricating</t>
  </si>
  <si>
    <t>Control device maintenance plan</t>
  </si>
  <si>
    <t>Waste disposal discrepancy report</t>
  </si>
  <si>
    <t>Improperly contained waste report</t>
  </si>
  <si>
    <t>Report on sample analyses performed during initial 90 days of operation</t>
  </si>
  <si>
    <t>Quarterly operations and monthly sample analysis report</t>
  </si>
  <si>
    <t>Notification of commencement of operations using materials containing &gt;1% asbestos</t>
  </si>
  <si>
    <t>i.  Asbestos converting operations</t>
  </si>
  <si>
    <r>
      <t xml:space="preserve">iv.  Milling, manufacturing, and fabricating </t>
    </r>
    <r>
      <rPr>
        <vertAlign val="superscript"/>
        <sz val="10"/>
        <rFont val="Times New Roman"/>
        <family val="1"/>
      </rPr>
      <t>n</t>
    </r>
  </si>
  <si>
    <t>Records of startup performance testing and initial 90 days of operations</t>
  </si>
  <si>
    <t>e  The rule requires sources to submit a control device maintenance plan for any air cleaning devices that cannot be inspected on a weekly basis.  EPA assumes 10% of sources will submit such maintenance plans.</t>
  </si>
  <si>
    <t>v.  Asbestos-containing waste disposal sites</t>
  </si>
  <si>
    <t>Facility closure report</t>
  </si>
  <si>
    <t>Waste generator reports</t>
  </si>
  <si>
    <t>Time to file and mail waste generator reports</t>
  </si>
  <si>
    <t>F.  Facility closure report</t>
  </si>
  <si>
    <t>5.  Asbestos-containing waste disposal sites</t>
  </si>
  <si>
    <t>A.  Notification of commencement of operations using materials containing &gt;1% asbestos</t>
  </si>
  <si>
    <t>B.  Excepted waste shipment report</t>
  </si>
  <si>
    <t>B.  Report on sample analyses performed during initial 90 days of operation</t>
  </si>
  <si>
    <t>C.  Quarterly operations and monthly sample analysis report</t>
  </si>
  <si>
    <t>1.  Asbestos converting operations</t>
  </si>
  <si>
    <t>Notification and application for construction</t>
  </si>
  <si>
    <t>iii.  Demolition/renovation</t>
  </si>
  <si>
    <t>New source report</t>
  </si>
  <si>
    <t>Waste management data retention until landfill closure</t>
  </si>
  <si>
    <r>
      <rPr>
        <vertAlign val="superscript"/>
        <sz val="10"/>
        <color theme="1"/>
        <rFont val="Times New Roman"/>
        <family val="1"/>
      </rPr>
      <t>1</t>
    </r>
    <r>
      <rPr>
        <sz val="11"/>
        <color theme="1"/>
        <rFont val="Times New Roman"/>
        <family val="1"/>
      </rPr>
      <t xml:space="preserve"> New respondents include sources with constructed, reconstructed, and modified affected facilities.</t>
    </r>
  </si>
  <si>
    <r>
      <t>2</t>
    </r>
    <r>
      <rPr>
        <sz val="11"/>
        <color theme="1"/>
        <rFont val="Times New Roman"/>
        <family val="1"/>
      </rPr>
      <t xml:space="preserve"> On average, ten asbestos-containing waste disposal sites are expected to close over the next three years and will no longer be subject to the rule.</t>
    </r>
  </si>
  <si>
    <r>
      <t xml:space="preserve">ii.  Spraying operations </t>
    </r>
    <r>
      <rPr>
        <vertAlign val="superscript"/>
        <sz val="10"/>
        <rFont val="Times New Roman"/>
        <family val="1"/>
      </rPr>
      <t>c</t>
    </r>
  </si>
  <si>
    <t>c  EPA does not expect any spray operation sources will become subject to the rule over the next three years.</t>
  </si>
  <si>
    <t>Converting</t>
  </si>
  <si>
    <r>
      <t xml:space="preserve">Waste disposal discrepancy report </t>
    </r>
    <r>
      <rPr>
        <vertAlign val="superscript"/>
        <sz val="10"/>
        <rFont val="Times New Roman"/>
        <family val="1"/>
      </rPr>
      <t>f</t>
    </r>
  </si>
  <si>
    <t>f  Sources are required to submit reports if discrepancies between designated waste shipment and actual received quantities are not resolved with waste generators.</t>
  </si>
  <si>
    <r>
      <t xml:space="preserve">Improperly contained waste report </t>
    </r>
    <r>
      <rPr>
        <vertAlign val="superscript"/>
        <sz val="10"/>
        <rFont val="Times New Roman"/>
        <family val="1"/>
      </rPr>
      <t>g, h</t>
    </r>
  </si>
  <si>
    <t>g  Active waste disposal sites are required to report the presence of improperly enclosed or uncovered waste, or any asbestos-containing waste material not sealed in leak-tight containers, and submit the waste shipment record.</t>
  </si>
  <si>
    <t>h  EPA assumes respondents will submit reports for improperly contained waste twice per year.</t>
  </si>
  <si>
    <r>
      <t xml:space="preserve">Notification of excavation of asbestos materials </t>
    </r>
    <r>
      <rPr>
        <vertAlign val="superscript"/>
        <sz val="10"/>
        <rFont val="Times New Roman"/>
        <family val="1"/>
      </rPr>
      <t>i</t>
    </r>
  </si>
  <si>
    <t>i  EPA assumes asbestos-containing waste will not be excavated at any disposal site.</t>
  </si>
  <si>
    <r>
      <t xml:space="preserve">Waste shipment records </t>
    </r>
    <r>
      <rPr>
        <vertAlign val="superscript"/>
        <sz val="10"/>
        <rFont val="Times New Roman"/>
        <family val="1"/>
      </rPr>
      <t>j</t>
    </r>
  </si>
  <si>
    <t>k  Based on Agency experience with the rule, operations generally cease from late fall into winter.  We thus assume the burden for this activity will be negligible.</t>
  </si>
  <si>
    <r>
      <t xml:space="preserve">Cold weather temperature monitoring </t>
    </r>
    <r>
      <rPr>
        <vertAlign val="superscript"/>
        <sz val="10"/>
        <rFont val="Times New Roman"/>
        <family val="1"/>
      </rPr>
      <t>k</t>
    </r>
  </si>
  <si>
    <t>l  EPA assumes sources will have an average of 2.5 control devices requiring monitoring, and that will operate for 255 days over 51 weeks, annually.</t>
  </si>
  <si>
    <r>
      <t xml:space="preserve">Daily visible emissions </t>
    </r>
    <r>
      <rPr>
        <vertAlign val="superscript"/>
        <sz val="10"/>
        <rFont val="Times New Roman"/>
        <family val="1"/>
      </rPr>
      <t>l</t>
    </r>
  </si>
  <si>
    <r>
      <t xml:space="preserve">Weekly inspection of air cleaning devices </t>
    </r>
    <r>
      <rPr>
        <vertAlign val="superscript"/>
        <sz val="10"/>
        <rFont val="Times New Roman"/>
        <family val="1"/>
      </rPr>
      <t>l</t>
    </r>
  </si>
  <si>
    <r>
      <t xml:space="preserve">iii.  Demolition/renovation (refresher training) </t>
    </r>
    <r>
      <rPr>
        <vertAlign val="superscript"/>
        <sz val="10"/>
        <rFont val="Times New Roman"/>
        <family val="1"/>
      </rPr>
      <t>m</t>
    </r>
  </si>
  <si>
    <t>n  EPA anticipates there will be no direct costs to respondents to train inspectors for Method 9 certification for daily visible emissions monitoring.</t>
  </si>
  <si>
    <t>o  EPA anticipates there will be no burden for waste disposal-related training.</t>
  </si>
  <si>
    <r>
      <t xml:space="preserve">v.  Asbestos-containing waste disposal sites </t>
    </r>
    <r>
      <rPr>
        <vertAlign val="superscript"/>
        <sz val="10"/>
        <rFont val="Times New Roman"/>
        <family val="1"/>
      </rPr>
      <t>o</t>
    </r>
  </si>
  <si>
    <r>
      <t xml:space="preserve">2.  Spraying operations </t>
    </r>
    <r>
      <rPr>
        <vertAlign val="superscript"/>
        <sz val="10"/>
        <rFont val="Times New Roman"/>
        <family val="1"/>
      </rPr>
      <t>c</t>
    </r>
  </si>
  <si>
    <t>A.  Notification and application for construction</t>
  </si>
  <si>
    <t>D.  New source report</t>
  </si>
  <si>
    <t>3.  Demolition/renovation</t>
  </si>
  <si>
    <t>A.  New source report</t>
  </si>
  <si>
    <t>B.  Waste generator reports</t>
  </si>
  <si>
    <t>C.  Waste disposal discrepancy report</t>
  </si>
  <si>
    <t>D.  Improperly contained waste report</t>
  </si>
  <si>
    <t>Table 2 revised to address several inconsistencies identified in the previous ICR.</t>
  </si>
  <si>
    <t>A.  Control device maintenance plan</t>
  </si>
  <si>
    <t>E.  Notification of excavation of asbestos materials</t>
  </si>
  <si>
    <t>Asbestos converting operations</t>
  </si>
  <si>
    <t>Demolition/renovation</t>
  </si>
  <si>
    <t>Asbestos-containing waste disposal sites</t>
  </si>
  <si>
    <t>Notification of excavation of asbestos materials</t>
  </si>
  <si>
    <t>Malfunction report if using CTPS AWP</t>
  </si>
  <si>
    <t>Record of deed OR utility record notation (if using CTPS AWP) once inactive</t>
  </si>
  <si>
    <t>C.  Renotification due to change</t>
  </si>
  <si>
    <t>D.  Excepted waste shipment report</t>
  </si>
  <si>
    <t>E.  CTPS AWP Malfunction report</t>
  </si>
  <si>
    <t>EPA Notes:</t>
  </si>
  <si>
    <t>CTPS AWP malfunction reports added</t>
  </si>
  <si>
    <t xml:space="preserve">Reflects 2 companies having up to 2 malfunction reports annually. </t>
  </si>
  <si>
    <t xml:space="preserve">     ACPRPs using CTPS AWP</t>
  </si>
  <si>
    <t>Notification by US Mail of intent to demolish or renovate</t>
  </si>
  <si>
    <t>A.  Notification by US Mail of intent to demolish or renovate</t>
  </si>
  <si>
    <t>Notification by U.S. mail of intent to demolish or renovate</t>
  </si>
  <si>
    <t xml:space="preserve">Malfunction Reports for owners/operators of ACPRPS Using CTPS AWP </t>
  </si>
  <si>
    <t>A.   Familiarization with rule requirements</t>
  </si>
  <si>
    <t>A.  Familiarization with rule requirements</t>
  </si>
  <si>
    <t>Updated # of each respondent to account for growth in prior 3 years (no new growth for converting, Mill/Mfg/Fab or waste disposal, per prior footnotes).</t>
  </si>
  <si>
    <t>j  EPA assumes approximately 4 million cubic yards of waste shipments will be recorded annually for all demolition/renovation contractors, and that each load will be about 20 cubic yards.  This would result in approximately 200,000 loads annually (4 million cubic yards/20 cubic yards per load).  We estimate approximately 24 loads per contractor per year.</t>
  </si>
  <si>
    <t>Table updated to include new respondents since prev ICR. Existing respondents in Yr 3 of prev ICR = 9,715 (assumes 8,753 demo/reno; 400 milling, manufacturing, and fabrication; and 560 landfills). This ICR also reflects 2 additional existing respondents at asbestos converting sources.</t>
  </si>
  <si>
    <t>m  EPA assumes all existing contractors (8,781) and new contractors entering the market for the first time (28) will spend resources annually on training due to employee turnover and new hires.</t>
  </si>
  <si>
    <t>b  This ICR uses the following labor rates: $122.20 (technical), $153.55 (managerial), and $61.51 (clerical).  These rates are from the United States Department of Labor, Bureau of Labor Statistics, March 2021, “Table 2. Civilian Workers, by occupational and industry group.”  The rates are from column 1, “Total compensation.”  They have been increased by 110 percent to account for the benefit packages available to those employed by private industry.</t>
  </si>
  <si>
    <t>b  This ICR uses the following labor rates: $51.23 (technical), $69.04 (managerial), and $27.71 (clerical).  These rates are from the Office of Personnel Management (OPM), 2020 General Schedule, which excludes locality rates of pay.  The rates have been increased by 60 percent to account for the benefit packages available to government employees.</t>
  </si>
  <si>
    <r>
      <t xml:space="preserve">TOTAL ANNUAL BURDEN AND COST (ROUNDED) </t>
    </r>
    <r>
      <rPr>
        <vertAlign val="superscript"/>
        <sz val="10"/>
        <rFont val="Times New Roman"/>
        <family val="1"/>
      </rPr>
      <t>p</t>
    </r>
  </si>
  <si>
    <r>
      <t>TOTAL ANNUAL CAPITAL AND O&amp;M COST (SEE SECTION 6(b)(iii))</t>
    </r>
    <r>
      <rPr>
        <vertAlign val="superscript"/>
        <sz val="10"/>
        <rFont val="Times New Roman"/>
        <family val="1"/>
      </rPr>
      <t xml:space="preserve"> p</t>
    </r>
  </si>
  <si>
    <r>
      <t xml:space="preserve">GRAND TOTAL (LABOR, CAPITAL, AND O&amp;M) </t>
    </r>
    <r>
      <rPr>
        <vertAlign val="superscript"/>
        <sz val="10"/>
        <rFont val="Times New Roman"/>
        <family val="1"/>
      </rPr>
      <t>p</t>
    </r>
  </si>
  <si>
    <t>p Totals have been rounded to 3 significant figures. Figures may not add exactly due to rounding.</t>
  </si>
  <si>
    <t>d Totals have been rounded to 3 significant figures. Figures may not add exactly due to rounding.</t>
  </si>
  <si>
    <r>
      <t xml:space="preserve">TOTAL ANNUAL BURDEN AND COST </t>
    </r>
    <r>
      <rPr>
        <vertAlign val="superscript"/>
        <sz val="10"/>
        <rFont val="Times New Roman"/>
        <family val="1"/>
      </rPr>
      <t>d</t>
    </r>
  </si>
  <si>
    <t>9 annual occurrences applied to 100% of respondents, per discussion and clarifications with OAQPS.</t>
  </si>
  <si>
    <t>a  EPA estimates an average of 9,743 existing sources will be subject to the rule over the next 3 years.  On average during this period, 38 new sources per year will become subject, while 10 existing sources per year will close and will cease to be subject to the rule.  The net total is 9,771 sources per year (9,743 + 38 - 10 = 9,771).
The following is a detailed breakdown of the four source categories:
1) 2 existing asbestos converting sources.  No new sources are expected.
2) 8,781 existing asbestos demolition/renovation sources. EPA assumes an increase of 28 new sources per year.
3) An annual average of 20 companies will use CTPS to conduct ACPRPs.                                                                                                                                                                                                             4) 400 existing asbestos milling, manufacturing, and fabricating sources.  No new sources are expected.
5) Approximately 560 sources will receive asbestos-containing wastes subject to the rule.  No net growth will occur because an estimated 10 sites will close annually, while an estimated 10 sites will become subject to the rule by commencing acceptance of asbestos-containing wastes.</t>
  </si>
  <si>
    <t>-prev renewal: 123,571 responses. Net increase due to decrease in electronic notifications.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</si>
</sst>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0.0"/>
    <numFmt numFmtId="167" formatCode="&quot;$&quot;#,##0"/>
  </numFmts>
  <fonts count="27" x14ac:knownFonts="1">
    <font>
      <sz val="11"/>
      <color theme="1"/>
      <name val="Calibri"/>
      <family val="2"/>
      <scheme val="minor"/>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sz val="11"/>
      <name val="Calibri"/>
      <family val="2"/>
      <scheme val="minor"/>
    </font>
    <font>
      <vertAlign val="superscript"/>
      <sz val="10"/>
      <color theme="1"/>
      <name val="Times New Roman"/>
      <family val="1"/>
    </font>
    <font>
      <sz val="11"/>
      <color theme="1"/>
      <name val="Times New Roman"/>
      <family val="1"/>
    </font>
    <font>
      <vertAlign val="superscript"/>
      <sz val="10"/>
      <color rgb="FF000000"/>
      <name val="Times New Roman"/>
      <family val="1"/>
    </font>
    <font>
      <i/>
      <sz val="10"/>
      <color theme="1"/>
      <name val="Times New Roman"/>
      <family val="1"/>
    </font>
    <font>
      <i/>
      <sz val="10"/>
      <color theme="1"/>
      <name val="Arial"/>
      <family val="2"/>
    </font>
    <font>
      <sz val="10"/>
      <color rgb="FFFF0000"/>
      <name val="Times New Roman"/>
      <family val="1"/>
    </font>
    <font>
      <b/>
      <sz val="10"/>
      <color rgb="FFFF0000"/>
      <name val="Times New Roman"/>
      <family val="1"/>
    </font>
    <font>
      <sz val="10"/>
      <color rgb="FFFF0000"/>
      <name val="Arial"/>
      <family val="2"/>
    </font>
    <font>
      <sz val="10"/>
      <name val="Arial"/>
      <family val="2"/>
    </font>
    <font>
      <sz val="10"/>
      <color rgb="FF7030A0"/>
      <name val="Times New Roman"/>
      <family val="1"/>
    </font>
    <font>
      <sz val="10"/>
      <color rgb="FF7030A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7" fillId="0" borderId="0"/>
  </cellStyleXfs>
  <cellXfs count="135">
    <xf numFmtId="0" fontId="0" fillId="0" borderId="0" xfId="0"/>
    <xf numFmtId="0" fontId="1" fillId="0" borderId="0" xfId="0" applyFont="1"/>
    <xf numFmtId="0" fontId="3" fillId="0" borderId="0" xfId="0" applyFont="1" applyFill="1"/>
    <xf numFmtId="0" fontId="4" fillId="0" borderId="0" xfId="0" applyFont="1" applyFill="1"/>
    <xf numFmtId="4" fontId="3" fillId="0" borderId="0" xfId="0" applyNumberFormat="1" applyFont="1" applyFill="1"/>
    <xf numFmtId="0" fontId="3" fillId="0" borderId="0" xfId="0" applyFont="1"/>
    <xf numFmtId="0" fontId="3" fillId="0" borderId="0" xfId="0" applyNumberFormat="1" applyFont="1" applyFill="1" applyAlignment="1"/>
    <xf numFmtId="0" fontId="5" fillId="0" borderId="2" xfId="0" applyNumberFormat="1" applyFont="1" applyFill="1" applyBorder="1" applyAlignment="1">
      <alignment horizontal="center"/>
    </xf>
    <xf numFmtId="4" fontId="5" fillId="0" borderId="2" xfId="0" applyNumberFormat="1" applyFont="1" applyFill="1" applyBorder="1" applyAlignment="1">
      <alignment horizontal="center"/>
    </xf>
    <xf numFmtId="0" fontId="3" fillId="0" borderId="0" xfId="0" applyNumberFormat="1" applyFont="1" applyFill="1" applyAlignment="1">
      <alignment wrapText="1"/>
    </xf>
    <xf numFmtId="0" fontId="5" fillId="0" borderId="2" xfId="0" applyNumberFormat="1" applyFont="1" applyFill="1" applyBorder="1" applyAlignment="1">
      <alignment horizontal="center" wrapText="1"/>
    </xf>
    <xf numFmtId="0" fontId="10" fillId="0" borderId="8" xfId="1" applyFont="1" applyFill="1" applyBorder="1" applyAlignment="1">
      <alignment horizontal="center" vertical="top" wrapText="1"/>
    </xf>
    <xf numFmtId="0" fontId="7" fillId="0" borderId="0" xfId="1" applyFont="1"/>
    <xf numFmtId="0" fontId="8" fillId="0" borderId="0" xfId="1" applyFont="1" applyBorder="1" applyAlignment="1">
      <alignment horizontal="center" vertical="top" wrapText="1"/>
    </xf>
    <xf numFmtId="0" fontId="11" fillId="0" borderId="2" xfId="1" applyFont="1" applyFill="1" applyBorder="1" applyAlignment="1">
      <alignment horizontal="center" vertical="top" wrapText="1"/>
    </xf>
    <xf numFmtId="0" fontId="12" fillId="0" borderId="2" xfId="1" applyFont="1" applyBorder="1" applyAlignment="1">
      <alignment horizontal="center" vertical="top" wrapText="1"/>
    </xf>
    <xf numFmtId="0" fontId="11" fillId="0" borderId="2" xfId="1" applyFont="1" applyBorder="1" applyAlignment="1">
      <alignment horizontal="center" vertical="top" wrapText="1"/>
    </xf>
    <xf numFmtId="0" fontId="11" fillId="0" borderId="0" xfId="1" applyFont="1" applyFill="1" applyBorder="1" applyAlignment="1">
      <alignment horizontal="center" vertical="top" wrapText="1"/>
    </xf>
    <xf numFmtId="0" fontId="9" fillId="0" borderId="0" xfId="1" applyFont="1" applyFill="1" applyBorder="1" applyAlignment="1">
      <alignment horizontal="center" vertical="top" wrapText="1"/>
    </xf>
    <xf numFmtId="0" fontId="1" fillId="0" borderId="0" xfId="1" applyFont="1" applyBorder="1" applyAlignment="1">
      <alignment horizontal="left" vertical="top"/>
    </xf>
    <xf numFmtId="0" fontId="3" fillId="0" borderId="0" xfId="0" quotePrefix="1" applyFont="1"/>
    <xf numFmtId="0" fontId="3" fillId="0" borderId="0" xfId="0" quotePrefix="1" applyFont="1" applyFill="1"/>
    <xf numFmtId="0" fontId="5" fillId="0" borderId="2" xfId="0" applyNumberFormat="1" applyFont="1" applyFill="1" applyBorder="1" applyAlignment="1">
      <alignment horizontal="center" vertical="center"/>
    </xf>
    <xf numFmtId="0" fontId="3" fillId="0" borderId="0" xfId="0" applyFont="1" applyFill="1" applyBorder="1" applyAlignment="1">
      <alignment horizontal="center"/>
    </xf>
    <xf numFmtId="164" fontId="3" fillId="0" borderId="0" xfId="0" applyNumberFormat="1" applyFont="1" applyFill="1" applyAlignment="1">
      <alignment horizontal="right" vertical="top"/>
    </xf>
    <xf numFmtId="0" fontId="3" fillId="0" borderId="0" xfId="0" applyNumberFormat="1" applyFont="1" applyFill="1" applyBorder="1" applyAlignment="1"/>
    <xf numFmtId="2" fontId="3" fillId="0" borderId="0" xfId="0" applyNumberFormat="1" applyFont="1" applyFill="1" applyAlignment="1">
      <alignment vertical="top"/>
    </xf>
    <xf numFmtId="3" fontId="12" fillId="0" borderId="2" xfId="1" applyNumberFormat="1" applyFont="1" applyFill="1" applyBorder="1" applyAlignment="1">
      <alignment horizontal="center" vertical="top" wrapText="1"/>
    </xf>
    <xf numFmtId="0" fontId="12" fillId="0" borderId="2" xfId="1" applyFont="1" applyFill="1" applyBorder="1" applyAlignment="1">
      <alignment horizontal="center" vertical="top" wrapText="1"/>
    </xf>
    <xf numFmtId="0" fontId="12" fillId="0" borderId="2" xfId="1" applyFont="1" applyFill="1" applyBorder="1" applyAlignment="1">
      <alignment vertical="top" wrapText="1"/>
    </xf>
    <xf numFmtId="0" fontId="1" fillId="0" borderId="0" xfId="0" applyFont="1" applyFill="1"/>
    <xf numFmtId="0" fontId="3" fillId="0" borderId="0" xfId="0" applyNumberFormat="1" applyFont="1" applyFill="1" applyAlignment="1">
      <alignment vertical="top" wrapText="1"/>
    </xf>
    <xf numFmtId="0" fontId="13" fillId="0" borderId="0" xfId="0" applyFont="1" applyFill="1" applyAlignment="1">
      <alignment horizontal="left" vertical="top"/>
    </xf>
    <xf numFmtId="0" fontId="13" fillId="0" borderId="0" xfId="0" applyFont="1" applyFill="1" applyAlignment="1">
      <alignment horizontal="left"/>
    </xf>
    <xf numFmtId="3" fontId="3" fillId="0" borderId="2" xfId="0" applyNumberFormat="1" applyFont="1" applyFill="1" applyBorder="1"/>
    <xf numFmtId="0" fontId="19" fillId="0" borderId="0" xfId="1" applyFont="1" applyAlignment="1">
      <alignment horizontal="right"/>
    </xf>
    <xf numFmtId="1" fontId="20" fillId="0" borderId="0" xfId="1" applyNumberFormat="1" applyFont="1"/>
    <xf numFmtId="0" fontId="12" fillId="0" borderId="9" xfId="1" applyFont="1" applyFill="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3" fillId="0" borderId="0" xfId="0" applyNumberFormat="1" applyFont="1" applyFill="1" applyBorder="1" applyAlignment="1">
      <alignment horizontal="right" vertical="top" wrapText="1"/>
    </xf>
    <xf numFmtId="4" fontId="5" fillId="0" borderId="2" xfId="0" applyNumberFormat="1" applyFont="1" applyFill="1" applyBorder="1" applyAlignment="1">
      <alignment horizontal="center" wrapText="1"/>
    </xf>
    <xf numFmtId="0" fontId="3" fillId="0" borderId="2" xfId="1" applyFont="1" applyFill="1" applyBorder="1" applyAlignment="1">
      <alignment horizontal="center" vertical="top" wrapText="1"/>
    </xf>
    <xf numFmtId="3" fontId="3" fillId="0" borderId="2" xfId="1" applyNumberFormat="1" applyFont="1" applyFill="1" applyBorder="1" applyAlignment="1">
      <alignment horizontal="center" vertical="top" wrapText="1"/>
    </xf>
    <xf numFmtId="0" fontId="3" fillId="0" borderId="2" xfId="0" applyFont="1" applyFill="1" applyBorder="1" applyAlignment="1">
      <alignment horizontal="left" vertical="top" wrapText="1" indent="5"/>
    </xf>
    <xf numFmtId="0" fontId="3" fillId="0" borderId="2" xfId="0" applyFont="1" applyFill="1" applyBorder="1" applyAlignment="1">
      <alignment horizontal="left" vertical="top" wrapText="1" indent="2"/>
    </xf>
    <xf numFmtId="3" fontId="3" fillId="0" borderId="2"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166" fontId="3" fillId="0" borderId="6" xfId="0" applyNumberFormat="1" applyFont="1" applyFill="1" applyBorder="1" applyAlignment="1">
      <alignment horizontal="center" vertical="top" wrapText="1"/>
    </xf>
    <xf numFmtId="0" fontId="5" fillId="0" borderId="0" xfId="0" applyFont="1" applyFill="1"/>
    <xf numFmtId="0" fontId="3" fillId="0" borderId="0" xfId="0" applyFont="1" applyFill="1" applyAlignment="1">
      <alignment horizontal="right" vertical="top"/>
    </xf>
    <xf numFmtId="0" fontId="3" fillId="0" borderId="2" xfId="0" applyFont="1" applyFill="1" applyBorder="1" applyAlignment="1">
      <alignment vertical="top" wrapText="1"/>
    </xf>
    <xf numFmtId="4" fontId="3" fillId="0" borderId="2" xfId="0" applyNumberFormat="1" applyFont="1" applyFill="1" applyBorder="1" applyAlignment="1">
      <alignment horizontal="right" vertical="top" wrapText="1"/>
    </xf>
    <xf numFmtId="0" fontId="3" fillId="0" borderId="2" xfId="0" applyFont="1" applyFill="1" applyBorder="1" applyAlignment="1">
      <alignment horizontal="left" vertical="top" wrapText="1" indent="1"/>
    </xf>
    <xf numFmtId="165" fontId="3" fillId="0" borderId="2" xfId="0" applyNumberFormat="1"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2" xfId="0" applyFont="1" applyFill="1" applyBorder="1"/>
    <xf numFmtId="4" fontId="3" fillId="0" borderId="2" xfId="0" applyNumberFormat="1" applyFont="1" applyFill="1" applyBorder="1" applyAlignment="1">
      <alignment horizontal="center" vertical="top" wrapText="1"/>
    </xf>
    <xf numFmtId="0" fontId="2" fillId="0" borderId="2" xfId="0" applyFont="1" applyFill="1" applyBorder="1"/>
    <xf numFmtId="0" fontId="13" fillId="0" borderId="2" xfId="0" applyFont="1" applyFill="1" applyBorder="1" applyAlignment="1">
      <alignment horizontal="center" vertical="top" wrapText="1"/>
    </xf>
    <xf numFmtId="3" fontId="13" fillId="0" borderId="2" xfId="0" applyNumberFormat="1" applyFont="1" applyFill="1" applyBorder="1" applyAlignment="1">
      <alignment horizontal="center" vertical="top" wrapText="1"/>
    </xf>
    <xf numFmtId="1" fontId="3" fillId="0" borderId="6" xfId="0" applyNumberFormat="1" applyFont="1" applyFill="1" applyBorder="1" applyAlignment="1">
      <alignment horizontal="center" vertical="top" wrapText="1"/>
    </xf>
    <xf numFmtId="0" fontId="3" fillId="0" borderId="2" xfId="0" applyFont="1" applyFill="1" applyBorder="1" applyAlignment="1">
      <alignment horizontal="center"/>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2" fontId="3" fillId="0" borderId="2" xfId="0" applyNumberFormat="1" applyFont="1" applyFill="1" applyBorder="1" applyAlignment="1">
      <alignment horizontal="center" vertical="top" wrapText="1"/>
    </xf>
    <xf numFmtId="166" fontId="3" fillId="0" borderId="2" xfId="0" applyNumberFormat="1" applyFont="1" applyFill="1" applyBorder="1" applyAlignment="1">
      <alignment horizontal="center" vertical="top" wrapText="1"/>
    </xf>
    <xf numFmtId="0" fontId="3" fillId="0" borderId="2" xfId="0" applyFont="1" applyFill="1" applyBorder="1" applyAlignment="1">
      <alignment horizontal="left" vertical="top" wrapText="1"/>
    </xf>
    <xf numFmtId="0" fontId="7" fillId="0" borderId="2" xfId="1" applyFont="1" applyFill="1" applyBorder="1"/>
    <xf numFmtId="0" fontId="13" fillId="0" borderId="0" xfId="0" applyFont="1" applyFill="1"/>
    <xf numFmtId="3" fontId="3" fillId="0" borderId="0" xfId="0" applyNumberFormat="1" applyFont="1" applyFill="1"/>
    <xf numFmtId="4" fontId="21" fillId="0" borderId="0" xfId="0" applyNumberFormat="1" applyFont="1" applyFill="1"/>
    <xf numFmtId="164" fontId="3" fillId="0" borderId="2" xfId="0" applyNumberFormat="1" applyFont="1" applyFill="1" applyBorder="1" applyAlignment="1">
      <alignment horizontal="right" vertical="top" wrapText="1"/>
    </xf>
    <xf numFmtId="164" fontId="3" fillId="0" borderId="2" xfId="0" applyNumberFormat="1" applyFont="1" applyFill="1" applyBorder="1"/>
    <xf numFmtId="167" fontId="5" fillId="0" borderId="2" xfId="0" applyNumberFormat="1" applyFont="1" applyFill="1" applyBorder="1" applyAlignment="1">
      <alignment horizontal="right" vertical="top" wrapText="1"/>
    </xf>
    <xf numFmtId="167" fontId="3" fillId="0" borderId="2" xfId="0" applyNumberFormat="1" applyFont="1" applyFill="1" applyBorder="1" applyAlignment="1">
      <alignment horizontal="right" vertical="top" wrapText="1"/>
    </xf>
    <xf numFmtId="167" fontId="13" fillId="0" borderId="2" xfId="0" applyNumberFormat="1" applyFont="1" applyFill="1" applyBorder="1" applyAlignment="1">
      <alignment horizontal="right" vertical="top" wrapText="1"/>
    </xf>
    <xf numFmtId="167" fontId="3" fillId="0" borderId="0" xfId="0" applyNumberFormat="1" applyFont="1" applyFill="1"/>
    <xf numFmtId="0" fontId="23" fillId="0" borderId="0" xfId="1" applyFont="1"/>
    <xf numFmtId="1" fontId="3" fillId="0" borderId="0" xfId="0" applyNumberFormat="1" applyFont="1" applyFill="1"/>
    <xf numFmtId="166" fontId="3" fillId="0" borderId="0" xfId="0" applyNumberFormat="1" applyFont="1" applyFill="1"/>
    <xf numFmtId="3" fontId="5" fillId="0" borderId="2" xfId="0" applyNumberFormat="1" applyFont="1" applyFill="1" applyBorder="1" applyAlignment="1">
      <alignment horizontal="center" vertical="top" wrapText="1"/>
    </xf>
    <xf numFmtId="3" fontId="7" fillId="0" borderId="0" xfId="1" applyNumberFormat="1" applyFont="1"/>
    <xf numFmtId="0" fontId="5" fillId="0" borderId="2" xfId="0" applyFont="1" applyFill="1" applyBorder="1"/>
    <xf numFmtId="1" fontId="3" fillId="0" borderId="0" xfId="0" applyNumberFormat="1" applyFont="1" applyFill="1" applyAlignment="1"/>
    <xf numFmtId="0" fontId="21" fillId="0" borderId="0" xfId="0" applyNumberFormat="1" applyFont="1" applyFill="1" applyAlignment="1"/>
    <xf numFmtId="166" fontId="3" fillId="0" borderId="0" xfId="0" applyNumberFormat="1" applyFont="1" applyFill="1" applyAlignment="1"/>
    <xf numFmtId="166" fontId="3" fillId="0" borderId="0" xfId="0" applyNumberFormat="1" applyFont="1" applyFill="1" applyAlignment="1">
      <alignment wrapText="1"/>
    </xf>
    <xf numFmtId="0" fontId="5" fillId="0" borderId="2" xfId="0" applyNumberFormat="1" applyFont="1" applyFill="1" applyBorder="1" applyAlignment="1">
      <alignment vertical="top" wrapText="1"/>
    </xf>
    <xf numFmtId="3" fontId="5" fillId="0" borderId="2" xfId="0" applyNumberFormat="1" applyFont="1" applyFill="1" applyBorder="1" applyAlignment="1">
      <alignment vertical="top" wrapText="1"/>
    </xf>
    <xf numFmtId="0" fontId="22" fillId="0" borderId="0" xfId="0" applyFont="1" applyFill="1"/>
    <xf numFmtId="0" fontId="21" fillId="0" borderId="0" xfId="0" applyFont="1" applyFill="1"/>
    <xf numFmtId="0" fontId="7" fillId="0" borderId="0" xfId="1" applyFill="1"/>
    <xf numFmtId="0" fontId="8" fillId="0" borderId="4" xfId="1" applyFont="1" applyFill="1" applyBorder="1" applyAlignment="1">
      <alignment vertical="top" wrapText="1"/>
    </xf>
    <xf numFmtId="0" fontId="9" fillId="0" borderId="2" xfId="1" applyFont="1" applyFill="1" applyBorder="1" applyAlignment="1">
      <alignment vertical="top" wrapText="1"/>
    </xf>
    <xf numFmtId="0" fontId="10" fillId="0" borderId="1" xfId="1" applyFont="1" applyFill="1" applyBorder="1" applyAlignment="1">
      <alignment horizontal="center" vertical="top" wrapText="1"/>
    </xf>
    <xf numFmtId="0" fontId="7" fillId="0" borderId="0" xfId="1" applyFont="1" applyFill="1"/>
    <xf numFmtId="3" fontId="7" fillId="0" borderId="0" xfId="1" applyNumberFormat="1" applyFill="1"/>
    <xf numFmtId="0" fontId="0" fillId="0" borderId="0" xfId="0" applyFill="1"/>
    <xf numFmtId="0" fontId="15" fillId="0" borderId="0" xfId="0" applyFont="1" applyFill="1"/>
    <xf numFmtId="0" fontId="3" fillId="0" borderId="2" xfId="0" applyFont="1" applyFill="1" applyBorder="1" applyAlignment="1">
      <alignment horizontal="left" vertical="top" wrapText="1" indent="4"/>
    </xf>
    <xf numFmtId="164" fontId="3" fillId="0" borderId="0" xfId="0" applyNumberFormat="1" applyFont="1" applyFill="1" applyAlignment="1">
      <alignment vertical="top"/>
    </xf>
    <xf numFmtId="0" fontId="25" fillId="0" borderId="0" xfId="0" applyFont="1" applyFill="1"/>
    <xf numFmtId="0" fontId="25" fillId="0" borderId="0" xfId="0" applyNumberFormat="1" applyFont="1" applyFill="1" applyAlignment="1"/>
    <xf numFmtId="0" fontId="25" fillId="0" borderId="0" xfId="0" applyFont="1" applyFill="1" applyAlignment="1">
      <alignment vertical="center"/>
    </xf>
    <xf numFmtId="0" fontId="26" fillId="0" borderId="0" xfId="1" applyFont="1"/>
    <xf numFmtId="3" fontId="3" fillId="2" borderId="2" xfId="0" applyNumberFormat="1" applyFont="1" applyFill="1" applyBorder="1" applyAlignment="1">
      <alignment horizontal="center" vertical="top" wrapText="1"/>
    </xf>
    <xf numFmtId="0" fontId="3" fillId="2" borderId="0" xfId="0" applyFont="1" applyFill="1"/>
    <xf numFmtId="3" fontId="12" fillId="2" borderId="2" xfId="1" applyNumberFormat="1" applyFont="1" applyFill="1" applyBorder="1" applyAlignment="1">
      <alignment horizontal="center" vertical="top" wrapText="1"/>
    </xf>
    <xf numFmtId="0" fontId="24" fillId="0" borderId="4" xfId="1" applyFont="1" applyFill="1" applyBorder="1" applyAlignment="1">
      <alignment horizontal="left" wrapText="1"/>
    </xf>
    <xf numFmtId="0" fontId="24" fillId="0" borderId="0" xfId="1" applyFont="1" applyFill="1" applyBorder="1" applyAlignment="1">
      <alignment horizontal="left" wrapText="1"/>
    </xf>
    <xf numFmtId="0" fontId="1" fillId="0" borderId="0" xfId="1" applyFont="1" applyFill="1" applyAlignment="1">
      <alignment horizontal="left" wrapText="1"/>
    </xf>
    <xf numFmtId="0" fontId="8" fillId="0" borderId="5"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6" xfId="1" applyFont="1" applyFill="1" applyBorder="1" applyAlignment="1">
      <alignment horizontal="center" vertical="top" wrapText="1"/>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1" fillId="0" borderId="9" xfId="1" applyFont="1" applyFill="1" applyBorder="1" applyAlignment="1">
      <alignment horizontal="left" wrapText="1"/>
    </xf>
    <xf numFmtId="0" fontId="8" fillId="0" borderId="2" xfId="1" applyFont="1" applyBorder="1" applyAlignment="1">
      <alignment horizontal="center" vertical="top" wrapText="1"/>
    </xf>
    <xf numFmtId="0" fontId="5" fillId="0" borderId="1" xfId="0" applyNumberFormat="1" applyFont="1" applyFill="1" applyBorder="1" applyAlignment="1">
      <alignment horizontal="left" wrapText="1"/>
    </xf>
    <xf numFmtId="0" fontId="5" fillId="0" borderId="3" xfId="0" applyNumberFormat="1" applyFont="1" applyFill="1" applyBorder="1" applyAlignment="1">
      <alignment horizontal="left" wrapText="1"/>
    </xf>
    <xf numFmtId="3" fontId="13" fillId="0" borderId="5" xfId="0" applyNumberFormat="1" applyFont="1" applyFill="1" applyBorder="1" applyAlignment="1">
      <alignment horizontal="center" vertical="top" wrapText="1"/>
    </xf>
    <xf numFmtId="3" fontId="13" fillId="0" borderId="7" xfId="0" applyNumberFormat="1" applyFont="1" applyFill="1" applyBorder="1" applyAlignment="1">
      <alignment horizontal="center" vertical="top" wrapText="1"/>
    </xf>
    <xf numFmtId="3" fontId="13" fillId="0" borderId="6" xfId="0" applyNumberFormat="1" applyFont="1" applyFill="1" applyBorder="1" applyAlignment="1">
      <alignment horizontal="center" vertical="top" wrapText="1"/>
    </xf>
    <xf numFmtId="0" fontId="3" fillId="0" borderId="0" xfId="0" applyNumberFormat="1" applyFont="1" applyFill="1" applyAlignment="1">
      <alignment horizontal="left" vertical="top" wrapText="1"/>
    </xf>
    <xf numFmtId="3" fontId="5" fillId="0" borderId="5" xfId="0" applyNumberFormat="1" applyFont="1" applyFill="1" applyBorder="1" applyAlignment="1">
      <alignment horizontal="center" vertical="top" wrapText="1"/>
    </xf>
    <xf numFmtId="3" fontId="5" fillId="0" borderId="7" xfId="0" applyNumberFormat="1" applyFont="1" applyFill="1" applyBorder="1" applyAlignment="1">
      <alignment horizontal="center" vertical="top" wrapText="1"/>
    </xf>
    <xf numFmtId="3" fontId="5" fillId="0" borderId="6" xfId="0" applyNumberFormat="1" applyFont="1" applyFill="1" applyBorder="1" applyAlignment="1">
      <alignment horizontal="center" vertical="top" wrapText="1"/>
    </xf>
    <xf numFmtId="2" fontId="3" fillId="0" borderId="0" xfId="0" applyNumberFormat="1" applyFont="1" applyFill="1" applyAlignment="1">
      <alignment horizontal="left" vertical="top"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NumberFormat="1" applyFont="1" applyFill="1" applyBorder="1" applyAlignment="1">
      <alignment horizontal="left" wrapText="1"/>
    </xf>
  </cellXfs>
  <cellStyles count="2">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2"/>
  <sheetViews>
    <sheetView tabSelected="1" workbookViewId="0">
      <selection activeCell="B12" sqref="B12:G12"/>
    </sheetView>
  </sheetViews>
  <sheetFormatPr defaultColWidth="9.26953125" defaultRowHeight="12.5" x14ac:dyDescent="0.25"/>
  <cols>
    <col min="1" max="1" width="1" style="94" customWidth="1"/>
    <col min="2" max="2" width="9.7265625" style="94" customWidth="1"/>
    <col min="3" max="3" width="12.7265625" style="94" bestFit="1" customWidth="1"/>
    <col min="4" max="4" width="15.54296875" style="94" bestFit="1" customWidth="1"/>
    <col min="5" max="5" width="18.54296875" style="94" customWidth="1"/>
    <col min="6" max="6" width="15.54296875" style="94" bestFit="1" customWidth="1"/>
    <col min="7" max="7" width="12.7265625" style="94" customWidth="1"/>
    <col min="8" max="8" width="9.26953125" style="94"/>
    <col min="9" max="9" width="12.7265625" style="94" bestFit="1" customWidth="1"/>
    <col min="10" max="16384" width="9.26953125" style="94"/>
  </cols>
  <sheetData>
    <row r="2" spans="2:14" ht="15" x14ac:dyDescent="0.25">
      <c r="B2" s="114" t="s">
        <v>30</v>
      </c>
      <c r="C2" s="115"/>
      <c r="D2" s="115"/>
      <c r="E2" s="115"/>
      <c r="F2" s="115"/>
      <c r="G2" s="116"/>
    </row>
    <row r="3" spans="2:14" ht="24" customHeight="1" x14ac:dyDescent="0.25">
      <c r="B3" s="95"/>
      <c r="C3" s="117" t="s">
        <v>31</v>
      </c>
      <c r="D3" s="118"/>
      <c r="E3" s="96" t="s">
        <v>32</v>
      </c>
      <c r="F3" s="117"/>
      <c r="G3" s="118"/>
    </row>
    <row r="4" spans="2:14" ht="13" x14ac:dyDescent="0.25">
      <c r="B4" s="97"/>
      <c r="C4" s="11" t="s">
        <v>0</v>
      </c>
      <c r="D4" s="11" t="s">
        <v>1</v>
      </c>
      <c r="E4" s="11" t="s">
        <v>2</v>
      </c>
      <c r="F4" s="11" t="s">
        <v>3</v>
      </c>
      <c r="G4" s="11" t="s">
        <v>4</v>
      </c>
    </row>
    <row r="5" spans="2:14" ht="67.5" x14ac:dyDescent="0.25">
      <c r="B5" s="11" t="s">
        <v>33</v>
      </c>
      <c r="C5" s="11" t="s">
        <v>81</v>
      </c>
      <c r="D5" s="11" t="s">
        <v>34</v>
      </c>
      <c r="E5" s="11" t="s">
        <v>35</v>
      </c>
      <c r="F5" s="11" t="s">
        <v>82</v>
      </c>
      <c r="G5" s="11" t="s">
        <v>30</v>
      </c>
    </row>
    <row r="6" spans="2:14" ht="13.5" x14ac:dyDescent="0.25">
      <c r="B6" s="11"/>
      <c r="C6" s="11"/>
      <c r="D6" s="11"/>
      <c r="E6" s="11"/>
      <c r="F6" s="11"/>
      <c r="G6" s="11" t="s">
        <v>36</v>
      </c>
      <c r="H6" s="32" t="s">
        <v>85</v>
      </c>
    </row>
    <row r="7" spans="2:14" ht="12.75" customHeight="1" x14ac:dyDescent="0.25">
      <c r="B7" s="43">
        <v>1</v>
      </c>
      <c r="C7" s="44">
        <f>28+10</f>
        <v>38</v>
      </c>
      <c r="D7" s="44">
        <v>9715</v>
      </c>
      <c r="E7" s="43">
        <v>0</v>
      </c>
      <c r="F7" s="44">
        <f>10</f>
        <v>10</v>
      </c>
      <c r="G7" s="44">
        <f>C7+D7+E7-F7</f>
        <v>9743</v>
      </c>
      <c r="H7" s="111" t="s">
        <v>171</v>
      </c>
      <c r="I7" s="112"/>
      <c r="J7" s="112"/>
      <c r="K7" s="112"/>
      <c r="L7" s="112"/>
      <c r="M7" s="112"/>
      <c r="N7" s="112"/>
    </row>
    <row r="8" spans="2:14" ht="13" x14ac:dyDescent="0.25">
      <c r="B8" s="43">
        <v>2</v>
      </c>
      <c r="C8" s="44">
        <f t="shared" ref="C8:C9" si="0">28+10</f>
        <v>38</v>
      </c>
      <c r="D8" s="44">
        <f>G7</f>
        <v>9743</v>
      </c>
      <c r="E8" s="43">
        <v>0</v>
      </c>
      <c r="F8" s="44">
        <f>10</f>
        <v>10</v>
      </c>
      <c r="G8" s="44">
        <f>C8+D8+E8-F8</f>
        <v>9771</v>
      </c>
      <c r="H8" s="111"/>
      <c r="I8" s="112"/>
      <c r="J8" s="112"/>
      <c r="K8" s="112"/>
      <c r="L8" s="112"/>
      <c r="M8" s="112"/>
      <c r="N8" s="112"/>
    </row>
    <row r="9" spans="2:14" ht="13" x14ac:dyDescent="0.25">
      <c r="B9" s="43">
        <v>3</v>
      </c>
      <c r="C9" s="44">
        <f t="shared" si="0"/>
        <v>38</v>
      </c>
      <c r="D9" s="44">
        <f>G8</f>
        <v>9771</v>
      </c>
      <c r="E9" s="43">
        <v>0</v>
      </c>
      <c r="F9" s="44">
        <f>10</f>
        <v>10</v>
      </c>
      <c r="G9" s="44">
        <f>C9+D9+E9-F9</f>
        <v>9799</v>
      </c>
      <c r="H9" s="111"/>
      <c r="I9" s="112"/>
      <c r="J9" s="112"/>
      <c r="K9" s="112"/>
      <c r="L9" s="112"/>
      <c r="M9" s="112"/>
      <c r="N9" s="112"/>
    </row>
    <row r="10" spans="2:14" s="98" customFormat="1" ht="13" x14ac:dyDescent="0.25">
      <c r="B10" s="43" t="s">
        <v>37</v>
      </c>
      <c r="C10" s="44">
        <f>AVERAGE(C7:C9)</f>
        <v>38</v>
      </c>
      <c r="D10" s="44">
        <f>AVERAGE(D7:D9)</f>
        <v>9743</v>
      </c>
      <c r="E10" s="44">
        <f>AVERAGE(E7:E9)</f>
        <v>0</v>
      </c>
      <c r="F10" s="44">
        <f>AVERAGE(F7:F9)</f>
        <v>10</v>
      </c>
      <c r="G10" s="44">
        <f>AVERAGE(G7:G9)</f>
        <v>9771</v>
      </c>
      <c r="H10" s="111"/>
      <c r="I10" s="112"/>
      <c r="J10" s="112"/>
      <c r="K10" s="112"/>
      <c r="L10" s="112"/>
      <c r="M10" s="112"/>
      <c r="N10" s="112"/>
    </row>
    <row r="11" spans="2:14" ht="13" x14ac:dyDescent="0.3">
      <c r="B11" s="119" t="s">
        <v>117</v>
      </c>
      <c r="C11" s="119"/>
      <c r="D11" s="119"/>
      <c r="E11" s="119"/>
      <c r="F11" s="119"/>
      <c r="G11" s="119"/>
      <c r="H11" s="99"/>
    </row>
    <row r="12" spans="2:14" ht="33" customHeight="1" x14ac:dyDescent="0.3">
      <c r="B12" s="113" t="s">
        <v>118</v>
      </c>
      <c r="C12" s="113"/>
      <c r="D12" s="113"/>
      <c r="E12" s="113"/>
      <c r="F12" s="113"/>
      <c r="G12" s="113"/>
    </row>
  </sheetData>
  <mergeCells count="6">
    <mergeCell ref="H7:N10"/>
    <mergeCell ref="B12:G12"/>
    <mergeCell ref="B2:G2"/>
    <mergeCell ref="C3:D3"/>
    <mergeCell ref="F3:G3"/>
    <mergeCell ref="B11:G1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9"/>
  <sheetViews>
    <sheetView topLeftCell="A16" workbookViewId="0">
      <selection activeCell="F30" sqref="F30"/>
    </sheetView>
  </sheetViews>
  <sheetFormatPr defaultColWidth="9.26953125" defaultRowHeight="12.5" x14ac:dyDescent="0.25"/>
  <cols>
    <col min="1" max="1" width="0.7265625" style="12" customWidth="1"/>
    <col min="2" max="2" width="32.26953125" style="12" customWidth="1"/>
    <col min="3" max="4" width="10" style="12" customWidth="1"/>
    <col min="5" max="5" width="16" style="12" customWidth="1"/>
    <col min="6" max="6" width="10.54296875" style="12" customWidth="1"/>
    <col min="7" max="7" width="1.26953125" style="12" customWidth="1"/>
    <col min="8" max="16384" width="9.26953125" style="12"/>
  </cols>
  <sheetData>
    <row r="2" spans="2:13" ht="15.75" customHeight="1" x14ac:dyDescent="0.25">
      <c r="B2" s="120" t="s">
        <v>38</v>
      </c>
      <c r="C2" s="120"/>
      <c r="D2" s="120"/>
      <c r="E2" s="120"/>
      <c r="F2" s="120"/>
      <c r="G2" s="13"/>
    </row>
    <row r="3" spans="2:13" ht="63.75" customHeight="1" x14ac:dyDescent="0.25">
      <c r="B3" s="14" t="s">
        <v>39</v>
      </c>
      <c r="C3" s="15" t="s">
        <v>40</v>
      </c>
      <c r="D3" s="15" t="s">
        <v>41</v>
      </c>
      <c r="E3" s="16" t="s">
        <v>42</v>
      </c>
      <c r="F3" s="14" t="s">
        <v>43</v>
      </c>
      <c r="G3" s="17"/>
    </row>
    <row r="4" spans="2:13" ht="13" x14ac:dyDescent="0.25">
      <c r="B4" s="69" t="s">
        <v>150</v>
      </c>
      <c r="C4" s="70"/>
      <c r="D4" s="70"/>
      <c r="E4" s="27"/>
      <c r="F4" s="70"/>
      <c r="G4" s="18"/>
    </row>
    <row r="5" spans="2:13" ht="26" x14ac:dyDescent="0.25">
      <c r="B5" s="54" t="s">
        <v>113</v>
      </c>
      <c r="C5" s="27">
        <f>'Respondent Burden'!F14</f>
        <v>0</v>
      </c>
      <c r="D5" s="27">
        <f>'Respondent Burden'!D14</f>
        <v>1</v>
      </c>
      <c r="E5" s="27">
        <v>0</v>
      </c>
      <c r="F5" s="28">
        <f>C5*D5+E5</f>
        <v>0</v>
      </c>
      <c r="G5" s="18"/>
    </row>
    <row r="6" spans="2:13" ht="26" x14ac:dyDescent="0.25">
      <c r="B6" s="54" t="s">
        <v>95</v>
      </c>
      <c r="C6" s="27">
        <f>'Respondent Burden'!F15</f>
        <v>0</v>
      </c>
      <c r="D6" s="27">
        <f>'Respondent Burden'!D15</f>
        <v>1</v>
      </c>
      <c r="E6" s="28">
        <v>0</v>
      </c>
      <c r="F6" s="28">
        <f>C6*D6+E6</f>
        <v>0</v>
      </c>
      <c r="G6" s="18"/>
    </row>
    <row r="7" spans="2:13" ht="26" x14ac:dyDescent="0.25">
      <c r="B7" s="54" t="s">
        <v>96</v>
      </c>
      <c r="C7" s="27">
        <f>'Respondent Burden'!F16</f>
        <v>2</v>
      </c>
      <c r="D7" s="27">
        <f>'Respondent Burden'!D16</f>
        <v>4</v>
      </c>
      <c r="E7" s="28">
        <v>0</v>
      </c>
      <c r="F7" s="28">
        <f>C7*D7+E7</f>
        <v>8</v>
      </c>
      <c r="G7" s="18"/>
    </row>
    <row r="8" spans="2:13" ht="13" x14ac:dyDescent="0.25">
      <c r="B8" s="69" t="s">
        <v>59</v>
      </c>
      <c r="C8" s="27"/>
      <c r="D8" s="27"/>
      <c r="E8" s="28"/>
      <c r="F8" s="28"/>
      <c r="G8" s="18"/>
    </row>
    <row r="9" spans="2:13" ht="39" x14ac:dyDescent="0.25">
      <c r="B9" s="54" t="s">
        <v>97</v>
      </c>
      <c r="C9" s="27">
        <f>'Respondent Burden'!F18</f>
        <v>0</v>
      </c>
      <c r="D9" s="27">
        <v>1</v>
      </c>
      <c r="E9" s="27">
        <v>0</v>
      </c>
      <c r="F9" s="28">
        <f>C9*D9+E9</f>
        <v>0</v>
      </c>
      <c r="G9" s="18"/>
    </row>
    <row r="10" spans="2:13" ht="13" x14ac:dyDescent="0.25">
      <c r="B10" s="54" t="s">
        <v>60</v>
      </c>
      <c r="C10" s="27">
        <f>'Respondent Burden'!F19</f>
        <v>0</v>
      </c>
      <c r="D10" s="27">
        <v>1</v>
      </c>
      <c r="E10" s="27">
        <v>0</v>
      </c>
      <c r="F10" s="28">
        <f>C10*D10+E10</f>
        <v>0</v>
      </c>
      <c r="G10" s="18"/>
      <c r="I10" s="84"/>
      <c r="M10" s="84"/>
    </row>
    <row r="11" spans="2:13" ht="13" x14ac:dyDescent="0.25">
      <c r="B11" s="69" t="s">
        <v>151</v>
      </c>
      <c r="C11" s="27"/>
      <c r="D11" s="27"/>
      <c r="E11" s="28"/>
      <c r="F11" s="28"/>
      <c r="G11" s="18"/>
    </row>
    <row r="12" spans="2:13" ht="26" x14ac:dyDescent="0.25">
      <c r="B12" s="54" t="s">
        <v>165</v>
      </c>
      <c r="C12" s="27">
        <v>8781</v>
      </c>
      <c r="D12" s="27">
        <f>'Respondent Burden'!D21</f>
        <v>9</v>
      </c>
      <c r="E12" s="28">
        <v>0</v>
      </c>
      <c r="F12" s="27">
        <f>C12*D12+E12</f>
        <v>79029</v>
      </c>
      <c r="G12" s="18"/>
      <c r="H12" s="80"/>
    </row>
    <row r="13" spans="2:13" ht="13" x14ac:dyDescent="0.25">
      <c r="B13" s="54" t="s">
        <v>73</v>
      </c>
      <c r="C13" s="27">
        <f>C12</f>
        <v>8781</v>
      </c>
      <c r="D13" s="27">
        <f>'Respondent Burden'!D22</f>
        <v>2</v>
      </c>
      <c r="E13" s="28">
        <v>0</v>
      </c>
      <c r="F13" s="27">
        <f t="shared" ref="F13:F27" si="0">C13*D13+E13</f>
        <v>17562</v>
      </c>
      <c r="G13" s="18"/>
      <c r="H13" s="80"/>
    </row>
    <row r="14" spans="2:13" ht="39" x14ac:dyDescent="0.25">
      <c r="B14" s="54" t="s">
        <v>166</v>
      </c>
      <c r="C14" s="110">
        <f>'Respondent Burden'!F24</f>
        <v>20</v>
      </c>
      <c r="D14" s="110">
        <f>'Respondent Burden'!D24</f>
        <v>2</v>
      </c>
      <c r="E14" s="28">
        <v>0</v>
      </c>
      <c r="F14" s="27">
        <f t="shared" ref="F14" si="1">C14*D14+E14</f>
        <v>40</v>
      </c>
      <c r="G14" s="18"/>
      <c r="H14" s="107"/>
    </row>
    <row r="15" spans="2:13" ht="13" x14ac:dyDescent="0.25">
      <c r="B15" s="54" t="s">
        <v>60</v>
      </c>
      <c r="C15" s="27">
        <v>8781</v>
      </c>
      <c r="D15" s="27">
        <f>'Respondent Burden'!D23</f>
        <v>3</v>
      </c>
      <c r="E15" s="28">
        <v>0</v>
      </c>
      <c r="F15" s="27">
        <f t="shared" si="0"/>
        <v>26343</v>
      </c>
      <c r="G15" s="18"/>
      <c r="H15" s="19"/>
    </row>
    <row r="16" spans="2:13" ht="13" x14ac:dyDescent="0.25">
      <c r="B16" s="69" t="s">
        <v>91</v>
      </c>
      <c r="C16" s="27"/>
      <c r="D16" s="27"/>
      <c r="E16" s="28"/>
      <c r="F16" s="28"/>
      <c r="G16" s="18"/>
    </row>
    <row r="17" spans="2:8" ht="13" x14ac:dyDescent="0.25">
      <c r="B17" s="54" t="s">
        <v>92</v>
      </c>
      <c r="C17" s="27">
        <f>'Respondent Burden'!F26</f>
        <v>40</v>
      </c>
      <c r="D17" s="27">
        <f>'Respondent Burden'!D26</f>
        <v>1</v>
      </c>
      <c r="E17" s="28">
        <v>0</v>
      </c>
      <c r="F17" s="27">
        <f t="shared" si="0"/>
        <v>40</v>
      </c>
      <c r="G17" s="18"/>
    </row>
    <row r="18" spans="2:8" ht="13" x14ac:dyDescent="0.25">
      <c r="B18" s="54" t="s">
        <v>86</v>
      </c>
      <c r="C18" s="27">
        <f>'Respondent Burden'!F27</f>
        <v>400</v>
      </c>
      <c r="D18" s="27">
        <f>'Respondent Burden'!D27</f>
        <v>2</v>
      </c>
      <c r="E18" s="28">
        <v>0</v>
      </c>
      <c r="F18" s="27">
        <f t="shared" si="0"/>
        <v>800</v>
      </c>
      <c r="G18" s="18"/>
    </row>
    <row r="19" spans="2:8" ht="13" x14ac:dyDescent="0.25">
      <c r="B19" s="54" t="s">
        <v>60</v>
      </c>
      <c r="C19" s="27">
        <f>'Respondent Burden'!F28</f>
        <v>400</v>
      </c>
      <c r="D19" s="27">
        <f>'Respondent Burden'!D28</f>
        <v>1</v>
      </c>
      <c r="E19" s="28">
        <v>0</v>
      </c>
      <c r="F19" s="27">
        <f t="shared" si="0"/>
        <v>400</v>
      </c>
      <c r="G19" s="18"/>
    </row>
    <row r="20" spans="2:8" ht="13" x14ac:dyDescent="0.25">
      <c r="B20" s="54" t="s">
        <v>115</v>
      </c>
      <c r="C20" s="27">
        <f>'Respondent Burden'!F29</f>
        <v>0</v>
      </c>
      <c r="D20" s="27">
        <f>'Respondent Burden'!D29</f>
        <v>1</v>
      </c>
      <c r="E20" s="28">
        <v>0</v>
      </c>
      <c r="F20" s="27">
        <f t="shared" ref="F20" si="2">C20*D20+E20</f>
        <v>0</v>
      </c>
      <c r="G20" s="18"/>
    </row>
    <row r="21" spans="2:8" ht="13" x14ac:dyDescent="0.25">
      <c r="B21" s="69" t="s">
        <v>152</v>
      </c>
      <c r="C21" s="27"/>
      <c r="D21" s="27"/>
      <c r="E21" s="28"/>
      <c r="F21" s="28"/>
      <c r="G21" s="18"/>
    </row>
    <row r="22" spans="2:8" ht="13" x14ac:dyDescent="0.25">
      <c r="B22" s="54" t="s">
        <v>115</v>
      </c>
      <c r="C22" s="27">
        <f>'Respondent Burden'!F31</f>
        <v>10</v>
      </c>
      <c r="D22" s="27">
        <f>'Respondent Burden'!D31</f>
        <v>1</v>
      </c>
      <c r="E22" s="28">
        <v>0</v>
      </c>
      <c r="F22" s="27">
        <f t="shared" si="0"/>
        <v>10</v>
      </c>
      <c r="G22" s="18"/>
    </row>
    <row r="23" spans="2:8" ht="13" x14ac:dyDescent="0.25">
      <c r="B23" s="54" t="s">
        <v>104</v>
      </c>
      <c r="C23" s="27">
        <f>'Respondent Burden'!F32</f>
        <v>560</v>
      </c>
      <c r="D23" s="27">
        <f>'Respondent Burden'!D32</f>
        <v>1</v>
      </c>
      <c r="E23" s="28">
        <v>0</v>
      </c>
      <c r="F23" s="27">
        <f t="shared" si="0"/>
        <v>560</v>
      </c>
      <c r="G23" s="18"/>
    </row>
    <row r="24" spans="2:8" ht="13" x14ac:dyDescent="0.25">
      <c r="B24" s="54" t="s">
        <v>93</v>
      </c>
      <c r="C24" s="27">
        <f>'Respondent Burden'!F33</f>
        <v>560</v>
      </c>
      <c r="D24" s="27">
        <f>'Respondent Burden'!D33</f>
        <v>1</v>
      </c>
      <c r="E24" s="28">
        <v>0</v>
      </c>
      <c r="F24" s="27">
        <f t="shared" si="0"/>
        <v>560</v>
      </c>
      <c r="G24" s="18"/>
    </row>
    <row r="25" spans="2:8" ht="13" x14ac:dyDescent="0.25">
      <c r="B25" s="54" t="s">
        <v>94</v>
      </c>
      <c r="C25" s="27">
        <f>'Respondent Burden'!F34</f>
        <v>560</v>
      </c>
      <c r="D25" s="27">
        <f>'Respondent Burden'!D34</f>
        <v>2</v>
      </c>
      <c r="E25" s="28">
        <v>0</v>
      </c>
      <c r="F25" s="27">
        <f>C25*D25+E25</f>
        <v>1120</v>
      </c>
      <c r="G25" s="18"/>
    </row>
    <row r="26" spans="2:8" ht="26" x14ac:dyDescent="0.25">
      <c r="B26" s="54" t="s">
        <v>153</v>
      </c>
      <c r="C26" s="27">
        <f>'Respondent Burden'!F35</f>
        <v>0</v>
      </c>
      <c r="D26" s="27">
        <f>'Respondent Burden'!D35</f>
        <v>1</v>
      </c>
      <c r="E26" s="28">
        <v>0</v>
      </c>
      <c r="F26" s="27">
        <f t="shared" si="0"/>
        <v>0</v>
      </c>
      <c r="G26" s="18"/>
    </row>
    <row r="27" spans="2:8" ht="13.5" x14ac:dyDescent="0.25">
      <c r="B27" s="54" t="s">
        <v>103</v>
      </c>
      <c r="C27" s="27">
        <f>'Respondent Burden'!F36</f>
        <v>10</v>
      </c>
      <c r="D27" s="27">
        <f>'Respondent Burden'!D36</f>
        <v>1</v>
      </c>
      <c r="E27" s="28">
        <v>0</v>
      </c>
      <c r="F27" s="27">
        <f t="shared" si="0"/>
        <v>10</v>
      </c>
      <c r="G27" s="18"/>
      <c r="H27" s="32" t="s">
        <v>49</v>
      </c>
    </row>
    <row r="28" spans="2:8" ht="13" x14ac:dyDescent="0.3">
      <c r="B28" s="29"/>
      <c r="C28" s="29"/>
      <c r="D28" s="29"/>
      <c r="E28" s="28" t="s">
        <v>7</v>
      </c>
      <c r="F28" s="27">
        <f>SUM(F5:F27)</f>
        <v>126482</v>
      </c>
      <c r="G28" s="17"/>
      <c r="H28" s="20" t="s">
        <v>183</v>
      </c>
    </row>
    <row r="29" spans="2:8" ht="13" x14ac:dyDescent="0.3">
      <c r="B29" s="37" t="s">
        <v>90</v>
      </c>
      <c r="C29" s="37"/>
      <c r="D29" s="37"/>
      <c r="E29" s="35" t="s">
        <v>54</v>
      </c>
      <c r="F29" s="36">
        <f>'Respondent Burden'!G73/'# Responses'!F28</f>
        <v>2.3481602125203587</v>
      </c>
      <c r="G29" s="17"/>
      <c r="H29" s="20"/>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00"/>
  <sheetViews>
    <sheetView topLeftCell="A61" zoomScale="87" zoomScaleNormal="87" workbookViewId="0">
      <pane xSplit="1" topLeftCell="B1" activePane="topRight" state="frozen"/>
      <selection activeCell="A4" sqref="A4"/>
      <selection pane="topRight" activeCell="B81" sqref="B81:J81"/>
    </sheetView>
  </sheetViews>
  <sheetFormatPr defaultColWidth="9.26953125" defaultRowHeight="13" x14ac:dyDescent="0.3"/>
  <cols>
    <col min="1" max="1" width="0.7265625" style="30" customWidth="1"/>
    <col min="2" max="2" width="29.7265625" style="30" customWidth="1"/>
    <col min="3" max="3" width="11" style="30" customWidth="1"/>
    <col min="4" max="4" width="11.7265625" style="30" customWidth="1"/>
    <col min="5" max="5" width="11.54296875" style="30" customWidth="1"/>
    <col min="6" max="6" width="12.26953125" style="30" customWidth="1"/>
    <col min="7" max="7" width="9.453125" style="30" customWidth="1"/>
    <col min="8" max="8" width="11.453125" style="30" customWidth="1"/>
    <col min="9" max="9" width="8.7265625" style="30" customWidth="1"/>
    <col min="10" max="10" width="17" style="30" customWidth="1"/>
    <col min="11" max="11" width="1" style="2" customWidth="1"/>
    <col min="12" max="12" width="24" style="2" customWidth="1"/>
    <col min="13" max="13" width="8.54296875" style="2" bestFit="1" customWidth="1"/>
    <col min="14" max="14" width="8" style="30" bestFit="1" customWidth="1"/>
    <col min="15" max="15" width="9.26953125" style="30"/>
    <col min="16" max="16" width="10.7265625" style="30" customWidth="1"/>
    <col min="17" max="16384" width="9.26953125" style="30"/>
  </cols>
  <sheetData>
    <row r="1" spans="2:21" s="2" customFormat="1" ht="15" x14ac:dyDescent="0.3">
      <c r="B1" s="3" t="s">
        <v>55</v>
      </c>
      <c r="J1" s="4"/>
      <c r="L1" s="85" t="s">
        <v>27</v>
      </c>
      <c r="M1" s="85" t="s">
        <v>28</v>
      </c>
      <c r="N1" s="85" t="s">
        <v>29</v>
      </c>
      <c r="O1" s="85" t="s">
        <v>84</v>
      </c>
    </row>
    <row r="2" spans="2:21" s="2" customFormat="1" ht="15" x14ac:dyDescent="0.3">
      <c r="B2" s="3"/>
      <c r="J2" s="4"/>
      <c r="L2" s="57" t="s">
        <v>121</v>
      </c>
      <c r="M2" s="57">
        <v>2</v>
      </c>
      <c r="N2" s="57">
        <v>0</v>
      </c>
      <c r="O2" s="57">
        <v>0</v>
      </c>
      <c r="R2" s="81"/>
      <c r="U2" s="82"/>
    </row>
    <row r="3" spans="2:21" s="2" customFormat="1" x14ac:dyDescent="0.3">
      <c r="F3" s="51" t="s">
        <v>53</v>
      </c>
      <c r="G3" s="103">
        <v>122.2</v>
      </c>
      <c r="H3" s="103">
        <v>153.55000000000001</v>
      </c>
      <c r="I3" s="103">
        <v>61.51</v>
      </c>
      <c r="J3" s="73"/>
      <c r="L3" s="57" t="s">
        <v>79</v>
      </c>
      <c r="M3" s="34">
        <v>8781</v>
      </c>
      <c r="N3" s="34">
        <v>28</v>
      </c>
      <c r="O3" s="34">
        <v>0</v>
      </c>
      <c r="R3" s="81"/>
      <c r="U3" s="82"/>
    </row>
    <row r="4" spans="2:21" s="6" customFormat="1" ht="12.75" customHeight="1" x14ac:dyDescent="0.3">
      <c r="B4" s="121" t="s">
        <v>8</v>
      </c>
      <c r="C4" s="7" t="s">
        <v>9</v>
      </c>
      <c r="D4" s="7" t="s">
        <v>10</v>
      </c>
      <c r="E4" s="7" t="s">
        <v>11</v>
      </c>
      <c r="F4" s="7" t="s">
        <v>12</v>
      </c>
      <c r="G4" s="7" t="s">
        <v>13</v>
      </c>
      <c r="H4" s="7" t="s">
        <v>14</v>
      </c>
      <c r="I4" s="7" t="s">
        <v>15</v>
      </c>
      <c r="J4" s="8" t="s">
        <v>16</v>
      </c>
      <c r="M4" s="86"/>
      <c r="P4" s="87"/>
      <c r="Q4" s="2"/>
      <c r="R4" s="81"/>
      <c r="S4" s="2"/>
      <c r="T4" s="2"/>
      <c r="U4" s="88"/>
    </row>
    <row r="5" spans="2:21" s="9" customFormat="1" ht="65" x14ac:dyDescent="0.3">
      <c r="B5" s="122"/>
      <c r="C5" s="10" t="s">
        <v>17</v>
      </c>
      <c r="D5" s="10" t="s">
        <v>18</v>
      </c>
      <c r="E5" s="10" t="s">
        <v>19</v>
      </c>
      <c r="F5" s="10" t="s">
        <v>20</v>
      </c>
      <c r="G5" s="10" t="s">
        <v>21</v>
      </c>
      <c r="H5" s="10" t="s">
        <v>22</v>
      </c>
      <c r="I5" s="10" t="s">
        <v>23</v>
      </c>
      <c r="J5" s="42" t="s">
        <v>24</v>
      </c>
      <c r="L5" s="9" t="s">
        <v>162</v>
      </c>
      <c r="M5" s="9">
        <v>20</v>
      </c>
      <c r="N5" s="9">
        <v>0</v>
      </c>
      <c r="P5" s="105"/>
      <c r="Q5" s="2"/>
      <c r="R5" s="81"/>
      <c r="S5" s="2"/>
      <c r="T5" s="2"/>
      <c r="U5" s="89"/>
    </row>
    <row r="6" spans="2:21" s="2" customFormat="1" x14ac:dyDescent="0.3">
      <c r="B6" s="52" t="s">
        <v>5</v>
      </c>
      <c r="C6" s="48" t="s">
        <v>25</v>
      </c>
      <c r="D6" s="48"/>
      <c r="E6" s="48"/>
      <c r="F6" s="48"/>
      <c r="G6" s="48"/>
      <c r="H6" s="48"/>
      <c r="I6" s="48"/>
      <c r="J6" s="53"/>
      <c r="L6" s="57" t="s">
        <v>80</v>
      </c>
      <c r="M6" s="34">
        <v>400</v>
      </c>
      <c r="N6" s="34">
        <v>0</v>
      </c>
      <c r="O6" s="34">
        <v>0</v>
      </c>
      <c r="R6" s="81"/>
      <c r="U6" s="82"/>
    </row>
    <row r="7" spans="2:21" s="2" customFormat="1" x14ac:dyDescent="0.3">
      <c r="B7" s="52" t="s">
        <v>26</v>
      </c>
      <c r="C7" s="48" t="s">
        <v>25</v>
      </c>
      <c r="D7" s="48"/>
      <c r="E7" s="48"/>
      <c r="F7" s="48"/>
      <c r="G7" s="48"/>
      <c r="H7" s="48"/>
      <c r="I7" s="48"/>
      <c r="J7" s="53"/>
      <c r="L7" s="57" t="s">
        <v>61</v>
      </c>
      <c r="M7" s="34">
        <v>560</v>
      </c>
      <c r="N7" s="34">
        <v>10</v>
      </c>
      <c r="O7" s="34">
        <v>10</v>
      </c>
      <c r="R7" s="81"/>
      <c r="U7" s="82"/>
    </row>
    <row r="8" spans="2:21" s="2" customFormat="1" x14ac:dyDescent="0.3">
      <c r="B8" s="52" t="s">
        <v>51</v>
      </c>
      <c r="C8" s="48"/>
      <c r="D8" s="48"/>
      <c r="E8" s="48"/>
      <c r="F8" s="48"/>
      <c r="G8" s="48"/>
      <c r="H8" s="48"/>
      <c r="I8" s="48"/>
      <c r="J8" s="53"/>
      <c r="L8" s="90" t="s">
        <v>7</v>
      </c>
      <c r="M8" s="91">
        <f>SUM(M2+M3+M6+M7)</f>
        <v>9743</v>
      </c>
      <c r="N8" s="91">
        <f>SUM(N2+N3+N6+N7)</f>
        <v>38</v>
      </c>
      <c r="O8" s="91">
        <f>SUM(O3:O7)</f>
        <v>10</v>
      </c>
      <c r="P8" s="72"/>
    </row>
    <row r="9" spans="2:21" s="2" customFormat="1" ht="26" x14ac:dyDescent="0.3">
      <c r="B9" s="54" t="s">
        <v>168</v>
      </c>
      <c r="C9" s="67">
        <v>1</v>
      </c>
      <c r="D9" s="48">
        <v>1</v>
      </c>
      <c r="E9" s="47">
        <f>C9*D9</f>
        <v>1</v>
      </c>
      <c r="F9" s="47">
        <f>N8</f>
        <v>38</v>
      </c>
      <c r="G9" s="47">
        <f>E9*F9</f>
        <v>38</v>
      </c>
      <c r="H9" s="55">
        <f>G9*0.05</f>
        <v>1.9000000000000001</v>
      </c>
      <c r="I9" s="55">
        <f>G9*0.1</f>
        <v>3.8000000000000003</v>
      </c>
      <c r="J9" s="74">
        <f>G9*$G$3+H9*$H$3+I9*$I$3</f>
        <v>5169.0830000000005</v>
      </c>
      <c r="L9" s="92"/>
      <c r="M9" s="93" t="s">
        <v>169</v>
      </c>
    </row>
    <row r="10" spans="2:21" s="2" customFormat="1" ht="26" x14ac:dyDescent="0.35">
      <c r="B10" s="54" t="s">
        <v>69</v>
      </c>
      <c r="C10" s="48" t="s">
        <v>57</v>
      </c>
      <c r="D10" s="48"/>
      <c r="E10" s="48"/>
      <c r="F10" s="48"/>
      <c r="G10" s="48"/>
      <c r="H10" s="48"/>
      <c r="I10" s="48"/>
      <c r="J10" s="74"/>
      <c r="L10" s="33"/>
      <c r="P10" s="72">
        <f>M8+N8-O8</f>
        <v>9771</v>
      </c>
    </row>
    <row r="11" spans="2:21" s="2" customFormat="1" x14ac:dyDescent="0.3">
      <c r="B11" s="54" t="s">
        <v>58</v>
      </c>
      <c r="C11" s="48" t="s">
        <v>70</v>
      </c>
      <c r="D11" s="56"/>
      <c r="E11" s="47"/>
      <c r="F11" s="47"/>
      <c r="G11" s="47"/>
      <c r="H11" s="47"/>
      <c r="I11" s="47"/>
      <c r="J11" s="74"/>
      <c r="L11" s="109"/>
    </row>
    <row r="12" spans="2:21" s="2" customFormat="1" x14ac:dyDescent="0.3">
      <c r="B12" s="54" t="s">
        <v>71</v>
      </c>
      <c r="C12" s="48"/>
      <c r="D12" s="48"/>
      <c r="E12" s="47"/>
      <c r="F12" s="47"/>
      <c r="G12" s="47"/>
      <c r="H12" s="47"/>
      <c r="I12" s="47"/>
      <c r="J12" s="74"/>
    </row>
    <row r="13" spans="2:21" s="2" customFormat="1" x14ac:dyDescent="0.3">
      <c r="B13" s="46" t="s">
        <v>98</v>
      </c>
      <c r="C13" s="57"/>
      <c r="D13" s="57"/>
      <c r="E13" s="57"/>
      <c r="F13" s="57"/>
      <c r="G13" s="57"/>
      <c r="H13" s="57"/>
      <c r="I13" s="57"/>
      <c r="J13" s="75"/>
    </row>
    <row r="14" spans="2:21" s="2" customFormat="1" ht="30.65" customHeight="1" x14ac:dyDescent="0.3">
      <c r="B14" s="102" t="s">
        <v>113</v>
      </c>
      <c r="C14" s="48">
        <v>80</v>
      </c>
      <c r="D14" s="48">
        <v>1</v>
      </c>
      <c r="E14" s="47">
        <f>C14*D14</f>
        <v>80</v>
      </c>
      <c r="F14" s="47">
        <f>N2</f>
        <v>0</v>
      </c>
      <c r="G14" s="47">
        <f>E14*F14</f>
        <v>0</v>
      </c>
      <c r="H14" s="47">
        <f>G14*0.05</f>
        <v>0</v>
      </c>
      <c r="I14" s="47">
        <f>G14*0.1</f>
        <v>0</v>
      </c>
      <c r="J14" s="77">
        <f>G14*$G$3+H14*$H$3+I14*$I$3</f>
        <v>0</v>
      </c>
    </row>
    <row r="15" spans="2:21" s="2" customFormat="1" ht="44.5" customHeight="1" x14ac:dyDescent="0.3">
      <c r="B15" s="102" t="s">
        <v>95</v>
      </c>
      <c r="C15" s="48">
        <v>2</v>
      </c>
      <c r="D15" s="48">
        <v>1</v>
      </c>
      <c r="E15" s="47">
        <f t="shared" ref="E15:E16" si="0">C15*D15</f>
        <v>2</v>
      </c>
      <c r="F15" s="47">
        <f>N2</f>
        <v>0</v>
      </c>
      <c r="G15" s="47">
        <f t="shared" ref="G15" si="1">E15*F15</f>
        <v>0</v>
      </c>
      <c r="H15" s="47">
        <f t="shared" ref="H15" si="2">G15*0.05</f>
        <v>0</v>
      </c>
      <c r="I15" s="47">
        <f t="shared" ref="I15" si="3">G15*0.1</f>
        <v>0</v>
      </c>
      <c r="J15" s="77">
        <f t="shared" ref="J15" si="4">G15*$G$3+H15*$H$3+I15*$I$3</f>
        <v>0</v>
      </c>
    </row>
    <row r="16" spans="2:21" s="2" customFormat="1" ht="43.15" customHeight="1" x14ac:dyDescent="0.3">
      <c r="B16" s="102" t="s">
        <v>96</v>
      </c>
      <c r="C16" s="48">
        <v>2</v>
      </c>
      <c r="D16" s="48">
        <v>4</v>
      </c>
      <c r="E16" s="47">
        <f t="shared" si="0"/>
        <v>8</v>
      </c>
      <c r="F16" s="47">
        <f>M2</f>
        <v>2</v>
      </c>
      <c r="G16" s="47">
        <f>E16*F16</f>
        <v>16</v>
      </c>
      <c r="H16" s="47">
        <f>G16*0.05</f>
        <v>0.8</v>
      </c>
      <c r="I16" s="47">
        <f>G16*0.1</f>
        <v>1.6</v>
      </c>
      <c r="J16" s="74">
        <f>G16*$G$3+H16*$H$3+I16*$I$3</f>
        <v>2176.4560000000001</v>
      </c>
    </row>
    <row r="17" spans="2:12" s="2" customFormat="1" ht="15.5" x14ac:dyDescent="0.3">
      <c r="B17" s="46" t="s">
        <v>119</v>
      </c>
      <c r="C17" s="48"/>
      <c r="D17" s="56"/>
      <c r="E17" s="47"/>
      <c r="F17" s="58"/>
      <c r="G17" s="58"/>
      <c r="H17" s="58"/>
      <c r="I17" s="58"/>
      <c r="J17" s="74"/>
    </row>
    <row r="18" spans="2:12" s="2" customFormat="1" ht="39" x14ac:dyDescent="0.3">
      <c r="B18" s="102" t="s">
        <v>97</v>
      </c>
      <c r="C18" s="48" t="s">
        <v>25</v>
      </c>
      <c r="D18" s="48"/>
      <c r="E18" s="47"/>
      <c r="F18" s="58"/>
      <c r="G18" s="58"/>
      <c r="H18" s="58"/>
      <c r="I18" s="58"/>
      <c r="J18" s="74"/>
    </row>
    <row r="19" spans="2:12" s="2" customFormat="1" ht="28.5" x14ac:dyDescent="0.3">
      <c r="B19" s="102" t="s">
        <v>74</v>
      </c>
      <c r="C19" s="48" t="s">
        <v>25</v>
      </c>
      <c r="D19" s="48"/>
      <c r="E19" s="47"/>
      <c r="F19" s="58"/>
      <c r="G19" s="58"/>
      <c r="H19" s="58"/>
      <c r="I19" s="58"/>
      <c r="J19" s="74"/>
    </row>
    <row r="20" spans="2:12" s="2" customFormat="1" x14ac:dyDescent="0.3">
      <c r="B20" s="46" t="s">
        <v>114</v>
      </c>
      <c r="C20" s="48"/>
      <c r="D20" s="56"/>
      <c r="E20" s="47"/>
      <c r="F20" s="58"/>
      <c r="G20" s="58"/>
      <c r="H20" s="58"/>
      <c r="I20" s="58"/>
      <c r="J20" s="74"/>
    </row>
    <row r="21" spans="2:12" s="2" customFormat="1" ht="42.65" customHeight="1" x14ac:dyDescent="0.3">
      <c r="B21" s="102" t="s">
        <v>163</v>
      </c>
      <c r="C21" s="48">
        <v>1</v>
      </c>
      <c r="D21" s="56">
        <v>9</v>
      </c>
      <c r="E21" s="47">
        <f>C21*D21</f>
        <v>9</v>
      </c>
      <c r="F21" s="108">
        <f>M3</f>
        <v>8781</v>
      </c>
      <c r="G21" s="47">
        <f>E21*F21</f>
        <v>79029</v>
      </c>
      <c r="H21" s="58">
        <f>G21*0.05</f>
        <v>3951.4500000000003</v>
      </c>
      <c r="I21" s="55">
        <f>G21*0.1</f>
        <v>7902.9000000000005</v>
      </c>
      <c r="J21" s="74">
        <f>G21*$G$3+H21*$H$3+I21*$I$3</f>
        <v>10750196.326500002</v>
      </c>
      <c r="L21" s="2" t="s">
        <v>181</v>
      </c>
    </row>
    <row r="22" spans="2:12" s="2" customFormat="1" ht="16.899999999999999" customHeight="1" x14ac:dyDescent="0.3">
      <c r="B22" s="102" t="s">
        <v>73</v>
      </c>
      <c r="C22" s="48">
        <v>0.25</v>
      </c>
      <c r="D22" s="56">
        <v>2</v>
      </c>
      <c r="E22" s="55">
        <f>C22*D22</f>
        <v>0.5</v>
      </c>
      <c r="F22" s="47">
        <f>F21</f>
        <v>8781</v>
      </c>
      <c r="G22" s="55">
        <f>E22*F22</f>
        <v>4390.5</v>
      </c>
      <c r="H22" s="58">
        <f>G22*0.05</f>
        <v>219.52500000000001</v>
      </c>
      <c r="I22" s="58">
        <f>G22*0.1</f>
        <v>439.05</v>
      </c>
      <c r="J22" s="74">
        <f>G22*$G$3+H22*$H$3+I22*$I$3</f>
        <v>597233.12925</v>
      </c>
    </row>
    <row r="23" spans="2:12" s="2" customFormat="1" ht="28.5" x14ac:dyDescent="0.3">
      <c r="B23" s="102" t="s">
        <v>74</v>
      </c>
      <c r="C23" s="48">
        <v>1</v>
      </c>
      <c r="D23" s="56">
        <v>3</v>
      </c>
      <c r="E23" s="47">
        <f>C23*D23</f>
        <v>3</v>
      </c>
      <c r="F23" s="47">
        <f>M3</f>
        <v>8781</v>
      </c>
      <c r="G23" s="47">
        <f>E23*F23</f>
        <v>26343</v>
      </c>
      <c r="H23" s="58">
        <f>G23*0.05</f>
        <v>1317.15</v>
      </c>
      <c r="I23" s="55">
        <f>G23*0.1</f>
        <v>2634.3</v>
      </c>
      <c r="J23" s="74">
        <f>G23*$G$3+H23*$H$3+I23*$I$3</f>
        <v>3583398.7755</v>
      </c>
    </row>
    <row r="24" spans="2:12" s="2" customFormat="1" ht="28.9" customHeight="1" x14ac:dyDescent="0.3">
      <c r="B24" s="102" t="s">
        <v>154</v>
      </c>
      <c r="C24" s="48">
        <v>2</v>
      </c>
      <c r="D24" s="56">
        <v>2</v>
      </c>
      <c r="E24" s="47">
        <f>C24*D24</f>
        <v>4</v>
      </c>
      <c r="F24" s="108">
        <v>20</v>
      </c>
      <c r="G24" s="47">
        <f>E24*F24</f>
        <v>80</v>
      </c>
      <c r="H24" s="58">
        <f>G24*0.05</f>
        <v>4</v>
      </c>
      <c r="I24" s="55">
        <f>G24*0.1</f>
        <v>8</v>
      </c>
      <c r="J24" s="74">
        <f>G24*$G$3+H24*$H$3+I24*$I$3</f>
        <v>10882.28</v>
      </c>
      <c r="L24" s="2" t="s">
        <v>161</v>
      </c>
    </row>
    <row r="25" spans="2:12" s="2" customFormat="1" ht="26" x14ac:dyDescent="0.3">
      <c r="B25" s="46" t="s">
        <v>75</v>
      </c>
      <c r="C25" s="48"/>
      <c r="D25" s="56"/>
      <c r="E25" s="47"/>
      <c r="F25" s="58"/>
      <c r="G25" s="58"/>
      <c r="H25" s="58"/>
      <c r="I25" s="58"/>
      <c r="J25" s="74"/>
    </row>
    <row r="26" spans="2:12" s="2" customFormat="1" ht="28.5" x14ac:dyDescent="0.3">
      <c r="B26" s="45" t="s">
        <v>76</v>
      </c>
      <c r="C26" s="48">
        <v>1</v>
      </c>
      <c r="D26" s="56">
        <v>1</v>
      </c>
      <c r="E26" s="47">
        <f>C26*D26</f>
        <v>1</v>
      </c>
      <c r="F26" s="47">
        <f>0.1*M6</f>
        <v>40</v>
      </c>
      <c r="G26" s="47">
        <f>E26*F26</f>
        <v>40</v>
      </c>
      <c r="H26" s="47">
        <f>G26*0.05</f>
        <v>2</v>
      </c>
      <c r="I26" s="47">
        <f>G26*0.1</f>
        <v>4</v>
      </c>
      <c r="J26" s="74">
        <f>G26*$G$3+H26*$H$3+I26*$I$3</f>
        <v>5441.14</v>
      </c>
    </row>
    <row r="27" spans="2:12" s="2" customFormat="1" ht="26" x14ac:dyDescent="0.3">
      <c r="B27" s="45" t="s">
        <v>86</v>
      </c>
      <c r="C27" s="48">
        <v>1</v>
      </c>
      <c r="D27" s="56">
        <v>2</v>
      </c>
      <c r="E27" s="47">
        <f t="shared" ref="E27:E28" si="5">C27*D27</f>
        <v>2</v>
      </c>
      <c r="F27" s="47">
        <f>M6</f>
        <v>400</v>
      </c>
      <c r="G27" s="47">
        <f>E27*F27</f>
        <v>800</v>
      </c>
      <c r="H27" s="47">
        <f>G27*0.05</f>
        <v>40</v>
      </c>
      <c r="I27" s="47">
        <f>G27*0.1</f>
        <v>80</v>
      </c>
      <c r="J27" s="74">
        <f>G27*$G$3+H27*$H$3+I27*$I$3</f>
        <v>108822.8</v>
      </c>
    </row>
    <row r="28" spans="2:12" s="2" customFormat="1" ht="28.5" x14ac:dyDescent="0.3">
      <c r="B28" s="45" t="s">
        <v>74</v>
      </c>
      <c r="C28" s="48">
        <v>0.1</v>
      </c>
      <c r="D28" s="56">
        <v>1</v>
      </c>
      <c r="E28" s="55">
        <f t="shared" si="5"/>
        <v>0.1</v>
      </c>
      <c r="F28" s="47">
        <f>M6</f>
        <v>400</v>
      </c>
      <c r="G28" s="47">
        <f>E28*F28</f>
        <v>40</v>
      </c>
      <c r="H28" s="47">
        <f>G28*0.05</f>
        <v>2</v>
      </c>
      <c r="I28" s="47">
        <f>G28*0.1</f>
        <v>4</v>
      </c>
      <c r="J28" s="74">
        <f>G28*$G$3+H28*$H$3+I28*$I$3</f>
        <v>5441.14</v>
      </c>
    </row>
    <row r="29" spans="2:12" s="2" customFormat="1" x14ac:dyDescent="0.3">
      <c r="B29" s="45" t="s">
        <v>115</v>
      </c>
      <c r="C29" s="48">
        <v>1</v>
      </c>
      <c r="D29" s="56">
        <v>1</v>
      </c>
      <c r="E29" s="47">
        <f>C29*D29</f>
        <v>1</v>
      </c>
      <c r="F29" s="47">
        <v>0</v>
      </c>
      <c r="G29" s="47">
        <f>E29*F29</f>
        <v>0</v>
      </c>
      <c r="H29" s="47">
        <f>G29*0.05</f>
        <v>0</v>
      </c>
      <c r="I29" s="47">
        <f>G29*0.1</f>
        <v>0</v>
      </c>
      <c r="J29" s="77">
        <f>G29*$G$3+H29*$H$3+I29*$I$3</f>
        <v>0</v>
      </c>
    </row>
    <row r="30" spans="2:12" s="2" customFormat="1" ht="26" x14ac:dyDescent="0.3">
      <c r="B30" s="46" t="s">
        <v>102</v>
      </c>
      <c r="C30" s="48"/>
      <c r="D30" s="56"/>
      <c r="E30" s="47"/>
      <c r="F30" s="58"/>
      <c r="G30" s="58"/>
      <c r="H30" s="58"/>
      <c r="I30" s="58"/>
      <c r="J30" s="74"/>
    </row>
    <row r="31" spans="2:12" s="2" customFormat="1" x14ac:dyDescent="0.3">
      <c r="B31" s="45" t="s">
        <v>115</v>
      </c>
      <c r="C31" s="48">
        <v>1</v>
      </c>
      <c r="D31" s="56">
        <v>1</v>
      </c>
      <c r="E31" s="47">
        <f>C31*D31</f>
        <v>1</v>
      </c>
      <c r="F31" s="47">
        <f>N7</f>
        <v>10</v>
      </c>
      <c r="G31" s="47">
        <f>E31*F31</f>
        <v>10</v>
      </c>
      <c r="H31" s="55">
        <f>G31*0.05</f>
        <v>0.5</v>
      </c>
      <c r="I31" s="47">
        <f>G31*0.1</f>
        <v>1</v>
      </c>
      <c r="J31" s="74">
        <f>G31*$G$3+H31*$H$3+I31*$I$3</f>
        <v>1360.2850000000001</v>
      </c>
    </row>
    <row r="32" spans="2:12" s="2" customFormat="1" x14ac:dyDescent="0.3">
      <c r="B32" s="45" t="s">
        <v>104</v>
      </c>
      <c r="C32" s="48">
        <v>0.67</v>
      </c>
      <c r="D32" s="56">
        <v>1</v>
      </c>
      <c r="E32" s="58">
        <f t="shared" ref="E32" si="6">C32*D32</f>
        <v>0.67</v>
      </c>
      <c r="F32" s="47">
        <f>M7</f>
        <v>560</v>
      </c>
      <c r="G32" s="55">
        <f t="shared" ref="G32:G34" si="7">E32*F32</f>
        <v>375.20000000000005</v>
      </c>
      <c r="H32" s="58">
        <f t="shared" ref="H32:H34" si="8">G32*0.05</f>
        <v>18.760000000000002</v>
      </c>
      <c r="I32" s="58">
        <f t="shared" ref="I32:I34" si="9">G32*0.1</f>
        <v>37.520000000000003</v>
      </c>
      <c r="J32" s="74">
        <f t="shared" ref="J32:J34" si="10">G32*$G$3+H32*$H$3+I32*$I$3</f>
        <v>51037.893200000006</v>
      </c>
    </row>
    <row r="33" spans="2:10" s="2" customFormat="1" ht="28.5" x14ac:dyDescent="0.3">
      <c r="B33" s="45" t="s">
        <v>122</v>
      </c>
      <c r="C33" s="48">
        <v>1.5</v>
      </c>
      <c r="D33" s="56">
        <v>1</v>
      </c>
      <c r="E33" s="55">
        <f t="shared" ref="E33:E34" si="11">C33*D33</f>
        <v>1.5</v>
      </c>
      <c r="F33" s="47">
        <f>M7</f>
        <v>560</v>
      </c>
      <c r="G33" s="47">
        <f t="shared" si="7"/>
        <v>840</v>
      </c>
      <c r="H33" s="47">
        <f t="shared" si="8"/>
        <v>42</v>
      </c>
      <c r="I33" s="47">
        <f t="shared" si="9"/>
        <v>84</v>
      </c>
      <c r="J33" s="74">
        <f t="shared" si="10"/>
        <v>114263.94</v>
      </c>
    </row>
    <row r="34" spans="2:10" s="2" customFormat="1" ht="28.5" x14ac:dyDescent="0.3">
      <c r="B34" s="45" t="s">
        <v>124</v>
      </c>
      <c r="C34" s="48">
        <v>1.17</v>
      </c>
      <c r="D34" s="56">
        <v>2</v>
      </c>
      <c r="E34" s="58">
        <f t="shared" si="11"/>
        <v>2.34</v>
      </c>
      <c r="F34" s="47">
        <f>M7</f>
        <v>560</v>
      </c>
      <c r="G34" s="55">
        <f t="shared" si="7"/>
        <v>1310.3999999999999</v>
      </c>
      <c r="H34" s="58">
        <f t="shared" si="8"/>
        <v>65.52</v>
      </c>
      <c r="I34" s="58">
        <f t="shared" si="9"/>
        <v>131.04</v>
      </c>
      <c r="J34" s="74">
        <f t="shared" si="10"/>
        <v>178251.74639999997</v>
      </c>
    </row>
    <row r="35" spans="2:10" s="2" customFormat="1" ht="15.75" customHeight="1" x14ac:dyDescent="0.3">
      <c r="B35" s="45" t="s">
        <v>127</v>
      </c>
      <c r="C35" s="48">
        <v>2</v>
      </c>
      <c r="D35" s="56">
        <v>1</v>
      </c>
      <c r="E35" s="47">
        <f>C35*D35</f>
        <v>2</v>
      </c>
      <c r="F35" s="47">
        <v>0</v>
      </c>
      <c r="G35" s="47">
        <f t="shared" ref="G35" si="12">E35*F35</f>
        <v>0</v>
      </c>
      <c r="H35" s="47">
        <f t="shared" ref="H35" si="13">G35*0.05</f>
        <v>0</v>
      </c>
      <c r="I35" s="47">
        <f t="shared" ref="I35" si="14">G35*0.1</f>
        <v>0</v>
      </c>
      <c r="J35" s="77">
        <f>G35*$G$3+H35*$H$3+I35*$I$3</f>
        <v>0</v>
      </c>
    </row>
    <row r="36" spans="2:10" s="2" customFormat="1" x14ac:dyDescent="0.3">
      <c r="B36" s="45" t="s">
        <v>103</v>
      </c>
      <c r="C36" s="48">
        <v>2</v>
      </c>
      <c r="D36" s="56">
        <v>1</v>
      </c>
      <c r="E36" s="47">
        <f>C36*D36</f>
        <v>2</v>
      </c>
      <c r="F36" s="47">
        <f>O7</f>
        <v>10</v>
      </c>
      <c r="G36" s="47">
        <f t="shared" ref="G36" si="15">E36*F36</f>
        <v>20</v>
      </c>
      <c r="H36" s="47">
        <f t="shared" ref="H36" si="16">G36*0.05</f>
        <v>1</v>
      </c>
      <c r="I36" s="47">
        <f t="shared" ref="I36" si="17">G36*0.1</f>
        <v>2</v>
      </c>
      <c r="J36" s="74">
        <f>G36*$G$3+H36*$H$3+I36*$I$3</f>
        <v>2720.57</v>
      </c>
    </row>
    <row r="37" spans="2:10" s="2" customFormat="1" ht="13.5" x14ac:dyDescent="0.35">
      <c r="B37" s="59" t="s">
        <v>6</v>
      </c>
      <c r="C37" s="60"/>
      <c r="D37" s="60"/>
      <c r="E37" s="61"/>
      <c r="F37" s="61"/>
      <c r="G37" s="123">
        <f>SUM(G9:I36)</f>
        <v>130331.91499999998</v>
      </c>
      <c r="H37" s="124"/>
      <c r="I37" s="125"/>
      <c r="J37" s="78">
        <f>SUM(J9:J36)</f>
        <v>15416395.564850004</v>
      </c>
    </row>
    <row r="38" spans="2:10" s="2" customFormat="1" x14ac:dyDescent="0.3">
      <c r="B38" s="52" t="s">
        <v>52</v>
      </c>
      <c r="C38" s="48"/>
      <c r="D38" s="48"/>
      <c r="E38" s="48"/>
      <c r="F38" s="48"/>
      <c r="G38" s="48"/>
      <c r="H38" s="48"/>
      <c r="I38" s="48"/>
      <c r="J38" s="74"/>
    </row>
    <row r="39" spans="2:10" s="2" customFormat="1" ht="26" x14ac:dyDescent="0.3">
      <c r="B39" s="54" t="s">
        <v>167</v>
      </c>
      <c r="C39" s="48" t="s">
        <v>62</v>
      </c>
      <c r="D39" s="56"/>
      <c r="E39" s="47"/>
      <c r="F39" s="47"/>
      <c r="G39" s="47"/>
      <c r="H39" s="55"/>
      <c r="I39" s="55"/>
      <c r="J39" s="74"/>
    </row>
    <row r="40" spans="2:10" s="2" customFormat="1" x14ac:dyDescent="0.3">
      <c r="B40" s="54" t="s">
        <v>63</v>
      </c>
      <c r="C40" s="48" t="s">
        <v>64</v>
      </c>
      <c r="D40" s="48"/>
      <c r="E40" s="47"/>
      <c r="F40" s="47"/>
      <c r="G40" s="47"/>
      <c r="H40" s="47"/>
      <c r="I40" s="47"/>
      <c r="J40" s="74"/>
    </row>
    <row r="41" spans="2:10" s="2" customFormat="1" x14ac:dyDescent="0.3">
      <c r="B41" s="54" t="s">
        <v>77</v>
      </c>
      <c r="C41" s="48" t="s">
        <v>64</v>
      </c>
      <c r="D41" s="48"/>
      <c r="E41" s="47"/>
      <c r="F41" s="47"/>
      <c r="G41" s="47"/>
      <c r="H41" s="47"/>
      <c r="I41" s="47"/>
      <c r="J41" s="74"/>
    </row>
    <row r="42" spans="2:10" s="2" customFormat="1" x14ac:dyDescent="0.3">
      <c r="B42" s="54" t="s">
        <v>65</v>
      </c>
      <c r="C42" s="48" t="s">
        <v>25</v>
      </c>
      <c r="D42" s="48"/>
      <c r="E42" s="47"/>
      <c r="F42" s="47"/>
      <c r="G42" s="47"/>
      <c r="H42" s="47"/>
      <c r="I42" s="47"/>
      <c r="J42" s="74"/>
    </row>
    <row r="43" spans="2:10" s="2" customFormat="1" ht="26" x14ac:dyDescent="0.3">
      <c r="B43" s="54" t="s">
        <v>66</v>
      </c>
      <c r="C43" s="48"/>
      <c r="D43" s="56"/>
      <c r="E43" s="47"/>
      <c r="F43" s="47"/>
      <c r="G43" s="47"/>
      <c r="H43" s="55"/>
      <c r="I43" s="55"/>
      <c r="J43" s="74"/>
    </row>
    <row r="44" spans="2:10" s="2" customFormat="1" x14ac:dyDescent="0.3">
      <c r="B44" s="46" t="s">
        <v>98</v>
      </c>
      <c r="C44" s="48"/>
      <c r="D44" s="56"/>
      <c r="E44" s="47"/>
      <c r="F44" s="47"/>
      <c r="G44" s="47"/>
      <c r="H44" s="55"/>
      <c r="I44" s="55"/>
      <c r="J44" s="74"/>
    </row>
    <row r="45" spans="2:10" s="2" customFormat="1" ht="39" x14ac:dyDescent="0.3">
      <c r="B45" s="45" t="s">
        <v>100</v>
      </c>
      <c r="C45" s="48">
        <v>0.1</v>
      </c>
      <c r="D45" s="56">
        <v>1</v>
      </c>
      <c r="E45" s="55">
        <f>C45*D45</f>
        <v>0.1</v>
      </c>
      <c r="F45" s="47">
        <f>F15</f>
        <v>0</v>
      </c>
      <c r="G45" s="47">
        <f t="shared" ref="G45" si="18">E45*F45</f>
        <v>0</v>
      </c>
      <c r="H45" s="47">
        <f t="shared" ref="H45" si="19">G45*0.05</f>
        <v>0</v>
      </c>
      <c r="I45" s="47">
        <f t="shared" ref="I45" si="20">G45*0.1</f>
        <v>0</v>
      </c>
      <c r="J45" s="74">
        <f>G45*$G$3+H45*$H$3+I45*$I$3</f>
        <v>0</v>
      </c>
    </row>
    <row r="46" spans="2:10" s="2" customFormat="1" x14ac:dyDescent="0.3">
      <c r="B46" s="45" t="s">
        <v>67</v>
      </c>
      <c r="C46" s="48">
        <v>0.1</v>
      </c>
      <c r="D46" s="56">
        <v>12</v>
      </c>
      <c r="E46" s="55">
        <f>C46*D46</f>
        <v>1.2000000000000002</v>
      </c>
      <c r="F46" s="47">
        <f>M2</f>
        <v>2</v>
      </c>
      <c r="G46" s="55">
        <f t="shared" ref="G46" si="21">E46*F46</f>
        <v>2.4000000000000004</v>
      </c>
      <c r="H46" s="58">
        <f t="shared" ref="H46" si="22">G46*0.05</f>
        <v>0.12000000000000002</v>
      </c>
      <c r="I46" s="58">
        <f t="shared" ref="I46" si="23">G46*0.1</f>
        <v>0.24000000000000005</v>
      </c>
      <c r="J46" s="74">
        <f>G46*$G$3+H46*$H$3+I46*$I$3</f>
        <v>326.46840000000003</v>
      </c>
    </row>
    <row r="47" spans="2:10" s="2" customFormat="1" ht="15.5" x14ac:dyDescent="0.3">
      <c r="B47" s="46" t="s">
        <v>119</v>
      </c>
      <c r="C47" s="48"/>
      <c r="D47" s="56"/>
      <c r="E47" s="47"/>
      <c r="F47" s="47"/>
      <c r="G47" s="47"/>
      <c r="H47" s="55"/>
      <c r="I47" s="55"/>
      <c r="J47" s="74"/>
    </row>
    <row r="48" spans="2:10" s="2" customFormat="1" x14ac:dyDescent="0.3">
      <c r="B48" s="45" t="s">
        <v>67</v>
      </c>
      <c r="C48" s="48" t="s">
        <v>25</v>
      </c>
      <c r="D48" s="56"/>
      <c r="E48" s="58"/>
      <c r="F48" s="47"/>
      <c r="G48" s="58"/>
      <c r="H48" s="58"/>
      <c r="I48" s="58"/>
      <c r="J48" s="74"/>
    </row>
    <row r="49" spans="2:12" s="2" customFormat="1" ht="28.5" x14ac:dyDescent="0.3">
      <c r="B49" s="45" t="s">
        <v>74</v>
      </c>
      <c r="C49" s="48" t="s">
        <v>25</v>
      </c>
      <c r="D49" s="56"/>
      <c r="E49" s="58"/>
      <c r="F49" s="47"/>
      <c r="G49" s="58"/>
      <c r="H49" s="58"/>
      <c r="I49" s="58"/>
      <c r="J49" s="74"/>
    </row>
    <row r="50" spans="2:12" s="2" customFormat="1" x14ac:dyDescent="0.3">
      <c r="B50" s="46" t="s">
        <v>114</v>
      </c>
      <c r="C50" s="48"/>
      <c r="D50" s="56"/>
      <c r="E50" s="47"/>
      <c r="F50" s="47"/>
      <c r="G50" s="47"/>
      <c r="H50" s="55"/>
      <c r="I50" s="55"/>
      <c r="J50" s="74"/>
    </row>
    <row r="51" spans="2:12" s="2" customFormat="1" ht="15.5" x14ac:dyDescent="0.3">
      <c r="B51" s="45" t="s">
        <v>129</v>
      </c>
      <c r="C51" s="48">
        <v>0.1</v>
      </c>
      <c r="D51" s="56">
        <v>24</v>
      </c>
      <c r="E51" s="55">
        <f t="shared" ref="E51" si="24">C51*D51</f>
        <v>2.4000000000000004</v>
      </c>
      <c r="F51" s="47">
        <f>M3+N4</f>
        <v>8781</v>
      </c>
      <c r="G51" s="58">
        <f t="shared" ref="G51" si="25">E51*F51</f>
        <v>21074.400000000001</v>
      </c>
      <c r="H51" s="58">
        <f t="shared" ref="H51" si="26">G51*0.05</f>
        <v>1053.72</v>
      </c>
      <c r="I51" s="58">
        <f t="shared" ref="I51" si="27">G51*0.1</f>
        <v>2107.44</v>
      </c>
      <c r="J51" s="74">
        <f>G51*$G$3+H51*$H$3+I51*$I$3</f>
        <v>2866719.0203999998</v>
      </c>
    </row>
    <row r="52" spans="2:12" s="2" customFormat="1" ht="28.5" x14ac:dyDescent="0.3">
      <c r="B52" s="45" t="s">
        <v>131</v>
      </c>
      <c r="C52" s="48">
        <v>0.1</v>
      </c>
      <c r="D52" s="56">
        <v>147</v>
      </c>
      <c r="E52" s="55">
        <f t="shared" ref="E52" si="28">C52*D52</f>
        <v>14.700000000000001</v>
      </c>
      <c r="F52" s="47">
        <v>0</v>
      </c>
      <c r="G52" s="47">
        <f t="shared" ref="G52:G53" si="29">E52*F52</f>
        <v>0</v>
      </c>
      <c r="H52" s="47">
        <f t="shared" ref="H52:H53" si="30">G52*0.05</f>
        <v>0</v>
      </c>
      <c r="I52" s="47">
        <f t="shared" ref="I52:I53" si="31">G52*0.1</f>
        <v>0</v>
      </c>
      <c r="J52" s="77">
        <f>G52*$G$3+H52*$H$3+I52*$I$3</f>
        <v>0</v>
      </c>
    </row>
    <row r="53" spans="2:12" s="2" customFormat="1" ht="28.5" x14ac:dyDescent="0.3">
      <c r="B53" s="45" t="s">
        <v>74</v>
      </c>
      <c r="C53" s="48">
        <v>0.1</v>
      </c>
      <c r="D53" s="56">
        <f>D23</f>
        <v>3</v>
      </c>
      <c r="E53" s="55">
        <f t="shared" ref="E53" si="32">C53*D53</f>
        <v>0.30000000000000004</v>
      </c>
      <c r="F53" s="47">
        <f>M3+N4</f>
        <v>8781</v>
      </c>
      <c r="G53" s="55">
        <f t="shared" si="29"/>
        <v>2634.3</v>
      </c>
      <c r="H53" s="55">
        <f t="shared" si="30"/>
        <v>131.715</v>
      </c>
      <c r="I53" s="58">
        <f t="shared" si="31"/>
        <v>263.43</v>
      </c>
      <c r="J53" s="74">
        <f>G53*$G$3+H53*$H$3+I53*$I$3</f>
        <v>358339.87754999998</v>
      </c>
    </row>
    <row r="54" spans="2:12" s="2" customFormat="1" ht="26" x14ac:dyDescent="0.3">
      <c r="B54" s="46" t="s">
        <v>75</v>
      </c>
      <c r="C54" s="48"/>
      <c r="D54" s="56"/>
      <c r="E54" s="47"/>
      <c r="F54" s="58"/>
      <c r="G54" s="58"/>
      <c r="H54" s="58"/>
      <c r="I54" s="58"/>
      <c r="J54" s="74"/>
    </row>
    <row r="55" spans="2:12" s="2" customFormat="1" ht="28.5" x14ac:dyDescent="0.3">
      <c r="B55" s="45" t="s">
        <v>131</v>
      </c>
      <c r="C55" s="48">
        <v>0.1</v>
      </c>
      <c r="D55" s="56">
        <v>147</v>
      </c>
      <c r="E55" s="55">
        <f t="shared" ref="E55" si="33">C55*D55</f>
        <v>14.700000000000001</v>
      </c>
      <c r="F55" s="47">
        <v>0</v>
      </c>
      <c r="G55" s="47">
        <f t="shared" ref="G55" si="34">E55*F55</f>
        <v>0</v>
      </c>
      <c r="H55" s="47">
        <f t="shared" ref="H55" si="35">G55*0.05</f>
        <v>0</v>
      </c>
      <c r="I55" s="47">
        <f t="shared" ref="I55" si="36">G55*0.1</f>
        <v>0</v>
      </c>
      <c r="J55" s="77">
        <f>G55*$G$3+H55*$H$3+I55*$I$3</f>
        <v>0</v>
      </c>
    </row>
    <row r="56" spans="2:12" s="2" customFormat="1" ht="15.5" x14ac:dyDescent="0.3">
      <c r="B56" s="45" t="s">
        <v>133</v>
      </c>
      <c r="C56" s="48">
        <v>0.1</v>
      </c>
      <c r="D56" s="49">
        <f>2.5*255</f>
        <v>637.5</v>
      </c>
      <c r="E56" s="58">
        <f t="shared" ref="E56" si="37">C56*D56</f>
        <v>63.75</v>
      </c>
      <c r="F56" s="47">
        <f>M6</f>
        <v>400</v>
      </c>
      <c r="G56" s="47">
        <f t="shared" ref="G56" si="38">E56*F56</f>
        <v>25500</v>
      </c>
      <c r="H56" s="47">
        <f t="shared" ref="H56" si="39">G56*0.05</f>
        <v>1275</v>
      </c>
      <c r="I56" s="47">
        <f t="shared" ref="I56" si="40">G56*0.1</f>
        <v>2550</v>
      </c>
      <c r="J56" s="74">
        <f>G56*$G$3+H56*$H$3+I56*$I$3</f>
        <v>3468726.75</v>
      </c>
    </row>
    <row r="57" spans="2:12" s="2" customFormat="1" ht="28.5" x14ac:dyDescent="0.3">
      <c r="B57" s="45" t="s">
        <v>134</v>
      </c>
      <c r="C57" s="48">
        <v>0.25</v>
      </c>
      <c r="D57" s="49">
        <f>2.5*51</f>
        <v>127.5</v>
      </c>
      <c r="E57" s="58">
        <f t="shared" ref="E57" si="41">C57*D57</f>
        <v>31.875</v>
      </c>
      <c r="F57" s="47">
        <f>M6</f>
        <v>400</v>
      </c>
      <c r="G57" s="47">
        <f t="shared" ref="G57" si="42">E57*F57</f>
        <v>12750</v>
      </c>
      <c r="H57" s="55">
        <f t="shared" ref="H57" si="43">G57*0.05</f>
        <v>637.5</v>
      </c>
      <c r="I57" s="47">
        <f t="shared" ref="I57" si="44">G57*0.1</f>
        <v>1275</v>
      </c>
      <c r="J57" s="74">
        <f>G57*$G$3+H57*$H$3+I57*$I$3</f>
        <v>1734363.375</v>
      </c>
    </row>
    <row r="58" spans="2:12" s="2" customFormat="1" x14ac:dyDescent="0.3">
      <c r="B58" s="45" t="s">
        <v>67</v>
      </c>
      <c r="C58" s="48">
        <v>0.1</v>
      </c>
      <c r="D58" s="62">
        <v>51</v>
      </c>
      <c r="E58" s="55">
        <f t="shared" ref="E58" si="45">C58*D58</f>
        <v>5.1000000000000005</v>
      </c>
      <c r="F58" s="47">
        <f>M6</f>
        <v>400</v>
      </c>
      <c r="G58" s="47">
        <f t="shared" ref="G58" si="46">E58*F58</f>
        <v>2040.0000000000002</v>
      </c>
      <c r="H58" s="47">
        <f t="shared" ref="H58" si="47">G58*0.05</f>
        <v>102.00000000000001</v>
      </c>
      <c r="I58" s="47">
        <f t="shared" ref="I58" si="48">G58*0.1</f>
        <v>204.00000000000003</v>
      </c>
      <c r="J58" s="74">
        <f>G58*$G$3+H58*$H$3+I58*$I$3</f>
        <v>277498.14</v>
      </c>
    </row>
    <row r="59" spans="2:12" s="2" customFormat="1" ht="28.5" x14ac:dyDescent="0.3">
      <c r="B59" s="45" t="s">
        <v>74</v>
      </c>
      <c r="C59" s="48">
        <v>0.1</v>
      </c>
      <c r="D59" s="56">
        <f>D28</f>
        <v>1</v>
      </c>
      <c r="E59" s="55">
        <f t="shared" ref="E59" si="49">C59*D59</f>
        <v>0.1</v>
      </c>
      <c r="F59" s="47">
        <f>M6</f>
        <v>400</v>
      </c>
      <c r="G59" s="47">
        <f t="shared" ref="G59" si="50">E59*F59</f>
        <v>40</v>
      </c>
      <c r="H59" s="47">
        <f t="shared" ref="H59" si="51">G59*0.05</f>
        <v>2</v>
      </c>
      <c r="I59" s="47">
        <f t="shared" ref="I59" si="52">G59*0.1</f>
        <v>4</v>
      </c>
      <c r="J59" s="74">
        <f>G59*$G$3+H59*$H$3+I59*$I$3</f>
        <v>5441.14</v>
      </c>
    </row>
    <row r="60" spans="2:12" s="2" customFormat="1" ht="26" x14ac:dyDescent="0.3">
      <c r="B60" s="46" t="s">
        <v>102</v>
      </c>
      <c r="C60" s="48"/>
      <c r="D60" s="56"/>
      <c r="E60" s="47"/>
      <c r="F60" s="58"/>
      <c r="G60" s="58"/>
      <c r="H60" s="58"/>
      <c r="I60" s="58"/>
      <c r="J60" s="74"/>
    </row>
    <row r="61" spans="2:12" s="2" customFormat="1" ht="26" x14ac:dyDescent="0.3">
      <c r="B61" s="45" t="s">
        <v>105</v>
      </c>
      <c r="C61" s="48" t="s">
        <v>57</v>
      </c>
      <c r="D61" s="56"/>
      <c r="E61" s="47"/>
      <c r="F61" s="58"/>
      <c r="G61" s="58"/>
      <c r="H61" s="58"/>
      <c r="I61" s="58"/>
      <c r="J61" s="74"/>
    </row>
    <row r="62" spans="2:12" s="2" customFormat="1" x14ac:dyDescent="0.3">
      <c r="B62" s="45" t="s">
        <v>67</v>
      </c>
      <c r="C62" s="48">
        <v>1.5</v>
      </c>
      <c r="D62" s="56">
        <v>12</v>
      </c>
      <c r="E62" s="47">
        <f t="shared" ref="E62" si="53">C62*D62</f>
        <v>18</v>
      </c>
      <c r="F62" s="47">
        <f>M7</f>
        <v>560</v>
      </c>
      <c r="G62" s="47">
        <f t="shared" ref="G62" si="54">E62*F62</f>
        <v>10080</v>
      </c>
      <c r="H62" s="47">
        <f t="shared" ref="H62" si="55">G62*0.05</f>
        <v>504</v>
      </c>
      <c r="I62" s="47">
        <f t="shared" ref="I62" si="56">G62*0.1</f>
        <v>1008</v>
      </c>
      <c r="J62" s="74">
        <f>G62*$G$3+H62*$H$3+I62*$I$3</f>
        <v>1371167.28</v>
      </c>
    </row>
    <row r="63" spans="2:12" s="2" customFormat="1" ht="26" x14ac:dyDescent="0.3">
      <c r="B63" s="45" t="s">
        <v>116</v>
      </c>
      <c r="C63" s="48">
        <v>0.5</v>
      </c>
      <c r="D63" s="56">
        <v>1</v>
      </c>
      <c r="E63" s="55">
        <f t="shared" ref="E63" si="57">C63*D63</f>
        <v>0.5</v>
      </c>
      <c r="F63" s="47">
        <f>O7</f>
        <v>10</v>
      </c>
      <c r="G63" s="47">
        <f t="shared" ref="G63" si="58">E63*F63</f>
        <v>5</v>
      </c>
      <c r="H63" s="58">
        <f t="shared" ref="H63" si="59">G63*0.05</f>
        <v>0.25</v>
      </c>
      <c r="I63" s="55">
        <f t="shared" ref="I63" si="60">G63*0.1</f>
        <v>0.5</v>
      </c>
      <c r="J63" s="74">
        <f>G63*$G$3+H63*$H$3+I63*$I$3</f>
        <v>680.14250000000004</v>
      </c>
    </row>
    <row r="64" spans="2:12" s="2" customFormat="1" ht="39" x14ac:dyDescent="0.3">
      <c r="B64" s="45" t="s">
        <v>155</v>
      </c>
      <c r="C64" s="48">
        <v>0.5</v>
      </c>
      <c r="D64" s="56">
        <v>1</v>
      </c>
      <c r="E64" s="55">
        <f t="shared" ref="E64" si="61">C64*D64</f>
        <v>0.5</v>
      </c>
      <c r="F64" s="108">
        <v>20</v>
      </c>
      <c r="G64" s="47">
        <f t="shared" ref="G64" si="62">E64*F64</f>
        <v>10</v>
      </c>
      <c r="H64" s="58">
        <f t="shared" ref="H64" si="63">G64*0.05</f>
        <v>0.5</v>
      </c>
      <c r="I64" s="55">
        <f t="shared" ref="I64" si="64">G64*0.1</f>
        <v>1</v>
      </c>
      <c r="J64" s="74">
        <f>G64*$G$3+H64*$H$3+I64*$I$3</f>
        <v>1360.2850000000001</v>
      </c>
      <c r="L64" s="104"/>
    </row>
    <row r="65" spans="2:12" s="2" customFormat="1" x14ac:dyDescent="0.3">
      <c r="B65" s="54" t="s">
        <v>78</v>
      </c>
      <c r="C65" s="48"/>
      <c r="D65" s="48"/>
      <c r="E65" s="47"/>
      <c r="F65" s="47"/>
      <c r="G65" s="47"/>
      <c r="H65" s="55"/>
      <c r="I65" s="55"/>
      <c r="J65" s="74"/>
    </row>
    <row r="66" spans="2:12" s="2" customFormat="1" x14ac:dyDescent="0.3">
      <c r="B66" s="46" t="s">
        <v>98</v>
      </c>
      <c r="C66" s="63" t="s">
        <v>25</v>
      </c>
      <c r="D66" s="57"/>
      <c r="E66" s="57"/>
      <c r="F66" s="57"/>
      <c r="G66" s="57"/>
      <c r="H66" s="57"/>
      <c r="I66" s="57"/>
      <c r="J66" s="75"/>
    </row>
    <row r="67" spans="2:12" s="2" customFormat="1" ht="15.5" x14ac:dyDescent="0.3">
      <c r="B67" s="46" t="s">
        <v>119</v>
      </c>
      <c r="C67" s="63" t="s">
        <v>25</v>
      </c>
      <c r="D67" s="57"/>
      <c r="E67" s="57"/>
      <c r="F67" s="57"/>
      <c r="G67" s="57"/>
      <c r="H67" s="57"/>
      <c r="I67" s="57"/>
      <c r="J67" s="75"/>
    </row>
    <row r="68" spans="2:12" s="2" customFormat="1" ht="28.5" x14ac:dyDescent="0.3">
      <c r="B68" s="46" t="s">
        <v>135</v>
      </c>
      <c r="C68" s="48">
        <v>8</v>
      </c>
      <c r="D68" s="56">
        <v>1</v>
      </c>
      <c r="E68" s="47">
        <f t="shared" ref="E68" si="65">C68*D68</f>
        <v>8</v>
      </c>
      <c r="F68" s="47">
        <f>M3+N3</f>
        <v>8809</v>
      </c>
      <c r="G68" s="47">
        <f t="shared" ref="G68" si="66">E68*F68</f>
        <v>70472</v>
      </c>
      <c r="H68" s="55">
        <f t="shared" ref="H68" si="67">G68*0.05</f>
        <v>3523.6000000000004</v>
      </c>
      <c r="I68" s="55">
        <f t="shared" ref="I68" si="68">G68*0.1</f>
        <v>7047.2000000000007</v>
      </c>
      <c r="J68" s="74">
        <f>G68*$G$3+H68*$H$3+I68*$I$3</f>
        <v>9586200.4519999996</v>
      </c>
    </row>
    <row r="69" spans="2:12" s="2" customFormat="1" ht="28.5" x14ac:dyDescent="0.3">
      <c r="B69" s="46" t="s">
        <v>99</v>
      </c>
      <c r="C69" s="48" t="s">
        <v>25</v>
      </c>
      <c r="D69" s="56"/>
      <c r="E69" s="47"/>
      <c r="F69" s="58"/>
      <c r="G69" s="58"/>
      <c r="H69" s="58"/>
      <c r="I69" s="58"/>
      <c r="J69" s="74"/>
    </row>
    <row r="70" spans="2:12" s="2" customFormat="1" ht="28.5" x14ac:dyDescent="0.3">
      <c r="B70" s="46" t="s">
        <v>138</v>
      </c>
      <c r="C70" s="48" t="s">
        <v>25</v>
      </c>
      <c r="D70" s="56"/>
      <c r="E70" s="47"/>
      <c r="F70" s="58"/>
      <c r="G70" s="58"/>
      <c r="H70" s="58"/>
      <c r="I70" s="58"/>
      <c r="J70" s="74"/>
    </row>
    <row r="71" spans="2:12" s="2" customFormat="1" x14ac:dyDescent="0.3">
      <c r="B71" s="54" t="s">
        <v>68</v>
      </c>
      <c r="C71" s="48" t="s">
        <v>25</v>
      </c>
      <c r="D71" s="48"/>
      <c r="E71" s="47"/>
      <c r="F71" s="47"/>
      <c r="G71" s="47"/>
      <c r="H71" s="55"/>
      <c r="I71" s="55"/>
      <c r="J71" s="74"/>
    </row>
    <row r="72" spans="2:12" s="2" customFormat="1" ht="13.5" x14ac:dyDescent="0.35">
      <c r="B72" s="59" t="s">
        <v>50</v>
      </c>
      <c r="C72" s="60"/>
      <c r="D72" s="60"/>
      <c r="E72" s="61"/>
      <c r="F72" s="61"/>
      <c r="G72" s="123">
        <f>SUM(G39:I71)</f>
        <v>166299.31500000003</v>
      </c>
      <c r="H72" s="124"/>
      <c r="I72" s="125"/>
      <c r="J72" s="78">
        <f>SUM(J39:J71)</f>
        <v>19670822.930849999</v>
      </c>
    </row>
    <row r="73" spans="2:12" s="2" customFormat="1" ht="28.9" customHeight="1" x14ac:dyDescent="0.3">
      <c r="B73" s="64" t="s">
        <v>175</v>
      </c>
      <c r="C73" s="60"/>
      <c r="D73" s="65"/>
      <c r="E73" s="64"/>
      <c r="F73" s="65"/>
      <c r="G73" s="127">
        <f>ROUND(G37+G72,-3)</f>
        <v>297000</v>
      </c>
      <c r="H73" s="128"/>
      <c r="I73" s="129"/>
      <c r="J73" s="76">
        <f>ROUND(J37+J72,-5)</f>
        <v>35100000</v>
      </c>
    </row>
    <row r="74" spans="2:12" s="2" customFormat="1" ht="42" customHeight="1" x14ac:dyDescent="0.3">
      <c r="B74" s="64" t="s">
        <v>176</v>
      </c>
      <c r="C74" s="60"/>
      <c r="D74" s="65"/>
      <c r="E74" s="64"/>
      <c r="F74" s="65"/>
      <c r="G74" s="83"/>
      <c r="H74" s="83"/>
      <c r="I74" s="83"/>
      <c r="J74" s="76">
        <v>0</v>
      </c>
      <c r="K74" s="21"/>
    </row>
    <row r="75" spans="2:12" s="2" customFormat="1" ht="31.9" customHeight="1" x14ac:dyDescent="0.3">
      <c r="B75" s="64" t="s">
        <v>177</v>
      </c>
      <c r="C75" s="60"/>
      <c r="D75" s="65"/>
      <c r="E75" s="64"/>
      <c r="F75" s="65"/>
      <c r="G75" s="83"/>
      <c r="H75" s="83"/>
      <c r="I75" s="83"/>
      <c r="J75" s="76">
        <f>J73+J74</f>
        <v>35100000</v>
      </c>
      <c r="K75" s="21"/>
    </row>
    <row r="76" spans="2:12" s="2" customFormat="1" x14ac:dyDescent="0.3">
      <c r="B76" s="39"/>
      <c r="C76" s="38"/>
      <c r="D76" s="40"/>
      <c r="E76" s="40"/>
      <c r="F76" s="41"/>
      <c r="G76" s="21"/>
      <c r="K76" s="21"/>
    </row>
    <row r="77" spans="2:12" s="2" customFormat="1" x14ac:dyDescent="0.3">
      <c r="B77" s="50" t="s">
        <v>48</v>
      </c>
    </row>
    <row r="78" spans="2:12" s="2" customFormat="1" ht="167.5" customHeight="1" x14ac:dyDescent="0.3">
      <c r="B78" s="126" t="s">
        <v>182</v>
      </c>
      <c r="C78" s="126"/>
      <c r="D78" s="126"/>
      <c r="E78" s="126"/>
      <c r="F78" s="126"/>
      <c r="G78" s="126"/>
      <c r="H78" s="126"/>
      <c r="I78" s="126"/>
      <c r="J78" s="126"/>
      <c r="L78" s="106"/>
    </row>
    <row r="79" spans="2:12" s="2" customFormat="1" ht="60" customHeight="1" x14ac:dyDescent="0.3">
      <c r="B79" s="130" t="s">
        <v>173</v>
      </c>
      <c r="C79" s="130"/>
      <c r="D79" s="130"/>
      <c r="E79" s="130"/>
      <c r="F79" s="130"/>
      <c r="G79" s="130"/>
      <c r="H79" s="130"/>
      <c r="I79" s="130"/>
      <c r="J79" s="130"/>
      <c r="L79" s="93"/>
    </row>
    <row r="80" spans="2:12" s="2" customFormat="1" x14ac:dyDescent="0.3">
      <c r="B80" s="126" t="s">
        <v>120</v>
      </c>
      <c r="C80" s="126"/>
      <c r="D80" s="126"/>
      <c r="E80" s="126"/>
      <c r="F80" s="126"/>
      <c r="G80" s="126"/>
      <c r="H80" s="126"/>
      <c r="I80" s="126"/>
      <c r="J80" s="126"/>
    </row>
    <row r="81" spans="2:13" ht="26.25" customHeight="1" x14ac:dyDescent="0.3">
      <c r="B81" s="126" t="s">
        <v>72</v>
      </c>
      <c r="C81" s="126"/>
      <c r="D81" s="126"/>
      <c r="E81" s="126"/>
      <c r="F81" s="126"/>
      <c r="G81" s="126"/>
      <c r="H81" s="126"/>
      <c r="I81" s="126"/>
      <c r="J81" s="126"/>
      <c r="L81" s="30"/>
      <c r="M81" s="30"/>
    </row>
    <row r="82" spans="2:13" ht="31.9" customHeight="1" x14ac:dyDescent="0.3">
      <c r="B82" s="126" t="s">
        <v>101</v>
      </c>
      <c r="C82" s="126"/>
      <c r="D82" s="126"/>
      <c r="E82" s="126"/>
      <c r="F82" s="126"/>
      <c r="G82" s="126"/>
      <c r="H82" s="126"/>
      <c r="I82" s="126"/>
      <c r="J82" s="126"/>
      <c r="L82" s="30"/>
      <c r="M82" s="30"/>
    </row>
    <row r="83" spans="2:13" ht="24.75" customHeight="1" x14ac:dyDescent="0.3">
      <c r="B83" s="126" t="s">
        <v>123</v>
      </c>
      <c r="C83" s="126"/>
      <c r="D83" s="126"/>
      <c r="E83" s="126"/>
      <c r="F83" s="126"/>
      <c r="G83" s="126"/>
      <c r="H83" s="126"/>
      <c r="I83" s="126"/>
      <c r="J83" s="126"/>
      <c r="L83" s="30"/>
      <c r="M83" s="30"/>
    </row>
    <row r="84" spans="2:13" ht="28.15" customHeight="1" x14ac:dyDescent="0.3">
      <c r="B84" s="126" t="s">
        <v>125</v>
      </c>
      <c r="C84" s="126"/>
      <c r="D84" s="126"/>
      <c r="E84" s="126"/>
      <c r="F84" s="126"/>
      <c r="G84" s="126"/>
      <c r="H84" s="126"/>
      <c r="I84" s="126"/>
      <c r="J84" s="126"/>
      <c r="L84" s="30"/>
      <c r="M84" s="30"/>
    </row>
    <row r="85" spans="2:13" x14ac:dyDescent="0.3">
      <c r="B85" s="126" t="s">
        <v>126</v>
      </c>
      <c r="C85" s="126"/>
      <c r="D85" s="126"/>
      <c r="E85" s="126"/>
      <c r="F85" s="126"/>
      <c r="G85" s="126"/>
      <c r="H85" s="126"/>
      <c r="I85" s="126"/>
      <c r="J85" s="126"/>
      <c r="L85" s="30"/>
      <c r="M85" s="30"/>
    </row>
    <row r="86" spans="2:13" x14ac:dyDescent="0.3">
      <c r="B86" s="126" t="s">
        <v>128</v>
      </c>
      <c r="C86" s="126"/>
      <c r="D86" s="126"/>
      <c r="E86" s="126"/>
      <c r="F86" s="126"/>
      <c r="G86" s="126"/>
      <c r="H86" s="126"/>
      <c r="I86" s="126"/>
      <c r="J86" s="126"/>
      <c r="L86" s="30"/>
      <c r="M86" s="30"/>
    </row>
    <row r="87" spans="2:13" ht="44.25" customHeight="1" x14ac:dyDescent="0.3">
      <c r="B87" s="126" t="s">
        <v>170</v>
      </c>
      <c r="C87" s="126"/>
      <c r="D87" s="126"/>
      <c r="E87" s="126"/>
      <c r="F87" s="126"/>
      <c r="G87" s="126"/>
      <c r="H87" s="126"/>
      <c r="I87" s="126"/>
      <c r="J87" s="126"/>
      <c r="L87" s="30"/>
      <c r="M87" s="30"/>
    </row>
    <row r="88" spans="2:13" ht="28.15" customHeight="1" x14ac:dyDescent="0.3">
      <c r="B88" s="126" t="s">
        <v>130</v>
      </c>
      <c r="C88" s="126"/>
      <c r="D88" s="126"/>
      <c r="E88" s="126"/>
      <c r="F88" s="126"/>
      <c r="G88" s="126"/>
      <c r="H88" s="126"/>
      <c r="I88" s="126"/>
      <c r="J88" s="126"/>
      <c r="L88" s="30"/>
      <c r="M88" s="30"/>
    </row>
    <row r="89" spans="2:13" ht="23.25" customHeight="1" x14ac:dyDescent="0.3">
      <c r="B89" s="126" t="s">
        <v>132</v>
      </c>
      <c r="C89" s="126"/>
      <c r="D89" s="126"/>
      <c r="E89" s="126"/>
      <c r="F89" s="126"/>
      <c r="G89" s="126"/>
      <c r="H89" s="126"/>
      <c r="I89" s="126"/>
      <c r="J89" s="126"/>
      <c r="L89" s="30"/>
      <c r="M89" s="30"/>
    </row>
    <row r="90" spans="2:13" ht="27" customHeight="1" x14ac:dyDescent="0.3">
      <c r="B90" s="126" t="s">
        <v>172</v>
      </c>
      <c r="C90" s="126"/>
      <c r="D90" s="126"/>
      <c r="E90" s="126"/>
      <c r="F90" s="126"/>
      <c r="G90" s="126"/>
      <c r="H90" s="126"/>
      <c r="I90" s="126"/>
      <c r="J90" s="126"/>
      <c r="L90" s="93"/>
      <c r="M90" s="30"/>
    </row>
    <row r="91" spans="2:13" x14ac:dyDescent="0.3">
      <c r="B91" s="126" t="s">
        <v>136</v>
      </c>
      <c r="C91" s="126"/>
      <c r="D91" s="126"/>
      <c r="E91" s="126"/>
      <c r="F91" s="126"/>
      <c r="G91" s="126"/>
      <c r="H91" s="126"/>
      <c r="I91" s="126"/>
      <c r="J91" s="126"/>
      <c r="L91" s="30"/>
      <c r="M91" s="30"/>
    </row>
    <row r="92" spans="2:13" x14ac:dyDescent="0.3">
      <c r="B92" s="126" t="s">
        <v>137</v>
      </c>
      <c r="C92" s="126"/>
      <c r="D92" s="126"/>
      <c r="E92" s="126"/>
      <c r="F92" s="126"/>
      <c r="G92" s="126"/>
      <c r="H92" s="126"/>
      <c r="I92" s="126"/>
      <c r="J92" s="126"/>
      <c r="L92" s="30"/>
      <c r="M92" s="30"/>
    </row>
    <row r="93" spans="2:13" x14ac:dyDescent="0.3">
      <c r="B93" s="126" t="s">
        <v>178</v>
      </c>
      <c r="C93" s="126"/>
      <c r="D93" s="126"/>
      <c r="E93" s="126"/>
      <c r="F93" s="126"/>
      <c r="G93" s="126"/>
      <c r="H93" s="126"/>
      <c r="I93" s="126"/>
      <c r="J93" s="126"/>
      <c r="L93" s="30"/>
      <c r="M93" s="30"/>
    </row>
    <row r="95" spans="2:13" x14ac:dyDescent="0.3">
      <c r="B95" s="85" t="s">
        <v>27</v>
      </c>
      <c r="C95" s="85" t="s">
        <v>28</v>
      </c>
      <c r="D95" s="85" t="s">
        <v>29</v>
      </c>
      <c r="E95" s="85" t="s">
        <v>84</v>
      </c>
    </row>
    <row r="96" spans="2:13" x14ac:dyDescent="0.3">
      <c r="B96" s="57" t="s">
        <v>121</v>
      </c>
      <c r="C96" s="57">
        <v>2</v>
      </c>
      <c r="D96" s="57">
        <v>0</v>
      </c>
      <c r="E96" s="57">
        <v>0</v>
      </c>
    </row>
    <row r="97" spans="2:5" x14ac:dyDescent="0.3">
      <c r="B97" s="57" t="s">
        <v>79</v>
      </c>
      <c r="C97" s="34">
        <v>8697</v>
      </c>
      <c r="D97" s="34">
        <v>28</v>
      </c>
      <c r="E97" s="34">
        <v>0</v>
      </c>
    </row>
    <row r="98" spans="2:5" x14ac:dyDescent="0.3">
      <c r="B98" s="57" t="s">
        <v>80</v>
      </c>
      <c r="C98" s="34">
        <v>400</v>
      </c>
      <c r="D98" s="34">
        <v>0</v>
      </c>
      <c r="E98" s="34">
        <v>0</v>
      </c>
    </row>
    <row r="99" spans="2:5" x14ac:dyDescent="0.3">
      <c r="B99" s="57" t="s">
        <v>61</v>
      </c>
      <c r="C99" s="34">
        <v>560</v>
      </c>
      <c r="D99" s="34">
        <v>10</v>
      </c>
      <c r="E99" s="34">
        <v>10</v>
      </c>
    </row>
    <row r="100" spans="2:5" x14ac:dyDescent="0.3">
      <c r="B100" s="90" t="s">
        <v>7</v>
      </c>
      <c r="C100" s="91">
        <f>SUM(C96:C99)</f>
        <v>9659</v>
      </c>
      <c r="D100" s="91">
        <f>SUM(D96:D99)</f>
        <v>38</v>
      </c>
      <c r="E100" s="91">
        <f>SUM(E97:E99)</f>
        <v>10</v>
      </c>
    </row>
  </sheetData>
  <mergeCells count="20">
    <mergeCell ref="B93:J93"/>
    <mergeCell ref="B91:J91"/>
    <mergeCell ref="B92:J92"/>
    <mergeCell ref="B89:J89"/>
    <mergeCell ref="B90:J90"/>
    <mergeCell ref="B86:J86"/>
    <mergeCell ref="B87:J87"/>
    <mergeCell ref="B88:J88"/>
    <mergeCell ref="B79:J79"/>
    <mergeCell ref="B80:J80"/>
    <mergeCell ref="B81:J81"/>
    <mergeCell ref="B82:J82"/>
    <mergeCell ref="B83:J83"/>
    <mergeCell ref="B84:J84"/>
    <mergeCell ref="B85:J85"/>
    <mergeCell ref="B4:B5"/>
    <mergeCell ref="G37:I37"/>
    <mergeCell ref="G72:I72"/>
    <mergeCell ref="B78:J78"/>
    <mergeCell ref="G73:I73"/>
  </mergeCells>
  <pageMargins left="0.25" right="0.25" top="0.75" bottom="0.75" header="0.3" footer="0.3"/>
  <pageSetup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6"/>
  <sheetViews>
    <sheetView topLeftCell="A13" zoomScale="90" zoomScaleNormal="90" workbookViewId="0">
      <selection activeCell="G30" sqref="G30"/>
    </sheetView>
  </sheetViews>
  <sheetFormatPr defaultColWidth="9.26953125" defaultRowHeight="14.5" x14ac:dyDescent="0.35"/>
  <cols>
    <col min="1" max="1" width="0.7265625" style="100" customWidth="1"/>
    <col min="2" max="2" width="26.54296875" style="100" customWidth="1"/>
    <col min="3" max="3" width="10.26953125" style="100" customWidth="1"/>
    <col min="4" max="4" width="11.7265625" style="100" customWidth="1"/>
    <col min="5" max="5" width="10.26953125" style="100" customWidth="1"/>
    <col min="6" max="6" width="11.7265625" style="100" customWidth="1"/>
    <col min="7" max="7" width="10.26953125" style="100" customWidth="1"/>
    <col min="8" max="8" width="11.54296875" style="100" customWidth="1"/>
    <col min="9" max="9" width="10.26953125" style="100" customWidth="1"/>
    <col min="10" max="10" width="12.453125" style="100" customWidth="1"/>
    <col min="11" max="11" width="2" style="101" customWidth="1"/>
    <col min="12" max="12" width="6.7265625" style="101" bestFit="1" customWidth="1"/>
    <col min="13" max="13" width="7.7265625" style="101" customWidth="1"/>
    <col min="14" max="14" width="10.7265625" style="100" customWidth="1"/>
    <col min="15" max="16384" width="9.26953125" style="100"/>
  </cols>
  <sheetData>
    <row r="1" spans="2:13" ht="15.5" x14ac:dyDescent="0.35">
      <c r="B1" s="3" t="s">
        <v>56</v>
      </c>
    </row>
    <row r="2" spans="2:13" ht="15.5" x14ac:dyDescent="0.35">
      <c r="B2" s="3"/>
    </row>
    <row r="3" spans="2:13" x14ac:dyDescent="0.35">
      <c r="F3" s="51" t="s">
        <v>53</v>
      </c>
      <c r="G3" s="24">
        <v>51.23</v>
      </c>
      <c r="H3" s="24">
        <v>69.040000000000006</v>
      </c>
      <c r="I3" s="24">
        <v>27.73</v>
      </c>
      <c r="J3" s="73"/>
    </row>
    <row r="4" spans="2:13" s="6" customFormat="1" ht="13" x14ac:dyDescent="0.3">
      <c r="B4" s="134" t="s">
        <v>8</v>
      </c>
      <c r="C4" s="22" t="s">
        <v>9</v>
      </c>
      <c r="D4" s="22" t="s">
        <v>10</v>
      </c>
      <c r="E4" s="22" t="s">
        <v>11</v>
      </c>
      <c r="F4" s="22" t="s">
        <v>12</v>
      </c>
      <c r="G4" s="22" t="s">
        <v>13</v>
      </c>
      <c r="H4" s="22" t="s">
        <v>14</v>
      </c>
      <c r="I4" s="22" t="s">
        <v>15</v>
      </c>
      <c r="J4" s="22" t="s">
        <v>16</v>
      </c>
      <c r="K4" s="23"/>
    </row>
    <row r="5" spans="2:13" s="9" customFormat="1" ht="91.5" x14ac:dyDescent="0.35">
      <c r="B5" s="134"/>
      <c r="C5" s="10" t="s">
        <v>44</v>
      </c>
      <c r="D5" s="10" t="s">
        <v>18</v>
      </c>
      <c r="E5" s="10" t="s">
        <v>45</v>
      </c>
      <c r="F5" s="10" t="s">
        <v>20</v>
      </c>
      <c r="G5" s="10" t="s">
        <v>46</v>
      </c>
      <c r="H5" s="10" t="s">
        <v>47</v>
      </c>
      <c r="I5" s="10" t="s">
        <v>23</v>
      </c>
      <c r="J5" s="10" t="s">
        <v>24</v>
      </c>
      <c r="K5" s="25"/>
      <c r="L5" s="33" t="s">
        <v>85</v>
      </c>
    </row>
    <row r="6" spans="2:13" s="2" customFormat="1" ht="13" x14ac:dyDescent="0.3">
      <c r="B6" s="52" t="s">
        <v>112</v>
      </c>
      <c r="C6" s="57"/>
      <c r="D6" s="57"/>
      <c r="E6" s="57"/>
      <c r="F6" s="57"/>
      <c r="G6" s="57"/>
      <c r="H6" s="57"/>
      <c r="I6" s="57"/>
      <c r="J6" s="57"/>
      <c r="L6" s="2" t="s">
        <v>147</v>
      </c>
      <c r="M6" s="93"/>
    </row>
    <row r="7" spans="2:13" s="2" customFormat="1" ht="26" x14ac:dyDescent="0.35">
      <c r="B7" s="46" t="s">
        <v>140</v>
      </c>
      <c r="C7" s="48">
        <v>80</v>
      </c>
      <c r="D7" s="48">
        <f>'Respondent Burden'!D14</f>
        <v>1</v>
      </c>
      <c r="E7" s="66">
        <f>C7*D7</f>
        <v>80</v>
      </c>
      <c r="F7" s="47">
        <f>'Respondent Burden'!N2</f>
        <v>0</v>
      </c>
      <c r="G7" s="47">
        <f>E7*F7</f>
        <v>0</v>
      </c>
      <c r="H7" s="47">
        <f>G7*0.05</f>
        <v>0</v>
      </c>
      <c r="I7" s="47">
        <f>G7*0.1</f>
        <v>0</v>
      </c>
      <c r="J7" s="77">
        <f>G7*$G$3+H7*$H$3+I7*$I$3</f>
        <v>0</v>
      </c>
      <c r="L7" s="71" t="s">
        <v>159</v>
      </c>
    </row>
    <row r="8" spans="2:13" s="2" customFormat="1" ht="39" x14ac:dyDescent="0.3">
      <c r="B8" s="46" t="s">
        <v>110</v>
      </c>
      <c r="C8" s="48">
        <v>1</v>
      </c>
      <c r="D8" s="48">
        <f>'Respondent Burden'!D15</f>
        <v>1</v>
      </c>
      <c r="E8" s="66">
        <f t="shared" ref="E8:E9" si="0">C8*D8</f>
        <v>1</v>
      </c>
      <c r="F8" s="47">
        <f>'Respondent Burden'!N2</f>
        <v>0</v>
      </c>
      <c r="G8" s="47">
        <f>E8*F8</f>
        <v>0</v>
      </c>
      <c r="H8" s="47">
        <f>G8*0.05</f>
        <v>0</v>
      </c>
      <c r="I8" s="47">
        <f>G8*0.1</f>
        <v>0</v>
      </c>
      <c r="J8" s="77">
        <f>G8*$G$3+H8*$H$3+I8*$I$3</f>
        <v>0</v>
      </c>
      <c r="L8" s="2" t="s">
        <v>160</v>
      </c>
    </row>
    <row r="9" spans="2:13" s="2" customFormat="1" ht="26" x14ac:dyDescent="0.3">
      <c r="B9" s="46" t="s">
        <v>111</v>
      </c>
      <c r="C9" s="48">
        <v>0.5</v>
      </c>
      <c r="D9" s="48">
        <f>'Respondent Burden'!D16</f>
        <v>4</v>
      </c>
      <c r="E9" s="66">
        <f t="shared" si="0"/>
        <v>2</v>
      </c>
      <c r="F9" s="47">
        <f>'Respondent Burden'!F16</f>
        <v>2</v>
      </c>
      <c r="G9" s="47">
        <f t="shared" ref="G9" si="1">E9*F9</f>
        <v>4</v>
      </c>
      <c r="H9" s="55">
        <f t="shared" ref="H9" si="2">G9*0.05</f>
        <v>0.2</v>
      </c>
      <c r="I9" s="55">
        <f t="shared" ref="I9" si="3">G9*0.1</f>
        <v>0.4</v>
      </c>
      <c r="J9" s="74">
        <f t="shared" ref="J9" si="4">G9*$G$3+H9*$H$3+I9*$I$3</f>
        <v>229.82</v>
      </c>
    </row>
    <row r="10" spans="2:13" s="2" customFormat="1" ht="15.5" x14ac:dyDescent="0.3">
      <c r="B10" s="52" t="s">
        <v>139</v>
      </c>
      <c r="C10" s="48"/>
      <c r="D10" s="48"/>
      <c r="E10" s="66"/>
      <c r="F10" s="47"/>
      <c r="G10" s="47"/>
      <c r="H10" s="47"/>
      <c r="I10" s="47"/>
      <c r="J10" s="74"/>
    </row>
    <row r="11" spans="2:13" s="2" customFormat="1" ht="52" x14ac:dyDescent="0.3">
      <c r="B11" s="46" t="s">
        <v>108</v>
      </c>
      <c r="C11" s="48" t="s">
        <v>25</v>
      </c>
      <c r="D11" s="48"/>
      <c r="E11" s="67"/>
      <c r="F11" s="47"/>
      <c r="G11" s="58"/>
      <c r="H11" s="58"/>
      <c r="I11" s="58"/>
      <c r="J11" s="74"/>
    </row>
    <row r="12" spans="2:13" s="2" customFormat="1" ht="26" x14ac:dyDescent="0.3">
      <c r="B12" s="46" t="s">
        <v>109</v>
      </c>
      <c r="C12" s="48" t="s">
        <v>25</v>
      </c>
      <c r="D12" s="48"/>
      <c r="E12" s="68"/>
      <c r="F12" s="47"/>
      <c r="G12" s="58"/>
      <c r="H12" s="58"/>
      <c r="I12" s="58"/>
      <c r="J12" s="74"/>
    </row>
    <row r="13" spans="2:13" s="2" customFormat="1" ht="13" x14ac:dyDescent="0.3">
      <c r="B13" s="69" t="s">
        <v>142</v>
      </c>
      <c r="C13" s="48"/>
      <c r="D13" s="48"/>
      <c r="E13" s="66"/>
      <c r="F13" s="47"/>
      <c r="G13" s="47"/>
      <c r="H13" s="47"/>
      <c r="I13" s="47"/>
      <c r="J13" s="74"/>
    </row>
    <row r="14" spans="2:13" s="2" customFormat="1" ht="26" x14ac:dyDescent="0.3">
      <c r="B14" s="46" t="s">
        <v>164</v>
      </c>
      <c r="C14" s="48">
        <v>0.25</v>
      </c>
      <c r="D14" s="48">
        <v>6</v>
      </c>
      <c r="E14" s="67">
        <f t="shared" ref="E14:E22" si="5">C14*D14</f>
        <v>1.5</v>
      </c>
      <c r="F14" s="47">
        <f>'Respondent Burden'!F21</f>
        <v>8781</v>
      </c>
      <c r="G14" s="58">
        <f t="shared" ref="G14:G16" si="6">E14*F14</f>
        <v>13171.5</v>
      </c>
      <c r="H14" s="58">
        <f t="shared" ref="H14:H22" si="7">G14*0.05</f>
        <v>658.57500000000005</v>
      </c>
      <c r="I14" s="58">
        <f t="shared" ref="I14:I16" si="8">G14*0.1</f>
        <v>1317.15</v>
      </c>
      <c r="J14" s="74">
        <f t="shared" ref="J14:J16" si="9">G14*$G$3+H14*$H$3+I14*$I$3</f>
        <v>756768.53249999997</v>
      </c>
    </row>
    <row r="15" spans="2:13" s="2" customFormat="1" ht="26" x14ac:dyDescent="0.3">
      <c r="B15" s="46" t="s">
        <v>156</v>
      </c>
      <c r="C15" s="48">
        <v>0.25</v>
      </c>
      <c r="D15" s="48">
        <f>'Respondent Burden'!D22</f>
        <v>2</v>
      </c>
      <c r="E15" s="68">
        <f t="shared" si="5"/>
        <v>0.5</v>
      </c>
      <c r="F15" s="47">
        <f>'Respondent Burden'!F22</f>
        <v>8781</v>
      </c>
      <c r="G15" s="55">
        <f t="shared" si="6"/>
        <v>4390.5</v>
      </c>
      <c r="H15" s="58">
        <f t="shared" si="7"/>
        <v>219.52500000000001</v>
      </c>
      <c r="I15" s="58">
        <f t="shared" si="8"/>
        <v>439.05</v>
      </c>
      <c r="J15" s="74">
        <f t="shared" si="9"/>
        <v>252256.17749999996</v>
      </c>
    </row>
    <row r="16" spans="2:13" s="2" customFormat="1" ht="26" x14ac:dyDescent="0.3">
      <c r="B16" s="46" t="s">
        <v>157</v>
      </c>
      <c r="C16" s="48">
        <v>0.5</v>
      </c>
      <c r="D16" s="48">
        <f>'Respondent Burden'!D23</f>
        <v>3</v>
      </c>
      <c r="E16" s="68">
        <f t="shared" si="5"/>
        <v>1.5</v>
      </c>
      <c r="F16" s="47">
        <f>'Respondent Burden'!F23</f>
        <v>8781</v>
      </c>
      <c r="G16" s="55">
        <f t="shared" si="6"/>
        <v>13171.5</v>
      </c>
      <c r="H16" s="58">
        <f t="shared" si="7"/>
        <v>658.57500000000005</v>
      </c>
      <c r="I16" s="58">
        <f t="shared" si="8"/>
        <v>1317.15</v>
      </c>
      <c r="J16" s="74">
        <f t="shared" si="9"/>
        <v>756768.53249999997</v>
      </c>
    </row>
    <row r="17" spans="1:16" s="2" customFormat="1" ht="26" x14ac:dyDescent="0.3">
      <c r="B17" s="46" t="s">
        <v>158</v>
      </c>
      <c r="C17" s="48">
        <v>0.25</v>
      </c>
      <c r="D17" s="48">
        <f>'Respondent Burden'!D24</f>
        <v>2</v>
      </c>
      <c r="E17" s="68">
        <f t="shared" si="5"/>
        <v>0.5</v>
      </c>
      <c r="F17" s="108">
        <f>'Respondent Burden'!F24</f>
        <v>20</v>
      </c>
      <c r="G17" s="55">
        <f t="shared" ref="G17" si="10">E17*F17</f>
        <v>10</v>
      </c>
      <c r="H17" s="58">
        <f t="shared" ref="H17" si="11">G17*0.05</f>
        <v>0.5</v>
      </c>
      <c r="I17" s="58">
        <f t="shared" ref="I17" si="12">G17*0.1</f>
        <v>1</v>
      </c>
      <c r="J17" s="74">
        <f t="shared" ref="J17" si="13">G17*$G$3+H17*$H$3+I17*$I$3</f>
        <v>574.54999999999995</v>
      </c>
      <c r="L17" s="104"/>
    </row>
    <row r="18" spans="1:16" s="2" customFormat="1" ht="26" x14ac:dyDescent="0.3">
      <c r="B18" s="69" t="s">
        <v>88</v>
      </c>
      <c r="C18" s="48"/>
      <c r="D18" s="48"/>
      <c r="E18" s="66"/>
      <c r="F18" s="47"/>
      <c r="G18" s="47"/>
      <c r="H18" s="47"/>
      <c r="I18" s="47"/>
      <c r="J18" s="74"/>
    </row>
    <row r="19" spans="1:16" s="2" customFormat="1" ht="26" x14ac:dyDescent="0.3">
      <c r="B19" s="46" t="s">
        <v>148</v>
      </c>
      <c r="C19" s="48">
        <v>0.25</v>
      </c>
      <c r="D19" s="48">
        <f>'Respondent Burden'!D26</f>
        <v>1</v>
      </c>
      <c r="E19" s="67">
        <f t="shared" si="5"/>
        <v>0.25</v>
      </c>
      <c r="F19" s="47">
        <f>'Respondent Burden'!F26</f>
        <v>40</v>
      </c>
      <c r="G19" s="47">
        <f t="shared" ref="G19:G21" si="14">E19*F19</f>
        <v>10</v>
      </c>
      <c r="H19" s="55">
        <f>G19*0.05</f>
        <v>0.5</v>
      </c>
      <c r="I19" s="47">
        <f t="shared" ref="I19:I21" si="15">G19*0.1</f>
        <v>1</v>
      </c>
      <c r="J19" s="74">
        <f t="shared" ref="J19:J21" si="16">G19*$G$3+H19*$H$3+I19*$I$3</f>
        <v>574.54999999999995</v>
      </c>
    </row>
    <row r="20" spans="1:16" s="2" customFormat="1" ht="26" x14ac:dyDescent="0.3">
      <c r="B20" s="46" t="s">
        <v>89</v>
      </c>
      <c r="C20" s="48">
        <v>0.1</v>
      </c>
      <c r="D20" s="48">
        <f>'Respondent Burden'!D27</f>
        <v>2</v>
      </c>
      <c r="E20" s="68">
        <f t="shared" si="5"/>
        <v>0.2</v>
      </c>
      <c r="F20" s="47">
        <f>'Respondent Burden'!F27</f>
        <v>400</v>
      </c>
      <c r="G20" s="47">
        <f t="shared" si="14"/>
        <v>80</v>
      </c>
      <c r="H20" s="47">
        <f t="shared" si="7"/>
        <v>4</v>
      </c>
      <c r="I20" s="47">
        <f t="shared" si="15"/>
        <v>8</v>
      </c>
      <c r="J20" s="74">
        <f t="shared" si="16"/>
        <v>4596.3999999999996</v>
      </c>
    </row>
    <row r="21" spans="1:16" s="2" customFormat="1" ht="26" x14ac:dyDescent="0.3">
      <c r="B21" s="46" t="s">
        <v>87</v>
      </c>
      <c r="C21" s="48">
        <v>0.5</v>
      </c>
      <c r="D21" s="48">
        <f>'Respondent Burden'!D28</f>
        <v>1</v>
      </c>
      <c r="E21" s="68">
        <f t="shared" si="5"/>
        <v>0.5</v>
      </c>
      <c r="F21" s="47">
        <f>'Respondent Burden'!F28</f>
        <v>400</v>
      </c>
      <c r="G21" s="47">
        <f t="shared" si="14"/>
        <v>200</v>
      </c>
      <c r="H21" s="47">
        <f t="shared" si="7"/>
        <v>10</v>
      </c>
      <c r="I21" s="47">
        <f t="shared" si="15"/>
        <v>20</v>
      </c>
      <c r="J21" s="74">
        <f t="shared" si="16"/>
        <v>11491</v>
      </c>
    </row>
    <row r="22" spans="1:16" s="2" customFormat="1" ht="13" x14ac:dyDescent="0.3">
      <c r="B22" s="46" t="s">
        <v>141</v>
      </c>
      <c r="C22" s="48">
        <v>0.5</v>
      </c>
      <c r="D22" s="48">
        <f>'Respondent Burden'!D29</f>
        <v>1</v>
      </c>
      <c r="E22" s="68">
        <f t="shared" si="5"/>
        <v>0.5</v>
      </c>
      <c r="F22" s="47">
        <f>'Respondent Burden'!F29</f>
        <v>0</v>
      </c>
      <c r="G22" s="47">
        <f t="shared" ref="G22" si="17">E22*F22</f>
        <v>0</v>
      </c>
      <c r="H22" s="47">
        <f t="shared" si="7"/>
        <v>0</v>
      </c>
      <c r="I22" s="47">
        <f t="shared" ref="I22" si="18">G22*0.1</f>
        <v>0</v>
      </c>
      <c r="J22" s="77">
        <f t="shared" ref="J22" si="19">G22*$G$3+H22*$H$3+I22*$I$3</f>
        <v>0</v>
      </c>
    </row>
    <row r="23" spans="1:16" s="2" customFormat="1" ht="26" x14ac:dyDescent="0.3">
      <c r="B23" s="69" t="s">
        <v>107</v>
      </c>
      <c r="C23" s="48"/>
      <c r="D23" s="48"/>
      <c r="E23" s="66"/>
      <c r="F23" s="47"/>
      <c r="G23" s="47"/>
      <c r="H23" s="55"/>
      <c r="I23" s="55"/>
      <c r="J23" s="74"/>
    </row>
    <row r="24" spans="1:16" s="2" customFormat="1" ht="13" x14ac:dyDescent="0.3">
      <c r="B24" s="46" t="s">
        <v>143</v>
      </c>
      <c r="C24" s="48">
        <v>0.5</v>
      </c>
      <c r="D24" s="48">
        <f>'Respondent Burden'!D31</f>
        <v>1</v>
      </c>
      <c r="E24" s="68">
        <f t="shared" ref="E24:E25" si="20">C24*D24</f>
        <v>0.5</v>
      </c>
      <c r="F24" s="47">
        <f>'Respondent Burden'!F31</f>
        <v>10</v>
      </c>
      <c r="G24" s="47">
        <f t="shared" ref="G24:G29" si="21">E24*F24</f>
        <v>5</v>
      </c>
      <c r="H24" s="58">
        <f t="shared" ref="H24:H29" si="22">G24*0.05</f>
        <v>0.25</v>
      </c>
      <c r="I24" s="55">
        <f t="shared" ref="I24:I29" si="23">G24*0.1</f>
        <v>0.5</v>
      </c>
      <c r="J24" s="74">
        <f t="shared" ref="J24:J29" si="24">G24*$G$3+H24*$H$3+I24*$I$3</f>
        <v>287.27499999999998</v>
      </c>
    </row>
    <row r="25" spans="1:16" s="2" customFormat="1" ht="13" x14ac:dyDescent="0.3">
      <c r="B25" s="46" t="s">
        <v>144</v>
      </c>
      <c r="C25" s="48">
        <v>4</v>
      </c>
      <c r="D25" s="48">
        <f>'Respondent Burden'!D32</f>
        <v>1</v>
      </c>
      <c r="E25" s="66">
        <f t="shared" si="20"/>
        <v>4</v>
      </c>
      <c r="F25" s="47">
        <f>'Respondent Burden'!F32</f>
        <v>560</v>
      </c>
      <c r="G25" s="47">
        <f t="shared" si="21"/>
        <v>2240</v>
      </c>
      <c r="H25" s="47">
        <f t="shared" si="22"/>
        <v>112</v>
      </c>
      <c r="I25" s="47">
        <f t="shared" si="23"/>
        <v>224</v>
      </c>
      <c r="J25" s="74">
        <f t="shared" si="24"/>
        <v>128699.2</v>
      </c>
    </row>
    <row r="26" spans="1:16" s="2" customFormat="1" ht="26" x14ac:dyDescent="0.3">
      <c r="B26" s="46" t="s">
        <v>145</v>
      </c>
      <c r="C26" s="48">
        <v>0.5</v>
      </c>
      <c r="D26" s="48">
        <f>'Respondent Burden'!D33</f>
        <v>1</v>
      </c>
      <c r="E26" s="68">
        <f t="shared" ref="E26:E29" si="25">C26*D26</f>
        <v>0.5</v>
      </c>
      <c r="F26" s="47">
        <f>'Respondent Burden'!F33</f>
        <v>560</v>
      </c>
      <c r="G26" s="47">
        <f t="shared" si="21"/>
        <v>280</v>
      </c>
      <c r="H26" s="47">
        <f t="shared" si="22"/>
        <v>14</v>
      </c>
      <c r="I26" s="47">
        <f t="shared" si="23"/>
        <v>28</v>
      </c>
      <c r="J26" s="74">
        <f t="shared" si="24"/>
        <v>16087.4</v>
      </c>
      <c r="N26" s="79"/>
    </row>
    <row r="27" spans="1:16" s="2" customFormat="1" ht="26" x14ac:dyDescent="0.3">
      <c r="B27" s="46" t="s">
        <v>146</v>
      </c>
      <c r="C27" s="48">
        <v>0.5</v>
      </c>
      <c r="D27" s="48">
        <f>'Respondent Burden'!D34</f>
        <v>2</v>
      </c>
      <c r="E27" s="66">
        <f t="shared" si="25"/>
        <v>1</v>
      </c>
      <c r="F27" s="47">
        <f>'Respondent Burden'!F34</f>
        <v>560</v>
      </c>
      <c r="G27" s="47">
        <f t="shared" si="21"/>
        <v>560</v>
      </c>
      <c r="H27" s="47">
        <f t="shared" si="22"/>
        <v>28</v>
      </c>
      <c r="I27" s="47">
        <f t="shared" si="23"/>
        <v>56</v>
      </c>
      <c r="J27" s="74">
        <f t="shared" si="24"/>
        <v>32174.799999999999</v>
      </c>
      <c r="N27" s="79"/>
    </row>
    <row r="28" spans="1:16" s="2" customFormat="1" ht="26" x14ac:dyDescent="0.3">
      <c r="B28" s="46" t="s">
        <v>149</v>
      </c>
      <c r="C28" s="48">
        <v>2</v>
      </c>
      <c r="D28" s="48">
        <f>'Respondent Burden'!D35</f>
        <v>1</v>
      </c>
      <c r="E28" s="66">
        <f>C28*D28</f>
        <v>2</v>
      </c>
      <c r="F28" s="47">
        <f>'Respondent Burden'!F35</f>
        <v>0</v>
      </c>
      <c r="G28" s="47">
        <f t="shared" si="21"/>
        <v>0</v>
      </c>
      <c r="H28" s="47">
        <f t="shared" si="22"/>
        <v>0</v>
      </c>
      <c r="I28" s="47">
        <f t="shared" si="23"/>
        <v>0</v>
      </c>
      <c r="J28" s="77">
        <f t="shared" si="24"/>
        <v>0</v>
      </c>
    </row>
    <row r="29" spans="1:16" s="2" customFormat="1" ht="13" x14ac:dyDescent="0.3">
      <c r="B29" s="46" t="s">
        <v>106</v>
      </c>
      <c r="C29" s="48">
        <v>1</v>
      </c>
      <c r="D29" s="48">
        <f>'Respondent Burden'!D36</f>
        <v>1</v>
      </c>
      <c r="E29" s="66">
        <f t="shared" si="25"/>
        <v>1</v>
      </c>
      <c r="F29" s="47">
        <f>'Respondent Burden'!F36</f>
        <v>10</v>
      </c>
      <c r="G29" s="47">
        <f t="shared" si="21"/>
        <v>10</v>
      </c>
      <c r="H29" s="55">
        <f t="shared" si="22"/>
        <v>0.5</v>
      </c>
      <c r="I29" s="47">
        <f t="shared" si="23"/>
        <v>1</v>
      </c>
      <c r="J29" s="74">
        <f t="shared" si="24"/>
        <v>574.54999999999995</v>
      </c>
    </row>
    <row r="30" spans="1:16" s="2" customFormat="1" x14ac:dyDescent="0.35">
      <c r="B30" s="131" t="s">
        <v>180</v>
      </c>
      <c r="C30" s="132"/>
      <c r="D30" s="132"/>
      <c r="E30" s="132"/>
      <c r="F30" s="133"/>
      <c r="G30" s="83">
        <f>ROUND(SUM(G7:I29),-2)</f>
        <v>39300</v>
      </c>
      <c r="H30" s="83"/>
      <c r="I30" s="83"/>
      <c r="J30" s="76">
        <f>ROUND(SUM(J7:J29),-4)</f>
        <v>1960000</v>
      </c>
      <c r="K30" s="21"/>
      <c r="O30" s="100"/>
      <c r="P30" s="101"/>
    </row>
    <row r="31" spans="1:16" s="2" customFormat="1" x14ac:dyDescent="0.35">
      <c r="A31" s="101"/>
      <c r="B31" s="101"/>
      <c r="C31" s="101"/>
      <c r="D31" s="101"/>
      <c r="E31" s="101"/>
      <c r="F31" s="101"/>
      <c r="G31" s="101"/>
      <c r="H31" s="101"/>
      <c r="I31" s="101"/>
      <c r="J31" s="101"/>
      <c r="K31" s="21"/>
      <c r="N31" s="2">
        <f>46000-37200</f>
        <v>8800</v>
      </c>
      <c r="O31" s="101"/>
      <c r="P31" s="101"/>
    </row>
    <row r="32" spans="1:16" s="101" customFormat="1" x14ac:dyDescent="0.35">
      <c r="B32" s="50" t="s">
        <v>48</v>
      </c>
      <c r="C32" s="2"/>
      <c r="D32" s="2"/>
      <c r="E32" s="2"/>
      <c r="F32" s="2"/>
      <c r="G32" s="2"/>
      <c r="H32" s="2"/>
      <c r="I32" s="2"/>
      <c r="J32" s="2"/>
    </row>
    <row r="33" spans="1:16" s="101" customFormat="1" ht="160.5" customHeight="1" x14ac:dyDescent="0.35">
      <c r="B33" s="126" t="s">
        <v>182</v>
      </c>
      <c r="C33" s="126"/>
      <c r="D33" s="126"/>
      <c r="E33" s="126"/>
      <c r="F33" s="126"/>
      <c r="G33" s="126"/>
      <c r="H33" s="126"/>
      <c r="I33" s="126"/>
      <c r="J33" s="126"/>
      <c r="K33" s="31"/>
      <c r="L33" s="2"/>
      <c r="O33" s="100"/>
      <c r="P33" s="100"/>
    </row>
    <row r="34" spans="1:16" s="101" customFormat="1" ht="25.5" customHeight="1" x14ac:dyDescent="0.35">
      <c r="A34" s="100"/>
      <c r="B34" s="130" t="s">
        <v>174</v>
      </c>
      <c r="C34" s="130"/>
      <c r="D34" s="130"/>
      <c r="E34" s="130"/>
      <c r="F34" s="130"/>
      <c r="G34" s="130"/>
      <c r="H34" s="130"/>
      <c r="I34" s="130"/>
      <c r="J34" s="130"/>
      <c r="K34" s="26"/>
      <c r="L34" s="31"/>
      <c r="O34" s="100"/>
      <c r="P34" s="100"/>
    </row>
    <row r="35" spans="1:16" s="101" customFormat="1" x14ac:dyDescent="0.35">
      <c r="A35" s="100"/>
      <c r="B35" s="130" t="s">
        <v>120</v>
      </c>
      <c r="C35" s="130"/>
      <c r="D35" s="130"/>
      <c r="E35" s="130"/>
      <c r="F35" s="130"/>
      <c r="G35" s="130"/>
      <c r="H35" s="130"/>
      <c r="I35" s="130"/>
      <c r="J35" s="130"/>
      <c r="K35" s="26"/>
      <c r="L35" s="31"/>
      <c r="O35" s="100"/>
      <c r="P35" s="100"/>
    </row>
    <row r="36" spans="1:16" ht="15.75" customHeight="1" x14ac:dyDescent="0.35">
      <c r="B36" s="126" t="s">
        <v>179</v>
      </c>
      <c r="C36" s="126"/>
      <c r="D36" s="126"/>
      <c r="E36" s="126"/>
      <c r="F36" s="126"/>
      <c r="G36" s="126"/>
      <c r="H36" s="126"/>
      <c r="I36" s="126"/>
      <c r="J36" s="126"/>
    </row>
  </sheetData>
  <mergeCells count="6">
    <mergeCell ref="B36:J36"/>
    <mergeCell ref="B35:J35"/>
    <mergeCell ref="B30:F30"/>
    <mergeCell ref="B4:B5"/>
    <mergeCell ref="B33:J33"/>
    <mergeCell ref="B34:J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
  <sheetViews>
    <sheetView workbookViewId="0">
      <selection activeCell="B9" sqref="B9"/>
    </sheetView>
  </sheetViews>
  <sheetFormatPr defaultColWidth="9.26953125" defaultRowHeight="13" x14ac:dyDescent="0.3"/>
  <cols>
    <col min="1" max="1" width="1" style="1" customWidth="1"/>
    <col min="2" max="2" width="37.26953125" style="1" customWidth="1"/>
    <col min="3" max="3" width="12.54296875" style="1" customWidth="1"/>
    <col min="4" max="4" width="12.7265625" style="1" customWidth="1"/>
    <col min="5" max="5" width="14.453125" style="1" customWidth="1"/>
    <col min="6" max="6" width="12.54296875" style="1" customWidth="1"/>
    <col min="7" max="7" width="11.26953125" style="1" customWidth="1"/>
    <col min="8" max="8" width="10" style="1" customWidth="1"/>
    <col min="9" max="9" width="8.54296875" style="1" bestFit="1" customWidth="1"/>
    <col min="10" max="10" width="8" style="1" bestFit="1" customWidth="1"/>
    <col min="11" max="13" width="9.26953125" style="1"/>
    <col min="14" max="14" width="10.26953125" style="1" bestFit="1" customWidth="1"/>
    <col min="15" max="16384" width="9.26953125" style="1"/>
  </cols>
  <sheetData>
    <row r="1" spans="2:7" s="5" customFormat="1" x14ac:dyDescent="0.3">
      <c r="B1" s="1"/>
      <c r="C1" s="1"/>
      <c r="D1" s="1"/>
      <c r="E1" s="1"/>
      <c r="F1" s="1"/>
      <c r="G1" s="1"/>
    </row>
    <row r="2" spans="2:7" x14ac:dyDescent="0.3">
      <c r="B2" s="1"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 Respondents</vt:lpstr>
      <vt:lpstr># Responses</vt:lpstr>
      <vt:lpstr>Respondent Burden</vt:lpstr>
      <vt:lpstr>Agency Burden</vt:lpstr>
      <vt:lpstr>Capital &amp; O&amp;M</vt:lpstr>
      <vt:lpstr>'Respondent Burden'!Print_Area</vt:lpstr>
      <vt:lpstr>'Respondent Burden'!Print_Titles</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Wrigley, William</cp:lastModifiedBy>
  <cp:lastPrinted>2018-07-31T20:00:19Z</cp:lastPrinted>
  <dcterms:created xsi:type="dcterms:W3CDTF">2014-10-21T14:07:44Z</dcterms:created>
  <dcterms:modified xsi:type="dcterms:W3CDTF">2021-12-02T17:07:47Z</dcterms:modified>
</cp:coreProperties>
</file>