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584-0446 Evan Sieradzki Aug 27 2021\Renewal Rev'n 7-11-2022 Evan Sieradzki\"/>
    </mc:Choice>
  </mc:AlternateContent>
  <xr:revisionPtr revIDLastSave="0" documentId="8_{1549A2D5-D122-4172-964A-00D56219D54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NEW (2)" sheetId="7" r:id="rId2"/>
    <sheet name="NEW" sheetId="3" r:id="rId3"/>
    <sheet name="Sheet4" sheetId="4" r:id="rId4"/>
    <sheet name="Sheet1 (2)" sheetId="5" r:id="rId5"/>
    <sheet name="Sheet2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7" l="1"/>
  <c r="P21" i="7"/>
  <c r="P22" i="7"/>
  <c r="J29" i="7"/>
  <c r="I29" i="7"/>
  <c r="I39" i="7"/>
  <c r="H39" i="7"/>
  <c r="G42" i="7"/>
  <c r="J20" i="7"/>
  <c r="I20" i="7"/>
  <c r="F20" i="7"/>
  <c r="G20" i="7"/>
  <c r="D20" i="7"/>
  <c r="E20" i="7"/>
  <c r="G30" i="7"/>
  <c r="F30" i="7" s="1"/>
  <c r="E30" i="7"/>
  <c r="C30" i="7"/>
  <c r="D39" i="7"/>
  <c r="F39" i="7" s="1"/>
  <c r="E28" i="7"/>
  <c r="G28" i="7" s="1"/>
  <c r="I28" i="7" s="1"/>
  <c r="E27" i="7"/>
  <c r="G27" i="7" s="1"/>
  <c r="I27" i="7" s="1"/>
  <c r="G26" i="7"/>
  <c r="I26" i="7" s="1"/>
  <c r="E25" i="7"/>
  <c r="G25" i="7" s="1"/>
  <c r="I25" i="7" s="1"/>
  <c r="E24" i="7"/>
  <c r="G24" i="7" s="1"/>
  <c r="I24" i="7" s="1"/>
  <c r="E23" i="7"/>
  <c r="G23" i="7" s="1"/>
  <c r="I23" i="7" s="1"/>
  <c r="E22" i="7"/>
  <c r="G22" i="7" s="1"/>
  <c r="I22" i="7" s="1"/>
  <c r="I19" i="7"/>
  <c r="C9" i="7"/>
  <c r="E9" i="7" s="1"/>
  <c r="G9" i="7" s="1"/>
  <c r="I9" i="7" s="1"/>
  <c r="C8" i="7"/>
  <c r="E8" i="7" s="1"/>
  <c r="G8" i="7" s="1"/>
  <c r="I8" i="7" s="1"/>
  <c r="C7" i="7"/>
  <c r="E7" i="7" s="1"/>
  <c r="G7" i="7" s="1"/>
  <c r="I7" i="7" s="1"/>
  <c r="C6" i="7"/>
  <c r="E6" i="7" s="1"/>
  <c r="G6" i="7" s="1"/>
  <c r="I6" i="7" s="1"/>
  <c r="C5" i="7"/>
  <c r="E5" i="7" s="1"/>
  <c r="G5" i="7" s="1"/>
  <c r="I5" i="7" s="1"/>
  <c r="C4" i="7"/>
  <c r="E14" i="7" s="1"/>
  <c r="I19" i="3"/>
  <c r="G29" i="7" l="1"/>
  <c r="G14" i="7"/>
  <c r="D14" i="7"/>
  <c r="E4" i="7"/>
  <c r="C10" i="7"/>
  <c r="C32" i="7" s="1"/>
  <c r="E16" i="7"/>
  <c r="E15" i="7"/>
  <c r="E17" i="7"/>
  <c r="E22" i="3"/>
  <c r="C7" i="4"/>
  <c r="L22" i="7" l="1"/>
  <c r="E10" i="7"/>
  <c r="G4" i="7"/>
  <c r="G17" i="7"/>
  <c r="I17" i="7" s="1"/>
  <c r="D17" i="7"/>
  <c r="G15" i="7"/>
  <c r="I15" i="7" s="1"/>
  <c r="D15" i="7"/>
  <c r="G16" i="7"/>
  <c r="I16" i="7" s="1"/>
  <c r="D16" i="7"/>
  <c r="D30" i="7"/>
  <c r="I14" i="7"/>
  <c r="H17" i="5"/>
  <c r="C4" i="3" s="1"/>
  <c r="G10" i="7" l="1"/>
  <c r="I4" i="7"/>
  <c r="D10" i="7"/>
  <c r="E32" i="7"/>
  <c r="D32" i="7" s="1"/>
  <c r="L23" i="7"/>
  <c r="H3" i="4"/>
  <c r="E4" i="3"/>
  <c r="B7" i="6"/>
  <c r="G25" i="3"/>
  <c r="I25" i="3" s="1"/>
  <c r="E14" i="3"/>
  <c r="D14" i="3" s="1"/>
  <c r="D37" i="3"/>
  <c r="F37" i="3" s="1"/>
  <c r="I10" i="7" l="1"/>
  <c r="F10" i="7"/>
  <c r="G32" i="7"/>
  <c r="L24" i="7"/>
  <c r="L25" i="7" s="1"/>
  <c r="I30" i="7"/>
  <c r="J30" i="7" s="1"/>
  <c r="H7" i="4"/>
  <c r="G4" i="3"/>
  <c r="I4" i="3" s="1"/>
  <c r="N37" i="7" l="1"/>
  <c r="F32" i="7"/>
  <c r="J10" i="7"/>
  <c r="I32" i="7"/>
  <c r="J32" i="7" s="1"/>
  <c r="C7" i="3"/>
  <c r="E7" i="3" s="1"/>
  <c r="G7" i="3" s="1"/>
  <c r="I7" i="3" s="1"/>
  <c r="H8" i="4"/>
  <c r="C8" i="3" s="1"/>
  <c r="E8" i="3" s="1"/>
  <c r="G8" i="3" s="1"/>
  <c r="I8" i="3" s="1"/>
  <c r="D29" i="5"/>
  <c r="D27" i="5"/>
  <c r="D25" i="5"/>
  <c r="D21" i="5"/>
  <c r="D17" i="5"/>
  <c r="L37" i="4" l="1"/>
  <c r="M39" i="4" s="1"/>
  <c r="F52" i="4"/>
  <c r="E53" i="4"/>
  <c r="B51" i="4"/>
  <c r="B42" i="4"/>
  <c r="E3" i="4"/>
  <c r="E5" i="4"/>
  <c r="C13" i="4"/>
  <c r="B8" i="4"/>
  <c r="C6" i="4"/>
  <c r="C5" i="4"/>
  <c r="H6" i="4" l="1"/>
  <c r="C6" i="3" s="1"/>
  <c r="G6" i="4"/>
  <c r="C12" i="4"/>
  <c r="C9" i="4"/>
  <c r="H9" i="4" s="1"/>
  <c r="C9" i="3" s="1"/>
  <c r="M38" i="4"/>
  <c r="H5" i="4"/>
  <c r="C5" i="3" s="1"/>
  <c r="G5" i="4"/>
  <c r="C28" i="3"/>
  <c r="E27" i="3"/>
  <c r="G27" i="3" s="1"/>
  <c r="I27" i="3" s="1"/>
  <c r="E26" i="3"/>
  <c r="G26" i="3" s="1"/>
  <c r="I26" i="3" s="1"/>
  <c r="E24" i="3"/>
  <c r="G24" i="3" s="1"/>
  <c r="I24" i="3" s="1"/>
  <c r="E23" i="3"/>
  <c r="G23" i="3" s="1"/>
  <c r="I23" i="3" s="1"/>
  <c r="G22" i="3"/>
  <c r="I22" i="3" s="1"/>
  <c r="E21" i="3"/>
  <c r="G14" i="3"/>
  <c r="I14" i="3" s="1"/>
  <c r="D39" i="1"/>
  <c r="D21" i="1"/>
  <c r="E5" i="3" l="1"/>
  <c r="E15" i="3"/>
  <c r="C10" i="3"/>
  <c r="E9" i="3"/>
  <c r="G9" i="3" s="1"/>
  <c r="I9" i="3" s="1"/>
  <c r="E17" i="3"/>
  <c r="E6" i="3"/>
  <c r="G6" i="3" s="1"/>
  <c r="I6" i="3" s="1"/>
  <c r="E16" i="3"/>
  <c r="C30" i="3"/>
  <c r="G21" i="3"/>
  <c r="F17" i="1"/>
  <c r="H17" i="1" s="1"/>
  <c r="F16" i="1"/>
  <c r="H16" i="1" s="1"/>
  <c r="F15" i="1"/>
  <c r="H15" i="1" s="1"/>
  <c r="H25" i="1"/>
  <c r="D16" i="3" l="1"/>
  <c r="G16" i="3"/>
  <c r="I16" i="3" s="1"/>
  <c r="G17" i="3"/>
  <c r="I17" i="3" s="1"/>
  <c r="D17" i="3"/>
  <c r="G28" i="3"/>
  <c r="I28" i="3" s="1"/>
  <c r="J28" i="3" s="1"/>
  <c r="I21" i="3"/>
  <c r="E28" i="3"/>
  <c r="D28" i="3" s="1"/>
  <c r="D15" i="3"/>
  <c r="L21" i="3"/>
  <c r="G15" i="3"/>
  <c r="I15" i="3" s="1"/>
  <c r="G5" i="3"/>
  <c r="E10" i="3"/>
  <c r="D10" i="3" s="1"/>
  <c r="E30" i="3"/>
  <c r="D30" i="3" s="1"/>
  <c r="H21" i="1"/>
  <c r="F21" i="1"/>
  <c r="E21" i="1" s="1"/>
  <c r="F38" i="1"/>
  <c r="H38" i="1" s="1"/>
  <c r="K37" i="1"/>
  <c r="M37" i="1" s="1"/>
  <c r="M41" i="1" s="1"/>
  <c r="F37" i="1"/>
  <c r="H37" i="1" s="1"/>
  <c r="F35" i="1"/>
  <c r="H35" i="1" s="1"/>
  <c r="F34" i="1"/>
  <c r="H34" i="1" s="1"/>
  <c r="F33" i="1"/>
  <c r="H33" i="1" s="1"/>
  <c r="F32" i="1"/>
  <c r="H27" i="1"/>
  <c r="H26" i="1"/>
  <c r="F28" i="3" l="1"/>
  <c r="I5" i="3"/>
  <c r="G10" i="3"/>
  <c r="L22" i="3"/>
  <c r="G21" i="1"/>
  <c r="F39" i="1"/>
  <c r="E39" i="1" s="1"/>
  <c r="H32" i="1"/>
  <c r="H39" i="1" s="1"/>
  <c r="K41" i="1"/>
  <c r="L41" i="1" s="1"/>
  <c r="I10" i="3" l="1"/>
  <c r="F10" i="3"/>
  <c r="G30" i="3"/>
  <c r="L23" i="3"/>
  <c r="L24" i="3" s="1"/>
  <c r="G39" i="1"/>
  <c r="F41" i="1"/>
  <c r="C47" i="1" s="1"/>
  <c r="H41" i="1"/>
  <c r="C49" i="1" s="1"/>
  <c r="C51" i="1" s="1"/>
  <c r="G40" i="3" l="1"/>
  <c r="N35" i="3"/>
  <c r="F30" i="3"/>
  <c r="I30" i="3"/>
  <c r="J30" i="3" s="1"/>
  <c r="J10" i="3"/>
  <c r="C48" i="1"/>
  <c r="G41" i="1"/>
  <c r="D41" i="1"/>
  <c r="E41" i="1" s="1"/>
  <c r="C46" i="1" l="1"/>
</calcChain>
</file>

<file path=xl/sharedStrings.xml><?xml version="1.0" encoding="utf-8"?>
<sst xmlns="http://schemas.openxmlformats.org/spreadsheetml/2006/main" count="367" uniqueCount="161">
  <si>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</si>
  <si>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</si>
  <si>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</si>
  <si>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</si>
  <si>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        IDENTIFICATION  OF  REPORTING  AND  RECORDKEEPPING  REQUIREMENTS</t>
  </si>
  <si>
    <t>ANNUAL  BURDEN</t>
  </si>
  <si>
    <t>FORM</t>
  </si>
  <si>
    <t>RECORDS</t>
  </si>
  <si>
    <t>NO(s)</t>
  </si>
  <si>
    <t>NO.  OF</t>
  </si>
  <si>
    <t>TOTAL</t>
  </si>
  <si>
    <t>HOURS</t>
  </si>
  <si>
    <t>ANNUAL</t>
  </si>
  <si>
    <t>(If  "none"</t>
  </si>
  <si>
    <t>RESPON-</t>
  </si>
  <si>
    <t>RESPONSES</t>
  </si>
  <si>
    <t>PER</t>
  </si>
  <si>
    <t>RECORD-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</si>
  <si>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</si>
  <si>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</si>
  <si>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</si>
  <si>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</si>
  <si>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</si>
  <si>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</si>
  <si>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</si>
  <si>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</si>
  <si>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</si>
  <si>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</si>
  <si>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</si>
  <si>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</si>
  <si>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</si>
  <si>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</si>
  <si>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</si>
  <si>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</si>
  <si>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</si>
  <si>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</si>
  <si>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</si>
  <si>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</si>
  <si>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</si>
  <si>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Page __1__  of __1__</t>
  </si>
  <si>
    <t xml:space="preserve">  </t>
  </si>
  <si>
    <t xml:space="preserve">PER </t>
  </si>
  <si>
    <t>RECORD</t>
  </si>
  <si>
    <t>(l)</t>
  </si>
  <si>
    <t>(m)</t>
  </si>
  <si>
    <t>OF REG</t>
  </si>
  <si>
    <t>SECTION</t>
  </si>
  <si>
    <t xml:space="preserve">RECORD </t>
  </si>
  <si>
    <t>TOTAL NO. RESPONDENTS</t>
  </si>
  <si>
    <t>TOTAL ANNUAL RESPONSES</t>
  </si>
  <si>
    <t>AVERAGE HOURS PER RESPONSE</t>
  </si>
  <si>
    <t>AVERAGE NO. OF RESPONSES PER RESPONDENT</t>
  </si>
  <si>
    <t>TOTAL ANNUAL BURDEN (Annual Hours Requested)</t>
  </si>
  <si>
    <t>CURRENT OMB INVENTORY</t>
  </si>
  <si>
    <t>83-I 13 (b)</t>
  </si>
  <si>
    <t>83-I 13(a)</t>
  </si>
  <si>
    <t>83-I 13(d)</t>
  </si>
  <si>
    <t>DIFFERENCE</t>
  </si>
  <si>
    <t>83-I 13(e)</t>
  </si>
  <si>
    <t>83-I 13(c )</t>
  </si>
  <si>
    <t>on OMB 83-I</t>
  </si>
  <si>
    <t xml:space="preserve">Line Item </t>
  </si>
  <si>
    <t>SUMMERY OF BURDEN</t>
  </si>
  <si>
    <t>Month/Year</t>
  </si>
  <si>
    <t xml:space="preserve">  Total (f)/Total (d) = Total (e)</t>
  </si>
  <si>
    <t xml:space="preserve">  Total (f) + total (k) = Sum</t>
  </si>
  <si>
    <t xml:space="preserve">  Total (h)/Total (f) = Total (g)</t>
  </si>
  <si>
    <t xml:space="preserve"> Total (h) + Total (m) = Sum</t>
  </si>
  <si>
    <t xml:space="preserve">  Total (d) - Respondent is only counted once</t>
  </si>
  <si>
    <t>Determining</t>
  </si>
  <si>
    <t>Range</t>
  </si>
  <si>
    <t>REPORTING</t>
  </si>
  <si>
    <t>RECORDKEEPING</t>
  </si>
  <si>
    <t>A. Due-Process Notice Requirements</t>
  </si>
  <si>
    <t>Certification Letter</t>
  </si>
  <si>
    <t>C. TOP Automated Data Processing</t>
  </si>
  <si>
    <t>System Compatibility File</t>
  </si>
  <si>
    <t>Weekly Files</t>
  </si>
  <si>
    <t xml:space="preserve">   Summary of Information Collections</t>
  </si>
  <si>
    <t xml:space="preserve">   </t>
  </si>
  <si>
    <t xml:space="preserve">   Federal Collection Methods for Food Stamp Program Recipient</t>
  </si>
  <si>
    <t>0584-0446</t>
  </si>
  <si>
    <t>Weekly Files - Post TOP Data</t>
  </si>
  <si>
    <t>State Agency Profile</t>
  </si>
  <si>
    <t>Address File</t>
  </si>
  <si>
    <t>Collections File</t>
  </si>
  <si>
    <t xml:space="preserve">  (237014/Debtor + 53/SA = 237067 Respondents)</t>
  </si>
  <si>
    <t>State Agencies</t>
  </si>
  <si>
    <t>Totals</t>
  </si>
  <si>
    <t>Overall Totals</t>
  </si>
  <si>
    <t>B. State Agency Reporting</t>
  </si>
  <si>
    <t>Testing New System</t>
  </si>
  <si>
    <t>Reading FNS issued letter to Federal employees</t>
  </si>
  <si>
    <t>Phone Inquires and informal appeals for FNS letter</t>
  </si>
  <si>
    <t>Formal appeals to FNS</t>
  </si>
  <si>
    <t>Reading State Issued Notice</t>
  </si>
  <si>
    <t>Informal Inquiries to State</t>
  </si>
  <si>
    <t>Providing documents for formal appeals to FNS</t>
  </si>
  <si>
    <t>State Notice Production</t>
  </si>
  <si>
    <t>Responding to State Phone/informal Inquires</t>
  </si>
  <si>
    <t>Responding to State Formal Appeals</t>
  </si>
  <si>
    <t xml:space="preserve">Formal Appeals to State </t>
  </si>
  <si>
    <t>n/a</t>
  </si>
  <si>
    <t>Households (Debtors)</t>
  </si>
  <si>
    <t>SECTION OF REG</t>
  </si>
  <si>
    <t>NO.  OF RESPONDENTS</t>
  </si>
  <si>
    <t>TOTAL ANNUAL BURDEN HOURS</t>
  </si>
  <si>
    <t>HOURS PER RESPONSE</t>
  </si>
  <si>
    <t>NO.  OF RESPONSES PER RESPONDENT</t>
  </si>
  <si>
    <t>TOP 60 Day Notice Burden</t>
  </si>
  <si>
    <t>Based on average number of records for claims States sent to TOP for calendar years 2016, 2017, 2018</t>
  </si>
  <si>
    <t>Based on average number of records for claims States sent to TOP for calendar years 2012,2013,2014</t>
  </si>
  <si>
    <t>so</t>
  </si>
  <si>
    <t>so, totals</t>
  </si>
  <si>
    <t>hh responses</t>
  </si>
  <si>
    <t>state responses</t>
  </si>
  <si>
    <t>20 (?) result in formal appeal HH, STATE</t>
  </si>
  <si>
    <t>30 percent will result in phone inquiry HH</t>
  </si>
  <si>
    <t>additional notices to Fed employees regarding offset of salary HH</t>
  </si>
  <si>
    <t>appeals HH STATE</t>
  </si>
  <si>
    <t>phone and informal inquiries HH STATE</t>
  </si>
  <si>
    <t>agneices will produce and hhs will read: HH STATE</t>
  </si>
  <si>
    <t>agencies will produce and hhs will read:</t>
  </si>
  <si>
    <t>and FNS will send this many to fed employees</t>
  </si>
  <si>
    <t>TOP State level submissions</t>
  </si>
  <si>
    <t>0.5 hours per state agency</t>
  </si>
  <si>
    <t>didn't change</t>
  </si>
  <si>
    <t>TOP AUTOMATED DATA PROCESSING Burden</t>
  </si>
  <si>
    <t>689 for recordkeeping - 52 weeks per SA, 15 mins each</t>
  </si>
  <si>
    <t>12374.82 for reporting</t>
  </si>
  <si>
    <t>Past Changes</t>
  </si>
  <si>
    <t>60 day notice portion</t>
  </si>
  <si>
    <t>state level submit</t>
  </si>
  <si>
    <t>adp</t>
  </si>
  <si>
    <t>total</t>
  </si>
  <si>
    <t>estimated notices</t>
  </si>
  <si>
    <t>Debts added to TOP</t>
  </si>
  <si>
    <t>TOP Collections</t>
  </si>
  <si>
    <t>2012 Notice:</t>
  </si>
  <si>
    <t>2009, 2010, 2011 average:</t>
  </si>
  <si>
    <t>According to above data:</t>
  </si>
  <si>
    <t xml:space="preserve">2015 Notice: </t>
  </si>
  <si>
    <t xml:space="preserve">2012, 2013, 2014 average: </t>
  </si>
  <si>
    <t>2019 Notice:</t>
  </si>
  <si>
    <t>2015, 2016, 2017, 2018 average:</t>
  </si>
  <si>
    <t>15, 16, 17:</t>
  </si>
  <si>
    <t>16, 17, 18:</t>
  </si>
  <si>
    <t>2022 Notice:</t>
  </si>
  <si>
    <t>273.18(n)(2)</t>
  </si>
  <si>
    <t>273.18(n)(1)(ii)</t>
  </si>
  <si>
    <t>273.18(n)(1)</t>
  </si>
  <si>
    <t>273.18(n)(4)</t>
  </si>
  <si>
    <t>hourly cost to respondent</t>
  </si>
  <si>
    <t>estimated cost to respondent</t>
  </si>
  <si>
    <t>with fully loaded wage</t>
  </si>
  <si>
    <t>Hourly cost</t>
  </si>
  <si>
    <t>C. TOP Automated Data Processing/3rd Party Reporting</t>
  </si>
  <si>
    <t xml:space="preserve">Total 3rd Party Reporting </t>
  </si>
  <si>
    <t>State Agency Total</t>
  </si>
  <si>
    <t>estimated cost</t>
  </si>
  <si>
    <t xml:space="preserve">estimated cost with fringe benefits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</si>
</sst>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_)"/>
    <numFmt numFmtId="165" formatCode="[$-409]mmm\-yy;@"/>
    <numFmt numFmtId="166" formatCode="#,##0.00000"/>
    <numFmt numFmtId="167" formatCode="0.0000"/>
    <numFmt numFmtId="168" formatCode="#,##0.0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i/>
      <sz val="7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rgb="FF1F497D"/>
      <name val="Calibri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125">
        <fgColor indexed="8"/>
        <bgColor theme="6" tint="0.39997558519241921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4" fontId="31" fillId="0" borderId="0" applyFont="0" applyFill="0" applyBorder="0" applyAlignment="0" applyProtection="0"/>
  </cellStyleXfs>
  <cellXfs count="362">
    <xf numFmtId="0" fontId="0" fillId="0" borderId="0" xfId="0"/>
    <xf numFmtId="37" fontId="3" fillId="0" borderId="2" xfId="0" applyNumberFormat="1" applyFont="1" applyBorder="1" applyProtection="1"/>
    <xf numFmtId="37" fontId="3" fillId="0" borderId="1" xfId="0" applyNumberFormat="1" applyFont="1" applyBorder="1" applyProtection="1"/>
    <xf numFmtId="37" fontId="4" fillId="0" borderId="2" xfId="0" applyNumberFormat="1" applyFont="1" applyBorder="1" applyProtection="1"/>
    <xf numFmtId="37" fontId="5" fillId="0" borderId="1" xfId="0" applyNumberFormat="1" applyFont="1" applyBorder="1" applyProtection="1"/>
    <xf numFmtId="37" fontId="4" fillId="0" borderId="1" xfId="0" applyNumberFormat="1" applyFont="1" applyBorder="1" applyProtection="1"/>
    <xf numFmtId="37" fontId="5" fillId="0" borderId="3" xfId="0" applyNumberFormat="1" applyFont="1" applyBorder="1" applyProtection="1"/>
    <xf numFmtId="0" fontId="6" fillId="0" borderId="0" xfId="0" applyFont="1"/>
    <xf numFmtId="37" fontId="5" fillId="0" borderId="6" xfId="0" applyNumberFormat="1" applyFont="1" applyBorder="1" applyProtection="1"/>
    <xf numFmtId="37" fontId="5" fillId="0" borderId="0" xfId="0" applyNumberFormat="1" applyFont="1" applyProtection="1"/>
    <xf numFmtId="37" fontId="7" fillId="0" borderId="6" xfId="0" applyNumberFormat="1" applyFont="1" applyBorder="1" applyProtection="1"/>
    <xf numFmtId="37" fontId="4" fillId="0" borderId="4" xfId="0" applyNumberFormat="1" applyFont="1" applyBorder="1" applyProtection="1"/>
    <xf numFmtId="0" fontId="6" fillId="0" borderId="16" xfId="0" applyFont="1" applyBorder="1"/>
    <xf numFmtId="0" fontId="8" fillId="0" borderId="16" xfId="0" applyFont="1" applyBorder="1"/>
    <xf numFmtId="37" fontId="5" fillId="0" borderId="5" xfId="0" applyNumberFormat="1" applyFont="1" applyBorder="1" applyProtection="1"/>
    <xf numFmtId="0" fontId="9" fillId="0" borderId="33" xfId="0" applyFont="1" applyBorder="1"/>
    <xf numFmtId="37" fontId="7" fillId="0" borderId="0" xfId="0" applyNumberFormat="1" applyFont="1" applyProtection="1"/>
    <xf numFmtId="164" fontId="4" fillId="0" borderId="6" xfId="0" applyNumberFormat="1" applyFont="1" applyBorder="1" applyProtection="1"/>
    <xf numFmtId="164" fontId="4" fillId="0" borderId="0" xfId="0" applyNumberFormat="1" applyFont="1" applyBorder="1" applyProtection="1"/>
    <xf numFmtId="164" fontId="5" fillId="0" borderId="0" xfId="0" applyNumberFormat="1" applyFont="1" applyProtection="1"/>
    <xf numFmtId="164" fontId="5" fillId="0" borderId="7" xfId="0" applyNumberFormat="1" applyFont="1" applyBorder="1" applyProtection="1"/>
    <xf numFmtId="37" fontId="5" fillId="0" borderId="4" xfId="0" applyNumberFormat="1" applyFont="1" applyBorder="1" applyProtection="1"/>
    <xf numFmtId="37" fontId="10" fillId="0" borderId="8" xfId="0" applyNumberFormat="1" applyFont="1" applyBorder="1" applyProtection="1"/>
    <xf numFmtId="37" fontId="7" fillId="0" borderId="4" xfId="0" applyNumberFormat="1" applyFont="1" applyBorder="1" applyProtection="1"/>
    <xf numFmtId="37" fontId="7" fillId="0" borderId="8" xfId="0" applyNumberFormat="1" applyFont="1" applyBorder="1" applyProtection="1"/>
    <xf numFmtId="164" fontId="4" fillId="0" borderId="4" xfId="0" applyNumberFormat="1" applyFont="1" applyBorder="1" applyProtection="1"/>
    <xf numFmtId="164" fontId="4" fillId="0" borderId="8" xfId="0" applyNumberFormat="1" applyFont="1" applyBorder="1" applyAlignment="1" applyProtection="1">
      <alignment horizontal="right"/>
    </xf>
    <xf numFmtId="165" fontId="10" fillId="0" borderId="8" xfId="0" applyNumberFormat="1" applyFont="1" applyBorder="1" applyAlignment="1" applyProtection="1">
      <alignment horizontal="center"/>
    </xf>
    <xf numFmtId="164" fontId="5" fillId="0" borderId="5" xfId="0" applyNumberFormat="1" applyFont="1" applyBorder="1" applyProtection="1"/>
    <xf numFmtId="37" fontId="3" fillId="0" borderId="4" xfId="0" applyNumberFormat="1" applyFont="1" applyBorder="1" applyProtection="1"/>
    <xf numFmtId="37" fontId="5" fillId="0" borderId="8" xfId="0" applyNumberFormat="1" applyFont="1" applyBorder="1" applyProtection="1"/>
    <xf numFmtId="37" fontId="5" fillId="0" borderId="9" xfId="0" applyNumberFormat="1" applyFont="1" applyBorder="1" applyProtection="1"/>
    <xf numFmtId="0" fontId="6" fillId="0" borderId="15" xfId="0" applyFont="1" applyBorder="1"/>
    <xf numFmtId="37" fontId="11" fillId="0" borderId="8" xfId="0" applyNumberFormat="1" applyFont="1" applyBorder="1" applyProtection="1"/>
    <xf numFmtId="37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7" xfId="0" applyNumberFormat="1" applyFont="1" applyBorder="1" applyAlignment="1" applyProtection="1">
      <alignment horizontal="center"/>
    </xf>
    <xf numFmtId="37" fontId="4" fillId="0" borderId="8" xfId="0" applyNumberFormat="1" applyFont="1" applyBorder="1" applyProtection="1"/>
    <xf numFmtId="37" fontId="12" fillId="0" borderId="8" xfId="0" applyNumberFormat="1" applyFont="1" applyBorder="1" applyAlignment="1" applyProtection="1">
      <alignment horizontal="center"/>
    </xf>
    <xf numFmtId="37" fontId="4" fillId="0" borderId="13" xfId="0" applyNumberFormat="1" applyFont="1" applyFill="1" applyBorder="1" applyProtection="1"/>
    <xf numFmtId="37" fontId="4" fillId="0" borderId="8" xfId="0" applyNumberFormat="1" applyFont="1" applyFill="1" applyBorder="1" applyProtection="1"/>
    <xf numFmtId="37" fontId="12" fillId="0" borderId="8" xfId="0" applyNumberFormat="1" applyFont="1" applyFill="1" applyBorder="1" applyAlignment="1" applyProtection="1">
      <alignment horizontal="center"/>
    </xf>
    <xf numFmtId="37" fontId="4" fillId="0" borderId="8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Protection="1"/>
    <xf numFmtId="37" fontId="4" fillId="0" borderId="10" xfId="0" applyNumberFormat="1" applyFont="1" applyBorder="1" applyAlignment="1" applyProtection="1">
      <alignment horizontal="center"/>
    </xf>
    <xf numFmtId="37" fontId="3" fillId="0" borderId="10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14" xfId="0" applyNumberFormat="1" applyFont="1" applyFill="1" applyBorder="1" applyAlignment="1" applyProtection="1">
      <alignment horizontal="center"/>
    </xf>
    <xf numFmtId="37" fontId="3" fillId="0" borderId="1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11" xfId="0" applyNumberFormat="1" applyFont="1" applyFill="1" applyBorder="1" applyAlignment="1" applyProtection="1">
      <alignment horizontal="center"/>
    </xf>
    <xf numFmtId="37" fontId="4" fillId="0" borderId="9" xfId="0" applyNumberFormat="1" applyFont="1" applyBorder="1" applyAlignment="1" applyProtection="1">
      <alignment horizontal="center"/>
    </xf>
    <xf numFmtId="37" fontId="13" fillId="0" borderId="10" xfId="0" applyNumberFormat="1" applyFont="1" applyBorder="1" applyAlignment="1" applyProtection="1">
      <alignment horizontal="center"/>
    </xf>
    <xf numFmtId="37" fontId="3" fillId="0" borderId="12" xfId="0" applyNumberFormat="1" applyFont="1" applyFill="1" applyBorder="1" applyAlignment="1" applyProtection="1">
      <alignment horizontal="center"/>
    </xf>
    <xf numFmtId="37" fontId="13" fillId="0" borderId="0" xfId="0" applyNumberFormat="1" applyFont="1" applyAlignment="1" applyProtection="1">
      <alignment horizontal="center"/>
    </xf>
    <xf numFmtId="37" fontId="3" fillId="0" borderId="10" xfId="0" applyNumberFormat="1" applyFont="1" applyBorder="1" applyProtection="1"/>
    <xf numFmtId="37" fontId="4" fillId="0" borderId="10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Protection="1"/>
    <xf numFmtId="0" fontId="6" fillId="0" borderId="0" xfId="0" applyFont="1" applyFill="1" applyBorder="1"/>
    <xf numFmtId="37" fontId="5" fillId="0" borderId="0" xfId="0" applyNumberFormat="1" applyFont="1" applyFill="1" applyBorder="1" applyAlignment="1" applyProtection="1">
      <alignment horizontal="right"/>
    </xf>
    <xf numFmtId="39" fontId="5" fillId="0" borderId="0" xfId="0" applyNumberFormat="1" applyFont="1" applyFill="1" applyBorder="1" applyAlignment="1" applyProtection="1">
      <alignment horizontal="right"/>
    </xf>
    <xf numFmtId="0" fontId="16" fillId="0" borderId="0" xfId="0" applyFont="1"/>
    <xf numFmtId="39" fontId="5" fillId="0" borderId="0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11" fillId="0" borderId="0" xfId="0" applyNumberFormat="1" applyFont="1" applyAlignment="1" applyProtection="1">
      <alignment horizontal="center"/>
    </xf>
    <xf numFmtId="37" fontId="17" fillId="0" borderId="19" xfId="0" applyNumberFormat="1" applyFont="1" applyBorder="1" applyAlignment="1" applyProtection="1">
      <alignment horizontal="center"/>
    </xf>
    <xf numFmtId="37" fontId="17" fillId="0" borderId="26" xfId="0" applyNumberFormat="1" applyFont="1" applyBorder="1" applyAlignment="1" applyProtection="1">
      <alignment horizontal="center"/>
    </xf>
    <xf numFmtId="37" fontId="18" fillId="0" borderId="30" xfId="0" applyNumberFormat="1" applyFont="1" applyBorder="1" applyAlignment="1" applyProtection="1">
      <alignment horizontal="center"/>
    </xf>
    <xf numFmtId="37" fontId="14" fillId="0" borderId="27" xfId="0" applyNumberFormat="1" applyFont="1" applyBorder="1" applyAlignment="1" applyProtection="1">
      <alignment horizontal="center"/>
    </xf>
    <xf numFmtId="37" fontId="14" fillId="0" borderId="0" xfId="0" applyNumberFormat="1" applyFont="1" applyBorder="1" applyAlignment="1" applyProtection="1">
      <alignment horizontal="center"/>
    </xf>
    <xf numFmtId="0" fontId="6" fillId="0" borderId="0" xfId="0" applyFont="1" applyBorder="1"/>
    <xf numFmtId="0" fontId="15" fillId="0" borderId="16" xfId="0" applyFont="1" applyBorder="1"/>
    <xf numFmtId="0" fontId="19" fillId="0" borderId="23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6" fillId="0" borderId="29" xfId="0" applyFont="1" applyBorder="1"/>
    <xf numFmtId="37" fontId="4" fillId="0" borderId="18" xfId="0" applyNumberFormat="1" applyFont="1" applyBorder="1" applyAlignment="1" applyProtection="1">
      <alignment horizontal="right"/>
    </xf>
    <xf numFmtId="3" fontId="21" fillId="0" borderId="18" xfId="0" applyNumberFormat="1" applyFont="1" applyBorder="1" applyAlignment="1"/>
    <xf numFmtId="0" fontId="20" fillId="0" borderId="22" xfId="0" applyFont="1" applyBorder="1" applyAlignment="1">
      <alignment horizontal="right"/>
    </xf>
    <xf numFmtId="0" fontId="6" fillId="3" borderId="21" xfId="0" applyFont="1" applyFill="1" applyBorder="1"/>
    <xf numFmtId="0" fontId="6" fillId="3" borderId="31" xfId="0" applyFont="1" applyFill="1" applyBorder="1"/>
    <xf numFmtId="0" fontId="6" fillId="3" borderId="20" xfId="0" applyFont="1" applyFill="1" applyBorder="1"/>
    <xf numFmtId="0" fontId="20" fillId="0" borderId="0" xfId="0" applyFont="1" applyFill="1" applyBorder="1"/>
    <xf numFmtId="39" fontId="22" fillId="0" borderId="18" xfId="0" applyNumberFormat="1" applyFont="1" applyBorder="1" applyAlignment="1" applyProtection="1">
      <alignment horizontal="right"/>
    </xf>
    <xf numFmtId="0" fontId="20" fillId="2" borderId="18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left"/>
    </xf>
    <xf numFmtId="0" fontId="20" fillId="0" borderId="18" xfId="0" applyFont="1" applyBorder="1" applyAlignment="1">
      <alignment horizontal="right"/>
    </xf>
    <xf numFmtId="4" fontId="21" fillId="0" borderId="19" xfId="0" applyNumberFormat="1" applyFont="1" applyBorder="1" applyAlignment="1"/>
    <xf numFmtId="37" fontId="12" fillId="0" borderId="21" xfId="0" applyNumberFormat="1" applyFont="1" applyBorder="1" applyAlignment="1" applyProtection="1">
      <alignment horizontal="right"/>
    </xf>
    <xf numFmtId="3" fontId="23" fillId="0" borderId="32" xfId="0" applyNumberFormat="1" applyFont="1" applyBorder="1" applyAlignment="1"/>
    <xf numFmtId="0" fontId="20" fillId="0" borderId="20" xfId="0" applyFont="1" applyBorder="1" applyAlignment="1">
      <alignment horizontal="right"/>
    </xf>
    <xf numFmtId="3" fontId="21" fillId="0" borderId="22" xfId="0" applyNumberFormat="1" applyFont="1" applyFill="1" applyBorder="1" applyAlignment="1"/>
    <xf numFmtId="4" fontId="6" fillId="0" borderId="0" xfId="0" applyNumberFormat="1" applyFont="1" applyFill="1" applyBorder="1"/>
    <xf numFmtId="4" fontId="6" fillId="0" borderId="0" xfId="0" applyNumberFormat="1" applyFont="1"/>
    <xf numFmtId="37" fontId="14" fillId="0" borderId="10" xfId="0" applyNumberFormat="1" applyFont="1" applyBorder="1" applyAlignment="1" applyProtection="1">
      <alignment horizontal="center"/>
    </xf>
    <xf numFmtId="37" fontId="14" fillId="0" borderId="10" xfId="0" applyNumberFormat="1" applyFont="1" applyFill="1" applyBorder="1" applyAlignment="1" applyProtection="1">
      <alignment horizontal="center"/>
    </xf>
    <xf numFmtId="37" fontId="14" fillId="0" borderId="0" xfId="0" applyNumberFormat="1" applyFont="1" applyFill="1" applyBorder="1" applyAlignment="1" applyProtection="1">
      <alignment horizontal="center"/>
    </xf>
    <xf numFmtId="0" fontId="15" fillId="7" borderId="0" xfId="0" applyFont="1" applyFill="1" applyBorder="1" applyAlignment="1"/>
    <xf numFmtId="37" fontId="11" fillId="8" borderId="34" xfId="0" applyNumberFormat="1" applyFont="1" applyFill="1" applyBorder="1" applyProtection="1"/>
    <xf numFmtId="37" fontId="11" fillId="8" borderId="35" xfId="0" applyNumberFormat="1" applyFont="1" applyFill="1" applyBorder="1" applyAlignment="1" applyProtection="1">
      <alignment horizontal="center"/>
    </xf>
    <xf numFmtId="37" fontId="11" fillId="9" borderId="35" xfId="0" applyNumberFormat="1" applyFont="1" applyFill="1" applyBorder="1" applyProtection="1"/>
    <xf numFmtId="37" fontId="11" fillId="8" borderId="35" xfId="0" applyNumberFormat="1" applyFont="1" applyFill="1" applyBorder="1" applyProtection="1"/>
    <xf numFmtId="39" fontId="11" fillId="8" borderId="35" xfId="0" applyNumberFormat="1" applyFont="1" applyFill="1" applyBorder="1" applyProtection="1"/>
    <xf numFmtId="37" fontId="11" fillId="8" borderId="36" xfId="0" applyNumberFormat="1" applyFont="1" applyFill="1" applyBorder="1" applyProtection="1"/>
    <xf numFmtId="37" fontId="11" fillId="8" borderId="37" xfId="0" applyNumberFormat="1" applyFont="1" applyFill="1" applyBorder="1" applyProtection="1"/>
    <xf numFmtId="3" fontId="11" fillId="8" borderId="35" xfId="0" applyNumberFormat="1" applyFont="1" applyFill="1" applyBorder="1" applyAlignment="1" applyProtection="1">
      <alignment horizontal="center"/>
    </xf>
    <xf numFmtId="2" fontId="11" fillId="8" borderId="35" xfId="0" applyNumberFormat="1" applyFont="1" applyFill="1" applyBorder="1" applyAlignment="1" applyProtection="1">
      <alignment horizontal="center"/>
    </xf>
    <xf numFmtId="37" fontId="11" fillId="8" borderId="38" xfId="0" applyNumberFormat="1" applyFont="1" applyFill="1" applyBorder="1" applyAlignment="1" applyProtection="1">
      <alignment horizontal="center"/>
    </xf>
    <xf numFmtId="0" fontId="15" fillId="0" borderId="0" xfId="0" applyFont="1"/>
    <xf numFmtId="37" fontId="4" fillId="0" borderId="39" xfId="0" applyNumberFormat="1" applyFont="1" applyBorder="1" applyProtection="1"/>
    <xf numFmtId="37" fontId="4" fillId="0" borderId="40" xfId="0" applyNumberFormat="1" applyFont="1" applyBorder="1" applyAlignment="1" applyProtection="1">
      <alignment horizontal="center"/>
    </xf>
    <xf numFmtId="37" fontId="4" fillId="0" borderId="40" xfId="0" applyNumberFormat="1" applyFont="1" applyBorder="1" applyProtection="1"/>
    <xf numFmtId="37" fontId="3" fillId="0" borderId="40" xfId="0" applyNumberFormat="1" applyFont="1" applyBorder="1" applyProtection="1"/>
    <xf numFmtId="37" fontId="3" fillId="0" borderId="40" xfId="0" applyNumberFormat="1" applyFont="1" applyBorder="1" applyAlignment="1" applyProtection="1">
      <alignment horizontal="center"/>
    </xf>
    <xf numFmtId="37" fontId="13" fillId="0" borderId="40" xfId="0" applyNumberFormat="1" applyFont="1" applyBorder="1" applyAlignment="1" applyProtection="1">
      <alignment horizontal="center"/>
    </xf>
    <xf numFmtId="37" fontId="4" fillId="0" borderId="41" xfId="0" applyNumberFormat="1" applyFont="1" applyBorder="1" applyProtection="1"/>
    <xf numFmtId="37" fontId="3" fillId="0" borderId="40" xfId="0" applyNumberFormat="1" applyFont="1" applyFill="1" applyBorder="1" applyAlignment="1" applyProtection="1">
      <alignment horizontal="center"/>
    </xf>
    <xf numFmtId="37" fontId="3" fillId="0" borderId="41" xfId="0" applyNumberFormat="1" applyFont="1" applyFill="1" applyBorder="1" applyAlignment="1" applyProtection="1">
      <alignment horizontal="center"/>
    </xf>
    <xf numFmtId="37" fontId="3" fillId="0" borderId="42" xfId="0" applyNumberFormat="1" applyFont="1" applyFill="1" applyBorder="1" applyAlignment="1" applyProtection="1">
      <alignment horizontal="center"/>
    </xf>
    <xf numFmtId="37" fontId="4" fillId="0" borderId="43" xfId="0" applyNumberFormat="1" applyFont="1" applyBorder="1" applyProtection="1"/>
    <xf numFmtId="37" fontId="4" fillId="0" borderId="0" xfId="0" applyNumberFormat="1" applyFont="1" applyBorder="1" applyProtection="1"/>
    <xf numFmtId="37" fontId="13" fillId="0" borderId="44" xfId="0" applyNumberFormat="1" applyFont="1" applyFill="1" applyBorder="1" applyAlignment="1" applyProtection="1">
      <alignment horizontal="center"/>
    </xf>
    <xf numFmtId="37" fontId="14" fillId="0" borderId="44" xfId="0" applyNumberFormat="1" applyFont="1" applyFill="1" applyBorder="1" applyAlignment="1" applyProtection="1">
      <alignment horizontal="center"/>
    </xf>
    <xf numFmtId="0" fontId="6" fillId="4" borderId="0" xfId="0" applyFont="1" applyFill="1" applyBorder="1"/>
    <xf numFmtId="0" fontId="6" fillId="6" borderId="0" xfId="0" applyFont="1" applyFill="1" applyBorder="1"/>
    <xf numFmtId="37" fontId="3" fillId="0" borderId="39" xfId="0" applyNumberFormat="1" applyFont="1" applyFill="1" applyBorder="1" applyProtection="1"/>
    <xf numFmtId="37" fontId="4" fillId="0" borderId="43" xfId="0" applyNumberFormat="1" applyFont="1" applyFill="1" applyBorder="1" applyProtection="1"/>
    <xf numFmtId="37" fontId="14" fillId="0" borderId="43" xfId="0" applyNumberFormat="1" applyFont="1" applyFill="1" applyBorder="1" applyAlignment="1" applyProtection="1">
      <alignment horizontal="center"/>
    </xf>
    <xf numFmtId="3" fontId="6" fillId="0" borderId="46" xfId="0" applyNumberFormat="1" applyFont="1" applyFill="1" applyBorder="1"/>
    <xf numFmtId="37" fontId="11" fillId="8" borderId="34" xfId="0" applyNumberFormat="1" applyFont="1" applyFill="1" applyBorder="1" applyAlignment="1" applyProtection="1">
      <alignment horizontal="center"/>
    </xf>
    <xf numFmtId="0" fontId="15" fillId="7" borderId="45" xfId="0" applyFont="1" applyFill="1" applyBorder="1" applyAlignment="1"/>
    <xf numFmtId="0" fontId="15" fillId="5" borderId="18" xfId="0" applyFont="1" applyFill="1" applyBorder="1"/>
    <xf numFmtId="3" fontId="15" fillId="5" borderId="18" xfId="0" applyNumberFormat="1" applyFont="1" applyFill="1" applyBorder="1"/>
    <xf numFmtId="4" fontId="15" fillId="5" borderId="18" xfId="0" applyNumberFormat="1" applyFont="1" applyFill="1" applyBorder="1"/>
    <xf numFmtId="37" fontId="11" fillId="0" borderId="0" xfId="0" applyNumberFormat="1" applyFont="1" applyFill="1" applyBorder="1" applyProtection="1"/>
    <xf numFmtId="4" fontId="6" fillId="0" borderId="0" xfId="0" applyNumberFormat="1" applyFont="1" applyBorder="1"/>
    <xf numFmtId="3" fontId="6" fillId="0" borderId="0" xfId="0" applyNumberFormat="1" applyFont="1" applyFill="1" applyBorder="1"/>
    <xf numFmtId="0" fontId="15" fillId="6" borderId="45" xfId="0" applyFont="1" applyFill="1" applyBorder="1"/>
    <xf numFmtId="37" fontId="5" fillId="0" borderId="24" xfId="0" applyNumberFormat="1" applyFont="1" applyBorder="1" applyProtection="1"/>
    <xf numFmtId="3" fontId="6" fillId="0" borderId="24" xfId="0" applyNumberFormat="1" applyFont="1" applyFill="1" applyBorder="1"/>
    <xf numFmtId="3" fontId="6" fillId="0" borderId="24" xfId="0" applyNumberFormat="1" applyFont="1" applyBorder="1"/>
    <xf numFmtId="0" fontId="5" fillId="0" borderId="45" xfId="0" applyNumberFormat="1" applyFont="1" applyBorder="1" applyAlignment="1" applyProtection="1">
      <alignment horizontal="center"/>
    </xf>
    <xf numFmtId="37" fontId="5" fillId="0" borderId="18" xfId="0" applyNumberFormat="1" applyFont="1" applyBorder="1" applyProtection="1"/>
    <xf numFmtId="37" fontId="5" fillId="0" borderId="18" xfId="0" applyNumberFormat="1" applyFont="1" applyBorder="1" applyAlignment="1" applyProtection="1">
      <alignment horizontal="center"/>
    </xf>
    <xf numFmtId="3" fontId="6" fillId="0" borderId="18" xfId="0" applyNumberFormat="1" applyFont="1" applyFill="1" applyBorder="1"/>
    <xf numFmtId="4" fontId="6" fillId="0" borderId="18" xfId="0" applyNumberFormat="1" applyFont="1" applyFill="1" applyBorder="1"/>
    <xf numFmtId="3" fontId="6" fillId="0" borderId="18" xfId="0" applyNumberFormat="1" applyFont="1" applyBorder="1"/>
    <xf numFmtId="2" fontId="6" fillId="0" borderId="18" xfId="0" applyNumberFormat="1" applyFont="1" applyFill="1" applyBorder="1"/>
    <xf numFmtId="0" fontId="6" fillId="0" borderId="18" xfId="0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0" fontId="15" fillId="0" borderId="45" xfId="0" applyFont="1" applyBorder="1" applyAlignment="1">
      <alignment horizontal="center"/>
    </xf>
    <xf numFmtId="37" fontId="5" fillId="0" borderId="45" xfId="0" applyNumberFormat="1" applyFont="1" applyBorder="1" applyAlignment="1" applyProtection="1">
      <alignment horizontal="center"/>
    </xf>
    <xf numFmtId="3" fontId="5" fillId="0" borderId="18" xfId="0" applyNumberFormat="1" applyFont="1" applyFill="1" applyBorder="1" applyProtection="1"/>
    <xf numFmtId="4" fontId="5" fillId="0" borderId="18" xfId="0" applyNumberFormat="1" applyFont="1" applyFill="1" applyBorder="1" applyProtection="1"/>
    <xf numFmtId="37" fontId="5" fillId="0" borderId="18" xfId="0" applyNumberFormat="1" applyFont="1" applyBorder="1" applyAlignment="1" applyProtection="1">
      <alignment horizontal="left"/>
    </xf>
    <xf numFmtId="3" fontId="5" fillId="0" borderId="18" xfId="0" applyNumberFormat="1" applyFont="1" applyBorder="1" applyProtection="1"/>
    <xf numFmtId="4" fontId="5" fillId="0" borderId="18" xfId="0" applyNumberFormat="1" applyFont="1" applyBorder="1" applyProtection="1"/>
    <xf numFmtId="4" fontId="6" fillId="0" borderId="21" xfId="0" applyNumberFormat="1" applyFont="1" applyBorder="1"/>
    <xf numFmtId="0" fontId="6" fillId="0" borderId="21" xfId="0" applyFont="1" applyBorder="1" applyAlignment="1">
      <alignment vertical="center" wrapText="1"/>
    </xf>
    <xf numFmtId="4" fontId="5" fillId="0" borderId="21" xfId="0" applyNumberFormat="1" applyFont="1" applyFill="1" applyBorder="1" applyAlignment="1" applyProtection="1">
      <alignment horizontal="right"/>
    </xf>
    <xf numFmtId="4" fontId="5" fillId="0" borderId="21" xfId="0" applyNumberFormat="1" applyFont="1" applyBorder="1" applyAlignment="1" applyProtection="1">
      <alignment horizontal="right"/>
    </xf>
    <xf numFmtId="0" fontId="6" fillId="0" borderId="25" xfId="0" applyFont="1" applyFill="1" applyBorder="1"/>
    <xf numFmtId="3" fontId="15" fillId="0" borderId="0" xfId="0" applyNumberFormat="1" applyFont="1" applyFill="1" applyBorder="1"/>
    <xf numFmtId="3" fontId="15" fillId="0" borderId="24" xfId="0" applyNumberFormat="1" applyFont="1" applyFill="1" applyBorder="1"/>
    <xf numFmtId="3" fontId="5" fillId="0" borderId="24" xfId="0" applyNumberFormat="1" applyFont="1" applyFill="1" applyBorder="1" applyAlignment="1" applyProtection="1">
      <alignment horizontal="right"/>
    </xf>
    <xf numFmtId="3" fontId="5" fillId="0" borderId="24" xfId="0" applyNumberFormat="1" applyFont="1" applyFill="1" applyBorder="1" applyProtection="1"/>
    <xf numFmtId="3" fontId="11" fillId="0" borderId="24" xfId="0" applyNumberFormat="1" applyFont="1" applyFill="1" applyBorder="1" applyProtection="1"/>
    <xf numFmtId="3" fontId="5" fillId="0" borderId="22" xfId="0" applyNumberFormat="1" applyFont="1" applyFill="1" applyBorder="1" applyProtection="1"/>
    <xf numFmtId="0" fontId="15" fillId="0" borderId="0" xfId="0" applyFont="1" applyFill="1" applyBorder="1"/>
    <xf numFmtId="4" fontId="6" fillId="0" borderId="24" xfId="0" applyNumberFormat="1" applyFont="1" applyFill="1" applyBorder="1"/>
    <xf numFmtId="0" fontId="15" fillId="0" borderId="25" xfId="0" applyFont="1" applyFill="1" applyBorder="1"/>
    <xf numFmtId="37" fontId="5" fillId="0" borderId="25" xfId="0" applyNumberFormat="1" applyFont="1" applyFill="1" applyBorder="1" applyAlignment="1" applyProtection="1">
      <alignment horizontal="right"/>
    </xf>
    <xf numFmtId="37" fontId="5" fillId="0" borderId="25" xfId="0" applyNumberFormat="1" applyFont="1" applyFill="1" applyBorder="1" applyProtection="1"/>
    <xf numFmtId="37" fontId="14" fillId="0" borderId="43" xfId="0" applyNumberFormat="1" applyFont="1" applyBorder="1" applyAlignment="1" applyProtection="1">
      <alignment horizontal="center"/>
    </xf>
    <xf numFmtId="37" fontId="11" fillId="5" borderId="47" xfId="0" applyNumberFormat="1" applyFont="1" applyFill="1" applyBorder="1" applyAlignment="1" applyProtection="1"/>
    <xf numFmtId="37" fontId="11" fillId="5" borderId="41" xfId="0" applyNumberFormat="1" applyFont="1" applyFill="1" applyBorder="1" applyAlignment="1" applyProtection="1"/>
    <xf numFmtId="37" fontId="5" fillId="0" borderId="49" xfId="0" applyNumberFormat="1" applyFont="1" applyBorder="1" applyProtection="1"/>
    <xf numFmtId="37" fontId="5" fillId="0" borderId="50" xfId="0" applyNumberFormat="1" applyFont="1" applyBorder="1" applyAlignment="1" applyProtection="1">
      <alignment horizontal="left"/>
    </xf>
    <xf numFmtId="37" fontId="5" fillId="0" borderId="50" xfId="0" applyNumberFormat="1" applyFont="1" applyBorder="1" applyAlignment="1" applyProtection="1">
      <alignment horizontal="center"/>
    </xf>
    <xf numFmtId="3" fontId="5" fillId="0" borderId="50" xfId="0" applyNumberFormat="1" applyFont="1" applyBorder="1" applyProtection="1"/>
    <xf numFmtId="4" fontId="5" fillId="0" borderId="50" xfId="0" applyNumberFormat="1" applyFont="1" applyBorder="1" applyProtection="1"/>
    <xf numFmtId="37" fontId="14" fillId="0" borderId="51" xfId="0" applyNumberFormat="1" applyFont="1" applyFill="1" applyBorder="1" applyAlignment="1" applyProtection="1">
      <alignment horizontal="center"/>
    </xf>
    <xf numFmtId="37" fontId="14" fillId="0" borderId="41" xfId="0" applyNumberFormat="1" applyFont="1" applyFill="1" applyBorder="1" applyAlignment="1" applyProtection="1">
      <alignment horizontal="center"/>
    </xf>
    <xf numFmtId="37" fontId="14" fillId="0" borderId="52" xfId="0" applyNumberFormat="1" applyFont="1" applyFill="1" applyBorder="1" applyAlignment="1" applyProtection="1">
      <alignment horizontal="center"/>
    </xf>
    <xf numFmtId="37" fontId="14" fillId="0" borderId="53" xfId="0" applyNumberFormat="1" applyFont="1" applyFill="1" applyBorder="1" applyAlignment="1" applyProtection="1">
      <alignment horizontal="center"/>
    </xf>
    <xf numFmtId="0" fontId="6" fillId="0" borderId="46" xfId="0" applyFont="1" applyFill="1" applyBorder="1"/>
    <xf numFmtId="4" fontId="6" fillId="0" borderId="54" xfId="0" applyNumberFormat="1" applyFont="1" applyFill="1" applyBorder="1"/>
    <xf numFmtId="4" fontId="15" fillId="0" borderId="54" xfId="0" applyNumberFormat="1" applyFont="1" applyFill="1" applyBorder="1"/>
    <xf numFmtId="37" fontId="5" fillId="0" borderId="54" xfId="0" applyNumberFormat="1" applyFont="1" applyFill="1" applyBorder="1" applyAlignment="1" applyProtection="1">
      <alignment horizontal="right"/>
    </xf>
    <xf numFmtId="37" fontId="5" fillId="0" borderId="46" xfId="0" applyNumberFormat="1" applyFont="1" applyFill="1" applyBorder="1" applyProtection="1"/>
    <xf numFmtId="37" fontId="5" fillId="0" borderId="54" xfId="0" applyNumberFormat="1" applyFont="1" applyFill="1" applyBorder="1" applyProtection="1"/>
    <xf numFmtId="37" fontId="11" fillId="0" borderId="46" xfId="0" applyNumberFormat="1" applyFont="1" applyFill="1" applyBorder="1" applyProtection="1"/>
    <xf numFmtId="37" fontId="11" fillId="0" borderId="54" xfId="0" applyNumberFormat="1" applyFont="1" applyFill="1" applyBorder="1" applyProtection="1"/>
    <xf numFmtId="0" fontId="6" fillId="0" borderId="22" xfId="0" applyFont="1" applyBorder="1"/>
    <xf numFmtId="0" fontId="6" fillId="0" borderId="22" xfId="0" applyFont="1" applyBorder="1" applyAlignment="1">
      <alignment horizontal="center"/>
    </xf>
    <xf numFmtId="3" fontId="6" fillId="0" borderId="22" xfId="0" applyNumberFormat="1" applyFont="1" applyBorder="1"/>
    <xf numFmtId="4" fontId="6" fillId="0" borderId="22" xfId="0" applyNumberFormat="1" applyFont="1" applyBorder="1"/>
    <xf numFmtId="2" fontId="6" fillId="0" borderId="22" xfId="0" applyNumberFormat="1" applyFont="1" applyBorder="1"/>
    <xf numFmtId="0" fontId="6" fillId="0" borderId="19" xfId="0" applyFont="1" applyBorder="1" applyAlignment="1">
      <alignment vertical="center" wrapText="1"/>
    </xf>
    <xf numFmtId="37" fontId="5" fillId="0" borderId="22" xfId="0" applyNumberFormat="1" applyFont="1" applyBorder="1" applyProtection="1"/>
    <xf numFmtId="37" fontId="5" fillId="0" borderId="22" xfId="0" applyNumberFormat="1" applyFont="1" applyBorder="1" applyAlignment="1" applyProtection="1">
      <alignment horizontal="center"/>
    </xf>
    <xf numFmtId="3" fontId="6" fillId="0" borderId="22" xfId="0" applyNumberFormat="1" applyFont="1" applyFill="1" applyBorder="1"/>
    <xf numFmtId="4" fontId="6" fillId="0" borderId="22" xfId="0" applyNumberFormat="1" applyFont="1" applyFill="1" applyBorder="1"/>
    <xf numFmtId="2" fontId="6" fillId="0" borderId="22" xfId="0" applyNumberFormat="1" applyFont="1" applyFill="1" applyBorder="1"/>
    <xf numFmtId="37" fontId="5" fillId="0" borderId="24" xfId="0" applyNumberFormat="1" applyFont="1" applyBorder="1" applyAlignment="1" applyProtection="1">
      <alignment horizontal="center"/>
    </xf>
    <xf numFmtId="2" fontId="6" fillId="0" borderId="24" xfId="0" applyNumberFormat="1" applyFont="1" applyFill="1" applyBorder="1"/>
    <xf numFmtId="4" fontId="5" fillId="0" borderId="22" xfId="0" applyNumberFormat="1" applyFont="1" applyFill="1" applyBorder="1" applyProtection="1"/>
    <xf numFmtId="0" fontId="15" fillId="4" borderId="45" xfId="0" applyFont="1" applyFill="1" applyBorder="1"/>
    <xf numFmtId="37" fontId="11" fillId="7" borderId="55" xfId="0" applyNumberFormat="1" applyFont="1" applyFill="1" applyBorder="1" applyProtection="1"/>
    <xf numFmtId="37" fontId="11" fillId="7" borderId="56" xfId="0" applyNumberFormat="1" applyFont="1" applyFill="1" applyBorder="1" applyAlignment="1" applyProtection="1">
      <alignment horizontal="left"/>
    </xf>
    <xf numFmtId="37" fontId="11" fillId="7" borderId="56" xfId="0" applyNumberFormat="1" applyFont="1" applyFill="1" applyBorder="1" applyAlignment="1" applyProtection="1">
      <alignment horizontal="center"/>
    </xf>
    <xf numFmtId="3" fontId="11" fillId="7" borderId="56" xfId="0" applyNumberFormat="1" applyFont="1" applyFill="1" applyBorder="1" applyProtection="1"/>
    <xf numFmtId="4" fontId="11" fillId="7" borderId="56" xfId="0" applyNumberFormat="1" applyFont="1" applyFill="1" applyBorder="1" applyProtection="1"/>
    <xf numFmtId="37" fontId="5" fillId="0" borderId="31" xfId="0" applyNumberFormat="1" applyFont="1" applyFill="1" applyBorder="1" applyProtection="1"/>
    <xf numFmtId="39" fontId="5" fillId="0" borderId="31" xfId="0" applyNumberFormat="1" applyFont="1" applyFill="1" applyBorder="1" applyProtection="1"/>
    <xf numFmtId="4" fontId="6" fillId="0" borderId="28" xfId="0" applyNumberFormat="1" applyFont="1" applyBorder="1"/>
    <xf numFmtId="0" fontId="6" fillId="0" borderId="26" xfId="0" applyFont="1" applyBorder="1" applyAlignment="1">
      <alignment vertical="center" wrapText="1"/>
    </xf>
    <xf numFmtId="4" fontId="6" fillId="0" borderId="33" xfId="0" applyNumberFormat="1" applyFont="1" applyBorder="1"/>
    <xf numFmtId="4" fontId="5" fillId="0" borderId="28" xfId="0" applyNumberFormat="1" applyFont="1" applyFill="1" applyBorder="1" applyAlignment="1" applyProtection="1">
      <alignment horizontal="right"/>
    </xf>
    <xf numFmtId="4" fontId="11" fillId="7" borderId="57" xfId="0" applyNumberFormat="1" applyFont="1" applyFill="1" applyBorder="1" applyAlignment="1" applyProtection="1">
      <alignment horizontal="right"/>
    </xf>
    <xf numFmtId="4" fontId="5" fillId="0" borderId="50" xfId="0" applyNumberFormat="1" applyFont="1" applyBorder="1" applyAlignment="1" applyProtection="1">
      <alignment horizontal="right"/>
    </xf>
    <xf numFmtId="37" fontId="5" fillId="0" borderId="58" xfId="0" applyNumberFormat="1" applyFont="1" applyFill="1" applyBorder="1" applyProtection="1"/>
    <xf numFmtId="4" fontId="6" fillId="0" borderId="48" xfId="0" applyNumberFormat="1" applyFont="1" applyFill="1" applyBorder="1"/>
    <xf numFmtId="37" fontId="5" fillId="0" borderId="19" xfId="0" applyNumberFormat="1" applyFont="1" applyBorder="1" applyAlignment="1" applyProtection="1">
      <alignment horizontal="center"/>
    </xf>
    <xf numFmtId="0" fontId="6" fillId="0" borderId="24" xfId="0" applyFont="1" applyBorder="1" applyAlignment="1">
      <alignment horizontal="center"/>
    </xf>
    <xf numFmtId="0" fontId="11" fillId="4" borderId="21" xfId="0" applyNumberFormat="1" applyFont="1" applyFill="1" applyBorder="1" applyAlignment="1" applyProtection="1">
      <alignment horizontal="left"/>
    </xf>
    <xf numFmtId="0" fontId="6" fillId="4" borderId="31" xfId="0" applyFont="1" applyFill="1" applyBorder="1"/>
    <xf numFmtId="37" fontId="5" fillId="4" borderId="31" xfId="0" applyNumberFormat="1" applyFont="1" applyFill="1" applyBorder="1" applyAlignment="1" applyProtection="1">
      <alignment horizontal="center"/>
    </xf>
    <xf numFmtId="3" fontId="6" fillId="4" borderId="31" xfId="0" applyNumberFormat="1" applyFont="1" applyFill="1" applyBorder="1"/>
    <xf numFmtId="4" fontId="6" fillId="4" borderId="31" xfId="0" applyNumberFormat="1" applyFont="1" applyFill="1" applyBorder="1"/>
    <xf numFmtId="2" fontId="6" fillId="4" borderId="31" xfId="0" applyNumberFormat="1" applyFont="1" applyFill="1" applyBorder="1"/>
    <xf numFmtId="4" fontId="6" fillId="4" borderId="20" xfId="0" applyNumberFormat="1" applyFont="1" applyFill="1" applyBorder="1"/>
    <xf numFmtId="37" fontId="11" fillId="4" borderId="21" xfId="0" applyNumberFormat="1" applyFont="1" applyFill="1" applyBorder="1" applyAlignment="1" applyProtection="1">
      <alignment horizontal="left"/>
    </xf>
    <xf numFmtId="37" fontId="5" fillId="4" borderId="31" xfId="0" applyNumberFormat="1" applyFont="1" applyFill="1" applyBorder="1" applyProtection="1"/>
    <xf numFmtId="3" fontId="5" fillId="4" borderId="31" xfId="0" applyNumberFormat="1" applyFont="1" applyFill="1" applyBorder="1" applyProtection="1"/>
    <xf numFmtId="4" fontId="5" fillId="4" borderId="31" xfId="0" applyNumberFormat="1" applyFont="1" applyFill="1" applyBorder="1" applyProtection="1"/>
    <xf numFmtId="4" fontId="5" fillId="4" borderId="20" xfId="0" applyNumberFormat="1" applyFont="1" applyFill="1" applyBorder="1" applyAlignment="1" applyProtection="1">
      <alignment horizontal="right"/>
    </xf>
    <xf numFmtId="0" fontId="15" fillId="4" borderId="21" xfId="0" applyFont="1" applyFill="1" applyBorder="1"/>
    <xf numFmtId="0" fontId="6" fillId="4" borderId="20" xfId="0" applyFont="1" applyFill="1" applyBorder="1"/>
    <xf numFmtId="2" fontId="6" fillId="0" borderId="18" xfId="0" applyNumberFormat="1" applyFont="1" applyBorder="1" applyAlignment="1">
      <alignment vertical="center" wrapText="1"/>
    </xf>
    <xf numFmtId="2" fontId="6" fillId="0" borderId="19" xfId="0" applyNumberFormat="1" applyFont="1" applyBorder="1" applyAlignment="1">
      <alignment vertical="center" wrapText="1"/>
    </xf>
    <xf numFmtId="3" fontId="24" fillId="5" borderId="18" xfId="0" applyNumberFormat="1" applyFont="1" applyFill="1" applyBorder="1"/>
    <xf numFmtId="3" fontId="25" fillId="0" borderId="18" xfId="0" applyNumberFormat="1" applyFont="1" applyFill="1" applyBorder="1"/>
    <xf numFmtId="166" fontId="25" fillId="0" borderId="18" xfId="0" applyNumberFormat="1" applyFont="1" applyFill="1" applyBorder="1"/>
    <xf numFmtId="3" fontId="0" fillId="0" borderId="0" xfId="0" applyNumberFormat="1"/>
    <xf numFmtId="0" fontId="27" fillId="0" borderId="32" xfId="1" applyFont="1" applyBorder="1" applyAlignment="1">
      <alignment vertical="center"/>
    </xf>
    <xf numFmtId="0" fontId="27" fillId="0" borderId="60" xfId="1" applyFont="1" applyBorder="1" applyAlignment="1">
      <alignment vertical="center"/>
    </xf>
    <xf numFmtId="0" fontId="28" fillId="0" borderId="60" xfId="1" applyFont="1" applyBorder="1" applyAlignment="1">
      <alignment vertical="top"/>
    </xf>
    <xf numFmtId="0" fontId="2" fillId="0" borderId="0" xfId="1"/>
    <xf numFmtId="0" fontId="29" fillId="0" borderId="61" xfId="1" applyFont="1" applyBorder="1" applyAlignment="1">
      <alignment vertical="center"/>
    </xf>
    <xf numFmtId="3" fontId="29" fillId="0" borderId="59" xfId="1" applyNumberFormat="1" applyFont="1" applyBorder="1" applyAlignment="1">
      <alignment vertical="center"/>
    </xf>
    <xf numFmtId="0" fontId="28" fillId="0" borderId="59" xfId="1" applyFont="1" applyBorder="1" applyAlignment="1">
      <alignment vertical="top"/>
    </xf>
    <xf numFmtId="8" fontId="29" fillId="0" borderId="59" xfId="1" applyNumberFormat="1" applyFont="1" applyBorder="1" applyAlignment="1">
      <alignment vertical="center"/>
    </xf>
    <xf numFmtId="0" fontId="2" fillId="0" borderId="24" xfId="1" applyBorder="1"/>
    <xf numFmtId="3" fontId="2" fillId="0" borderId="24" xfId="1" applyNumberFormat="1" applyBorder="1"/>
    <xf numFmtId="3" fontId="2" fillId="0" borderId="0" xfId="1" applyNumberFormat="1"/>
    <xf numFmtId="3" fontId="26" fillId="10" borderId="0" xfId="0" applyNumberFormat="1" applyFont="1" applyFill="1"/>
    <xf numFmtId="0" fontId="0" fillId="10" borderId="0" xfId="0" applyFill="1"/>
    <xf numFmtId="37" fontId="5" fillId="0" borderId="63" xfId="0" applyNumberFormat="1" applyFont="1" applyFill="1" applyBorder="1" applyProtection="1"/>
    <xf numFmtId="37" fontId="5" fillId="0" borderId="64" xfId="0" applyNumberFormat="1" applyFont="1" applyFill="1" applyBorder="1" applyProtection="1"/>
    <xf numFmtId="3" fontId="6" fillId="0" borderId="56" xfId="0" applyNumberFormat="1" applyFont="1" applyFill="1" applyBorder="1"/>
    <xf numFmtId="39" fontId="5" fillId="0" borderId="64" xfId="0" applyNumberFormat="1" applyFont="1" applyFill="1" applyBorder="1" applyProtection="1"/>
    <xf numFmtId="4" fontId="6" fillId="0" borderId="65" xfId="0" applyNumberFormat="1" applyFont="1" applyFill="1" applyBorder="1"/>
    <xf numFmtId="4" fontId="0" fillId="0" borderId="0" xfId="0" applyNumberFormat="1"/>
    <xf numFmtId="37" fontId="0" fillId="0" borderId="0" xfId="0" applyNumberFormat="1"/>
    <xf numFmtId="0" fontId="30" fillId="0" borderId="61" xfId="0" applyFont="1" applyBorder="1" applyAlignment="1">
      <alignment vertical="center"/>
    </xf>
    <xf numFmtId="3" fontId="30" fillId="0" borderId="59" xfId="0" applyNumberFormat="1" applyFont="1" applyBorder="1" applyAlignment="1">
      <alignment vertical="center"/>
    </xf>
    <xf numFmtId="0" fontId="1" fillId="0" borderId="0" xfId="2"/>
    <xf numFmtId="0" fontId="27" fillId="0" borderId="32" xfId="2" applyFont="1" applyBorder="1" applyAlignment="1">
      <alignment vertical="center"/>
    </xf>
    <xf numFmtId="0" fontId="27" fillId="0" borderId="60" xfId="2" applyFont="1" applyBorder="1" applyAlignment="1">
      <alignment vertical="center"/>
    </xf>
    <xf numFmtId="0" fontId="28" fillId="0" borderId="60" xfId="2" applyFont="1" applyBorder="1" applyAlignment="1">
      <alignment vertical="top"/>
    </xf>
    <xf numFmtId="0" fontId="29" fillId="0" borderId="61" xfId="2" applyFont="1" applyBorder="1" applyAlignment="1">
      <alignment vertical="center"/>
    </xf>
    <xf numFmtId="3" fontId="29" fillId="0" borderId="59" xfId="2" applyNumberFormat="1" applyFont="1" applyBorder="1" applyAlignment="1">
      <alignment vertical="center"/>
    </xf>
    <xf numFmtId="0" fontId="28" fillId="0" borderId="59" xfId="2" applyFont="1" applyBorder="1" applyAlignment="1">
      <alignment vertical="top"/>
    </xf>
    <xf numFmtId="8" fontId="29" fillId="0" borderId="59" xfId="2" applyNumberFormat="1" applyFont="1" applyBorder="1" applyAlignment="1">
      <alignment vertical="center"/>
    </xf>
    <xf numFmtId="0" fontId="1" fillId="0" borderId="0" xfId="1" applyFont="1"/>
    <xf numFmtId="167" fontId="6" fillId="0" borderId="18" xfId="0" applyNumberFormat="1" applyFont="1" applyFill="1" applyBorder="1"/>
    <xf numFmtId="39" fontId="0" fillId="0" borderId="0" xfId="0" applyNumberFormat="1"/>
    <xf numFmtId="0" fontId="6" fillId="0" borderId="18" xfId="0" applyFont="1" applyFill="1" applyBorder="1"/>
    <xf numFmtId="0" fontId="6" fillId="0" borderId="18" xfId="0" applyFont="1" applyFill="1" applyBorder="1" applyAlignment="1">
      <alignment vertical="center" wrapText="1"/>
    </xf>
    <xf numFmtId="3" fontId="6" fillId="0" borderId="18" xfId="0" applyNumberFormat="1" applyFont="1" applyFill="1" applyBorder="1" applyAlignment="1">
      <alignment vertical="center" wrapText="1"/>
    </xf>
    <xf numFmtId="2" fontId="6" fillId="0" borderId="18" xfId="0" applyNumberFormat="1" applyFont="1" applyFill="1" applyBorder="1" applyAlignment="1">
      <alignment vertical="center" wrapText="1"/>
    </xf>
    <xf numFmtId="1" fontId="6" fillId="0" borderId="18" xfId="0" applyNumberFormat="1" applyFont="1" applyFill="1" applyBorder="1" applyAlignment="1">
      <alignment vertical="center" wrapText="1"/>
    </xf>
    <xf numFmtId="0" fontId="15" fillId="0" borderId="18" xfId="0" applyFont="1" applyFill="1" applyBorder="1"/>
    <xf numFmtId="0" fontId="15" fillId="0" borderId="18" xfId="0" applyFont="1" applyFill="1" applyBorder="1" applyAlignment="1"/>
    <xf numFmtId="0" fontId="6" fillId="0" borderId="18" xfId="0" applyFont="1" applyFill="1" applyBorder="1" applyAlignment="1">
      <alignment wrapText="1"/>
    </xf>
    <xf numFmtId="37" fontId="15" fillId="0" borderId="18" xfId="0" applyNumberFormat="1" applyFont="1" applyFill="1" applyBorder="1" applyAlignment="1" applyProtection="1"/>
    <xf numFmtId="37" fontId="6" fillId="0" borderId="18" xfId="0" applyNumberFormat="1" applyFont="1" applyFill="1" applyBorder="1" applyAlignment="1" applyProtection="1">
      <alignment wrapText="1"/>
    </xf>
    <xf numFmtId="37" fontId="6" fillId="0" borderId="18" xfId="0" applyNumberFormat="1" applyFont="1" applyFill="1" applyBorder="1" applyProtection="1"/>
    <xf numFmtId="3" fontId="6" fillId="0" borderId="18" xfId="0" applyNumberFormat="1" applyFont="1" applyFill="1" applyBorder="1" applyProtection="1"/>
    <xf numFmtId="4" fontId="6" fillId="0" borderId="18" xfId="0" applyNumberFormat="1" applyFont="1" applyFill="1" applyBorder="1" applyProtection="1"/>
    <xf numFmtId="168" fontId="6" fillId="0" borderId="18" xfId="0" applyNumberFormat="1" applyFont="1" applyFill="1" applyBorder="1" applyProtection="1"/>
    <xf numFmtId="37" fontId="6" fillId="0" borderId="18" xfId="0" applyNumberFormat="1" applyFont="1" applyFill="1" applyBorder="1" applyAlignment="1" applyProtection="1">
      <alignment horizontal="left"/>
    </xf>
    <xf numFmtId="37" fontId="6" fillId="0" borderId="18" xfId="0" applyNumberFormat="1" applyFont="1" applyFill="1" applyBorder="1" applyAlignment="1" applyProtection="1">
      <alignment horizontal="left" wrapText="1"/>
    </xf>
    <xf numFmtId="37" fontId="15" fillId="0" borderId="18" xfId="0" applyNumberFormat="1" applyFont="1" applyFill="1" applyBorder="1" applyAlignment="1" applyProtection="1">
      <alignment horizontal="left"/>
    </xf>
    <xf numFmtId="0" fontId="6" fillId="0" borderId="18" xfId="0" applyNumberFormat="1" applyFont="1" applyFill="1" applyBorder="1" applyAlignment="1" applyProtection="1">
      <alignment horizontal="center"/>
    </xf>
    <xf numFmtId="0" fontId="15" fillId="0" borderId="18" xfId="0" applyNumberFormat="1" applyFont="1" applyFill="1" applyBorder="1" applyAlignment="1" applyProtection="1">
      <alignment horizontal="left"/>
    </xf>
    <xf numFmtId="0" fontId="6" fillId="0" borderId="24" xfId="0" applyFont="1" applyFill="1" applyBorder="1"/>
    <xf numFmtId="0" fontId="6" fillId="0" borderId="24" xfId="0" applyFont="1" applyFill="1" applyBorder="1" applyAlignment="1">
      <alignment horizontal="center"/>
    </xf>
    <xf numFmtId="37" fontId="6" fillId="0" borderId="24" xfId="0" applyNumberFormat="1" applyFont="1" applyFill="1" applyBorder="1" applyAlignment="1" applyProtection="1">
      <alignment horizontal="center"/>
    </xf>
    <xf numFmtId="37" fontId="15" fillId="0" borderId="26" xfId="0" applyNumberFormat="1" applyFont="1" applyFill="1" applyBorder="1" applyAlignment="1" applyProtection="1"/>
    <xf numFmtId="37" fontId="15" fillId="0" borderId="30" xfId="0" applyNumberFormat="1" applyFont="1" applyFill="1" applyBorder="1" applyAlignment="1" applyProtection="1"/>
    <xf numFmtId="37" fontId="15" fillId="0" borderId="27" xfId="0" applyNumberFormat="1" applyFont="1" applyFill="1" applyBorder="1" applyAlignment="1" applyProtection="1"/>
    <xf numFmtId="37" fontId="15" fillId="0" borderId="28" xfId="0" applyNumberFormat="1" applyFont="1" applyFill="1" applyBorder="1" applyAlignment="1" applyProtection="1"/>
    <xf numFmtId="37" fontId="15" fillId="0" borderId="16" xfId="0" applyNumberFormat="1" applyFont="1" applyFill="1" applyBorder="1" applyAlignment="1" applyProtection="1"/>
    <xf numFmtId="37" fontId="15" fillId="0" borderId="29" xfId="0" applyNumberFormat="1" applyFont="1" applyFill="1" applyBorder="1" applyAlignment="1" applyProtection="1"/>
    <xf numFmtId="4" fontId="6" fillId="0" borderId="21" xfId="0" applyNumberFormat="1" applyFont="1" applyFill="1" applyBorder="1"/>
    <xf numFmtId="0" fontId="6" fillId="0" borderId="21" xfId="0" applyFont="1" applyFill="1" applyBorder="1"/>
    <xf numFmtId="0" fontId="15" fillId="0" borderId="21" xfId="0" applyFont="1" applyFill="1" applyBorder="1" applyAlignment="1"/>
    <xf numFmtId="4" fontId="6" fillId="0" borderId="21" xfId="0" applyNumberFormat="1" applyFont="1" applyFill="1" applyBorder="1" applyAlignment="1" applyProtection="1">
      <alignment horizontal="right"/>
    </xf>
    <xf numFmtId="0" fontId="6" fillId="0" borderId="19" xfId="0" applyFont="1" applyBorder="1"/>
    <xf numFmtId="44" fontId="6" fillId="0" borderId="18" xfId="3" applyFont="1" applyBorder="1"/>
    <xf numFmtId="44" fontId="6" fillId="0" borderId="18" xfId="0" applyNumberFormat="1" applyFont="1" applyBorder="1"/>
    <xf numFmtId="0" fontId="6" fillId="0" borderId="18" xfId="0" applyFont="1" applyBorder="1"/>
    <xf numFmtId="37" fontId="6" fillId="0" borderId="18" xfId="0" applyNumberFormat="1" applyFont="1" applyFill="1" applyBorder="1" applyAlignment="1" applyProtection="1"/>
    <xf numFmtId="37" fontId="15" fillId="0" borderId="18" xfId="0" applyNumberFormat="1" applyFont="1" applyFill="1" applyBorder="1" applyAlignment="1" applyProtection="1">
      <alignment wrapText="1"/>
    </xf>
    <xf numFmtId="37" fontId="6" fillId="0" borderId="24" xfId="0" applyNumberFormat="1" applyFont="1" applyFill="1" applyBorder="1" applyAlignment="1" applyProtection="1">
      <alignment wrapText="1"/>
    </xf>
    <xf numFmtId="37" fontId="5" fillId="0" borderId="47" xfId="0" applyNumberFormat="1" applyFont="1" applyFill="1" applyBorder="1" applyProtection="1"/>
    <xf numFmtId="37" fontId="5" fillId="0" borderId="41" xfId="0" applyNumberFormat="1" applyFont="1" applyFill="1" applyBorder="1" applyProtection="1"/>
    <xf numFmtId="37" fontId="11" fillId="0" borderId="41" xfId="0" applyNumberFormat="1" applyFont="1" applyFill="1" applyBorder="1" applyAlignment="1" applyProtection="1">
      <alignment horizontal="center"/>
    </xf>
    <xf numFmtId="37" fontId="5" fillId="0" borderId="41" xfId="0" applyNumberFormat="1" applyFont="1" applyFill="1" applyBorder="1" applyAlignment="1" applyProtection="1">
      <alignment horizontal="center"/>
    </xf>
    <xf numFmtId="37" fontId="5" fillId="0" borderId="62" xfId="0" applyNumberFormat="1" applyFont="1" applyFill="1" applyBorder="1" applyProtection="1"/>
    <xf numFmtId="37" fontId="5" fillId="0" borderId="39" xfId="0" applyNumberFormat="1" applyFont="1" applyFill="1" applyBorder="1" applyAlignment="1" applyProtection="1">
      <alignment horizontal="center"/>
    </xf>
    <xf numFmtId="37" fontId="5" fillId="0" borderId="40" xfId="0" applyNumberFormat="1" applyFont="1" applyFill="1" applyBorder="1" applyAlignment="1" applyProtection="1">
      <alignment horizontal="center"/>
    </xf>
    <xf numFmtId="37" fontId="5" fillId="0" borderId="42" xfId="0" applyNumberFormat="1" applyFont="1" applyFill="1" applyBorder="1" applyAlignment="1" applyProtection="1">
      <alignment horizontal="center"/>
    </xf>
    <xf numFmtId="37" fontId="5" fillId="0" borderId="43" xfId="0" applyNumberFormat="1" applyFont="1" applyFill="1" applyBorder="1" applyAlignment="1" applyProtection="1">
      <alignment horizontal="center"/>
    </xf>
    <xf numFmtId="37" fontId="5" fillId="0" borderId="1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5" fillId="0" borderId="44" xfId="0" applyNumberFormat="1" applyFont="1" applyFill="1" applyBorder="1" applyAlignment="1" applyProtection="1">
      <alignment horizontal="center"/>
    </xf>
    <xf numFmtId="0" fontId="15" fillId="6" borderId="18" xfId="0" applyFont="1" applyFill="1" applyBorder="1"/>
    <xf numFmtId="3" fontId="15" fillId="6" borderId="18" xfId="0" applyNumberFormat="1" applyFont="1" applyFill="1" applyBorder="1"/>
    <xf numFmtId="4" fontId="15" fillId="6" borderId="18" xfId="0" applyNumberFormat="1" applyFont="1" applyFill="1" applyBorder="1"/>
    <xf numFmtId="4" fontId="15" fillId="6" borderId="21" xfId="0" applyNumberFormat="1" applyFont="1" applyFill="1" applyBorder="1"/>
    <xf numFmtId="37" fontId="15" fillId="6" borderId="18" xfId="0" applyNumberFormat="1" applyFont="1" applyFill="1" applyBorder="1" applyProtection="1"/>
    <xf numFmtId="37" fontId="15" fillId="6" borderId="18" xfId="0" applyNumberFormat="1" applyFont="1" applyFill="1" applyBorder="1" applyAlignment="1" applyProtection="1">
      <alignment horizontal="left"/>
    </xf>
    <xf numFmtId="3" fontId="15" fillId="6" borderId="18" xfId="0" applyNumberFormat="1" applyFont="1" applyFill="1" applyBorder="1" applyProtection="1"/>
    <xf numFmtId="4" fontId="15" fillId="6" borderId="18" xfId="0" applyNumberFormat="1" applyFont="1" applyFill="1" applyBorder="1" applyProtection="1"/>
    <xf numFmtId="4" fontId="15" fillId="6" borderId="21" xfId="0" applyNumberFormat="1" applyFont="1" applyFill="1" applyBorder="1" applyAlignment="1" applyProtection="1">
      <alignment horizontal="right"/>
    </xf>
    <xf numFmtId="37" fontId="6" fillId="6" borderId="18" xfId="0" applyNumberFormat="1" applyFont="1" applyFill="1" applyBorder="1" applyProtection="1"/>
    <xf numFmtId="37" fontId="6" fillId="6" borderId="18" xfId="0" applyNumberFormat="1" applyFont="1" applyFill="1" applyBorder="1" applyAlignment="1" applyProtection="1">
      <alignment horizontal="left"/>
    </xf>
    <xf numFmtId="3" fontId="6" fillId="6" borderId="18" xfId="0" applyNumberFormat="1" applyFont="1" applyFill="1" applyBorder="1" applyProtection="1"/>
    <xf numFmtId="4" fontId="6" fillId="6" borderId="18" xfId="0" applyNumberFormat="1" applyFont="1" applyFill="1" applyBorder="1" applyProtection="1"/>
    <xf numFmtId="4" fontId="6" fillId="6" borderId="21" xfId="0" applyNumberFormat="1" applyFont="1" applyFill="1" applyBorder="1" applyAlignment="1" applyProtection="1">
      <alignment horizontal="right"/>
    </xf>
    <xf numFmtId="37" fontId="15" fillId="6" borderId="18" xfId="0" applyNumberFormat="1" applyFont="1" applyFill="1" applyBorder="1" applyAlignment="1" applyProtection="1">
      <alignment horizontal="center"/>
    </xf>
    <xf numFmtId="39" fontId="15" fillId="6" borderId="18" xfId="0" applyNumberFormat="1" applyFont="1" applyFill="1" applyBorder="1" applyProtection="1"/>
    <xf numFmtId="39" fontId="15" fillId="6" borderId="21" xfId="0" applyNumberFormat="1" applyFont="1" applyFill="1" applyBorder="1" applyProtection="1"/>
    <xf numFmtId="37" fontId="15" fillId="0" borderId="24" xfId="0" applyNumberFormat="1" applyFont="1" applyFill="1" applyBorder="1" applyAlignment="1" applyProtection="1">
      <alignment horizontal="center"/>
    </xf>
    <xf numFmtId="4" fontId="15" fillId="0" borderId="21" xfId="0" applyNumberFormat="1" applyFont="1" applyFill="1" applyBorder="1" applyAlignment="1" applyProtection="1">
      <alignment horizontal="right"/>
    </xf>
    <xf numFmtId="0" fontId="15" fillId="0" borderId="18" xfId="0" applyNumberFormat="1" applyFont="1" applyFill="1" applyBorder="1" applyAlignment="1" applyProtection="1">
      <alignment horizontal="center"/>
    </xf>
    <xf numFmtId="37" fontId="15" fillId="0" borderId="18" xfId="0" applyNumberFormat="1" applyFont="1" applyFill="1" applyBorder="1" applyProtection="1"/>
    <xf numFmtId="3" fontId="15" fillId="0" borderId="18" xfId="0" applyNumberFormat="1" applyFont="1" applyFill="1" applyBorder="1"/>
    <xf numFmtId="4" fontId="15" fillId="0" borderId="18" xfId="0" applyNumberFormat="1" applyFont="1" applyFill="1" applyBorder="1"/>
    <xf numFmtId="2" fontId="15" fillId="0" borderId="18" xfId="0" applyNumberFormat="1" applyFont="1" applyFill="1" applyBorder="1"/>
    <xf numFmtId="4" fontId="15" fillId="0" borderId="21" xfId="0" applyNumberFormat="1" applyFont="1" applyFill="1" applyBorder="1"/>
    <xf numFmtId="44" fontId="15" fillId="0" borderId="18" xfId="3" applyFont="1" applyBorder="1"/>
    <xf numFmtId="44" fontId="15" fillId="0" borderId="18" xfId="0" applyNumberFormat="1" applyFont="1" applyBorder="1"/>
    <xf numFmtId="0" fontId="15" fillId="0" borderId="18" xfId="0" applyFont="1" applyBorder="1"/>
    <xf numFmtId="44" fontId="0" fillId="0" borderId="0" xfId="0" applyNumberFormat="1"/>
    <xf numFmtId="37" fontId="5" fillId="0" borderId="18" xfId="0" applyNumberFormat="1" applyFont="1" applyFill="1" applyBorder="1" applyProtection="1"/>
    <xf numFmtId="37" fontId="11" fillId="0" borderId="18" xfId="0" applyNumberFormat="1" applyFont="1" applyFill="1" applyBorder="1" applyAlignment="1" applyProtection="1">
      <alignment horizontal="center"/>
    </xf>
    <xf numFmtId="37" fontId="5" fillId="0" borderId="18" xfId="0" applyNumberFormat="1" applyFont="1" applyFill="1" applyBorder="1" applyAlignment="1" applyProtection="1">
      <alignment horizontal="center"/>
    </xf>
    <xf numFmtId="39" fontId="5" fillId="0" borderId="18" xfId="0" applyNumberFormat="1" applyFont="1" applyFill="1" applyBorder="1" applyProtection="1"/>
  </cellXfs>
  <cellStyles count="4">
    <cellStyle name="Currency" xfId="3" builtinId="4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zoomScale="112" zoomScaleNormal="112" workbookViewId="0">
      <selection activeCell="H32" sqref="H32:H38"/>
    </sheetView>
  </sheetViews>
  <sheetFormatPr defaultColWidth="8.81640625" defaultRowHeight="13" x14ac:dyDescent="0.3"/>
  <cols>
    <col min="1" max="1" width="15.26953125" style="7" customWidth="1"/>
    <col min="2" max="2" width="42.54296875" style="7" customWidth="1"/>
    <col min="3" max="3" width="12.1796875" style="7" customWidth="1"/>
    <col min="4" max="4" width="9.81640625" style="7" customWidth="1"/>
    <col min="5" max="5" width="10" style="7" customWidth="1"/>
    <col min="6" max="6" width="11.54296875" style="7" customWidth="1"/>
    <col min="7" max="7" width="12.1796875" style="7" customWidth="1"/>
    <col min="8" max="8" width="11.54296875" style="7" customWidth="1"/>
    <col min="9" max="9" width="9.81640625" style="7" bestFit="1" customWidth="1"/>
    <col min="10" max="10" width="9.26953125" style="7" bestFit="1" customWidth="1"/>
    <col min="11" max="11" width="9.54296875" style="7" customWidth="1"/>
    <col min="12" max="12" width="9.26953125" style="7" bestFit="1" customWidth="1"/>
    <col min="13" max="13" width="11.453125" style="7" customWidth="1"/>
    <col min="14" max="16384" width="8.81640625" style="7"/>
  </cols>
  <sheetData>
    <row r="1" spans="1:15" x14ac:dyDescent="0.3">
      <c r="A1" s="1" t="s">
        <v>0</v>
      </c>
      <c r="B1" s="2" t="s">
        <v>3</v>
      </c>
      <c r="C1" s="3" t="s">
        <v>1</v>
      </c>
      <c r="D1" s="4"/>
      <c r="E1" s="4"/>
      <c r="F1" s="4"/>
      <c r="G1" s="4"/>
      <c r="H1" s="4"/>
      <c r="I1" s="3" t="s">
        <v>2</v>
      </c>
      <c r="J1" s="5"/>
      <c r="K1" s="4"/>
      <c r="L1" s="4"/>
      <c r="M1" s="6"/>
    </row>
    <row r="2" spans="1:15" ht="15.5" x14ac:dyDescent="0.35">
      <c r="A2" s="8"/>
      <c r="B2" s="9"/>
      <c r="C2" s="10" t="s">
        <v>79</v>
      </c>
      <c r="D2" s="9"/>
      <c r="E2" s="9"/>
      <c r="F2" s="9"/>
      <c r="G2" s="9"/>
      <c r="H2" s="9"/>
      <c r="I2" s="11" t="s">
        <v>81</v>
      </c>
      <c r="J2" s="12"/>
      <c r="K2" s="13" t="s">
        <v>81</v>
      </c>
      <c r="L2" s="12"/>
      <c r="M2" s="14"/>
    </row>
    <row r="3" spans="1:15" ht="15.5" x14ac:dyDescent="0.35">
      <c r="A3" s="10" t="s">
        <v>78</v>
      </c>
      <c r="B3" s="9"/>
      <c r="C3" s="15" t="s">
        <v>80</v>
      </c>
      <c r="D3" s="16"/>
      <c r="E3" s="16"/>
      <c r="F3" s="16"/>
      <c r="G3" s="16"/>
      <c r="H3" s="16"/>
      <c r="I3" s="17" t="s">
        <v>63</v>
      </c>
      <c r="J3" s="18"/>
      <c r="K3" s="19"/>
      <c r="L3" s="19"/>
      <c r="M3" s="20"/>
    </row>
    <row r="4" spans="1:15" ht="15.5" x14ac:dyDescent="0.35">
      <c r="A4" s="21"/>
      <c r="B4" s="22"/>
      <c r="C4" s="23"/>
      <c r="D4" s="24" t="s">
        <v>3</v>
      </c>
      <c r="E4" s="24"/>
      <c r="F4" s="24"/>
      <c r="G4" s="24"/>
      <c r="H4" s="24"/>
      <c r="I4" s="25"/>
      <c r="J4" s="26" t="s">
        <v>3</v>
      </c>
      <c r="K4" s="27">
        <v>42296</v>
      </c>
      <c r="L4" s="27"/>
      <c r="M4" s="28"/>
    </row>
    <row r="5" spans="1:15" x14ac:dyDescent="0.3">
      <c r="A5" s="29" t="s">
        <v>4</v>
      </c>
      <c r="B5" s="30"/>
      <c r="C5" s="31"/>
      <c r="D5" s="30"/>
      <c r="E5" s="30"/>
      <c r="F5" s="30"/>
      <c r="G5" s="32"/>
      <c r="H5" s="33" t="s">
        <v>5</v>
      </c>
      <c r="I5" s="30"/>
      <c r="J5" s="30"/>
      <c r="K5" s="30"/>
      <c r="L5" s="30"/>
      <c r="M5" s="14"/>
    </row>
    <row r="6" spans="1:15" x14ac:dyDescent="0.3">
      <c r="A6" s="34"/>
      <c r="B6" s="35"/>
      <c r="C6" s="36" t="s">
        <v>6</v>
      </c>
      <c r="D6" s="37"/>
      <c r="E6" s="37"/>
      <c r="F6" s="38" t="s">
        <v>71</v>
      </c>
      <c r="G6" s="37"/>
      <c r="H6" s="37"/>
      <c r="I6" s="39"/>
      <c r="J6" s="40"/>
      <c r="K6" s="41" t="s">
        <v>72</v>
      </c>
      <c r="L6" s="42"/>
      <c r="M6" s="43"/>
    </row>
    <row r="7" spans="1:15" ht="15.5" x14ac:dyDescent="0.35">
      <c r="A7" s="34"/>
      <c r="B7" s="35"/>
      <c r="C7" s="44" t="s">
        <v>8</v>
      </c>
      <c r="D7" s="45" t="s">
        <v>9</v>
      </c>
      <c r="E7" s="45" t="s">
        <v>9</v>
      </c>
      <c r="F7" s="45" t="s">
        <v>10</v>
      </c>
      <c r="G7" s="45" t="s">
        <v>11</v>
      </c>
      <c r="H7" s="46" t="s">
        <v>10</v>
      </c>
      <c r="I7" s="47" t="s">
        <v>9</v>
      </c>
      <c r="J7" s="48" t="s">
        <v>12</v>
      </c>
      <c r="K7" s="48" t="s">
        <v>10</v>
      </c>
      <c r="L7" s="49" t="s">
        <v>11</v>
      </c>
      <c r="M7" s="50" t="s">
        <v>10</v>
      </c>
      <c r="O7" s="61"/>
    </row>
    <row r="8" spans="1:15" ht="15.5" x14ac:dyDescent="0.35">
      <c r="A8" s="51" t="s">
        <v>46</v>
      </c>
      <c r="B8" s="35"/>
      <c r="C8" s="52" t="s">
        <v>13</v>
      </c>
      <c r="D8" s="45" t="s">
        <v>14</v>
      </c>
      <c r="E8" s="45" t="s">
        <v>15</v>
      </c>
      <c r="F8" s="45" t="s">
        <v>12</v>
      </c>
      <c r="G8" s="45" t="s">
        <v>16</v>
      </c>
      <c r="H8" s="46" t="s">
        <v>11</v>
      </c>
      <c r="I8" s="47" t="s">
        <v>17</v>
      </c>
      <c r="J8" s="48" t="s">
        <v>7</v>
      </c>
      <c r="K8" s="48" t="s">
        <v>7</v>
      </c>
      <c r="L8" s="49" t="s">
        <v>41</v>
      </c>
      <c r="M8" s="53" t="s">
        <v>17</v>
      </c>
      <c r="O8" s="61"/>
    </row>
    <row r="9" spans="1:15" ht="16" thickBot="1" x14ac:dyDescent="0.4">
      <c r="A9" s="51" t="s">
        <v>45</v>
      </c>
      <c r="B9" s="44" t="s">
        <v>18</v>
      </c>
      <c r="C9" s="52" t="s">
        <v>19</v>
      </c>
      <c r="D9" s="45" t="s">
        <v>20</v>
      </c>
      <c r="E9" s="45" t="s">
        <v>16</v>
      </c>
      <c r="F9" s="45" t="s">
        <v>15</v>
      </c>
      <c r="G9" s="45" t="s">
        <v>21</v>
      </c>
      <c r="H9" s="54" t="s">
        <v>22</v>
      </c>
      <c r="I9" s="47" t="s">
        <v>23</v>
      </c>
      <c r="J9" s="48" t="s">
        <v>41</v>
      </c>
      <c r="K9" s="48" t="s">
        <v>16</v>
      </c>
      <c r="L9" s="49" t="s">
        <v>42</v>
      </c>
      <c r="M9" s="53" t="s">
        <v>24</v>
      </c>
      <c r="O9" s="61"/>
    </row>
    <row r="10" spans="1:15" ht="15.5" hidden="1" x14ac:dyDescent="0.35">
      <c r="A10" s="109"/>
      <c r="B10" s="110"/>
      <c r="C10" s="111"/>
      <c r="D10" s="112"/>
      <c r="E10" s="113" t="s">
        <v>14</v>
      </c>
      <c r="F10" s="114" t="s">
        <v>25</v>
      </c>
      <c r="G10" s="111"/>
      <c r="H10" s="115"/>
      <c r="I10" s="125"/>
      <c r="J10" s="116" t="s">
        <v>17</v>
      </c>
      <c r="K10" s="116" t="s">
        <v>47</v>
      </c>
      <c r="L10" s="117"/>
      <c r="M10" s="118" t="s">
        <v>11</v>
      </c>
      <c r="O10" s="61"/>
    </row>
    <row r="11" spans="1:15" ht="15.5" hidden="1" x14ac:dyDescent="0.35">
      <c r="A11" s="119"/>
      <c r="B11" s="44"/>
      <c r="C11" s="35"/>
      <c r="D11" s="55"/>
      <c r="E11" s="45" t="s">
        <v>27</v>
      </c>
      <c r="F11" s="35"/>
      <c r="G11" s="35"/>
      <c r="H11" s="120"/>
      <c r="I11" s="126"/>
      <c r="J11" s="56" t="s">
        <v>26</v>
      </c>
      <c r="K11" s="56" t="s">
        <v>26</v>
      </c>
      <c r="L11" s="57"/>
      <c r="M11" s="121" t="s">
        <v>3</v>
      </c>
      <c r="O11" s="61"/>
    </row>
    <row r="12" spans="1:15" ht="16" hidden="1" thickBot="1" x14ac:dyDescent="0.4">
      <c r="A12" s="173" t="s">
        <v>28</v>
      </c>
      <c r="B12" s="94" t="s">
        <v>29</v>
      </c>
      <c r="C12" s="94" t="s">
        <v>30</v>
      </c>
      <c r="D12" s="94" t="s">
        <v>31</v>
      </c>
      <c r="E12" s="94" t="s">
        <v>32</v>
      </c>
      <c r="F12" s="94" t="s">
        <v>33</v>
      </c>
      <c r="G12" s="94" t="s">
        <v>34</v>
      </c>
      <c r="H12" s="69" t="s">
        <v>35</v>
      </c>
      <c r="I12" s="127" t="s">
        <v>36</v>
      </c>
      <c r="J12" s="95" t="s">
        <v>37</v>
      </c>
      <c r="K12" s="95" t="s">
        <v>38</v>
      </c>
      <c r="L12" s="96" t="s">
        <v>43</v>
      </c>
      <c r="M12" s="122" t="s">
        <v>44</v>
      </c>
      <c r="O12" s="61"/>
    </row>
    <row r="13" spans="1:15" ht="15.5" x14ac:dyDescent="0.35">
      <c r="A13" s="174" t="s">
        <v>103</v>
      </c>
      <c r="B13" s="175"/>
      <c r="C13" s="175"/>
      <c r="D13" s="175"/>
      <c r="E13" s="175"/>
      <c r="F13" s="175"/>
      <c r="G13" s="175"/>
      <c r="H13" s="175"/>
      <c r="I13" s="181"/>
      <c r="J13" s="182"/>
      <c r="K13" s="183"/>
      <c r="L13" s="182"/>
      <c r="M13" s="184"/>
      <c r="O13" s="61"/>
    </row>
    <row r="14" spans="1:15" x14ac:dyDescent="0.3">
      <c r="A14" s="237" t="s">
        <v>73</v>
      </c>
      <c r="B14" s="226"/>
      <c r="C14" s="226"/>
      <c r="D14" s="226"/>
      <c r="E14" s="226"/>
      <c r="F14" s="226"/>
      <c r="G14" s="226"/>
      <c r="H14" s="238"/>
      <c r="I14" s="161" t="s">
        <v>3</v>
      </c>
      <c r="J14" s="136" t="s">
        <v>3</v>
      </c>
      <c r="K14" s="139" t="s">
        <v>3</v>
      </c>
      <c r="L14" s="58" t="s">
        <v>3</v>
      </c>
      <c r="M14" s="186" t="s">
        <v>3</v>
      </c>
    </row>
    <row r="15" spans="1:15" x14ac:dyDescent="0.3">
      <c r="A15" s="137"/>
      <c r="B15" s="199" t="s">
        <v>95</v>
      </c>
      <c r="C15" s="200" t="s">
        <v>102</v>
      </c>
      <c r="D15" s="201">
        <v>237014</v>
      </c>
      <c r="E15" s="202">
        <v>1</v>
      </c>
      <c r="F15" s="195">
        <f>SUM(D15*E15)</f>
        <v>237014</v>
      </c>
      <c r="G15" s="203">
        <v>8.3500000000000005E-2</v>
      </c>
      <c r="H15" s="215">
        <f>SUM(F15*G15)</f>
        <v>19790.669000000002</v>
      </c>
      <c r="I15" s="185"/>
      <c r="J15" s="136"/>
      <c r="K15" s="139"/>
      <c r="L15" s="58"/>
      <c r="M15" s="186"/>
    </row>
    <row r="16" spans="1:15" x14ac:dyDescent="0.3">
      <c r="A16" s="137"/>
      <c r="B16" s="142" t="s">
        <v>96</v>
      </c>
      <c r="C16" s="143" t="s">
        <v>102</v>
      </c>
      <c r="D16" s="144">
        <v>16591</v>
      </c>
      <c r="E16" s="145">
        <v>1</v>
      </c>
      <c r="F16" s="146">
        <f>SUM(D16*E16)</f>
        <v>16591</v>
      </c>
      <c r="G16" s="147">
        <v>0.25</v>
      </c>
      <c r="H16" s="157">
        <f>SUM(F16*G16)</f>
        <v>4147.75</v>
      </c>
      <c r="I16" s="185"/>
      <c r="J16" s="136"/>
      <c r="K16" s="139"/>
      <c r="L16" s="58"/>
      <c r="M16" s="186"/>
    </row>
    <row r="17" spans="1:15" x14ac:dyDescent="0.3">
      <c r="A17" s="137"/>
      <c r="B17" s="142" t="s">
        <v>101</v>
      </c>
      <c r="C17" s="143" t="s">
        <v>102</v>
      </c>
      <c r="D17" s="144">
        <v>1421</v>
      </c>
      <c r="E17" s="145">
        <v>1</v>
      </c>
      <c r="F17" s="146">
        <f>SUM(D17*E17)</f>
        <v>1421</v>
      </c>
      <c r="G17" s="147">
        <v>0.5</v>
      </c>
      <c r="H17" s="157">
        <f>SUM(F17*G17)</f>
        <v>710.5</v>
      </c>
      <c r="I17" s="185"/>
      <c r="J17" s="136"/>
      <c r="K17" s="139"/>
      <c r="L17" s="58"/>
      <c r="M17" s="186"/>
    </row>
    <row r="18" spans="1:15" s="70" customFormat="1" x14ac:dyDescent="0.3">
      <c r="A18" s="137"/>
      <c r="B18" s="148" t="s">
        <v>92</v>
      </c>
      <c r="C18" s="143" t="s">
        <v>102</v>
      </c>
      <c r="D18" s="149">
        <v>3000</v>
      </c>
      <c r="E18" s="239">
        <v>1</v>
      </c>
      <c r="F18" s="149">
        <v>3000</v>
      </c>
      <c r="G18" s="148">
        <v>8.3500000000000005E-2</v>
      </c>
      <c r="H18" s="158">
        <v>250.5</v>
      </c>
      <c r="I18" s="185"/>
      <c r="J18" s="136"/>
      <c r="K18" s="139"/>
      <c r="L18" s="58"/>
      <c r="M18" s="186"/>
    </row>
    <row r="19" spans="1:15" s="70" customFormat="1" x14ac:dyDescent="0.3">
      <c r="A19" s="137"/>
      <c r="B19" s="148" t="s">
        <v>93</v>
      </c>
      <c r="C19" s="143" t="s">
        <v>102</v>
      </c>
      <c r="D19" s="148">
        <v>900</v>
      </c>
      <c r="E19" s="239">
        <v>1</v>
      </c>
      <c r="F19" s="148">
        <v>900</v>
      </c>
      <c r="G19" s="148">
        <v>0.25</v>
      </c>
      <c r="H19" s="158">
        <v>225</v>
      </c>
      <c r="I19" s="185"/>
      <c r="J19" s="136"/>
      <c r="K19" s="139"/>
      <c r="L19" s="58"/>
      <c r="M19" s="186"/>
    </row>
    <row r="20" spans="1:15" s="70" customFormat="1" x14ac:dyDescent="0.3">
      <c r="A20" s="137"/>
      <c r="B20" s="198" t="s">
        <v>94</v>
      </c>
      <c r="C20" s="223" t="s">
        <v>102</v>
      </c>
      <c r="D20" s="198">
        <v>20</v>
      </c>
      <c r="E20" s="240">
        <v>1</v>
      </c>
      <c r="F20" s="198">
        <v>20</v>
      </c>
      <c r="G20" s="198">
        <v>0.5</v>
      </c>
      <c r="H20" s="216">
        <v>10</v>
      </c>
      <c r="I20" s="185"/>
      <c r="J20" s="136"/>
      <c r="K20" s="139"/>
      <c r="L20" s="58"/>
      <c r="M20" s="186"/>
    </row>
    <row r="21" spans="1:15" s="108" customFormat="1" x14ac:dyDescent="0.3">
      <c r="A21" s="131" t="s">
        <v>88</v>
      </c>
      <c r="B21" s="131"/>
      <c r="C21" s="131"/>
      <c r="D21" s="241">
        <f>SUM(D15)</f>
        <v>237014</v>
      </c>
      <c r="E21" s="133">
        <f>SUM(F21/D21)</f>
        <v>1.0925346182082072</v>
      </c>
      <c r="F21" s="132">
        <f>SUM(F15:F20)</f>
        <v>258946</v>
      </c>
      <c r="G21" s="131">
        <f>SUM(H21/F21)</f>
        <v>9.7064326152943095E-2</v>
      </c>
      <c r="H21" s="133">
        <f>SUM(H15:H20)</f>
        <v>25134.419000000002</v>
      </c>
      <c r="I21" s="170"/>
      <c r="J21" s="162"/>
      <c r="K21" s="163"/>
      <c r="L21" s="168"/>
      <c r="M21" s="187"/>
    </row>
    <row r="22" spans="1:15" x14ac:dyDescent="0.3">
      <c r="A22" s="137"/>
      <c r="B22" s="124"/>
      <c r="C22" s="124"/>
      <c r="D22" s="124"/>
      <c r="E22" s="124"/>
      <c r="F22" s="124"/>
      <c r="G22" s="124"/>
      <c r="H22" s="124"/>
      <c r="I22" s="185"/>
      <c r="J22" s="136"/>
      <c r="K22" s="139"/>
      <c r="L22" s="58"/>
      <c r="M22" s="186"/>
    </row>
    <row r="23" spans="1:15" x14ac:dyDescent="0.3">
      <c r="A23" s="130" t="s">
        <v>87</v>
      </c>
      <c r="B23" s="97"/>
      <c r="C23" s="97"/>
      <c r="D23" s="97"/>
      <c r="E23" s="97"/>
      <c r="F23" s="97"/>
      <c r="G23" s="97"/>
      <c r="H23" s="97"/>
      <c r="I23" s="185"/>
      <c r="J23" s="136"/>
      <c r="K23" s="139"/>
      <c r="L23" s="58"/>
      <c r="M23" s="186"/>
    </row>
    <row r="24" spans="1:15" x14ac:dyDescent="0.3">
      <c r="A24" s="207" t="s">
        <v>73</v>
      </c>
      <c r="B24" s="123"/>
      <c r="C24" s="123"/>
      <c r="D24" s="123"/>
      <c r="E24" s="123"/>
      <c r="F24" s="123"/>
      <c r="G24" s="123"/>
      <c r="H24" s="123"/>
      <c r="I24" s="185" t="s">
        <v>3</v>
      </c>
      <c r="J24" s="136" t="s">
        <v>3</v>
      </c>
      <c r="K24" s="139" t="s">
        <v>3</v>
      </c>
      <c r="L24" s="58" t="s">
        <v>3</v>
      </c>
      <c r="M24" s="186" t="s">
        <v>3</v>
      </c>
    </row>
    <row r="25" spans="1:15" x14ac:dyDescent="0.3">
      <c r="A25" s="150"/>
      <c r="B25" s="193" t="s">
        <v>98</v>
      </c>
      <c r="C25" s="194" t="s">
        <v>102</v>
      </c>
      <c r="D25" s="195">
        <v>53</v>
      </c>
      <c r="E25" s="196">
        <v>4471.96</v>
      </c>
      <c r="F25" s="195">
        <v>237014</v>
      </c>
      <c r="G25" s="197">
        <v>1.67E-2</v>
      </c>
      <c r="H25" s="215">
        <f t="shared" ref="H25:H27" si="0">SUM(F25*G25)</f>
        <v>3958.1338000000001</v>
      </c>
      <c r="I25" s="185"/>
      <c r="J25" s="136"/>
      <c r="K25" s="139"/>
      <c r="L25" s="58"/>
      <c r="M25" s="186"/>
    </row>
    <row r="26" spans="1:15" x14ac:dyDescent="0.3">
      <c r="A26" s="141" t="s">
        <v>3</v>
      </c>
      <c r="B26" s="142" t="s">
        <v>99</v>
      </c>
      <c r="C26" s="194" t="s">
        <v>102</v>
      </c>
      <c r="D26" s="144">
        <v>53</v>
      </c>
      <c r="E26" s="145">
        <v>313.04000000000002</v>
      </c>
      <c r="F26" s="146">
        <v>16591</v>
      </c>
      <c r="G26" s="147">
        <v>0.25</v>
      </c>
      <c r="H26" s="157">
        <f t="shared" si="0"/>
        <v>4147.75</v>
      </c>
      <c r="I26" s="128" t="s">
        <v>3</v>
      </c>
      <c r="J26" s="58" t="s">
        <v>3</v>
      </c>
      <c r="K26" s="139" t="s">
        <v>3</v>
      </c>
      <c r="L26" s="58" t="s">
        <v>3</v>
      </c>
      <c r="M26" s="186" t="s">
        <v>3</v>
      </c>
    </row>
    <row r="27" spans="1:15" x14ac:dyDescent="0.3">
      <c r="A27" s="141" t="s">
        <v>3</v>
      </c>
      <c r="B27" s="142" t="s">
        <v>100</v>
      </c>
      <c r="C27" s="194" t="s">
        <v>102</v>
      </c>
      <c r="D27" s="242">
        <v>53</v>
      </c>
      <c r="E27" s="243">
        <v>26.811319999999998</v>
      </c>
      <c r="F27" s="146">
        <v>1421</v>
      </c>
      <c r="G27" s="147">
        <v>0.5</v>
      </c>
      <c r="H27" s="157">
        <f t="shared" si="0"/>
        <v>710.5</v>
      </c>
      <c r="I27" s="128" t="s">
        <v>3</v>
      </c>
      <c r="J27" s="58" t="s">
        <v>3</v>
      </c>
      <c r="K27" s="164" t="s">
        <v>3</v>
      </c>
      <c r="L27" s="58" t="s">
        <v>3</v>
      </c>
      <c r="M27" s="188" t="s">
        <v>3</v>
      </c>
    </row>
    <row r="28" spans="1:15" x14ac:dyDescent="0.3">
      <c r="A28" s="141"/>
      <c r="B28" s="198" t="s">
        <v>97</v>
      </c>
      <c r="C28" s="224" t="s">
        <v>102</v>
      </c>
      <c r="D28" s="198">
        <v>53</v>
      </c>
      <c r="E28" s="198">
        <v>0.37735839999999998</v>
      </c>
      <c r="F28" s="198">
        <v>20</v>
      </c>
      <c r="G28" s="198">
        <v>0.5</v>
      </c>
      <c r="H28" s="216">
        <v>10</v>
      </c>
      <c r="I28" s="128"/>
      <c r="J28" s="58"/>
      <c r="K28" s="164"/>
      <c r="L28" s="58"/>
      <c r="M28" s="188"/>
    </row>
    <row r="29" spans="1:15" x14ac:dyDescent="0.3">
      <c r="A29" s="225" t="s">
        <v>90</v>
      </c>
      <c r="B29" s="226"/>
      <c r="C29" s="227" t="s">
        <v>3</v>
      </c>
      <c r="D29" s="228"/>
      <c r="E29" s="229" t="s">
        <v>3</v>
      </c>
      <c r="F29" s="228"/>
      <c r="G29" s="230" t="s">
        <v>3</v>
      </c>
      <c r="H29" s="231"/>
      <c r="I29" s="171" t="s">
        <v>3</v>
      </c>
      <c r="J29" s="59" t="s">
        <v>3</v>
      </c>
      <c r="K29" s="164" t="s">
        <v>3</v>
      </c>
      <c r="L29" s="60" t="s">
        <v>3</v>
      </c>
      <c r="M29" s="188" t="s">
        <v>3</v>
      </c>
    </row>
    <row r="30" spans="1:15" ht="15.5" x14ac:dyDescent="0.35">
      <c r="A30" s="141" t="s">
        <v>3</v>
      </c>
      <c r="B30" s="138" t="s">
        <v>74</v>
      </c>
      <c r="C30" s="204" t="s">
        <v>102</v>
      </c>
      <c r="D30" s="139">
        <v>53</v>
      </c>
      <c r="E30" s="169">
        <v>1</v>
      </c>
      <c r="F30" s="140">
        <v>53</v>
      </c>
      <c r="G30" s="205">
        <v>0.5</v>
      </c>
      <c r="H30" s="217">
        <v>26.5</v>
      </c>
      <c r="I30" s="128" t="s">
        <v>3</v>
      </c>
      <c r="J30" s="58" t="s">
        <v>3</v>
      </c>
      <c r="K30" s="164" t="s">
        <v>3</v>
      </c>
      <c r="L30" s="58" t="s">
        <v>3</v>
      </c>
      <c r="M30" s="188" t="s">
        <v>40</v>
      </c>
      <c r="O30" s="61"/>
    </row>
    <row r="31" spans="1:15" ht="15.5" x14ac:dyDescent="0.35">
      <c r="A31" s="232" t="s">
        <v>75</v>
      </c>
      <c r="B31" s="233"/>
      <c r="C31" s="227"/>
      <c r="D31" s="234"/>
      <c r="E31" s="235"/>
      <c r="F31" s="234"/>
      <c r="G31" s="235"/>
      <c r="H31" s="236"/>
      <c r="I31" s="172"/>
      <c r="J31" s="63"/>
      <c r="K31" s="164"/>
      <c r="L31" s="62"/>
      <c r="M31" s="188"/>
      <c r="O31" s="61"/>
    </row>
    <row r="32" spans="1:15" ht="15.5" x14ac:dyDescent="0.35">
      <c r="A32" s="151"/>
      <c r="B32" s="199" t="s">
        <v>76</v>
      </c>
      <c r="C32" s="200" t="s">
        <v>102</v>
      </c>
      <c r="D32" s="167">
        <v>53</v>
      </c>
      <c r="E32" s="206">
        <v>1</v>
      </c>
      <c r="F32" s="167">
        <f t="shared" ref="F32:F38" si="1">SUM(D32*E32)</f>
        <v>53</v>
      </c>
      <c r="G32" s="206">
        <v>11.5</v>
      </c>
      <c r="H32" s="218">
        <f t="shared" ref="H32:H38" si="2">SUM(F32*G32)</f>
        <v>609.5</v>
      </c>
      <c r="I32" s="189"/>
      <c r="J32" s="63"/>
      <c r="K32" s="164"/>
      <c r="L32" s="62"/>
      <c r="M32" s="188"/>
      <c r="O32" s="61"/>
    </row>
    <row r="33" spans="1:15" x14ac:dyDescent="0.3">
      <c r="A33" s="151"/>
      <c r="B33" s="142" t="s">
        <v>84</v>
      </c>
      <c r="C33" s="200" t="s">
        <v>102</v>
      </c>
      <c r="D33" s="152">
        <v>53</v>
      </c>
      <c r="E33" s="153">
        <v>8</v>
      </c>
      <c r="F33" s="152">
        <f t="shared" si="1"/>
        <v>424</v>
      </c>
      <c r="G33" s="153">
        <v>1.6346000000000001</v>
      </c>
      <c r="H33" s="159">
        <f t="shared" si="2"/>
        <v>693.07040000000006</v>
      </c>
      <c r="I33" s="189"/>
      <c r="J33" s="63"/>
      <c r="K33" s="164"/>
      <c r="L33" s="62"/>
      <c r="M33" s="188"/>
    </row>
    <row r="34" spans="1:15" x14ac:dyDescent="0.3">
      <c r="A34" s="151"/>
      <c r="B34" s="154" t="s">
        <v>85</v>
      </c>
      <c r="C34" s="200" t="s">
        <v>102</v>
      </c>
      <c r="D34" s="155">
        <v>53</v>
      </c>
      <c r="E34" s="156">
        <v>8</v>
      </c>
      <c r="F34" s="155">
        <f t="shared" si="1"/>
        <v>424</v>
      </c>
      <c r="G34" s="156">
        <v>6.5</v>
      </c>
      <c r="H34" s="160">
        <f t="shared" si="2"/>
        <v>2756</v>
      </c>
      <c r="I34" s="189"/>
      <c r="J34" s="63"/>
      <c r="K34" s="165"/>
      <c r="L34" s="63"/>
      <c r="M34" s="190"/>
    </row>
    <row r="35" spans="1:15" x14ac:dyDescent="0.3">
      <c r="A35" s="151"/>
      <c r="B35" s="154" t="s">
        <v>83</v>
      </c>
      <c r="C35" s="200" t="s">
        <v>102</v>
      </c>
      <c r="D35" s="155">
        <v>53</v>
      </c>
      <c r="E35" s="156">
        <v>1</v>
      </c>
      <c r="F35" s="155">
        <f t="shared" si="1"/>
        <v>53</v>
      </c>
      <c r="G35" s="156">
        <v>0.25</v>
      </c>
      <c r="H35" s="160">
        <f t="shared" si="2"/>
        <v>13.25</v>
      </c>
      <c r="I35" s="189"/>
      <c r="J35" s="63"/>
      <c r="K35" s="139"/>
      <c r="L35" s="63"/>
      <c r="M35" s="186"/>
    </row>
    <row r="36" spans="1:15" x14ac:dyDescent="0.3">
      <c r="A36" s="151"/>
      <c r="B36" s="154" t="s">
        <v>91</v>
      </c>
      <c r="C36" s="200" t="s">
        <v>102</v>
      </c>
      <c r="D36" s="155">
        <v>5</v>
      </c>
      <c r="E36" s="156">
        <v>1</v>
      </c>
      <c r="F36" s="155">
        <v>5</v>
      </c>
      <c r="G36" s="156">
        <v>7</v>
      </c>
      <c r="H36" s="160">
        <v>35</v>
      </c>
      <c r="I36" s="189"/>
      <c r="J36" s="63"/>
      <c r="K36" s="139"/>
      <c r="L36" s="63"/>
      <c r="M36" s="186"/>
    </row>
    <row r="37" spans="1:15" x14ac:dyDescent="0.3">
      <c r="A37" s="151"/>
      <c r="B37" s="154" t="s">
        <v>77</v>
      </c>
      <c r="C37" s="200" t="s">
        <v>102</v>
      </c>
      <c r="D37" s="155">
        <v>53</v>
      </c>
      <c r="E37" s="156">
        <v>52</v>
      </c>
      <c r="F37" s="155">
        <f t="shared" si="1"/>
        <v>2756</v>
      </c>
      <c r="G37" s="156">
        <v>1.5</v>
      </c>
      <c r="H37" s="160">
        <f t="shared" si="2"/>
        <v>4134</v>
      </c>
      <c r="I37" s="221">
        <v>53</v>
      </c>
      <c r="J37" s="213">
        <v>52</v>
      </c>
      <c r="K37" s="144">
        <f>SUM(I37*J37)</f>
        <v>2756</v>
      </c>
      <c r="L37" s="214">
        <v>0.25</v>
      </c>
      <c r="M37" s="222">
        <f>SUM(K37*L37)</f>
        <v>689</v>
      </c>
      <c r="O37" s="93"/>
    </row>
    <row r="38" spans="1:15" x14ac:dyDescent="0.3">
      <c r="A38" s="151"/>
      <c r="B38" s="154" t="s">
        <v>82</v>
      </c>
      <c r="C38" s="200" t="s">
        <v>102</v>
      </c>
      <c r="D38" s="155">
        <v>53</v>
      </c>
      <c r="E38" s="156">
        <v>52</v>
      </c>
      <c r="F38" s="155">
        <f t="shared" si="1"/>
        <v>2756</v>
      </c>
      <c r="G38" s="156">
        <v>1.5</v>
      </c>
      <c r="H38" s="160">
        <f t="shared" si="2"/>
        <v>4134</v>
      </c>
      <c r="I38" s="189"/>
      <c r="J38" s="63"/>
      <c r="K38" s="139"/>
      <c r="L38" s="63"/>
      <c r="M38" s="186"/>
    </row>
    <row r="39" spans="1:15" s="108" customFormat="1" ht="13.5" thickBot="1" x14ac:dyDescent="0.35">
      <c r="A39" s="208" t="s">
        <v>88</v>
      </c>
      <c r="B39" s="209"/>
      <c r="C39" s="210"/>
      <c r="D39" s="211">
        <f>SUM(D25)</f>
        <v>53</v>
      </c>
      <c r="E39" s="212">
        <f>SUM(F39/D39)</f>
        <v>4935.2830188679245</v>
      </c>
      <c r="F39" s="211">
        <f>SUM(F25:F38)</f>
        <v>261570</v>
      </c>
      <c r="G39" s="212">
        <f>SUM(H39/F39)</f>
        <v>8.1154965018924191E-2</v>
      </c>
      <c r="H39" s="219">
        <f>SUM(H25:H38)</f>
        <v>21227.7042</v>
      </c>
      <c r="I39" s="191"/>
      <c r="J39" s="134"/>
      <c r="K39" s="166"/>
      <c r="L39" s="134"/>
      <c r="M39" s="192"/>
    </row>
    <row r="40" spans="1:15" s="70" customFormat="1" ht="13.5" thickBot="1" x14ac:dyDescent="0.35">
      <c r="A40" s="176"/>
      <c r="B40" s="177"/>
      <c r="C40" s="178"/>
      <c r="D40" s="179"/>
      <c r="E40" s="180"/>
      <c r="F40" s="179"/>
      <c r="G40" s="180"/>
      <c r="H40" s="220"/>
      <c r="I40" s="189"/>
      <c r="J40" s="63"/>
      <c r="K40" s="165"/>
      <c r="L40" s="63"/>
      <c r="M40" s="190"/>
      <c r="O40" s="135"/>
    </row>
    <row r="41" spans="1:15" s="108" customFormat="1" ht="13.5" thickBot="1" x14ac:dyDescent="0.35">
      <c r="A41" s="98" t="s">
        <v>89</v>
      </c>
      <c r="B41" s="99"/>
      <c r="C41" s="100"/>
      <c r="D41" s="101">
        <f>SUM(D21,D39)</f>
        <v>237067</v>
      </c>
      <c r="E41" s="102">
        <f>SUM(F41/D41)</f>
        <v>2.1956493312017278</v>
      </c>
      <c r="F41" s="103">
        <f>SUM(F21,F39)</f>
        <v>520516</v>
      </c>
      <c r="G41" s="102">
        <f>SUM(H41/F41)</f>
        <v>8.9069544836277853E-2</v>
      </c>
      <c r="H41" s="104">
        <f>SUM(H21,H39)</f>
        <v>46362.123200000002</v>
      </c>
      <c r="I41" s="129" t="s">
        <v>3</v>
      </c>
      <c r="J41" s="99"/>
      <c r="K41" s="105">
        <f>SUM(K24:K39)</f>
        <v>2756</v>
      </c>
      <c r="L41" s="106">
        <f>SUM(M41/K41)</f>
        <v>0.25</v>
      </c>
      <c r="M41" s="107">
        <f>SUM(M24:M39)</f>
        <v>689</v>
      </c>
    </row>
    <row r="42" spans="1:15" x14ac:dyDescent="0.3">
      <c r="A42" s="9" t="s">
        <v>3</v>
      </c>
      <c r="B42" s="9"/>
      <c r="C42" s="64" t="s">
        <v>3</v>
      </c>
      <c r="D42" s="64" t="s">
        <v>3</v>
      </c>
      <c r="E42" s="64" t="s">
        <v>3</v>
      </c>
      <c r="F42" s="64" t="s">
        <v>3</v>
      </c>
      <c r="G42" s="64" t="s">
        <v>3</v>
      </c>
      <c r="H42" s="64" t="s">
        <v>3</v>
      </c>
      <c r="I42" s="9"/>
      <c r="J42" s="9"/>
      <c r="K42" s="9" t="s">
        <v>39</v>
      </c>
      <c r="L42" s="9"/>
      <c r="M42" s="9"/>
    </row>
    <row r="43" spans="1:15" hidden="1" x14ac:dyDescent="0.3">
      <c r="D43" s="65" t="s">
        <v>61</v>
      </c>
      <c r="E43" s="66" t="s">
        <v>3</v>
      </c>
      <c r="F43" s="67" t="s">
        <v>69</v>
      </c>
      <c r="G43" s="68"/>
      <c r="H43" s="69"/>
      <c r="I43" s="70"/>
    </row>
    <row r="44" spans="1:15" ht="13.5" hidden="1" thickBot="1" x14ac:dyDescent="0.35">
      <c r="B44" s="71" t="s">
        <v>62</v>
      </c>
      <c r="C44" s="12"/>
      <c r="D44" s="72" t="s">
        <v>60</v>
      </c>
      <c r="E44" s="73" t="s">
        <v>3</v>
      </c>
      <c r="F44" s="74" t="s">
        <v>70</v>
      </c>
      <c r="G44" s="75" t="s">
        <v>3</v>
      </c>
      <c r="H44" s="70"/>
      <c r="I44" s="70"/>
    </row>
    <row r="45" spans="1:15" ht="16" customHeight="1" x14ac:dyDescent="0.35">
      <c r="B45" s="76" t="s">
        <v>48</v>
      </c>
      <c r="C45" s="77">
        <v>237067</v>
      </c>
      <c r="D45" s="78" t="s">
        <v>55</v>
      </c>
      <c r="E45" s="79" t="s">
        <v>68</v>
      </c>
      <c r="F45" s="80"/>
      <c r="G45" s="81"/>
      <c r="H45" s="82" t="s">
        <v>86</v>
      </c>
    </row>
    <row r="46" spans="1:15" ht="16" customHeight="1" x14ac:dyDescent="0.35">
      <c r="B46" s="76" t="s">
        <v>51</v>
      </c>
      <c r="C46" s="83">
        <f>SUM(F41/D41)</f>
        <v>2.1956493312017278</v>
      </c>
      <c r="D46" s="84"/>
      <c r="E46" s="85" t="s">
        <v>64</v>
      </c>
      <c r="F46" s="80"/>
      <c r="G46" s="81"/>
      <c r="H46" s="58" t="s">
        <v>3</v>
      </c>
      <c r="I46" s="58"/>
    </row>
    <row r="47" spans="1:15" ht="16" customHeight="1" x14ac:dyDescent="0.35">
      <c r="B47" s="76" t="s">
        <v>49</v>
      </c>
      <c r="C47" s="77">
        <f>SUM(F41,M41)</f>
        <v>521205</v>
      </c>
      <c r="D47" s="86" t="s">
        <v>54</v>
      </c>
      <c r="E47" s="79" t="s">
        <v>65</v>
      </c>
      <c r="F47" s="80"/>
      <c r="G47" s="81"/>
      <c r="H47" s="58" t="s">
        <v>3</v>
      </c>
      <c r="I47" s="58"/>
    </row>
    <row r="48" spans="1:15" ht="16" customHeight="1" thickBot="1" x14ac:dyDescent="0.4">
      <c r="B48" s="76" t="s">
        <v>50</v>
      </c>
      <c r="C48" s="87">
        <f>SUM(H41/F41)</f>
        <v>8.9069544836277853E-2</v>
      </c>
      <c r="D48" s="84"/>
      <c r="E48" s="79" t="s">
        <v>66</v>
      </c>
      <c r="F48" s="80"/>
      <c r="G48" s="81"/>
      <c r="H48" s="58" t="s">
        <v>3</v>
      </c>
      <c r="I48" s="58"/>
    </row>
    <row r="49" spans="2:9" ht="16" customHeight="1" thickBot="1" x14ac:dyDescent="0.4">
      <c r="B49" s="88" t="s">
        <v>52</v>
      </c>
      <c r="C49" s="89">
        <f>SUM(H41+M41)</f>
        <v>47051.123200000002</v>
      </c>
      <c r="D49" s="90" t="s">
        <v>59</v>
      </c>
      <c r="E49" s="85" t="s">
        <v>67</v>
      </c>
      <c r="F49" s="80"/>
      <c r="G49" s="81"/>
      <c r="H49" s="58" t="s">
        <v>3</v>
      </c>
      <c r="I49" s="58"/>
    </row>
    <row r="50" spans="2:9" ht="16" customHeight="1" x14ac:dyDescent="0.35">
      <c r="B50" s="76" t="s">
        <v>53</v>
      </c>
      <c r="C50" s="91">
        <v>47601</v>
      </c>
      <c r="D50" s="86" t="s">
        <v>56</v>
      </c>
      <c r="G50" s="58"/>
      <c r="H50" s="58" t="s">
        <v>3</v>
      </c>
      <c r="I50" s="92"/>
    </row>
    <row r="51" spans="2:9" ht="16" customHeight="1" x14ac:dyDescent="0.35">
      <c r="B51" s="76" t="s">
        <v>57</v>
      </c>
      <c r="C51" s="77">
        <f>SUM(C49-C50)</f>
        <v>-549.87679999999818</v>
      </c>
      <c r="D51" s="86" t="s">
        <v>58</v>
      </c>
    </row>
    <row r="53" spans="2:9" x14ac:dyDescent="0.3">
      <c r="B53" s="7" t="s">
        <v>3</v>
      </c>
    </row>
  </sheetData>
  <phoneticPr fontId="0" type="noConversion"/>
  <pageMargins left="0.35" right="0.5" top="0.5" bottom="0.25" header="0.5" footer="0.5"/>
  <pageSetup scale="7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49B56-E6AB-4ECE-BA01-5F9D1BADF60B}">
  <dimension ref="A1:Q42"/>
  <sheetViews>
    <sheetView tabSelected="1" topLeftCell="A7" workbookViewId="0">
      <selection activeCell="A29" sqref="A29"/>
    </sheetView>
  </sheetViews>
  <sheetFormatPr defaultRowHeight="12.5" x14ac:dyDescent="0.25"/>
  <cols>
    <col min="1" max="1" width="12.54296875" customWidth="1"/>
    <col min="2" max="2" width="24.7265625" customWidth="1"/>
    <col min="3" max="3" width="11.1796875" customWidth="1"/>
    <col min="7" max="7" width="20.26953125" customWidth="1"/>
    <col min="8" max="8" width="13.1796875" customWidth="1"/>
    <col min="9" max="10" width="12.1796875" bestFit="1" customWidth="1"/>
    <col min="11" max="11" width="12.26953125" bestFit="1" customWidth="1"/>
    <col min="13" max="13" width="12.26953125" bestFit="1" customWidth="1"/>
    <col min="16" max="17" width="12.26953125" bestFit="1" customWidth="1"/>
  </cols>
  <sheetData>
    <row r="1" spans="1:10" ht="65" x14ac:dyDescent="0.3">
      <c r="A1" s="287" t="s">
        <v>104</v>
      </c>
      <c r="B1" s="314" t="s">
        <v>18</v>
      </c>
      <c r="C1" s="287" t="s">
        <v>105</v>
      </c>
      <c r="D1" s="287" t="s">
        <v>108</v>
      </c>
      <c r="E1" s="315" t="s">
        <v>49</v>
      </c>
      <c r="F1" s="287" t="s">
        <v>107</v>
      </c>
      <c r="G1" s="287" t="s">
        <v>106</v>
      </c>
      <c r="H1" s="316" t="s">
        <v>152</v>
      </c>
      <c r="I1" s="316" t="s">
        <v>153</v>
      </c>
      <c r="J1" s="316" t="s">
        <v>154</v>
      </c>
    </row>
    <row r="2" spans="1:10" ht="13" customHeight="1" x14ac:dyDescent="0.3">
      <c r="A2" s="286" t="s">
        <v>103</v>
      </c>
      <c r="B2" s="300"/>
      <c r="C2" s="301"/>
      <c r="D2" s="301"/>
      <c r="E2" s="301"/>
      <c r="F2" s="301"/>
      <c r="G2" s="302"/>
      <c r="H2" s="7"/>
      <c r="I2" s="7"/>
      <c r="J2" s="7"/>
    </row>
    <row r="3" spans="1:10" ht="13" customHeight="1" x14ac:dyDescent="0.3">
      <c r="A3" s="283" t="s">
        <v>73</v>
      </c>
      <c r="B3" s="303"/>
      <c r="C3" s="304"/>
      <c r="D3" s="304"/>
      <c r="E3" s="304"/>
      <c r="F3" s="304"/>
      <c r="G3" s="305"/>
      <c r="H3" s="7"/>
      <c r="I3" s="7"/>
      <c r="J3" s="7"/>
    </row>
    <row r="4" spans="1:10" ht="13" x14ac:dyDescent="0.3">
      <c r="A4" s="310"/>
      <c r="B4" s="287" t="s">
        <v>95</v>
      </c>
      <c r="C4" s="144">
        <f>'Sheet1 (2)'!H17</f>
        <v>249953.33333333334</v>
      </c>
      <c r="D4" s="145">
        <v>1</v>
      </c>
      <c r="E4" s="144">
        <f>C4*D4</f>
        <v>249953.33333333334</v>
      </c>
      <c r="F4" s="276">
        <v>8.3500000000000005E-2</v>
      </c>
      <c r="G4" s="306">
        <f>F4*E4</f>
        <v>20871.103333333336</v>
      </c>
      <c r="H4" s="311">
        <v>7.25</v>
      </c>
      <c r="I4" s="312">
        <f>G4*H4</f>
        <v>151315.49916666668</v>
      </c>
      <c r="J4" s="313"/>
    </row>
    <row r="5" spans="1:10" ht="13" x14ac:dyDescent="0.3">
      <c r="A5" s="297"/>
      <c r="B5" s="287" t="s">
        <v>96</v>
      </c>
      <c r="C5" s="144">
        <f>Sheet4!H5</f>
        <v>17496.754425195697</v>
      </c>
      <c r="D5" s="145">
        <v>1</v>
      </c>
      <c r="E5" s="144">
        <f t="shared" ref="E5:E9" si="0">C5*D5</f>
        <v>17496.754425195697</v>
      </c>
      <c r="F5" s="147">
        <v>0.25</v>
      </c>
      <c r="G5" s="306">
        <f t="shared" ref="G5:G9" si="1">F5*E5</f>
        <v>4374.1886062989242</v>
      </c>
      <c r="H5" s="311">
        <v>7.25</v>
      </c>
      <c r="I5" s="312">
        <f t="shared" ref="I5:I10" si="2">G5*H5</f>
        <v>31712.867395667199</v>
      </c>
      <c r="J5" s="313"/>
    </row>
    <row r="6" spans="1:10" ht="13" x14ac:dyDescent="0.3">
      <c r="A6" s="297"/>
      <c r="B6" s="287" t="s">
        <v>101</v>
      </c>
      <c r="C6" s="144">
        <f>Sheet4!H6</f>
        <v>1498.5768210597969</v>
      </c>
      <c r="D6" s="145">
        <v>1</v>
      </c>
      <c r="E6" s="144">
        <f t="shared" si="0"/>
        <v>1498.5768210597969</v>
      </c>
      <c r="F6" s="147">
        <v>0.5</v>
      </c>
      <c r="G6" s="306">
        <f t="shared" si="1"/>
        <v>749.28841052989844</v>
      </c>
      <c r="H6" s="311">
        <v>7.25</v>
      </c>
      <c r="I6" s="312">
        <f t="shared" si="2"/>
        <v>5432.340976341764</v>
      </c>
      <c r="J6" s="313"/>
    </row>
    <row r="7" spans="1:10" ht="26" x14ac:dyDescent="0.3">
      <c r="A7" s="297" t="s">
        <v>148</v>
      </c>
      <c r="B7" s="279" t="s">
        <v>92</v>
      </c>
      <c r="C7" s="280">
        <f>Sheet4!H7</f>
        <v>2458.3961707429021</v>
      </c>
      <c r="D7" s="281">
        <v>1</v>
      </c>
      <c r="E7" s="144">
        <f t="shared" si="0"/>
        <v>2458.3961707429021</v>
      </c>
      <c r="F7" s="279">
        <v>8.3500000000000005E-2</v>
      </c>
      <c r="G7" s="306">
        <f t="shared" si="1"/>
        <v>205.27608025703233</v>
      </c>
      <c r="H7" s="311">
        <v>7.25</v>
      </c>
      <c r="I7" s="312">
        <f t="shared" si="2"/>
        <v>1488.2515818634845</v>
      </c>
      <c r="J7" s="313"/>
    </row>
    <row r="8" spans="1:10" ht="26" x14ac:dyDescent="0.3">
      <c r="A8" s="297"/>
      <c r="B8" s="279" t="s">
        <v>93</v>
      </c>
      <c r="C8" s="282">
        <f>Sheet4!H8</f>
        <v>737.51885122287058</v>
      </c>
      <c r="D8" s="281">
        <v>1</v>
      </c>
      <c r="E8" s="144">
        <f t="shared" si="0"/>
        <v>737.51885122287058</v>
      </c>
      <c r="F8" s="279">
        <v>0.25</v>
      </c>
      <c r="G8" s="306">
        <f t="shared" si="1"/>
        <v>184.37971280571765</v>
      </c>
      <c r="H8" s="311">
        <v>7.25</v>
      </c>
      <c r="I8" s="312">
        <f t="shared" si="2"/>
        <v>1336.7529178414529</v>
      </c>
      <c r="J8" s="313"/>
    </row>
    <row r="9" spans="1:10" ht="13" x14ac:dyDescent="0.3">
      <c r="A9" s="297"/>
      <c r="B9" s="279" t="s">
        <v>94</v>
      </c>
      <c r="C9" s="282">
        <f>Sheet4!H9</f>
        <v>16.389307804952679</v>
      </c>
      <c r="D9" s="281">
        <v>1</v>
      </c>
      <c r="E9" s="144">
        <f t="shared" si="0"/>
        <v>16.389307804952679</v>
      </c>
      <c r="F9" s="279">
        <v>0.5</v>
      </c>
      <c r="G9" s="306">
        <f t="shared" si="1"/>
        <v>8.1946539024763396</v>
      </c>
      <c r="H9" s="311">
        <v>7.25</v>
      </c>
      <c r="I9" s="312">
        <f t="shared" si="2"/>
        <v>59.411240792953464</v>
      </c>
      <c r="J9" s="313"/>
    </row>
    <row r="10" spans="1:10" ht="13" x14ac:dyDescent="0.3">
      <c r="A10" s="329" t="s">
        <v>88</v>
      </c>
      <c r="B10" s="329"/>
      <c r="C10" s="330">
        <f>SUM(C4:C9)</f>
        <v>272160.9689093596</v>
      </c>
      <c r="D10" s="331">
        <f>SUM(E10/C10)</f>
        <v>1</v>
      </c>
      <c r="E10" s="330">
        <f>SUM(E4:E9)</f>
        <v>272160.9689093596</v>
      </c>
      <c r="F10" s="329">
        <f>SUM(G10/E10)</f>
        <v>9.6973606843371848E-2</v>
      </c>
      <c r="G10" s="332">
        <f>SUM(G4:G9)</f>
        <v>26392.430797127385</v>
      </c>
      <c r="H10" s="354">
        <v>7.25</v>
      </c>
      <c r="I10" s="355">
        <f t="shared" si="2"/>
        <v>191345.12327917354</v>
      </c>
      <c r="J10" s="355">
        <f>I10*1.33</f>
        <v>254489.01396130081</v>
      </c>
    </row>
    <row r="11" spans="1:10" ht="13" x14ac:dyDescent="0.3">
      <c r="A11" s="283"/>
      <c r="B11" s="278"/>
      <c r="C11" s="278"/>
      <c r="D11" s="278"/>
      <c r="E11" s="278"/>
      <c r="F11" s="278"/>
      <c r="G11" s="307"/>
      <c r="H11" s="313"/>
      <c r="I11" s="313"/>
      <c r="J11" s="313"/>
    </row>
    <row r="12" spans="1:10" ht="13" x14ac:dyDescent="0.3">
      <c r="A12" s="284" t="s">
        <v>87</v>
      </c>
      <c r="B12" s="284"/>
      <c r="C12" s="284"/>
      <c r="D12" s="284"/>
      <c r="E12" s="284"/>
      <c r="F12" s="284"/>
      <c r="G12" s="308"/>
      <c r="H12" s="313"/>
      <c r="I12" s="313"/>
      <c r="J12" s="313"/>
    </row>
    <row r="13" spans="1:10" ht="13" x14ac:dyDescent="0.3">
      <c r="A13" s="283" t="s">
        <v>73</v>
      </c>
      <c r="B13" s="278"/>
      <c r="C13" s="278"/>
      <c r="D13" s="278"/>
      <c r="E13" s="278"/>
      <c r="F13" s="278"/>
      <c r="G13" s="307"/>
      <c r="H13" s="313"/>
      <c r="I13" s="313"/>
      <c r="J13" s="313"/>
    </row>
    <row r="14" spans="1:10" ht="13" x14ac:dyDescent="0.3">
      <c r="A14" s="298"/>
      <c r="B14" s="285" t="s">
        <v>98</v>
      </c>
      <c r="C14" s="144">
        <v>53</v>
      </c>
      <c r="D14" s="145">
        <f>E14/C14</f>
        <v>4716.1006289308179</v>
      </c>
      <c r="E14" s="144">
        <f>C4</f>
        <v>249953.33333333334</v>
      </c>
      <c r="F14" s="276">
        <v>1.67E-2</v>
      </c>
      <c r="G14" s="306">
        <f t="shared" ref="G14:G17" si="3">SUM(E14*F14)</f>
        <v>4174.2206666666671</v>
      </c>
      <c r="H14" s="311">
        <v>11.4</v>
      </c>
      <c r="I14" s="312">
        <f>H14*G14</f>
        <v>47586.115600000005</v>
      </c>
      <c r="J14" s="313"/>
    </row>
    <row r="15" spans="1:10" ht="26" x14ac:dyDescent="0.3">
      <c r="A15" s="298"/>
      <c r="B15" s="287" t="s">
        <v>99</v>
      </c>
      <c r="C15" s="144">
        <v>53</v>
      </c>
      <c r="D15" s="145">
        <f t="shared" ref="D15:D17" si="4">E15/C15</f>
        <v>330.12744198482449</v>
      </c>
      <c r="E15" s="144">
        <f>C5</f>
        <v>17496.754425195697</v>
      </c>
      <c r="F15" s="147">
        <v>0.25</v>
      </c>
      <c r="G15" s="306">
        <f t="shared" si="3"/>
        <v>4374.1886062989242</v>
      </c>
      <c r="H15" s="311">
        <v>11.4</v>
      </c>
      <c r="I15" s="312">
        <f t="shared" ref="I15:I30" si="5">H15*G15</f>
        <v>49865.750111807734</v>
      </c>
      <c r="J15" s="313"/>
    </row>
    <row r="16" spans="1:10" ht="26" x14ac:dyDescent="0.3">
      <c r="A16" s="298" t="s">
        <v>148</v>
      </c>
      <c r="B16" s="287" t="s">
        <v>100</v>
      </c>
      <c r="C16" s="144">
        <v>53</v>
      </c>
      <c r="D16" s="145">
        <f t="shared" si="4"/>
        <v>28.275034359618807</v>
      </c>
      <c r="E16" s="144">
        <f>C6</f>
        <v>1498.5768210597969</v>
      </c>
      <c r="F16" s="147">
        <v>0.5</v>
      </c>
      <c r="G16" s="306">
        <f t="shared" si="3"/>
        <v>749.28841052989844</v>
      </c>
      <c r="H16" s="311">
        <v>11.4</v>
      </c>
      <c r="I16" s="312">
        <f t="shared" si="5"/>
        <v>8541.887880040842</v>
      </c>
      <c r="J16" s="313"/>
    </row>
    <row r="17" spans="1:17" ht="26" x14ac:dyDescent="0.3">
      <c r="A17" s="298"/>
      <c r="B17" s="279" t="s">
        <v>97</v>
      </c>
      <c r="C17" s="279">
        <v>53</v>
      </c>
      <c r="D17" s="145">
        <f t="shared" si="4"/>
        <v>0.30923222273495621</v>
      </c>
      <c r="E17" s="282">
        <f>C9</f>
        <v>16.389307804952679</v>
      </c>
      <c r="F17" s="281">
        <v>0.5</v>
      </c>
      <c r="G17" s="306">
        <f t="shared" si="3"/>
        <v>8.1946539024763396</v>
      </c>
      <c r="H17" s="311">
        <v>11.4</v>
      </c>
      <c r="I17" s="312">
        <f t="shared" si="5"/>
        <v>93.419054488230273</v>
      </c>
      <c r="J17" s="313"/>
    </row>
    <row r="18" spans="1:17" ht="13" x14ac:dyDescent="0.3">
      <c r="A18" s="296" t="s">
        <v>90</v>
      </c>
      <c r="B18" s="278"/>
      <c r="C18" s="144"/>
      <c r="D18" s="145" t="s">
        <v>3</v>
      </c>
      <c r="E18" s="144"/>
      <c r="F18" s="147" t="s">
        <v>3</v>
      </c>
      <c r="G18" s="306"/>
      <c r="H18" s="311"/>
      <c r="I18" s="312"/>
      <c r="J18" s="313"/>
    </row>
    <row r="19" spans="1:17" ht="13" x14ac:dyDescent="0.3">
      <c r="A19" s="295" t="s">
        <v>149</v>
      </c>
      <c r="B19" s="288" t="s">
        <v>74</v>
      </c>
      <c r="C19" s="144">
        <v>53</v>
      </c>
      <c r="D19" s="145">
        <v>1</v>
      </c>
      <c r="E19" s="144">
        <v>53</v>
      </c>
      <c r="F19" s="147">
        <v>0.5</v>
      </c>
      <c r="G19" s="306">
        <v>26.5</v>
      </c>
      <c r="H19" s="311">
        <v>11.4</v>
      </c>
      <c r="I19" s="312">
        <f t="shared" si="5"/>
        <v>302.10000000000002</v>
      </c>
      <c r="J19" s="313"/>
    </row>
    <row r="20" spans="1:17" ht="13" x14ac:dyDescent="0.3">
      <c r="A20" s="348" t="s">
        <v>158</v>
      </c>
      <c r="B20" s="349"/>
      <c r="C20" s="350">
        <v>53</v>
      </c>
      <c r="D20" s="351">
        <f>E20/C20</f>
        <v>5075.8123374979959</v>
      </c>
      <c r="E20" s="350">
        <f>SUM(E14:E19)</f>
        <v>269018.05388739379</v>
      </c>
      <c r="F20" s="352">
        <f>G20/E20</f>
        <v>3.4690580065322829E-2</v>
      </c>
      <c r="G20" s="353">
        <f>SUM(G14:G19)</f>
        <v>9332.3923373979651</v>
      </c>
      <c r="H20" s="354">
        <v>11.4</v>
      </c>
      <c r="I20" s="355">
        <f>SUM(I14:I19)</f>
        <v>106389.27264633682</v>
      </c>
      <c r="J20" s="355">
        <f>I20*1.33</f>
        <v>141497.73261962796</v>
      </c>
    </row>
    <row r="21" spans="1:17" ht="13" x14ac:dyDescent="0.3">
      <c r="A21" s="294" t="s">
        <v>156</v>
      </c>
      <c r="B21" s="288"/>
      <c r="C21" s="289"/>
      <c r="D21" s="290"/>
      <c r="E21" s="289"/>
      <c r="F21" s="290"/>
      <c r="G21" s="309"/>
      <c r="H21" s="311"/>
      <c r="I21" s="312"/>
      <c r="J21" s="313"/>
      <c r="P21" s="357">
        <f>J20+I39+J29</f>
        <v>339571.37752442795</v>
      </c>
      <c r="Q21" s="357">
        <f>P21+4579.46</f>
        <v>344150.83752442797</v>
      </c>
    </row>
    <row r="22" spans="1:17" ht="13" x14ac:dyDescent="0.3">
      <c r="A22" s="299"/>
      <c r="B22" s="287" t="s">
        <v>76</v>
      </c>
      <c r="C22" s="289">
        <v>53</v>
      </c>
      <c r="D22" s="290">
        <v>1</v>
      </c>
      <c r="E22" s="289">
        <f t="shared" ref="E22:E28" si="6">SUM(C22*D22)</f>
        <v>53</v>
      </c>
      <c r="F22" s="290">
        <v>11.5</v>
      </c>
      <c r="G22" s="309">
        <f t="shared" ref="G22:G28" si="7">SUM(E22*F22)</f>
        <v>609.5</v>
      </c>
      <c r="H22" s="311">
        <v>11.4</v>
      </c>
      <c r="I22" s="312">
        <f t="shared" si="5"/>
        <v>6948.3</v>
      </c>
      <c r="J22" s="313"/>
      <c r="L22" s="244">
        <f>SUM(E14:E17)</f>
        <v>268965.05388739379</v>
      </c>
      <c r="P22" s="357">
        <f>P21+500000</f>
        <v>839571.37752442795</v>
      </c>
    </row>
    <row r="23" spans="1:17" ht="13" x14ac:dyDescent="0.3">
      <c r="A23" s="299"/>
      <c r="B23" s="288" t="s">
        <v>84</v>
      </c>
      <c r="C23" s="289">
        <v>53</v>
      </c>
      <c r="D23" s="290">
        <v>8</v>
      </c>
      <c r="E23" s="289">
        <f t="shared" si="6"/>
        <v>424</v>
      </c>
      <c r="F23" s="291">
        <v>1.6346000000000001</v>
      </c>
      <c r="G23" s="309">
        <f t="shared" si="7"/>
        <v>693.07040000000006</v>
      </c>
      <c r="H23" s="311">
        <v>11.4</v>
      </c>
      <c r="I23" s="312">
        <f t="shared" si="5"/>
        <v>7901.0025600000008</v>
      </c>
      <c r="J23" s="313"/>
      <c r="L23" s="244">
        <f>L22+E10</f>
        <v>541126.02279675333</v>
      </c>
    </row>
    <row r="24" spans="1:17" ht="13" x14ac:dyDescent="0.3">
      <c r="A24" s="299" t="s">
        <v>150</v>
      </c>
      <c r="B24" s="292" t="s">
        <v>85</v>
      </c>
      <c r="C24" s="289">
        <v>53</v>
      </c>
      <c r="D24" s="290">
        <v>8</v>
      </c>
      <c r="E24" s="289">
        <f t="shared" si="6"/>
        <v>424</v>
      </c>
      <c r="F24" s="290">
        <v>6.5</v>
      </c>
      <c r="G24" s="309">
        <f t="shared" si="7"/>
        <v>2756</v>
      </c>
      <c r="H24" s="311">
        <v>11.4</v>
      </c>
      <c r="I24" s="312">
        <f t="shared" si="5"/>
        <v>31418.400000000001</v>
      </c>
      <c r="J24" s="313"/>
      <c r="L24" s="263">
        <f>SUM(G10,G14:G17)</f>
        <v>35698.323134525359</v>
      </c>
    </row>
    <row r="25" spans="1:17" ht="13" x14ac:dyDescent="0.3">
      <c r="A25" s="299" t="s">
        <v>151</v>
      </c>
      <c r="B25" s="292" t="s">
        <v>83</v>
      </c>
      <c r="C25" s="289">
        <v>53</v>
      </c>
      <c r="D25" s="290">
        <v>1</v>
      </c>
      <c r="E25" s="289">
        <f t="shared" si="6"/>
        <v>53</v>
      </c>
      <c r="F25" s="290">
        <v>0.25</v>
      </c>
      <c r="G25" s="309">
        <f t="shared" si="7"/>
        <v>13.25</v>
      </c>
      <c r="H25" s="311">
        <v>11.4</v>
      </c>
      <c r="I25" s="312">
        <f t="shared" si="5"/>
        <v>151.05000000000001</v>
      </c>
      <c r="J25" s="313"/>
      <c r="L25" s="263">
        <f>L24-33960.8</f>
        <v>1737.523134525356</v>
      </c>
    </row>
    <row r="26" spans="1:17" ht="13" x14ac:dyDescent="0.3">
      <c r="A26" s="299"/>
      <c r="B26" s="292" t="s">
        <v>91</v>
      </c>
      <c r="C26" s="289">
        <v>5</v>
      </c>
      <c r="D26" s="290">
        <v>1</v>
      </c>
      <c r="E26" s="289">
        <v>5</v>
      </c>
      <c r="F26" s="290">
        <v>7</v>
      </c>
      <c r="G26" s="309">
        <f t="shared" si="7"/>
        <v>35</v>
      </c>
      <c r="H26" s="311">
        <v>11.4</v>
      </c>
      <c r="I26" s="312">
        <f t="shared" si="5"/>
        <v>399</v>
      </c>
      <c r="J26" s="313"/>
    </row>
    <row r="27" spans="1:17" ht="13" x14ac:dyDescent="0.3">
      <c r="A27" s="299"/>
      <c r="B27" s="292" t="s">
        <v>77</v>
      </c>
      <c r="C27" s="289">
        <v>53</v>
      </c>
      <c r="D27" s="290">
        <v>52</v>
      </c>
      <c r="E27" s="289">
        <f t="shared" si="6"/>
        <v>2756</v>
      </c>
      <c r="F27" s="290">
        <v>1.5</v>
      </c>
      <c r="G27" s="309">
        <f t="shared" si="7"/>
        <v>4134</v>
      </c>
      <c r="H27" s="311">
        <v>11.4</v>
      </c>
      <c r="I27" s="312">
        <f t="shared" si="5"/>
        <v>47127.6</v>
      </c>
      <c r="J27" s="313"/>
    </row>
    <row r="28" spans="1:17" ht="13" x14ac:dyDescent="0.3">
      <c r="A28" s="299"/>
      <c r="B28" s="293" t="s">
        <v>82</v>
      </c>
      <c r="C28" s="289">
        <v>53</v>
      </c>
      <c r="D28" s="290">
        <v>52</v>
      </c>
      <c r="E28" s="289">
        <f t="shared" si="6"/>
        <v>2756</v>
      </c>
      <c r="F28" s="290">
        <v>1.5</v>
      </c>
      <c r="G28" s="309">
        <f t="shared" si="7"/>
        <v>4134</v>
      </c>
      <c r="H28" s="311">
        <v>11.4</v>
      </c>
      <c r="I28" s="312">
        <f t="shared" si="5"/>
        <v>47127.6</v>
      </c>
      <c r="J28" s="313"/>
    </row>
    <row r="29" spans="1:17" ht="13" x14ac:dyDescent="0.3">
      <c r="B29" s="346" t="s">
        <v>157</v>
      </c>
      <c r="C29" s="289"/>
      <c r="D29" s="290"/>
      <c r="E29" s="289"/>
      <c r="F29" s="290"/>
      <c r="G29" s="347">
        <f>SUM(G22:G28)</f>
        <v>12374.820400000001</v>
      </c>
      <c r="H29" s="354">
        <v>11.4</v>
      </c>
      <c r="I29" s="355">
        <f t="shared" si="5"/>
        <v>141072.95256000001</v>
      </c>
      <c r="J29" s="312">
        <f>I29*1.33</f>
        <v>187627.0269048</v>
      </c>
    </row>
    <row r="30" spans="1:17" ht="13" x14ac:dyDescent="0.3">
      <c r="A30" s="333" t="s">
        <v>88</v>
      </c>
      <c r="B30" s="334"/>
      <c r="C30" s="335">
        <f>SUM(C14)</f>
        <v>53</v>
      </c>
      <c r="D30" s="336">
        <f>SUM(E30/C30)</f>
        <v>5197.9066771206371</v>
      </c>
      <c r="E30" s="335">
        <f>SUM(E14:E19)+SUM(E22:E28)</f>
        <v>275489.05388739379</v>
      </c>
      <c r="F30" s="336">
        <f>SUM(G30/E30)</f>
        <v>7.8795191428080461E-2</v>
      </c>
      <c r="G30" s="337">
        <f>SUM(G14:G19)+SUM(G22:G28)</f>
        <v>21707.212737397967</v>
      </c>
      <c r="H30" s="354">
        <v>11.4</v>
      </c>
      <c r="I30" s="355">
        <f t="shared" si="5"/>
        <v>247462.22520633685</v>
      </c>
      <c r="J30" s="355">
        <f>I30*1.33</f>
        <v>329124.75952442805</v>
      </c>
    </row>
    <row r="31" spans="1:17" ht="13" x14ac:dyDescent="0.3">
      <c r="A31" s="338"/>
      <c r="B31" s="339"/>
      <c r="C31" s="340"/>
      <c r="D31" s="341"/>
      <c r="E31" s="340"/>
      <c r="F31" s="341"/>
      <c r="G31" s="342"/>
      <c r="H31" s="313"/>
      <c r="I31" s="356"/>
      <c r="J31" s="356"/>
      <c r="M31" s="357"/>
    </row>
    <row r="32" spans="1:17" ht="13" x14ac:dyDescent="0.3">
      <c r="A32" s="333" t="s">
        <v>89</v>
      </c>
      <c r="B32" s="343"/>
      <c r="C32" s="333">
        <f>SUM(C10,C30)</f>
        <v>272213.9689093596</v>
      </c>
      <c r="D32" s="344">
        <f>SUM(E32/C32)</f>
        <v>2.0118365893967294</v>
      </c>
      <c r="E32" s="333">
        <f>SUM(E10,E30)</f>
        <v>547650.02279675333</v>
      </c>
      <c r="F32" s="344">
        <f>SUM(G32/E32)</f>
        <v>8.7829163758432527E-2</v>
      </c>
      <c r="G32" s="345">
        <f>G10+G30</f>
        <v>48099.643534525356</v>
      </c>
      <c r="H32" s="313"/>
      <c r="I32" s="355">
        <f>I10+I30</f>
        <v>438807.34848551039</v>
      </c>
      <c r="J32" s="355">
        <f>I32*1.33</f>
        <v>583613.77348572889</v>
      </c>
    </row>
    <row r="33" spans="1:14" ht="13" x14ac:dyDescent="0.3">
      <c r="A33" s="7"/>
      <c r="B33" s="7"/>
      <c r="C33" s="7"/>
      <c r="D33" s="7"/>
      <c r="E33" s="7"/>
      <c r="F33" s="7"/>
      <c r="G33" s="7"/>
      <c r="H33" s="313"/>
      <c r="I33" s="313"/>
      <c r="J33" s="313"/>
    </row>
    <row r="34" spans="1:14" ht="13" x14ac:dyDescent="0.3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4" ht="13" x14ac:dyDescent="0.3">
      <c r="A35" s="7"/>
      <c r="B35" s="358"/>
      <c r="C35" s="358"/>
      <c r="D35" s="359" t="s">
        <v>72</v>
      </c>
      <c r="E35" s="360"/>
      <c r="F35" s="358"/>
      <c r="G35" s="313"/>
      <c r="H35" s="313"/>
      <c r="I35" s="313"/>
      <c r="J35" s="313"/>
    </row>
    <row r="36" spans="1:14" ht="13" x14ac:dyDescent="0.3">
      <c r="A36" s="7"/>
      <c r="B36" s="360" t="s">
        <v>9</v>
      </c>
      <c r="C36" s="360" t="s">
        <v>12</v>
      </c>
      <c r="D36" s="360" t="s">
        <v>10</v>
      </c>
      <c r="E36" s="360" t="s">
        <v>11</v>
      </c>
      <c r="F36" s="360" t="s">
        <v>10</v>
      </c>
      <c r="G36" s="313"/>
      <c r="H36" s="313"/>
      <c r="I36" s="313"/>
      <c r="J36" s="313"/>
    </row>
    <row r="37" spans="1:14" ht="13" x14ac:dyDescent="0.3">
      <c r="A37" s="7"/>
      <c r="B37" s="360" t="s">
        <v>17</v>
      </c>
      <c r="C37" s="360" t="s">
        <v>7</v>
      </c>
      <c r="D37" s="360" t="s">
        <v>7</v>
      </c>
      <c r="E37" s="360" t="s">
        <v>41</v>
      </c>
      <c r="F37" s="360" t="s">
        <v>17</v>
      </c>
      <c r="G37" s="313"/>
      <c r="H37" s="313"/>
      <c r="I37" s="313"/>
      <c r="J37" s="313"/>
      <c r="L37">
        <v>47051</v>
      </c>
      <c r="N37" s="264">
        <f>G32-L37</f>
        <v>1048.6435345253558</v>
      </c>
    </row>
    <row r="38" spans="1:14" ht="13" x14ac:dyDescent="0.3">
      <c r="A38" s="7"/>
      <c r="B38" s="360" t="s">
        <v>23</v>
      </c>
      <c r="C38" s="360" t="s">
        <v>41</v>
      </c>
      <c r="D38" s="360" t="s">
        <v>16</v>
      </c>
      <c r="E38" s="360" t="s">
        <v>42</v>
      </c>
      <c r="F38" s="360" t="s">
        <v>24</v>
      </c>
      <c r="G38" s="313" t="s">
        <v>152</v>
      </c>
      <c r="H38" s="313" t="s">
        <v>159</v>
      </c>
      <c r="I38" s="313" t="s">
        <v>160</v>
      </c>
      <c r="J38" s="313"/>
      <c r="N38" s="264"/>
    </row>
    <row r="39" spans="1:14" ht="13" x14ac:dyDescent="0.3">
      <c r="A39" s="7"/>
      <c r="B39" s="358">
        <v>53</v>
      </c>
      <c r="C39" s="358">
        <v>52</v>
      </c>
      <c r="D39" s="144">
        <f>(B39*C39)</f>
        <v>2756</v>
      </c>
      <c r="E39" s="361">
        <v>0.25</v>
      </c>
      <c r="F39" s="145">
        <f>(D39*E39)</f>
        <v>689</v>
      </c>
      <c r="G39" s="311">
        <v>11.4</v>
      </c>
      <c r="H39" s="311">
        <f>G39*F39</f>
        <v>7854.6</v>
      </c>
      <c r="I39" s="311">
        <f>H39*1.33</f>
        <v>10446.618</v>
      </c>
      <c r="J39" s="313"/>
      <c r="K39" s="357"/>
    </row>
    <row r="42" spans="1:14" x14ac:dyDescent="0.25">
      <c r="G42" s="277">
        <f>G32+F39</f>
        <v>48788.643534525356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topLeftCell="A7" workbookViewId="0">
      <selection activeCell="P8" sqref="P8"/>
    </sheetView>
  </sheetViews>
  <sheetFormatPr defaultRowHeight="12.5" x14ac:dyDescent="0.25"/>
  <cols>
    <col min="1" max="1" width="12.54296875" customWidth="1"/>
    <col min="2" max="2" width="24.7265625" customWidth="1"/>
    <col min="3" max="3" width="11.1796875" customWidth="1"/>
    <col min="7" max="7" width="20.26953125" customWidth="1"/>
    <col min="8" max="8" width="13.1796875" customWidth="1"/>
    <col min="9" max="10" width="12.1796875" bestFit="1" customWidth="1"/>
  </cols>
  <sheetData>
    <row r="1" spans="1:10" ht="65" x14ac:dyDescent="0.3">
      <c r="A1" s="287" t="s">
        <v>104</v>
      </c>
      <c r="B1" s="314" t="s">
        <v>18</v>
      </c>
      <c r="C1" s="287" t="s">
        <v>105</v>
      </c>
      <c r="D1" s="287" t="s">
        <v>108</v>
      </c>
      <c r="E1" s="315" t="s">
        <v>49</v>
      </c>
      <c r="F1" s="287" t="s">
        <v>107</v>
      </c>
      <c r="G1" s="287" t="s">
        <v>106</v>
      </c>
      <c r="H1" s="316" t="s">
        <v>152</v>
      </c>
      <c r="I1" s="316" t="s">
        <v>153</v>
      </c>
      <c r="J1" s="316" t="s">
        <v>154</v>
      </c>
    </row>
    <row r="2" spans="1:10" ht="13" customHeight="1" x14ac:dyDescent="0.3">
      <c r="A2" s="286" t="s">
        <v>103</v>
      </c>
      <c r="B2" s="300"/>
      <c r="C2" s="301"/>
      <c r="D2" s="301"/>
      <c r="E2" s="301"/>
      <c r="F2" s="301"/>
      <c r="G2" s="302"/>
      <c r="H2" s="7"/>
      <c r="I2" s="7"/>
      <c r="J2" s="7"/>
    </row>
    <row r="3" spans="1:10" ht="13" customHeight="1" x14ac:dyDescent="0.3">
      <c r="A3" s="283" t="s">
        <v>73</v>
      </c>
      <c r="B3" s="303"/>
      <c r="C3" s="304"/>
      <c r="D3" s="304"/>
      <c r="E3" s="304"/>
      <c r="F3" s="304"/>
      <c r="G3" s="305"/>
      <c r="H3" s="7"/>
      <c r="I3" s="7"/>
      <c r="J3" s="7"/>
    </row>
    <row r="4" spans="1:10" ht="13" x14ac:dyDescent="0.3">
      <c r="A4" s="310"/>
      <c r="B4" s="287" t="s">
        <v>95</v>
      </c>
      <c r="C4" s="144">
        <f>'Sheet1 (2)'!H17</f>
        <v>249953.33333333334</v>
      </c>
      <c r="D4" s="145">
        <v>1</v>
      </c>
      <c r="E4" s="144">
        <f>C4*D4</f>
        <v>249953.33333333334</v>
      </c>
      <c r="F4" s="276">
        <v>8.3500000000000005E-2</v>
      </c>
      <c r="G4" s="306">
        <f>F4*E4</f>
        <v>20871.103333333336</v>
      </c>
      <c r="H4" s="311">
        <v>7.25</v>
      </c>
      <c r="I4" s="312">
        <f>G4*H4</f>
        <v>151315.49916666668</v>
      </c>
      <c r="J4" s="313"/>
    </row>
    <row r="5" spans="1:10" ht="13" x14ac:dyDescent="0.3">
      <c r="A5" s="297"/>
      <c r="B5" s="287" t="s">
        <v>96</v>
      </c>
      <c r="C5" s="144">
        <f>Sheet4!H5</f>
        <v>17496.754425195697</v>
      </c>
      <c r="D5" s="145">
        <v>1</v>
      </c>
      <c r="E5" s="144">
        <f t="shared" ref="E5:E9" si="0">C5*D5</f>
        <v>17496.754425195697</v>
      </c>
      <c r="F5" s="147">
        <v>0.25</v>
      </c>
      <c r="G5" s="306">
        <f t="shared" ref="G5:G9" si="1">F5*E5</f>
        <v>4374.1886062989242</v>
      </c>
      <c r="H5" s="311">
        <v>7.25</v>
      </c>
      <c r="I5" s="312">
        <f t="shared" ref="I5:I10" si="2">G5*H5</f>
        <v>31712.867395667199</v>
      </c>
      <c r="J5" s="313"/>
    </row>
    <row r="6" spans="1:10" ht="13" x14ac:dyDescent="0.3">
      <c r="A6" s="297"/>
      <c r="B6" s="287" t="s">
        <v>101</v>
      </c>
      <c r="C6" s="144">
        <f>Sheet4!H6</f>
        <v>1498.5768210597969</v>
      </c>
      <c r="D6" s="145">
        <v>1</v>
      </c>
      <c r="E6" s="144">
        <f t="shared" si="0"/>
        <v>1498.5768210597969</v>
      </c>
      <c r="F6" s="147">
        <v>0.5</v>
      </c>
      <c r="G6" s="306">
        <f t="shared" si="1"/>
        <v>749.28841052989844</v>
      </c>
      <c r="H6" s="311">
        <v>7.25</v>
      </c>
      <c r="I6" s="312">
        <f t="shared" si="2"/>
        <v>5432.340976341764</v>
      </c>
      <c r="J6" s="313"/>
    </row>
    <row r="7" spans="1:10" ht="26" x14ac:dyDescent="0.3">
      <c r="A7" s="297" t="s">
        <v>148</v>
      </c>
      <c r="B7" s="279" t="s">
        <v>92</v>
      </c>
      <c r="C7" s="280">
        <f>Sheet4!H7</f>
        <v>2458.3961707429021</v>
      </c>
      <c r="D7" s="281">
        <v>1</v>
      </c>
      <c r="E7" s="144">
        <f t="shared" si="0"/>
        <v>2458.3961707429021</v>
      </c>
      <c r="F7" s="279">
        <v>8.3500000000000005E-2</v>
      </c>
      <c r="G7" s="306">
        <f t="shared" si="1"/>
        <v>205.27608025703233</v>
      </c>
      <c r="H7" s="311">
        <v>7.25</v>
      </c>
      <c r="I7" s="312">
        <f t="shared" si="2"/>
        <v>1488.2515818634845</v>
      </c>
      <c r="J7" s="313"/>
    </row>
    <row r="8" spans="1:10" ht="26" x14ac:dyDescent="0.3">
      <c r="A8" s="297"/>
      <c r="B8" s="279" t="s">
        <v>93</v>
      </c>
      <c r="C8" s="282">
        <f>Sheet4!H8</f>
        <v>737.51885122287058</v>
      </c>
      <c r="D8" s="281">
        <v>1</v>
      </c>
      <c r="E8" s="144">
        <f t="shared" si="0"/>
        <v>737.51885122287058</v>
      </c>
      <c r="F8" s="279">
        <v>0.25</v>
      </c>
      <c r="G8" s="306">
        <f t="shared" si="1"/>
        <v>184.37971280571765</v>
      </c>
      <c r="H8" s="311">
        <v>7.25</v>
      </c>
      <c r="I8" s="312">
        <f t="shared" si="2"/>
        <v>1336.7529178414529</v>
      </c>
      <c r="J8" s="313"/>
    </row>
    <row r="9" spans="1:10" ht="13" x14ac:dyDescent="0.3">
      <c r="A9" s="297"/>
      <c r="B9" s="279" t="s">
        <v>94</v>
      </c>
      <c r="C9" s="282">
        <f>Sheet4!H9</f>
        <v>16.389307804952679</v>
      </c>
      <c r="D9" s="281">
        <v>1</v>
      </c>
      <c r="E9" s="144">
        <f t="shared" si="0"/>
        <v>16.389307804952679</v>
      </c>
      <c r="F9" s="279">
        <v>0.5</v>
      </c>
      <c r="G9" s="306">
        <f t="shared" si="1"/>
        <v>8.1946539024763396</v>
      </c>
      <c r="H9" s="311">
        <v>7.25</v>
      </c>
      <c r="I9" s="312">
        <f t="shared" si="2"/>
        <v>59.411240792953464</v>
      </c>
      <c r="J9" s="313"/>
    </row>
    <row r="10" spans="1:10" ht="13" x14ac:dyDescent="0.3">
      <c r="A10" s="329" t="s">
        <v>88</v>
      </c>
      <c r="B10" s="329"/>
      <c r="C10" s="330">
        <f>SUM(C4:C9)</f>
        <v>272160.9689093596</v>
      </c>
      <c r="D10" s="331">
        <f>SUM(E10/C10)</f>
        <v>1</v>
      </c>
      <c r="E10" s="330">
        <f>SUM(E4:E9)</f>
        <v>272160.9689093596</v>
      </c>
      <c r="F10" s="329">
        <f>SUM(G10/E10)</f>
        <v>9.6973606843371848E-2</v>
      </c>
      <c r="G10" s="332">
        <f>SUM(G4:G9)</f>
        <v>26392.430797127385</v>
      </c>
      <c r="H10" s="311">
        <v>7.25</v>
      </c>
      <c r="I10" s="312">
        <f t="shared" si="2"/>
        <v>191345.12327917354</v>
      </c>
      <c r="J10" s="312">
        <f>I10*1.33</f>
        <v>254489.01396130081</v>
      </c>
    </row>
    <row r="11" spans="1:10" ht="13" x14ac:dyDescent="0.3">
      <c r="A11" s="283"/>
      <c r="B11" s="278"/>
      <c r="C11" s="278"/>
      <c r="D11" s="278"/>
      <c r="E11" s="278"/>
      <c r="F11" s="278"/>
      <c r="G11" s="307"/>
      <c r="H11" s="313"/>
      <c r="I11" s="313"/>
      <c r="J11" s="313"/>
    </row>
    <row r="12" spans="1:10" ht="13" x14ac:dyDescent="0.3">
      <c r="A12" s="284" t="s">
        <v>87</v>
      </c>
      <c r="B12" s="284"/>
      <c r="C12" s="284"/>
      <c r="D12" s="284"/>
      <c r="E12" s="284"/>
      <c r="F12" s="284"/>
      <c r="G12" s="308"/>
      <c r="H12" s="313"/>
      <c r="I12" s="313"/>
      <c r="J12" s="313"/>
    </row>
    <row r="13" spans="1:10" ht="13" x14ac:dyDescent="0.3">
      <c r="A13" s="283" t="s">
        <v>73</v>
      </c>
      <c r="B13" s="278"/>
      <c r="C13" s="278"/>
      <c r="D13" s="278"/>
      <c r="E13" s="278"/>
      <c r="F13" s="278"/>
      <c r="G13" s="307"/>
      <c r="H13" s="313"/>
      <c r="I13" s="313"/>
      <c r="J13" s="313"/>
    </row>
    <row r="14" spans="1:10" ht="13" x14ac:dyDescent="0.3">
      <c r="A14" s="298"/>
      <c r="B14" s="285" t="s">
        <v>98</v>
      </c>
      <c r="C14" s="144">
        <v>53</v>
      </c>
      <c r="D14" s="145">
        <f>E14/C14</f>
        <v>4716.1006289308179</v>
      </c>
      <c r="E14" s="144">
        <f>C4</f>
        <v>249953.33333333334</v>
      </c>
      <c r="F14" s="276">
        <v>1.67E-2</v>
      </c>
      <c r="G14" s="306">
        <f t="shared" ref="G14:G17" si="3">SUM(E14*F14)</f>
        <v>4174.2206666666671</v>
      </c>
      <c r="H14" s="311">
        <v>11.33</v>
      </c>
      <c r="I14" s="312">
        <f>H14*G14</f>
        <v>47293.92015333334</v>
      </c>
      <c r="J14" s="313"/>
    </row>
    <row r="15" spans="1:10" ht="26" x14ac:dyDescent="0.3">
      <c r="A15" s="298"/>
      <c r="B15" s="287" t="s">
        <v>99</v>
      </c>
      <c r="C15" s="144">
        <v>53</v>
      </c>
      <c r="D15" s="145">
        <f t="shared" ref="D15:D17" si="4">E15/C15</f>
        <v>330.12744198482449</v>
      </c>
      <c r="E15" s="144">
        <f>C5</f>
        <v>17496.754425195697</v>
      </c>
      <c r="F15" s="147">
        <v>0.25</v>
      </c>
      <c r="G15" s="306">
        <f t="shared" si="3"/>
        <v>4374.1886062989242</v>
      </c>
      <c r="H15" s="311">
        <v>11.33</v>
      </c>
      <c r="I15" s="312">
        <f t="shared" ref="I15:I28" si="5">H15*G15</f>
        <v>49559.556909366809</v>
      </c>
      <c r="J15" s="313"/>
    </row>
    <row r="16" spans="1:10" ht="26" x14ac:dyDescent="0.3">
      <c r="A16" s="298" t="s">
        <v>148</v>
      </c>
      <c r="B16" s="287" t="s">
        <v>100</v>
      </c>
      <c r="C16" s="144">
        <v>53</v>
      </c>
      <c r="D16" s="145">
        <f t="shared" si="4"/>
        <v>28.275034359618807</v>
      </c>
      <c r="E16" s="144">
        <f>C6</f>
        <v>1498.5768210597969</v>
      </c>
      <c r="F16" s="147">
        <v>0.5</v>
      </c>
      <c r="G16" s="306">
        <f t="shared" si="3"/>
        <v>749.28841052989844</v>
      </c>
      <c r="H16" s="311">
        <v>11.33</v>
      </c>
      <c r="I16" s="312">
        <f t="shared" si="5"/>
        <v>8489.4376913037486</v>
      </c>
      <c r="J16" s="313"/>
    </row>
    <row r="17" spans="1:12" ht="26" x14ac:dyDescent="0.3">
      <c r="A17" s="298"/>
      <c r="B17" s="279" t="s">
        <v>97</v>
      </c>
      <c r="C17" s="279">
        <v>53</v>
      </c>
      <c r="D17" s="145">
        <f t="shared" si="4"/>
        <v>0.30923222273495621</v>
      </c>
      <c r="E17" s="282">
        <f>C9</f>
        <v>16.389307804952679</v>
      </c>
      <c r="F17" s="281">
        <v>0.5</v>
      </c>
      <c r="G17" s="306">
        <f t="shared" si="3"/>
        <v>8.1946539024763396</v>
      </c>
      <c r="H17" s="311">
        <v>11.33</v>
      </c>
      <c r="I17" s="312">
        <f t="shared" si="5"/>
        <v>92.845428715056926</v>
      </c>
      <c r="J17" s="313"/>
    </row>
    <row r="18" spans="1:12" ht="13" x14ac:dyDescent="0.3">
      <c r="A18" s="296" t="s">
        <v>90</v>
      </c>
      <c r="B18" s="278"/>
      <c r="C18" s="144"/>
      <c r="D18" s="145" t="s">
        <v>3</v>
      </c>
      <c r="E18" s="144"/>
      <c r="F18" s="147" t="s">
        <v>3</v>
      </c>
      <c r="G18" s="306"/>
      <c r="H18" s="311"/>
      <c r="I18" s="312"/>
      <c r="J18" s="313"/>
    </row>
    <row r="19" spans="1:12" ht="13" x14ac:dyDescent="0.3">
      <c r="A19" s="295" t="s">
        <v>149</v>
      </c>
      <c r="B19" s="288" t="s">
        <v>74</v>
      </c>
      <c r="C19" s="144">
        <v>53</v>
      </c>
      <c r="D19" s="145">
        <v>1</v>
      </c>
      <c r="E19" s="144">
        <v>53</v>
      </c>
      <c r="F19" s="147">
        <v>0.5</v>
      </c>
      <c r="G19" s="306">
        <v>26.5</v>
      </c>
      <c r="H19" s="311">
        <v>11.33</v>
      </c>
      <c r="I19" s="312">
        <f t="shared" si="5"/>
        <v>300.245</v>
      </c>
      <c r="J19" s="313"/>
    </row>
    <row r="20" spans="1:12" ht="13" x14ac:dyDescent="0.3">
      <c r="A20" s="294" t="s">
        <v>75</v>
      </c>
      <c r="B20" s="288"/>
      <c r="C20" s="289"/>
      <c r="D20" s="290"/>
      <c r="E20" s="289"/>
      <c r="F20" s="290"/>
      <c r="G20" s="309"/>
      <c r="H20" s="311"/>
      <c r="I20" s="312"/>
      <c r="J20" s="313"/>
    </row>
    <row r="21" spans="1:12" ht="13" x14ac:dyDescent="0.3">
      <c r="A21" s="299"/>
      <c r="B21" s="287" t="s">
        <v>76</v>
      </c>
      <c r="C21" s="289">
        <v>53</v>
      </c>
      <c r="D21" s="290">
        <v>1</v>
      </c>
      <c r="E21" s="289">
        <f t="shared" ref="E21:E27" si="6">SUM(C21*D21)</f>
        <v>53</v>
      </c>
      <c r="F21" s="290">
        <v>11.5</v>
      </c>
      <c r="G21" s="309">
        <f t="shared" ref="G21:G27" si="7">SUM(E21*F21)</f>
        <v>609.5</v>
      </c>
      <c r="H21" s="311">
        <v>11.33</v>
      </c>
      <c r="I21" s="312">
        <f t="shared" si="5"/>
        <v>6905.6350000000002</v>
      </c>
      <c r="J21" s="313"/>
      <c r="L21" s="244">
        <f>SUM(E14:E17)</f>
        <v>268965.05388739379</v>
      </c>
    </row>
    <row r="22" spans="1:12" ht="13" x14ac:dyDescent="0.3">
      <c r="A22" s="299"/>
      <c r="B22" s="288" t="s">
        <v>84</v>
      </c>
      <c r="C22" s="289">
        <v>53</v>
      </c>
      <c r="D22" s="290">
        <v>8</v>
      </c>
      <c r="E22" s="289">
        <f t="shared" si="6"/>
        <v>424</v>
      </c>
      <c r="F22" s="291">
        <v>1.6346000000000001</v>
      </c>
      <c r="G22" s="309">
        <f t="shared" si="7"/>
        <v>693.07040000000006</v>
      </c>
      <c r="H22" s="311">
        <v>11.33</v>
      </c>
      <c r="I22" s="312">
        <f t="shared" si="5"/>
        <v>7852.4876320000012</v>
      </c>
      <c r="J22" s="313"/>
      <c r="L22" s="244">
        <f>L21+E10</f>
        <v>541126.02279675333</v>
      </c>
    </row>
    <row r="23" spans="1:12" ht="13" x14ac:dyDescent="0.3">
      <c r="A23" s="299" t="s">
        <v>150</v>
      </c>
      <c r="B23" s="292" t="s">
        <v>85</v>
      </c>
      <c r="C23" s="289">
        <v>53</v>
      </c>
      <c r="D23" s="290">
        <v>8</v>
      </c>
      <c r="E23" s="289">
        <f t="shared" si="6"/>
        <v>424</v>
      </c>
      <c r="F23" s="290">
        <v>6.5</v>
      </c>
      <c r="G23" s="309">
        <f t="shared" si="7"/>
        <v>2756</v>
      </c>
      <c r="H23" s="311">
        <v>11.33</v>
      </c>
      <c r="I23" s="312">
        <f t="shared" si="5"/>
        <v>31225.48</v>
      </c>
      <c r="J23" s="313"/>
      <c r="L23" s="263">
        <f>SUM(G10,G14:G17)</f>
        <v>35698.323134525359</v>
      </c>
    </row>
    <row r="24" spans="1:12" ht="13" x14ac:dyDescent="0.3">
      <c r="A24" s="299" t="s">
        <v>151</v>
      </c>
      <c r="B24" s="292" t="s">
        <v>83</v>
      </c>
      <c r="C24" s="289">
        <v>53</v>
      </c>
      <c r="D24" s="290">
        <v>1</v>
      </c>
      <c r="E24" s="289">
        <f t="shared" si="6"/>
        <v>53</v>
      </c>
      <c r="F24" s="290">
        <v>0.25</v>
      </c>
      <c r="G24" s="309">
        <f t="shared" si="7"/>
        <v>13.25</v>
      </c>
      <c r="H24" s="311">
        <v>11.33</v>
      </c>
      <c r="I24" s="312">
        <f t="shared" si="5"/>
        <v>150.1225</v>
      </c>
      <c r="J24" s="313"/>
      <c r="L24" s="263">
        <f>L23-33960.8</f>
        <v>1737.523134525356</v>
      </c>
    </row>
    <row r="25" spans="1:12" ht="13" x14ac:dyDescent="0.3">
      <c r="A25" s="299"/>
      <c r="B25" s="292" t="s">
        <v>91</v>
      </c>
      <c r="C25" s="289">
        <v>5</v>
      </c>
      <c r="D25" s="290">
        <v>1</v>
      </c>
      <c r="E25" s="289">
        <v>5</v>
      </c>
      <c r="F25" s="290">
        <v>7</v>
      </c>
      <c r="G25" s="309">
        <f t="shared" si="7"/>
        <v>35</v>
      </c>
      <c r="H25" s="311">
        <v>11.33</v>
      </c>
      <c r="I25" s="312">
        <f t="shared" si="5"/>
        <v>396.55</v>
      </c>
      <c r="J25" s="313"/>
    </row>
    <row r="26" spans="1:12" ht="13" x14ac:dyDescent="0.3">
      <c r="A26" s="299"/>
      <c r="B26" s="292" t="s">
        <v>77</v>
      </c>
      <c r="C26" s="289">
        <v>53</v>
      </c>
      <c r="D26" s="290">
        <v>52</v>
      </c>
      <c r="E26" s="289">
        <f t="shared" si="6"/>
        <v>2756</v>
      </c>
      <c r="F26" s="290">
        <v>1.5</v>
      </c>
      <c r="G26" s="309">
        <f t="shared" si="7"/>
        <v>4134</v>
      </c>
      <c r="H26" s="311">
        <v>11.33</v>
      </c>
      <c r="I26" s="312">
        <f t="shared" si="5"/>
        <v>46838.22</v>
      </c>
      <c r="J26" s="313"/>
    </row>
    <row r="27" spans="1:12" ht="13" x14ac:dyDescent="0.3">
      <c r="A27" s="299"/>
      <c r="B27" s="293" t="s">
        <v>82</v>
      </c>
      <c r="C27" s="289">
        <v>53</v>
      </c>
      <c r="D27" s="290">
        <v>52</v>
      </c>
      <c r="E27" s="289">
        <f t="shared" si="6"/>
        <v>2756</v>
      </c>
      <c r="F27" s="290">
        <v>1.5</v>
      </c>
      <c r="G27" s="309">
        <f t="shared" si="7"/>
        <v>4134</v>
      </c>
      <c r="H27" s="311">
        <v>11.33</v>
      </c>
      <c r="I27" s="312">
        <f t="shared" si="5"/>
        <v>46838.22</v>
      </c>
      <c r="J27" s="313"/>
    </row>
    <row r="28" spans="1:12" ht="13" x14ac:dyDescent="0.3">
      <c r="A28" s="333" t="s">
        <v>88</v>
      </c>
      <c r="B28" s="334"/>
      <c r="C28" s="335">
        <f>SUM(C14)</f>
        <v>53</v>
      </c>
      <c r="D28" s="336">
        <f>SUM(E28/C28)</f>
        <v>5197.9066771206371</v>
      </c>
      <c r="E28" s="335">
        <f>SUM(E14:E27)</f>
        <v>275489.05388739379</v>
      </c>
      <c r="F28" s="336">
        <f>SUM(G28/E28)</f>
        <v>7.8795191428080461E-2</v>
      </c>
      <c r="G28" s="337">
        <f>SUM(G14:G27)</f>
        <v>21707.212737397967</v>
      </c>
      <c r="H28" s="311">
        <v>11.33</v>
      </c>
      <c r="I28" s="312">
        <f t="shared" si="5"/>
        <v>245942.72031471899</v>
      </c>
      <c r="J28" s="312">
        <f>I28*1.33</f>
        <v>327103.81801857625</v>
      </c>
    </row>
    <row r="29" spans="1:12" ht="13" x14ac:dyDescent="0.3">
      <c r="A29" s="338"/>
      <c r="B29" s="339"/>
      <c r="C29" s="340"/>
      <c r="D29" s="341"/>
      <c r="E29" s="340"/>
      <c r="F29" s="341"/>
      <c r="G29" s="342"/>
      <c r="H29" s="313"/>
      <c r="I29" s="313"/>
      <c r="J29" s="313"/>
    </row>
    <row r="30" spans="1:12" ht="13" x14ac:dyDescent="0.3">
      <c r="A30" s="333" t="s">
        <v>89</v>
      </c>
      <c r="B30" s="343"/>
      <c r="C30" s="333">
        <f>SUM(C10,C28)</f>
        <v>272213.9689093596</v>
      </c>
      <c r="D30" s="344">
        <f>SUM(E30/C30)</f>
        <v>2.0118365893967294</v>
      </c>
      <c r="E30" s="333">
        <f>SUM(E10,E28)</f>
        <v>547650.02279675333</v>
      </c>
      <c r="F30" s="344">
        <f>SUM(G30/E30)</f>
        <v>8.7829163758432527E-2</v>
      </c>
      <c r="G30" s="345">
        <f>G10+G28</f>
        <v>48099.643534525356</v>
      </c>
      <c r="H30" s="313"/>
      <c r="I30" s="312">
        <f>I10+I28</f>
        <v>437287.84359389252</v>
      </c>
      <c r="J30" s="312">
        <f>I30*1.33</f>
        <v>581592.83197987708</v>
      </c>
    </row>
    <row r="31" spans="1:12" ht="13" x14ac:dyDescent="0.3">
      <c r="A31" s="7"/>
      <c r="B31" s="7"/>
      <c r="C31" s="7"/>
      <c r="D31" s="7"/>
      <c r="E31" s="7"/>
      <c r="F31" s="7"/>
      <c r="G31" s="7"/>
      <c r="H31" s="313"/>
      <c r="I31" s="313"/>
      <c r="J31" s="313"/>
    </row>
    <row r="32" spans="1:12" ht="13.5" thickBot="1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4" ht="13.5" thickBot="1" x14ac:dyDescent="0.35">
      <c r="A33" s="7"/>
      <c r="B33" s="317"/>
      <c r="C33" s="318"/>
      <c r="D33" s="319" t="s">
        <v>72</v>
      </c>
      <c r="E33" s="320"/>
      <c r="F33" s="321"/>
      <c r="G33" s="7"/>
      <c r="H33" s="7"/>
      <c r="I33" s="7"/>
      <c r="J33" s="7"/>
    </row>
    <row r="34" spans="1:14" ht="13" x14ac:dyDescent="0.3">
      <c r="A34" s="7"/>
      <c r="B34" s="322" t="s">
        <v>9</v>
      </c>
      <c r="C34" s="323" t="s">
        <v>12</v>
      </c>
      <c r="D34" s="323" t="s">
        <v>10</v>
      </c>
      <c r="E34" s="320" t="s">
        <v>11</v>
      </c>
      <c r="F34" s="324" t="s">
        <v>10</v>
      </c>
      <c r="G34" s="7"/>
      <c r="H34" s="7"/>
      <c r="I34" s="7"/>
      <c r="J34" s="7"/>
    </row>
    <row r="35" spans="1:14" ht="13" x14ac:dyDescent="0.3">
      <c r="A35" s="7"/>
      <c r="B35" s="325" t="s">
        <v>17</v>
      </c>
      <c r="C35" s="326" t="s">
        <v>7</v>
      </c>
      <c r="D35" s="326" t="s">
        <v>7</v>
      </c>
      <c r="E35" s="327" t="s">
        <v>41</v>
      </c>
      <c r="F35" s="328" t="s">
        <v>17</v>
      </c>
      <c r="G35" s="7" t="s">
        <v>155</v>
      </c>
      <c r="H35" s="7" t="s">
        <v>134</v>
      </c>
      <c r="I35" s="7"/>
      <c r="J35" s="7"/>
      <c r="L35">
        <v>47051</v>
      </c>
      <c r="N35" s="264">
        <f>G30-L35</f>
        <v>1048.6435345253558</v>
      </c>
    </row>
    <row r="36" spans="1:14" ht="13" x14ac:dyDescent="0.3">
      <c r="A36" s="7"/>
      <c r="B36" s="325" t="s">
        <v>23</v>
      </c>
      <c r="C36" s="326" t="s">
        <v>41</v>
      </c>
      <c r="D36" s="326" t="s">
        <v>16</v>
      </c>
      <c r="E36" s="327" t="s">
        <v>42</v>
      </c>
      <c r="F36" s="328" t="s">
        <v>24</v>
      </c>
      <c r="G36" s="7"/>
      <c r="H36" s="7"/>
      <c r="I36" s="7"/>
      <c r="J36" s="7"/>
      <c r="N36" s="264"/>
    </row>
    <row r="37" spans="1:14" ht="13.5" thickBot="1" x14ac:dyDescent="0.35">
      <c r="A37" s="7"/>
      <c r="B37" s="258">
        <v>53</v>
      </c>
      <c r="C37" s="259">
        <v>52</v>
      </c>
      <c r="D37" s="260">
        <f>(B37*C37)</f>
        <v>2756</v>
      </c>
      <c r="E37" s="261">
        <v>0.25</v>
      </c>
      <c r="F37" s="262">
        <f>(D37*E37)</f>
        <v>689</v>
      </c>
      <c r="G37" s="7"/>
      <c r="H37" s="7"/>
      <c r="I37" s="7"/>
      <c r="J37" s="7"/>
    </row>
    <row r="40" spans="1:14" x14ac:dyDescent="0.25">
      <c r="G40" s="277">
        <f>G30+F37</f>
        <v>48788.643534525356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topLeftCell="A4" workbookViewId="0">
      <selection activeCell="H10" sqref="H10"/>
    </sheetView>
  </sheetViews>
  <sheetFormatPr defaultRowHeight="12.5" x14ac:dyDescent="0.25"/>
  <cols>
    <col min="1" max="1" width="73.54296875" customWidth="1"/>
    <col min="2" max="2" width="18.54296875" bestFit="1" customWidth="1"/>
    <col min="3" max="3" width="15.54296875" bestFit="1" customWidth="1"/>
  </cols>
  <sheetData>
    <row r="1" spans="1:8" x14ac:dyDescent="0.25">
      <c r="A1" t="s">
        <v>109</v>
      </c>
    </row>
    <row r="2" spans="1:8" x14ac:dyDescent="0.25">
      <c r="A2" t="s">
        <v>111</v>
      </c>
      <c r="G2">
        <v>2019</v>
      </c>
      <c r="H2">
        <v>2022</v>
      </c>
    </row>
    <row r="3" spans="1:8" ht="15.5" x14ac:dyDescent="0.35">
      <c r="A3" t="s">
        <v>121</v>
      </c>
      <c r="B3">
        <v>237014</v>
      </c>
      <c r="E3">
        <f>B3/53</f>
        <v>4471.9622641509432</v>
      </c>
      <c r="G3" s="256">
        <v>305020</v>
      </c>
      <c r="H3" s="244">
        <f>'Sheet1 (2)'!H17</f>
        <v>249953.33333333334</v>
      </c>
    </row>
    <row r="4" spans="1:8" x14ac:dyDescent="0.25">
      <c r="A4" t="s">
        <v>112</v>
      </c>
      <c r="G4" s="257"/>
    </row>
    <row r="5" spans="1:8" x14ac:dyDescent="0.25">
      <c r="A5" t="s">
        <v>120</v>
      </c>
      <c r="B5">
        <v>16591</v>
      </c>
      <c r="C5">
        <f>B5/B3</f>
        <v>7.0000084383200989E-2</v>
      </c>
      <c r="E5">
        <f>B5/53</f>
        <v>313.03773584905662</v>
      </c>
      <c r="G5" s="257">
        <f>G3*C5</f>
        <v>21351.425738563965</v>
      </c>
      <c r="H5">
        <f>H3*C5</f>
        <v>17496.754425195697</v>
      </c>
    </row>
    <row r="6" spans="1:8" x14ac:dyDescent="0.25">
      <c r="A6" t="s">
        <v>119</v>
      </c>
      <c r="B6">
        <v>1421</v>
      </c>
      <c r="C6">
        <f>B6/B3</f>
        <v>5.9954264305062148E-3</v>
      </c>
      <c r="G6" s="257">
        <f>G3*C6</f>
        <v>1828.7249698330056</v>
      </c>
      <c r="H6">
        <f>H3*C6</f>
        <v>1498.5768210597969</v>
      </c>
    </row>
    <row r="7" spans="1:8" x14ac:dyDescent="0.25">
      <c r="A7" t="s">
        <v>118</v>
      </c>
      <c r="B7">
        <v>3000</v>
      </c>
      <c r="C7">
        <f>B7/G3</f>
        <v>9.8354206281555303E-3</v>
      </c>
      <c r="G7" s="257"/>
      <c r="H7">
        <f>C7*H3</f>
        <v>2458.3961707429021</v>
      </c>
    </row>
    <row r="8" spans="1:8" x14ac:dyDescent="0.25">
      <c r="A8" t="s">
        <v>117</v>
      </c>
      <c r="B8">
        <f>B7*0.3</f>
        <v>900</v>
      </c>
      <c r="H8">
        <f>0.3*H7</f>
        <v>737.51885122287058</v>
      </c>
    </row>
    <row r="9" spans="1:8" x14ac:dyDescent="0.25">
      <c r="A9" t="s">
        <v>116</v>
      </c>
      <c r="B9">
        <v>20</v>
      </c>
      <c r="C9">
        <f>B9/B8</f>
        <v>2.2222222222222223E-2</v>
      </c>
      <c r="H9">
        <f>C9*H8</f>
        <v>16.389307804952679</v>
      </c>
    </row>
    <row r="11" spans="1:8" x14ac:dyDescent="0.25">
      <c r="A11" t="s">
        <v>113</v>
      </c>
    </row>
    <row r="12" spans="1:8" x14ac:dyDescent="0.25">
      <c r="A12" t="s">
        <v>114</v>
      </c>
      <c r="B12">
        <v>258946</v>
      </c>
      <c r="C12">
        <f>SUM(B3:B9)</f>
        <v>258946</v>
      </c>
    </row>
    <row r="13" spans="1:8" x14ac:dyDescent="0.25">
      <c r="A13" t="s">
        <v>115</v>
      </c>
      <c r="B13">
        <v>255046</v>
      </c>
      <c r="C13">
        <f>B3+B5+B6+B9</f>
        <v>255046</v>
      </c>
    </row>
    <row r="18" spans="1:6" x14ac:dyDescent="0.25">
      <c r="F18" s="244"/>
    </row>
    <row r="25" spans="1:6" x14ac:dyDescent="0.25">
      <c r="A25" t="s">
        <v>109</v>
      </c>
    </row>
    <row r="26" spans="1:6" x14ac:dyDescent="0.25">
      <c r="A26" t="s">
        <v>110</v>
      </c>
    </row>
    <row r="27" spans="1:6" x14ac:dyDescent="0.25">
      <c r="A27" t="s">
        <v>122</v>
      </c>
    </row>
    <row r="28" spans="1:6" x14ac:dyDescent="0.25">
      <c r="A28" t="s">
        <v>123</v>
      </c>
    </row>
    <row r="34" spans="1:13" x14ac:dyDescent="0.25">
      <c r="A34" t="s">
        <v>124</v>
      </c>
    </row>
    <row r="35" spans="1:13" x14ac:dyDescent="0.25">
      <c r="A35" t="s">
        <v>125</v>
      </c>
    </row>
    <row r="36" spans="1:13" x14ac:dyDescent="0.25">
      <c r="A36">
        <v>26.5</v>
      </c>
      <c r="L36">
        <v>2012</v>
      </c>
    </row>
    <row r="37" spans="1:13" x14ac:dyDescent="0.25">
      <c r="A37" t="s">
        <v>126</v>
      </c>
      <c r="L37" s="244">
        <f>F51</f>
        <v>240901</v>
      </c>
    </row>
    <row r="38" spans="1:13" x14ac:dyDescent="0.25">
      <c r="L38">
        <v>16863</v>
      </c>
      <c r="M38">
        <f>L38/L37</f>
        <v>6.9999709424203305E-2</v>
      </c>
    </row>
    <row r="39" spans="1:13" x14ac:dyDescent="0.25">
      <c r="A39" t="s">
        <v>127</v>
      </c>
      <c r="L39">
        <v>1445</v>
      </c>
      <c r="M39">
        <f>L39/L37</f>
        <v>5.9983146603791596E-3</v>
      </c>
    </row>
    <row r="40" spans="1:13" x14ac:dyDescent="0.25">
      <c r="A40" t="s">
        <v>126</v>
      </c>
    </row>
    <row r="41" spans="1:13" x14ac:dyDescent="0.25">
      <c r="A41" t="s">
        <v>129</v>
      </c>
    </row>
    <row r="42" spans="1:13" x14ac:dyDescent="0.25">
      <c r="A42" t="s">
        <v>128</v>
      </c>
      <c r="B42">
        <f>52*53*0.25</f>
        <v>689</v>
      </c>
    </row>
    <row r="50" spans="1:6" x14ac:dyDescent="0.25">
      <c r="A50" t="s">
        <v>130</v>
      </c>
      <c r="B50" t="s">
        <v>131</v>
      </c>
      <c r="C50" t="s">
        <v>132</v>
      </c>
      <c r="D50" t="s">
        <v>133</v>
      </c>
      <c r="E50" t="s">
        <v>134</v>
      </c>
      <c r="F50" t="s">
        <v>135</v>
      </c>
    </row>
    <row r="51" spans="1:6" x14ac:dyDescent="0.25">
      <c r="A51">
        <v>2012</v>
      </c>
      <c r="B51">
        <f>34510.28-36313.83</f>
        <v>-1803.5500000000029</v>
      </c>
      <c r="C51">
        <v>0</v>
      </c>
      <c r="D51">
        <v>0</v>
      </c>
      <c r="E51">
        <v>47600.6</v>
      </c>
      <c r="F51" s="244">
        <v>240901</v>
      </c>
    </row>
    <row r="52" spans="1:6" x14ac:dyDescent="0.25">
      <c r="A52">
        <v>2015</v>
      </c>
      <c r="B52">
        <v>-549.48</v>
      </c>
      <c r="C52">
        <v>0</v>
      </c>
      <c r="D52">
        <v>0</v>
      </c>
      <c r="E52">
        <v>47051</v>
      </c>
      <c r="F52">
        <f>B3</f>
        <v>237014</v>
      </c>
    </row>
    <row r="53" spans="1:6" x14ac:dyDescent="0.25">
      <c r="E53">
        <f>E52-E51</f>
        <v>-549.59999999999854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topLeftCell="A12" workbookViewId="0">
      <selection activeCell="A22" sqref="A22"/>
    </sheetView>
  </sheetViews>
  <sheetFormatPr defaultColWidth="9.1796875" defaultRowHeight="14.5" x14ac:dyDescent="0.35"/>
  <cols>
    <col min="1" max="3" width="9.1796875" style="248"/>
    <col min="4" max="4" width="23.1796875" style="248" bestFit="1" customWidth="1"/>
    <col min="5" max="9" width="9.1796875" style="248"/>
    <col min="10" max="10" width="15.54296875" style="248" bestFit="1" customWidth="1"/>
    <col min="11" max="16384" width="9.1796875" style="248"/>
  </cols>
  <sheetData>
    <row r="1" spans="1:10" ht="15" thickBot="1" x14ac:dyDescent="0.4">
      <c r="A1" s="245" t="s">
        <v>136</v>
      </c>
      <c r="B1" s="246"/>
      <c r="C1" s="247"/>
      <c r="D1" s="246" t="s">
        <v>137</v>
      </c>
      <c r="G1" s="267"/>
      <c r="H1" s="268" t="s">
        <v>136</v>
      </c>
      <c r="I1" s="270"/>
      <c r="J1" s="269" t="s">
        <v>137</v>
      </c>
    </row>
    <row r="2" spans="1:10" ht="15" thickBot="1" x14ac:dyDescent="0.4">
      <c r="A2" s="249">
        <v>2009</v>
      </c>
      <c r="B2" s="250">
        <v>198654</v>
      </c>
      <c r="C2" s="251"/>
      <c r="D2" s="252">
        <v>94686415.439999998</v>
      </c>
      <c r="G2" s="271">
        <v>2009</v>
      </c>
      <c r="H2" s="272">
        <v>198654</v>
      </c>
      <c r="I2" s="273"/>
      <c r="J2" s="274">
        <v>94686415.439999998</v>
      </c>
    </row>
    <row r="3" spans="1:10" ht="15" thickBot="1" x14ac:dyDescent="0.4">
      <c r="A3" s="249">
        <v>2010</v>
      </c>
      <c r="B3" s="250">
        <v>271360</v>
      </c>
      <c r="C3" s="251"/>
      <c r="D3" s="252">
        <v>89417529.390000001</v>
      </c>
      <c r="G3" s="271">
        <v>2010</v>
      </c>
      <c r="H3" s="272">
        <v>271360</v>
      </c>
      <c r="I3" s="273"/>
      <c r="J3" s="274">
        <v>89417529.390000001</v>
      </c>
    </row>
    <row r="4" spans="1:10" ht="15" thickBot="1" x14ac:dyDescent="0.4">
      <c r="A4" s="249">
        <v>2011</v>
      </c>
      <c r="B4" s="250">
        <v>252731</v>
      </c>
      <c r="C4" s="251"/>
      <c r="D4" s="252">
        <v>109393275.67</v>
      </c>
      <c r="G4" s="271">
        <v>2011</v>
      </c>
      <c r="H4" s="272">
        <v>252731</v>
      </c>
      <c r="I4" s="273"/>
      <c r="J4" s="274">
        <v>109393275.67</v>
      </c>
    </row>
    <row r="5" spans="1:10" ht="15" thickBot="1" x14ac:dyDescent="0.4">
      <c r="A5" s="249">
        <v>2012</v>
      </c>
      <c r="B5" s="250">
        <v>240833</v>
      </c>
      <c r="C5" s="251"/>
      <c r="D5" s="252">
        <v>124792648.86</v>
      </c>
      <c r="G5" s="271">
        <v>2012</v>
      </c>
      <c r="H5" s="272">
        <v>240833</v>
      </c>
      <c r="I5" s="273"/>
      <c r="J5" s="274">
        <v>124792648.86</v>
      </c>
    </row>
    <row r="6" spans="1:10" ht="15" thickBot="1" x14ac:dyDescent="0.4">
      <c r="A6" s="249">
        <v>2013</v>
      </c>
      <c r="B6" s="250">
        <v>240833</v>
      </c>
      <c r="C6" s="251"/>
      <c r="D6" s="252">
        <v>126390808.63</v>
      </c>
      <c r="G6" s="271">
        <v>2013</v>
      </c>
      <c r="H6" s="272">
        <v>240833</v>
      </c>
      <c r="I6" s="273"/>
      <c r="J6" s="274">
        <v>126390808.63</v>
      </c>
    </row>
    <row r="7" spans="1:10" ht="15" thickBot="1" x14ac:dyDescent="0.4">
      <c r="A7" s="249">
        <v>2014</v>
      </c>
      <c r="B7" s="250">
        <v>284815</v>
      </c>
      <c r="C7" s="251"/>
      <c r="D7" s="252">
        <v>140948441.84999999</v>
      </c>
      <c r="G7" s="271">
        <v>2014</v>
      </c>
      <c r="H7" s="272">
        <v>284815</v>
      </c>
      <c r="I7" s="273"/>
      <c r="J7" s="274">
        <v>140948441.84999999</v>
      </c>
    </row>
    <row r="8" spans="1:10" ht="15" thickBot="1" x14ac:dyDescent="0.4">
      <c r="A8" s="249">
        <v>2015</v>
      </c>
      <c r="B8" s="250">
        <v>271762</v>
      </c>
      <c r="C8" s="251"/>
      <c r="D8" s="252">
        <v>160706300.37</v>
      </c>
      <c r="G8" s="271">
        <v>2015</v>
      </c>
      <c r="H8" s="272">
        <v>271762</v>
      </c>
      <c r="I8" s="273"/>
      <c r="J8" s="274">
        <v>160706300.37</v>
      </c>
    </row>
    <row r="9" spans="1:10" ht="15" thickBot="1" x14ac:dyDescent="0.4">
      <c r="A9" s="249">
        <v>2016</v>
      </c>
      <c r="B9" s="250">
        <v>280018</v>
      </c>
      <c r="C9" s="251"/>
      <c r="D9" s="252">
        <v>170682666.31999999</v>
      </c>
      <c r="G9" s="271">
        <v>2016</v>
      </c>
      <c r="H9" s="272">
        <v>280018</v>
      </c>
      <c r="I9" s="273"/>
      <c r="J9" s="274">
        <v>170682666.31999999</v>
      </c>
    </row>
    <row r="10" spans="1:10" ht="15" thickBot="1" x14ac:dyDescent="0.4">
      <c r="A10" s="249">
        <v>2017</v>
      </c>
      <c r="B10" s="250">
        <v>373002</v>
      </c>
      <c r="C10" s="251"/>
      <c r="D10" s="252">
        <v>189847063.16999999</v>
      </c>
      <c r="G10" s="271">
        <v>2017</v>
      </c>
      <c r="H10" s="272">
        <v>373002</v>
      </c>
      <c r="I10" s="273"/>
      <c r="J10" s="274">
        <v>189847063.16999999</v>
      </c>
    </row>
    <row r="11" spans="1:10" ht="15" thickBot="1" x14ac:dyDescent="0.4">
      <c r="A11" s="249">
        <v>2018</v>
      </c>
      <c r="B11" s="250">
        <v>295296</v>
      </c>
      <c r="C11" s="251"/>
      <c r="D11" s="252">
        <v>216733984.84</v>
      </c>
      <c r="G11" s="271">
        <v>2018</v>
      </c>
      <c r="H11" s="272">
        <v>295296</v>
      </c>
      <c r="I11" s="273"/>
      <c r="J11" s="274">
        <v>216733984.84</v>
      </c>
    </row>
    <row r="12" spans="1:10" ht="15" thickBot="1" x14ac:dyDescent="0.4">
      <c r="G12" s="271">
        <v>2019</v>
      </c>
      <c r="H12" s="272">
        <v>284338</v>
      </c>
      <c r="I12" s="273"/>
      <c r="J12" s="274">
        <v>215044128.14000008</v>
      </c>
    </row>
    <row r="13" spans="1:10" ht="15" thickBot="1" x14ac:dyDescent="0.4">
      <c r="G13" s="271">
        <v>2020</v>
      </c>
      <c r="H13" s="272">
        <v>170226</v>
      </c>
      <c r="I13" s="273"/>
      <c r="J13" s="274">
        <v>178438244.72999999</v>
      </c>
    </row>
    <row r="14" spans="1:10" ht="15" thickBot="1" x14ac:dyDescent="0.4">
      <c r="G14" s="271">
        <v>2021</v>
      </c>
      <c r="H14" s="272">
        <v>71329</v>
      </c>
      <c r="I14" s="273"/>
      <c r="J14" s="274">
        <v>155761713.45000002</v>
      </c>
    </row>
    <row r="15" spans="1:10" x14ac:dyDescent="0.35">
      <c r="A15" s="248" t="s">
        <v>138</v>
      </c>
    </row>
    <row r="16" spans="1:10" x14ac:dyDescent="0.35">
      <c r="A16" s="248" t="s">
        <v>139</v>
      </c>
      <c r="D16" s="253" t="s">
        <v>140</v>
      </c>
      <c r="G16" s="275" t="s">
        <v>147</v>
      </c>
    </row>
    <row r="17" spans="1:8" x14ac:dyDescent="0.35">
      <c r="A17" s="248">
        <v>240901</v>
      </c>
      <c r="D17" s="254">
        <f>AVERAGE(B2:B4)</f>
        <v>240915</v>
      </c>
      <c r="H17" s="255">
        <f>AVERAGE(H11:H13)</f>
        <v>249953.33333333334</v>
      </c>
    </row>
    <row r="18" spans="1:8" x14ac:dyDescent="0.35">
      <c r="D18" s="253"/>
    </row>
    <row r="19" spans="1:8" x14ac:dyDescent="0.35">
      <c r="A19" s="248" t="s">
        <v>141</v>
      </c>
      <c r="D19" s="253"/>
    </row>
    <row r="20" spans="1:8" x14ac:dyDescent="0.35">
      <c r="A20" s="248" t="s">
        <v>142</v>
      </c>
      <c r="D20" s="253"/>
      <c r="F20" s="255"/>
    </row>
    <row r="21" spans="1:8" x14ac:dyDescent="0.35">
      <c r="A21" s="248">
        <v>237014</v>
      </c>
      <c r="D21" s="254">
        <f>AVERAGE(B5:B7)</f>
        <v>255493.66666666666</v>
      </c>
    </row>
    <row r="23" spans="1:8" x14ac:dyDescent="0.35">
      <c r="A23" s="248" t="s">
        <v>143</v>
      </c>
    </row>
    <row r="24" spans="1:8" x14ac:dyDescent="0.35">
      <c r="A24" s="248" t="s">
        <v>144</v>
      </c>
    </row>
    <row r="25" spans="1:8" x14ac:dyDescent="0.35">
      <c r="D25" s="255">
        <f>AVERAGE(B8:B11)</f>
        <v>305019.5</v>
      </c>
    </row>
    <row r="26" spans="1:8" x14ac:dyDescent="0.35">
      <c r="A26" s="248" t="s">
        <v>145</v>
      </c>
    </row>
    <row r="27" spans="1:8" x14ac:dyDescent="0.35">
      <c r="D27" s="255">
        <f>AVERAGE(B8:B10)</f>
        <v>308260.66666666669</v>
      </c>
    </row>
    <row r="28" spans="1:8" x14ac:dyDescent="0.35">
      <c r="A28" s="248" t="s">
        <v>146</v>
      </c>
    </row>
    <row r="29" spans="1:8" x14ac:dyDescent="0.35">
      <c r="D29" s="255">
        <f>AVERAGE(B9:B11)</f>
        <v>316105.33333333331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>
      <selection activeCell="B7" sqref="B7"/>
    </sheetView>
  </sheetViews>
  <sheetFormatPr defaultRowHeight="12.5" x14ac:dyDescent="0.25"/>
  <sheetData>
    <row r="1" spans="1:2" ht="15" thickBot="1" x14ac:dyDescent="0.3">
      <c r="A1" s="265">
        <v>2015</v>
      </c>
      <c r="B1" s="266">
        <v>271762</v>
      </c>
    </row>
    <row r="2" spans="1:2" ht="15" thickBot="1" x14ac:dyDescent="0.3">
      <c r="A2" s="265">
        <v>2016</v>
      </c>
      <c r="B2" s="266">
        <v>280018</v>
      </c>
    </row>
    <row r="3" spans="1:2" ht="15" thickBot="1" x14ac:dyDescent="0.3">
      <c r="A3" s="265">
        <v>2017</v>
      </c>
      <c r="B3" s="266">
        <v>373002</v>
      </c>
    </row>
    <row r="4" spans="1:2" ht="15" thickBot="1" x14ac:dyDescent="0.3">
      <c r="A4" s="265">
        <v>2018</v>
      </c>
      <c r="B4" s="266">
        <v>295296</v>
      </c>
    </row>
    <row r="7" spans="1:2" x14ac:dyDescent="0.25">
      <c r="B7" s="244">
        <f>AVERAGE(B1:B4)</f>
        <v>305019.5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NEW (2)</vt:lpstr>
      <vt:lpstr>NEW</vt:lpstr>
      <vt:lpstr>Sheet4</vt:lpstr>
      <vt:lpstr>Sheet1 (2)</vt:lpstr>
      <vt:lpstr>Sheet2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Ragland-Greene, Rachelle - FNS</cp:lastModifiedBy>
  <cp:lastPrinted>2015-10-19T21:08:28Z</cp:lastPrinted>
  <dcterms:created xsi:type="dcterms:W3CDTF">1999-05-21T13:07:41Z</dcterms:created>
  <dcterms:modified xsi:type="dcterms:W3CDTF">2022-08-01T12:30:04Z</dcterms:modified>
</cp:coreProperties>
</file>