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5FC574C0-D8F1-4682-8C1A-64924AA7734F}" xr6:coauthVersionLast="47" xr6:coauthVersionMax="47" xr10:uidLastSave="{00000000-0000-0000-0000-000000000000}"/>
  <bookViews>
    <workbookView xWindow="-110" yWindow="-110" windowWidth="19420" windowHeight="10420" xr2:uid="{3E4C32DD-1C35-44FB-8FDF-059422F09A17}"/>
  </bookViews>
  <sheets>
    <sheet name="Table 1" sheetId="1" r:id="rId1"/>
    <sheet name="Table 2" sheetId="2" r:id="rId2"/>
    <sheet name="Capital and 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8" i="1" l="1"/>
  <c r="K45" i="1" l="1"/>
  <c r="F46" i="1"/>
  <c r="C13" i="3" l="1"/>
  <c r="B13" i="3"/>
  <c r="C14" i="2"/>
  <c r="C13" i="2"/>
  <c r="E38" i="1"/>
  <c r="C38" i="1"/>
  <c r="C27" i="1"/>
  <c r="C11" i="3"/>
  <c r="G31" i="3"/>
  <c r="F28" i="3" l="1"/>
  <c r="F27" i="3"/>
  <c r="F23" i="3"/>
  <c r="F24" i="3"/>
  <c r="F22" i="3"/>
  <c r="D25" i="3"/>
  <c r="E47" i="3"/>
  <c r="B23" i="3" s="1"/>
  <c r="E23" i="3" s="1"/>
  <c r="E48" i="3"/>
  <c r="B27" i="3" s="1"/>
  <c r="D27" i="3" s="1"/>
  <c r="E25" i="3"/>
  <c r="G25" i="3" s="1"/>
  <c r="C10" i="3"/>
  <c r="C12" i="3"/>
  <c r="B11" i="3"/>
  <c r="E13" i="3" l="1"/>
  <c r="E27" i="3"/>
  <c r="G27" i="3" s="1"/>
  <c r="G23" i="3"/>
  <c r="B38" i="1" l="1"/>
  <c r="D38" i="1" s="1"/>
  <c r="B27" i="1"/>
  <c r="D27" i="1" s="1"/>
  <c r="E11" i="2"/>
  <c r="E7" i="2"/>
  <c r="E8" i="2"/>
  <c r="E9" i="2"/>
  <c r="E10" i="2"/>
  <c r="E6" i="2"/>
  <c r="E15" i="2"/>
  <c r="E42" i="1"/>
  <c r="E41" i="1"/>
  <c r="E39" i="1"/>
  <c r="E29" i="1"/>
  <c r="E14" i="1"/>
  <c r="E43" i="1"/>
  <c r="E37" i="1"/>
  <c r="E33" i="1"/>
  <c r="E25" i="1"/>
  <c r="E24" i="1"/>
  <c r="E23" i="1"/>
  <c r="E22" i="1"/>
  <c r="E21" i="1"/>
  <c r="E15" i="1"/>
  <c r="B13" i="2"/>
  <c r="D13" i="2" s="1"/>
  <c r="B14" i="2"/>
  <c r="D14" i="2" s="1"/>
  <c r="D18" i="1"/>
  <c r="F18" i="1" s="1"/>
  <c r="F38" i="1" l="1"/>
  <c r="H38" i="1" s="1"/>
  <c r="G18" i="1"/>
  <c r="H18" i="1"/>
  <c r="G38" i="1"/>
  <c r="C6" i="3"/>
  <c r="C7" i="3"/>
  <c r="C8" i="3"/>
  <c r="C9" i="3"/>
  <c r="E11" i="3"/>
  <c r="B49" i="3"/>
  <c r="D48" i="3"/>
  <c r="C48" i="3"/>
  <c r="D47" i="3"/>
  <c r="B24" i="3" s="1"/>
  <c r="C47" i="3"/>
  <c r="I18" i="1" l="1"/>
  <c r="B22" i="3"/>
  <c r="D24" i="3"/>
  <c r="E24" i="3"/>
  <c r="G24" i="3" s="1"/>
  <c r="B28" i="3"/>
  <c r="I38" i="1"/>
  <c r="F47" i="3"/>
  <c r="G47" i="3" s="1"/>
  <c r="F48" i="3"/>
  <c r="G48" i="3" s="1"/>
  <c r="E22" i="3" l="1"/>
  <c r="G22" i="3" s="1"/>
  <c r="D22" i="3"/>
  <c r="D28" i="3"/>
  <c r="E28" i="3"/>
  <c r="G28" i="3" s="1"/>
  <c r="G49" i="3"/>
  <c r="B14" i="3"/>
  <c r="E14" i="3" s="1"/>
  <c r="E27" i="1"/>
  <c r="F27" i="1" l="1"/>
  <c r="G27" i="1" s="1"/>
  <c r="B12" i="3"/>
  <c r="E12" i="3" s="1"/>
  <c r="E13" i="2"/>
  <c r="F13" i="2" s="1"/>
  <c r="E14" i="2"/>
  <c r="F14" i="2" s="1"/>
  <c r="D15" i="2"/>
  <c r="D11" i="2"/>
  <c r="D10" i="2"/>
  <c r="D9" i="2"/>
  <c r="D8" i="2"/>
  <c r="D7" i="2"/>
  <c r="D6" i="2"/>
  <c r="D23" i="3"/>
  <c r="D31" i="3" s="1"/>
  <c r="D43" i="1"/>
  <c r="D42" i="1"/>
  <c r="D41" i="1"/>
  <c r="D40" i="1"/>
  <c r="D39" i="1"/>
  <c r="D37" i="1"/>
  <c r="D33" i="1"/>
  <c r="D29" i="1"/>
  <c r="F29" i="1" s="1"/>
  <c r="B10" i="3"/>
  <c r="E10" i="3" s="1"/>
  <c r="D25" i="1"/>
  <c r="B9" i="3"/>
  <c r="E9" i="3" s="1"/>
  <c r="D24" i="1"/>
  <c r="B8" i="3"/>
  <c r="E8" i="3" s="1"/>
  <c r="D23" i="1"/>
  <c r="B7" i="3"/>
  <c r="E7" i="3" s="1"/>
  <c r="D22" i="1"/>
  <c r="B6" i="3"/>
  <c r="E6" i="3" s="1"/>
  <c r="D21" i="1"/>
  <c r="D15" i="1"/>
  <c r="D14" i="1"/>
  <c r="D11" i="1"/>
  <c r="F11" i="1" s="1"/>
  <c r="D10" i="1"/>
  <c r="H27" i="1" l="1"/>
  <c r="I27" i="1"/>
  <c r="E15" i="3"/>
  <c r="G14" i="2"/>
  <c r="H14" i="2"/>
  <c r="H13" i="2"/>
  <c r="G13" i="2"/>
  <c r="G11" i="1"/>
  <c r="F8" i="2"/>
  <c r="G8" i="2" s="1"/>
  <c r="F7" i="2"/>
  <c r="G7" i="2" s="1"/>
  <c r="F9" i="2"/>
  <c r="H9" i="2" s="1"/>
  <c r="F11" i="2"/>
  <c r="G11" i="2" s="1"/>
  <c r="F41" i="1"/>
  <c r="H41" i="1" s="1"/>
  <c r="F15" i="1"/>
  <c r="H15" i="1" s="1"/>
  <c r="F14" i="1"/>
  <c r="H14" i="1" s="1"/>
  <c r="F33" i="1"/>
  <c r="G33" i="1" s="1"/>
  <c r="F10" i="1"/>
  <c r="H10" i="1" s="1"/>
  <c r="F6" i="2"/>
  <c r="H6" i="2" s="1"/>
  <c r="F10" i="2"/>
  <c r="H10" i="2" s="1"/>
  <c r="F15" i="2"/>
  <c r="G15" i="2" s="1"/>
  <c r="F42" i="1"/>
  <c r="H42" i="1" s="1"/>
  <c r="F39" i="1"/>
  <c r="H39" i="1" s="1"/>
  <c r="I47" i="1"/>
  <c r="H11" i="1"/>
  <c r="F22" i="1"/>
  <c r="G22" i="1" s="1"/>
  <c r="F40" i="1"/>
  <c r="H40" i="1" s="1"/>
  <c r="F37" i="1"/>
  <c r="G37" i="1" s="1"/>
  <c r="F21" i="1"/>
  <c r="F24" i="1"/>
  <c r="G24" i="1" s="1"/>
  <c r="F25" i="1"/>
  <c r="F23" i="1"/>
  <c r="G23" i="1" s="1"/>
  <c r="F43" i="1"/>
  <c r="G43" i="1" s="1"/>
  <c r="H29" i="1"/>
  <c r="G29" i="1"/>
  <c r="I14" i="2" l="1"/>
  <c r="I13" i="2"/>
  <c r="H8" i="2"/>
  <c r="I8" i="2" s="1"/>
  <c r="I11" i="1"/>
  <c r="G14" i="1"/>
  <c r="I14" i="1" s="1"/>
  <c r="G15" i="1"/>
  <c r="I15" i="1" s="1"/>
  <c r="G9" i="2"/>
  <c r="I9" i="2" s="1"/>
  <c r="H11" i="2"/>
  <c r="I11" i="2" s="1"/>
  <c r="G10" i="2"/>
  <c r="I10" i="2" s="1"/>
  <c r="H7" i="2"/>
  <c r="I7" i="2" s="1"/>
  <c r="H15" i="2"/>
  <c r="I15" i="2" s="1"/>
  <c r="H22" i="1"/>
  <c r="I22" i="1" s="1"/>
  <c r="G6" i="2"/>
  <c r="I6" i="2" s="1"/>
  <c r="H33" i="1"/>
  <c r="I33" i="1" s="1"/>
  <c r="G41" i="1"/>
  <c r="I41" i="1" s="1"/>
  <c r="G10" i="1"/>
  <c r="I10" i="1" s="1"/>
  <c r="H37" i="1"/>
  <c r="I37" i="1" s="1"/>
  <c r="H43" i="1"/>
  <c r="I43" i="1" s="1"/>
  <c r="G39" i="1"/>
  <c r="I39" i="1" s="1"/>
  <c r="H23" i="1"/>
  <c r="I23" i="1" s="1"/>
  <c r="G40" i="1"/>
  <c r="I40" i="1" s="1"/>
  <c r="G42" i="1"/>
  <c r="I42" i="1" s="1"/>
  <c r="I29" i="1"/>
  <c r="G21" i="1"/>
  <c r="H21" i="1"/>
  <c r="H24" i="1"/>
  <c r="I24" i="1" s="1"/>
  <c r="G25" i="1"/>
  <c r="H25" i="1"/>
  <c r="I16" i="2" l="1"/>
  <c r="F16" i="2"/>
  <c r="F45" i="1"/>
  <c r="I45" i="1"/>
  <c r="I25" i="1"/>
  <c r="F30" i="1"/>
  <c r="I21" i="1"/>
  <c r="I30" i="1" l="1"/>
  <c r="I46" i="1" s="1"/>
</calcChain>
</file>

<file path=xl/sharedStrings.xml><?xml version="1.0" encoding="utf-8"?>
<sst xmlns="http://schemas.openxmlformats.org/spreadsheetml/2006/main" count="263" uniqueCount="216">
  <si>
    <t xml:space="preserve">(A) </t>
  </si>
  <si>
    <t xml:space="preserve">(B) </t>
  </si>
  <si>
    <t xml:space="preserve">(C) </t>
  </si>
  <si>
    <t xml:space="preserve">(D) </t>
  </si>
  <si>
    <t>(E)</t>
  </si>
  <si>
    <t xml:space="preserve">(F) </t>
  </si>
  <si>
    <t xml:space="preserve">(G) </t>
  </si>
  <si>
    <t xml:space="preserve">(H) </t>
  </si>
  <si>
    <t>Person-hours per occurrence</t>
  </si>
  <si>
    <t>No.  Of occurrences per respondent per year</t>
  </si>
  <si>
    <t>Person-hours per respondent per year (C=AxB)</t>
  </si>
  <si>
    <r>
      <t xml:space="preserve">Respondents per year  </t>
    </r>
    <r>
      <rPr>
        <vertAlign val="superscript"/>
        <sz val="10"/>
        <rFont val="Times New Roman"/>
        <family val="1"/>
      </rPr>
      <t>a</t>
    </r>
  </si>
  <si>
    <t>N/A</t>
  </si>
  <si>
    <t>New Respondents</t>
  </si>
  <si>
    <t>Existing Respondents</t>
  </si>
  <si>
    <t>Included in 5E</t>
  </si>
  <si>
    <t>Included in 5D, 5E</t>
  </si>
  <si>
    <t>Included in 4B, 5E</t>
  </si>
  <si>
    <t>Subtotal for Reporting Requirements</t>
  </si>
  <si>
    <t>5.  Recordkeeping Requirements</t>
  </si>
  <si>
    <t>Included in 4A</t>
  </si>
  <si>
    <t>Included in 4B</t>
  </si>
  <si>
    <t>NA</t>
  </si>
  <si>
    <t>G. Time for audits</t>
  </si>
  <si>
    <t>Subtotal for Recordkeeping Requirements</t>
  </si>
  <si>
    <t>hr/response</t>
  </si>
  <si>
    <t>Assumptions:</t>
  </si>
  <si>
    <t>Capital/Startup vs. Operation and Maintenance (O&amp;M) Costs</t>
  </si>
  <si>
    <t>(A)</t>
  </si>
  <si>
    <t>(B)</t>
  </si>
  <si>
    <t>(C)</t>
  </si>
  <si>
    <t>(D)</t>
  </si>
  <si>
    <t>(F)</t>
  </si>
  <si>
    <t>(G)</t>
  </si>
  <si>
    <t>Continuous Monitoring Device</t>
  </si>
  <si>
    <t>Capital/Startup Cost for One Respondent</t>
  </si>
  <si>
    <t>Annual O&amp;M Costs for One Respondent</t>
  </si>
  <si>
    <t>Total</t>
  </si>
  <si>
    <t xml:space="preserve">(E) </t>
  </si>
  <si>
    <t>Technical person-hours per year (E=CxD)</t>
  </si>
  <si>
    <t>Management person-hours per year (Ex0.05)</t>
  </si>
  <si>
    <t>Clerical person-hours per  year (Ex0.1)</t>
  </si>
  <si>
    <t>i.  Notification of compliance status</t>
  </si>
  <si>
    <t>ii.  Notification of intent to construct a major source and review application</t>
  </si>
  <si>
    <t>iii.  Notification of start of construction</t>
  </si>
  <si>
    <t xml:space="preserve">iv.  Notification of actual startup </t>
  </si>
  <si>
    <t>v.  Notification of initial performance test and test plan</t>
  </si>
  <si>
    <t xml:space="preserve">ii.  Review of semiannual compliance reports  </t>
  </si>
  <si>
    <t>Total Annual Responses</t>
  </si>
  <si>
    <t>Information Collection Activity</t>
  </si>
  <si>
    <t xml:space="preserve">Number of Respondents  </t>
  </si>
  <si>
    <t>Number of Responses</t>
  </si>
  <si>
    <t>Number of Existing Respondents That Keep Records But Do Not Submit Reports</t>
  </si>
  <si>
    <t xml:space="preserve">Total Annual  Responses </t>
  </si>
  <si>
    <t>Notification of compliance status</t>
  </si>
  <si>
    <t>Notification of initial construction/ reconstruction</t>
  </si>
  <si>
    <t>Notification of actual startup</t>
  </si>
  <si>
    <t>Notification of performance test and test plan</t>
  </si>
  <si>
    <t>Report of performance test results</t>
  </si>
  <si>
    <t>Report of semiannual compliance reports</t>
  </si>
  <si>
    <r>
      <t xml:space="preserve">d  </t>
    </r>
    <r>
      <rPr>
        <sz val="10"/>
        <rFont val="Times New Roman"/>
        <family val="1"/>
      </rPr>
      <t>We have assumed that the initial performance tests and reports are conducted by an emissions testing contractor, however, facility personnel will also work on-site to assist the contractor.</t>
    </r>
  </si>
  <si>
    <r>
      <t xml:space="preserve">e  </t>
    </r>
    <r>
      <rPr>
        <sz val="10"/>
        <rFont val="Times New Roman"/>
        <family val="1"/>
      </rPr>
      <t>We have assumed that 20 percent of new respondents will have to repeat the performance tests due to failure. Since there are no new respondents estimated, this requirement does not apply.</t>
    </r>
  </si>
  <si>
    <r>
      <t xml:space="preserve">h </t>
    </r>
    <r>
      <rPr>
        <sz val="10"/>
        <rFont val="Times New Roman"/>
        <family val="1"/>
      </rPr>
      <t xml:space="preserve"> We have assumed that new respondents already have the technology and recordkeeping systems in place to monitor its daily operations and to comply with existing regulations.  </t>
    </r>
  </si>
  <si>
    <r>
      <t>e</t>
    </r>
    <r>
      <rPr>
        <sz val="10"/>
        <rFont val="Times New Roman"/>
        <family val="1"/>
      </rPr>
      <t xml:space="preserve">  Totals have been rounded to 3 significant figures. Figures may not add exactly due to rounding. </t>
    </r>
  </si>
  <si>
    <t>Total O&amp;M</t>
  </si>
  <si>
    <t xml:space="preserve">Notification of intent to construct a major source and review application </t>
  </si>
  <si>
    <t>Number of Respondents with O&amp;M</t>
  </si>
  <si>
    <t>Total Capital/Startup Cost, (B X C)</t>
  </si>
  <si>
    <r>
      <t>b</t>
    </r>
    <r>
      <rPr>
        <sz val="10"/>
        <rFont val="Times New Roman"/>
        <family val="1"/>
      </rPr>
      <t xml:space="preserve">  This ICR uses the following labor rates: Managerial $153.55 ($73.12+ 110%); Technical $122.20 ($58.19 + 110%); and Clerical $61.51 ($29.29 + 110%).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</si>
  <si>
    <t>Labor Rates</t>
  </si>
  <si>
    <t>Management</t>
  </si>
  <si>
    <t>Technical</t>
  </si>
  <si>
    <t>Clerical</t>
  </si>
  <si>
    <r>
      <t xml:space="preserve">b  </t>
    </r>
    <r>
      <rPr>
        <sz val="10"/>
        <rFont val="Times New Roman"/>
        <family val="1"/>
      </rPr>
      <t>This cost is based on the average hourly labor rate as follows: Managerial $69.04 (GS-13, Step 5, $43.15 + 60%); Technical $51.23 (GS-12, Step 1, $32.02 + 60%); and Clerical $27.73 (GS-6, Step 3, $17.33 + 60%). This ICR assumes that Managerial hours are 5 percent of Technical hours, and Clerical hours are 10 percent of Technical hours. These rates are from the Office of Personnel Management (OPM), 2021 General Schedule, which excludes locality, rates of pay. The rates have been increased by 60 percent to account for the benefit packages available to government employees.</t>
    </r>
  </si>
  <si>
    <t xml:space="preserve">Technical </t>
  </si>
  <si>
    <t>Person‑Hours per occurrence</t>
  </si>
  <si>
    <t>Number of occurrences per year</t>
  </si>
  <si>
    <t>Person‑Hours per respondent per year
 (C=A*B)</t>
  </si>
  <si>
    <r>
      <t xml:space="preserve">Respondents per year </t>
    </r>
    <r>
      <rPr>
        <vertAlign val="superscript"/>
        <sz val="10"/>
        <color rgb="FF000000"/>
        <rFont val="Times New Roman"/>
        <family val="1"/>
      </rPr>
      <t>a</t>
    </r>
  </si>
  <si>
    <t>Technical person‑hours per year (E=C*D)</t>
  </si>
  <si>
    <t>Management person‑hours per year
(F=E*0.05)</t>
  </si>
  <si>
    <t>Clerical person‑hours per year (G=E*0.1)</t>
  </si>
  <si>
    <r>
      <t xml:space="preserve">Annual costs ($) </t>
    </r>
    <r>
      <rPr>
        <vertAlign val="superscript"/>
        <sz val="10"/>
        <color rgb="FF000000"/>
        <rFont val="Times New Roman"/>
        <family val="1"/>
      </rPr>
      <t>b</t>
    </r>
  </si>
  <si>
    <r>
      <t xml:space="preserve">Cost, $  </t>
    </r>
    <r>
      <rPr>
        <vertAlign val="superscript"/>
        <sz val="10"/>
        <rFont val="Times New Roman"/>
        <family val="1"/>
      </rPr>
      <t>b</t>
    </r>
  </si>
  <si>
    <t>5-Year Periodic Testing Costs For Facilities Not Currently Required to Test Under State Permit</t>
  </si>
  <si>
    <t>Industry Sub-Group</t>
  </si>
  <si>
    <r>
      <t>Number of Facilities Not Currently Required to Test Under State Permit</t>
    </r>
    <r>
      <rPr>
        <b/>
        <vertAlign val="superscript"/>
        <sz val="10"/>
        <rFont val="Times New Roman"/>
        <family val="1"/>
      </rPr>
      <t xml:space="preserve"> a</t>
    </r>
    <r>
      <rPr>
        <b/>
        <sz val="10"/>
        <rFont val="Times New Roman"/>
        <family val="1"/>
      </rPr>
      <t xml:space="preserve"> ($)</t>
    </r>
  </si>
  <si>
    <t>Average PM Test Cost per Facility ($)</t>
  </si>
  <si>
    <t>Average VE or Opacity
Test Cost per Facility ($)</t>
  </si>
  <si>
    <t>Average THC Test Cost per Facility ($)</t>
  </si>
  <si>
    <t>Total Average Test Cost Per Facility ($)</t>
  </si>
  <si>
    <r>
      <t xml:space="preserve">Total Cost for Facilities Not Currently Required to Test Under State Permit </t>
    </r>
    <r>
      <rPr>
        <b/>
        <vertAlign val="superscript"/>
        <sz val="10"/>
        <rFont val="Times New Roman"/>
        <family val="1"/>
      </rPr>
      <t>a</t>
    </r>
    <r>
      <rPr>
        <b/>
        <sz val="10"/>
        <rFont val="Times New Roman"/>
        <family val="1"/>
      </rPr>
      <t xml:space="preserve"> ($)</t>
    </r>
  </si>
  <si>
    <t>Asphalt roofing manufacturing facilities</t>
  </si>
  <si>
    <t>Asphalt processing facilities</t>
  </si>
  <si>
    <t>Total - Asphalt roofing manufacturing facilities and Asphalt processing facilities</t>
  </si>
  <si>
    <r>
      <rPr>
        <vertAlign val="superscript"/>
        <sz val="10"/>
        <rFont val="Times New Roman"/>
        <family val="1"/>
      </rPr>
      <t>a</t>
    </r>
    <r>
      <rPr>
        <sz val="10"/>
        <rFont val="Times New Roman"/>
        <family val="1"/>
      </rPr>
      <t xml:space="preserve"> Includes Hunt Southland Refining Co. - Sandersville, Certainteed Corp. (Oxford, NC),Wynnewood Refining Co., and Valero Refining Co. </t>
    </r>
  </si>
  <si>
    <t>Source: Appendix A from memo "Cost Impacts for the Asphalt Processing and Asphalt Roofing Manufacturing Risk and Technology Review Proposal", September 2018</t>
  </si>
  <si>
    <t>Facility Name</t>
  </si>
  <si>
    <t>City</t>
  </si>
  <si>
    <t>State</t>
  </si>
  <si>
    <t>State Required 5-yr Tests</t>
  </si>
  <si>
    <r>
      <t>Asphalt Storage Tanks</t>
    </r>
    <r>
      <rPr>
        <b/>
        <vertAlign val="superscript"/>
        <sz val="10"/>
        <rFont val="Times New Roman"/>
        <family val="1"/>
      </rPr>
      <t>1</t>
    </r>
  </si>
  <si>
    <t>Number of PM Control Devices</t>
  </si>
  <si>
    <t>Number of Thermal Oxidizers</t>
  </si>
  <si>
    <r>
      <t>VE or Opacity Test Cost</t>
    </r>
    <r>
      <rPr>
        <b/>
        <vertAlign val="superscript"/>
        <sz val="10"/>
        <rFont val="Times New Roman"/>
        <family val="1"/>
      </rPr>
      <t>1</t>
    </r>
    <r>
      <rPr>
        <b/>
        <sz val="10"/>
        <rFont val="Times New Roman"/>
        <family val="1"/>
      </rPr>
      <t xml:space="preserve"> ($)</t>
    </r>
  </si>
  <si>
    <r>
      <t>PM Test Cost</t>
    </r>
    <r>
      <rPr>
        <b/>
        <vertAlign val="superscript"/>
        <sz val="10"/>
        <rFont val="Times New Roman"/>
        <family val="1"/>
      </rPr>
      <t>2</t>
    </r>
    <r>
      <rPr>
        <b/>
        <sz val="10"/>
        <rFont val="Times New Roman"/>
        <family val="1"/>
      </rPr>
      <t xml:space="preserve"> ($)</t>
    </r>
  </si>
  <si>
    <r>
      <t>THC Test Cost</t>
    </r>
    <r>
      <rPr>
        <b/>
        <vertAlign val="superscript"/>
        <sz val="10"/>
        <rFont val="Times New Roman"/>
        <family val="1"/>
      </rPr>
      <t>3</t>
    </r>
    <r>
      <rPr>
        <b/>
        <sz val="10"/>
        <rFont val="Times New Roman"/>
        <family val="1"/>
      </rPr>
      <t xml:space="preserve"> ($)</t>
    </r>
  </si>
  <si>
    <t>Total Test Cost ($)</t>
  </si>
  <si>
    <t>Hunt Refining Company</t>
  </si>
  <si>
    <t>Tuscaloosa</t>
  </si>
  <si>
    <t>AL</t>
  </si>
  <si>
    <t>Yes</t>
  </si>
  <si>
    <t>see footnote 4</t>
  </si>
  <si>
    <t>Owens-Corning</t>
  </si>
  <si>
    <t>Minneapolis</t>
  </si>
  <si>
    <t>MN</t>
  </si>
  <si>
    <t>Hunt Southland Refining Co. - Sandersville</t>
  </si>
  <si>
    <t>Heidelberg</t>
  </si>
  <si>
    <t>MS</t>
  </si>
  <si>
    <t>No</t>
  </si>
  <si>
    <t>Certainteed Corp.</t>
  </si>
  <si>
    <t>Oxford</t>
  </si>
  <si>
    <t>NC</t>
  </si>
  <si>
    <t>Owens-Corning Fiberglass Trumball</t>
  </si>
  <si>
    <t>Medina</t>
  </si>
  <si>
    <t>OH</t>
  </si>
  <si>
    <t>Wynnewood Refining Co.</t>
  </si>
  <si>
    <t>Wynnewood</t>
  </si>
  <si>
    <t>OK</t>
  </si>
  <si>
    <t>Valero Refining Co.</t>
  </si>
  <si>
    <t>Ardmore</t>
  </si>
  <si>
    <t>Shakopee</t>
  </si>
  <si>
    <t>TOTAL COST OVER 5-YR PERIOD</t>
  </si>
  <si>
    <r>
      <t>1</t>
    </r>
    <r>
      <rPr>
        <sz val="10"/>
        <rFont val="Times New Roman"/>
        <family val="1"/>
      </rPr>
      <t xml:space="preserve"> Cost of opacity testing using EPA Test Method 9 is estimated to be $1,500. For each facility that has asphalt storage tanks, it was assumed that the facility would have at least one Method 9 test.</t>
    </r>
  </si>
  <si>
    <r>
      <t>2</t>
    </r>
    <r>
      <rPr>
        <sz val="10"/>
        <rFont val="Times New Roman"/>
        <family val="1"/>
      </rPr>
      <t xml:space="preserve"> Cost of PM performance testing using EPA Test Method 5A is estimated to be $16,500 for first filter and an add-on charge of $11,100 for each additional filter.</t>
    </r>
  </si>
  <si>
    <r>
      <t>3</t>
    </r>
    <r>
      <rPr>
        <sz val="10"/>
        <rFont val="Times New Roman"/>
        <family val="1"/>
      </rPr>
      <t xml:space="preserve"> Cost of THC performance testing using EPA Test Method 25A is estimated to range from $16,200 (concentration) to $44,000 (efficiency). We chose to be conservative and apply the higher cost of $44,000.</t>
    </r>
  </si>
  <si>
    <r>
      <t>4</t>
    </r>
    <r>
      <rPr>
        <sz val="10"/>
        <rFont val="Times New Roman"/>
        <family val="1"/>
      </rPr>
      <t xml:space="preserve"> Costs not included for these facilities because they are already required to test every 5-yrs by the State permitting agency and will not incur additional testing costs with the new testing requirements.</t>
    </r>
  </si>
  <si>
    <t>Notification of periodic performance test</t>
  </si>
  <si>
    <t>Report of periodic performance test results</t>
  </si>
  <si>
    <r>
      <t xml:space="preserve">New Respondents </t>
    </r>
    <r>
      <rPr>
        <vertAlign val="superscript"/>
        <sz val="10"/>
        <rFont val="Times New Roman"/>
        <family val="1"/>
      </rPr>
      <t>c, d</t>
    </r>
  </si>
  <si>
    <r>
      <t xml:space="preserve">i.   Initial performance test  </t>
    </r>
    <r>
      <rPr>
        <vertAlign val="superscript"/>
        <sz val="10"/>
        <rFont val="Times New Roman"/>
        <family val="1"/>
      </rPr>
      <t xml:space="preserve"> </t>
    </r>
    <r>
      <rPr>
        <sz val="10"/>
        <rFont val="Times New Roman"/>
        <family val="1"/>
      </rPr>
      <t xml:space="preserve">  </t>
    </r>
  </si>
  <si>
    <r>
      <t xml:space="preserve">ii.  Repeat of initial performance test </t>
    </r>
    <r>
      <rPr>
        <vertAlign val="superscript"/>
        <sz val="10"/>
        <rFont val="Times New Roman"/>
        <family val="1"/>
      </rPr>
      <t>e</t>
    </r>
  </si>
  <si>
    <r>
      <t xml:space="preserve">i.  Monitoring of operating parameters and equipment: </t>
    </r>
    <r>
      <rPr>
        <vertAlign val="superscript"/>
        <sz val="10"/>
        <rFont val="Times New Roman"/>
        <family val="1"/>
      </rPr>
      <t>f</t>
    </r>
  </si>
  <si>
    <t>A. Familiarization with regulatory requirements</t>
  </si>
  <si>
    <t>4. Reporting Requirements</t>
  </si>
  <si>
    <t>3. Acquisition, Installation, and Utilization of  Technology and  Systems</t>
  </si>
  <si>
    <t>2. Survey and Studies</t>
  </si>
  <si>
    <t>1. Applications</t>
  </si>
  <si>
    <t>B. Required activities:</t>
  </si>
  <si>
    <t>C. Gather Existing Information</t>
  </si>
  <si>
    <r>
      <t xml:space="preserve">D. Write report </t>
    </r>
    <r>
      <rPr>
        <vertAlign val="superscript"/>
        <sz val="10"/>
        <rFont val="Times New Roman"/>
        <family val="1"/>
      </rPr>
      <t xml:space="preserve">c, d </t>
    </r>
  </si>
  <si>
    <t>vi. Reports of performance test results</t>
  </si>
  <si>
    <t xml:space="preserve">v. Notification of performance test </t>
  </si>
  <si>
    <t>iv. Notification of actual startup</t>
  </si>
  <si>
    <r>
      <t>iii. Notification of initial construction/ reconstruction</t>
    </r>
    <r>
      <rPr>
        <vertAlign val="superscript"/>
        <sz val="10"/>
        <rFont val="Times New Roman"/>
        <family val="1"/>
      </rPr>
      <t xml:space="preserve"> a</t>
    </r>
  </si>
  <si>
    <t>ii. Notification of intent to construct a major source and review application</t>
  </si>
  <si>
    <r>
      <t xml:space="preserve">i. Notification of compliance status </t>
    </r>
    <r>
      <rPr>
        <vertAlign val="superscript"/>
        <sz val="10"/>
        <rFont val="Times New Roman"/>
        <family val="1"/>
      </rPr>
      <t xml:space="preserve"> </t>
    </r>
  </si>
  <si>
    <r>
      <t xml:space="preserve">ix. Semiannual compliance reports </t>
    </r>
    <r>
      <rPr>
        <vertAlign val="superscript"/>
        <sz val="10"/>
        <rFont val="Times New Roman"/>
        <family val="1"/>
      </rPr>
      <t>d</t>
    </r>
    <r>
      <rPr>
        <sz val="10"/>
        <rFont val="Times New Roman"/>
        <family val="1"/>
      </rPr>
      <t xml:space="preserve">     </t>
    </r>
  </si>
  <si>
    <t>A. Read instructions</t>
  </si>
  <si>
    <t>B. Plan activities</t>
  </si>
  <si>
    <t>C. Implement activities</t>
  </si>
  <si>
    <r>
      <t xml:space="preserve">D. Develop record system </t>
    </r>
    <r>
      <rPr>
        <vertAlign val="superscript"/>
        <sz val="10"/>
        <rFont val="Times New Roman"/>
        <family val="1"/>
      </rPr>
      <t>h</t>
    </r>
  </si>
  <si>
    <t>i. Record performance tests</t>
  </si>
  <si>
    <t>vi. Store, file, and maintain records</t>
  </si>
  <si>
    <t xml:space="preserve">vi.  Report of performance test results including operating parameters </t>
  </si>
  <si>
    <r>
      <t xml:space="preserve">i. Notification of periodic 5-Year performance testing </t>
    </r>
    <r>
      <rPr>
        <vertAlign val="superscript"/>
        <sz val="10"/>
        <rFont val="Times New Roman"/>
        <family val="1"/>
      </rPr>
      <t>d</t>
    </r>
  </si>
  <si>
    <r>
      <t xml:space="preserve">ii. Report of periodic 5-Year performance testing </t>
    </r>
    <r>
      <rPr>
        <vertAlign val="superscript"/>
        <sz val="10"/>
        <rFont val="Times New Roman"/>
        <family val="1"/>
      </rPr>
      <t>d</t>
    </r>
  </si>
  <si>
    <r>
      <t xml:space="preserve">c  </t>
    </r>
    <r>
      <rPr>
        <sz val="10"/>
        <rFont val="Times New Roman"/>
        <family val="1"/>
      </rPr>
      <t>New respondents are required to submit initial notifications and conduct a performance test for add-on control equipment. There are no new respondents anticipated over the next three-year period of this ICR, therefore, there is no anticipated burden associated with these activities.</t>
    </r>
  </si>
  <si>
    <t>Table 1: Annual Respondent Burden and Cost – NESHAP for Asphalt Processing and Asphalt Roofing Manufacturing (40 CFR Part 63, Subpart LLLLL) (Renewal)</t>
  </si>
  <si>
    <t>Table 2: Average Annual EPA Burden and Cost – NESHAP for Asphalt Processing and Asphalt Roofing Manufacturing (40 CFR Part 63, Subpart LLLLL) (Renewal)</t>
  </si>
  <si>
    <r>
      <t xml:space="preserve">New Respondents: </t>
    </r>
    <r>
      <rPr>
        <vertAlign val="superscript"/>
        <sz val="10"/>
        <rFont val="Times New Roman"/>
        <family val="1"/>
      </rPr>
      <t>c</t>
    </r>
  </si>
  <si>
    <r>
      <t xml:space="preserve">ii.  Periodic 5-year performance testing </t>
    </r>
    <r>
      <rPr>
        <vertAlign val="superscript"/>
        <sz val="10"/>
        <rFont val="Times New Roman"/>
        <family val="1"/>
      </rPr>
      <t>g</t>
    </r>
  </si>
  <si>
    <r>
      <t xml:space="preserve">ii. Record of periodic performance tests </t>
    </r>
    <r>
      <rPr>
        <vertAlign val="superscript"/>
        <sz val="10"/>
        <color rgb="FF000000"/>
        <rFont val="Times New Roman"/>
        <family val="1"/>
      </rPr>
      <t>g</t>
    </r>
  </si>
  <si>
    <r>
      <t xml:space="preserve">viii. Reports of  periodic 5-year performance test results </t>
    </r>
    <r>
      <rPr>
        <vertAlign val="superscript"/>
        <sz val="10"/>
        <color rgb="FF000000"/>
        <rFont val="Times New Roman"/>
        <family val="1"/>
      </rPr>
      <t>g</t>
    </r>
  </si>
  <si>
    <r>
      <t xml:space="preserve">vii. Notification of periodic 5-year performance test </t>
    </r>
    <r>
      <rPr>
        <vertAlign val="superscript"/>
        <sz val="10"/>
        <color rgb="FF000000"/>
        <rFont val="Times New Roman"/>
        <family val="1"/>
      </rPr>
      <t>g</t>
    </r>
  </si>
  <si>
    <r>
      <t xml:space="preserve">TOTAL (rounded) </t>
    </r>
    <r>
      <rPr>
        <b/>
        <vertAlign val="superscript"/>
        <sz val="10"/>
        <rFont val="Times New Roman"/>
        <family val="1"/>
      </rPr>
      <t>e</t>
    </r>
  </si>
  <si>
    <r>
      <t>i</t>
    </r>
    <r>
      <rPr>
        <sz val="10"/>
        <rFont val="Times New Roman"/>
        <family val="1"/>
      </rPr>
      <t xml:space="preserve">  We have assumed that it takes respondents the following approximate times to meet recordkeeping requirements:  1) one hour per day for recording operating parameters, 365 days per year; 2) four hours to calibrate and provide maintenance to continuous parameter monitors, five times per year; and 3) and 16 hours per year to train new employees on add-on control devices, continuous parameter monitoring technology, and requirements. </t>
    </r>
  </si>
  <si>
    <t xml:space="preserve">E. Time to enter and transmit all information into record system </t>
  </si>
  <si>
    <r>
      <t xml:space="preserve">iii. Record operating parameters </t>
    </r>
    <r>
      <rPr>
        <vertAlign val="superscript"/>
        <sz val="10"/>
        <rFont val="Times New Roman"/>
        <family val="1"/>
      </rPr>
      <t>i</t>
    </r>
  </si>
  <si>
    <r>
      <t xml:space="preserve">v. Continuous parameter monitoring calibration and maintenance </t>
    </r>
    <r>
      <rPr>
        <vertAlign val="superscript"/>
        <sz val="10"/>
        <rFont val="Times New Roman"/>
        <family val="1"/>
      </rPr>
      <t>i</t>
    </r>
  </si>
  <si>
    <r>
      <t xml:space="preserve">F. Time to train personnel </t>
    </r>
    <r>
      <rPr>
        <vertAlign val="superscript"/>
        <sz val="10"/>
        <rFont val="Times New Roman"/>
        <family val="1"/>
      </rPr>
      <t>i</t>
    </r>
  </si>
  <si>
    <t>CEPCI Index</t>
  </si>
  <si>
    <t>Asphalt Roofing Manufacturing</t>
  </si>
  <si>
    <t>Asphalt Processing</t>
  </si>
  <si>
    <r>
      <t xml:space="preserve">Number of New Respondents </t>
    </r>
    <r>
      <rPr>
        <vertAlign val="superscript"/>
        <sz val="10"/>
        <color rgb="FF000000"/>
        <rFont val="Times New Roman"/>
        <family val="1"/>
      </rPr>
      <t>a</t>
    </r>
  </si>
  <si>
    <r>
      <t>a</t>
    </r>
    <r>
      <rPr>
        <sz val="10"/>
        <rFont val="Times New Roman"/>
        <family val="1"/>
      </rPr>
      <t xml:space="preserve">  We assume no new sources will construct during the three-year period of this ICR. </t>
    </r>
  </si>
  <si>
    <r>
      <t xml:space="preserve">PM control device - Testing </t>
    </r>
    <r>
      <rPr>
        <vertAlign val="superscript"/>
        <sz val="10"/>
        <rFont val="Times New Roman"/>
        <family val="1"/>
      </rPr>
      <t>b, c</t>
    </r>
  </si>
  <si>
    <r>
      <t xml:space="preserve">Thermal oxidizer - Testing </t>
    </r>
    <r>
      <rPr>
        <vertAlign val="superscript"/>
        <sz val="10"/>
        <rFont val="Times New Roman"/>
        <family val="1"/>
      </rPr>
      <t>b, d</t>
    </r>
  </si>
  <si>
    <r>
      <t xml:space="preserve">Opacity - Testing </t>
    </r>
    <r>
      <rPr>
        <vertAlign val="superscript"/>
        <sz val="10"/>
        <rFont val="Times New Roman"/>
        <family val="1"/>
      </rPr>
      <t>b, e</t>
    </r>
  </si>
  <si>
    <r>
      <t xml:space="preserve">PM control device - Replace filters </t>
    </r>
    <r>
      <rPr>
        <vertAlign val="superscript"/>
        <sz val="10"/>
        <rFont val="Times New Roman"/>
        <family val="1"/>
      </rPr>
      <t>f</t>
    </r>
  </si>
  <si>
    <r>
      <t xml:space="preserve">Thermal oxidizer - Testing </t>
    </r>
    <r>
      <rPr>
        <vertAlign val="superscript"/>
        <sz val="10"/>
        <rFont val="Times New Roman"/>
        <family val="1"/>
      </rPr>
      <t>b, g</t>
    </r>
  </si>
  <si>
    <r>
      <t>f</t>
    </r>
    <r>
      <rPr>
        <sz val="10"/>
        <rFont val="Times New Roman"/>
        <family val="1"/>
      </rPr>
      <t xml:space="preserve">  The ongoing cost for replacement filters and data collection system maintenance is $7,415. This value has been updated from year 2003 to year 2020 using the CEPCI Index. </t>
    </r>
  </si>
  <si>
    <r>
      <t>e</t>
    </r>
    <r>
      <rPr>
        <sz val="10"/>
        <rFont val="Times New Roman"/>
        <family val="1"/>
      </rPr>
      <t xml:space="preserve">  We assume the contractor cost for opacity testing using EPA Method 9 is $1,500. </t>
    </r>
  </si>
  <si>
    <r>
      <t>d</t>
    </r>
    <r>
      <rPr>
        <sz val="10"/>
        <rFont val="Times New Roman"/>
        <family val="1"/>
      </rPr>
      <t xml:space="preserve">  We assume the contractor cost for total hydrocarbon (THC) performance testing of a thermal oxidizer using EPA Method 25A at an asphalt roofing manufacturing facility is $55,000.  </t>
    </r>
  </si>
  <si>
    <r>
      <t>c</t>
    </r>
    <r>
      <rPr>
        <sz val="10"/>
        <rFont val="Times New Roman"/>
        <family val="1"/>
      </rPr>
      <t xml:space="preserve">  We assume the contractor cost for PM control device performance testing using EPA Method 5A at an asphalt roofing manufacturing facility with 7 PM filters is $83,100, based on a cost of $16,500 for first filter and an add-on charge of $11,100 for each additional filter.</t>
    </r>
  </si>
  <si>
    <r>
      <t>g</t>
    </r>
    <r>
      <rPr>
        <sz val="10"/>
        <rFont val="Times New Roman"/>
        <family val="1"/>
      </rPr>
      <t xml:space="preserve">  We assume the contractor cost for total hydrocarbon (THC) performance testing of a thermal oxidizer using EPA Method 25A at an asphalt processing facility is $44,000.   </t>
    </r>
  </si>
  <si>
    <t>Data from RTR ICR 2598.02</t>
  </si>
  <si>
    <t>Asphalt Roofing Manufacturing and Asphalt Processing</t>
  </si>
  <si>
    <r>
      <t xml:space="preserve">CPMS for control device(s) </t>
    </r>
    <r>
      <rPr>
        <vertAlign val="superscript"/>
        <sz val="10"/>
        <rFont val="Times New Roman"/>
        <family val="1"/>
      </rPr>
      <t>h</t>
    </r>
  </si>
  <si>
    <r>
      <t xml:space="preserve">Total (rounded) </t>
    </r>
    <r>
      <rPr>
        <b/>
        <vertAlign val="superscript"/>
        <sz val="10"/>
        <rFont val="Times New Roman"/>
        <family val="1"/>
      </rPr>
      <t>i</t>
    </r>
  </si>
  <si>
    <r>
      <rPr>
        <vertAlign val="superscript"/>
        <sz val="10"/>
        <rFont val="Times New Roman"/>
        <family val="1"/>
      </rPr>
      <t>h</t>
    </r>
    <r>
      <rPr>
        <sz val="10"/>
        <rFont val="Times New Roman"/>
        <family val="1"/>
      </rPr>
      <t xml:space="preserve">  EPA assumes that all facilities subject to the standard have or will obtain add-on control devices that are already equipped with continuous parameter monitoring equipment. This monitoring equipment is required not only for compliance purposes but also to operate the control equipment. </t>
    </r>
  </si>
  <si>
    <r>
      <rPr>
        <vertAlign val="superscript"/>
        <sz val="10"/>
        <rFont val="Times New Roman"/>
        <family val="1"/>
      </rPr>
      <t>i</t>
    </r>
    <r>
      <rPr>
        <sz val="10"/>
        <rFont val="Times New Roman"/>
        <family val="1"/>
      </rPr>
      <t xml:space="preserve">  Totals have been rounded to 3 significant figures. Figures may not add exactly due to rounding. </t>
    </r>
  </si>
  <si>
    <r>
      <t xml:space="preserve">Total Labor Burden and Costs (rounded) </t>
    </r>
    <r>
      <rPr>
        <b/>
        <vertAlign val="superscript"/>
        <sz val="10"/>
        <rFont val="Times New Roman"/>
        <family val="1"/>
      </rPr>
      <t>k</t>
    </r>
  </si>
  <si>
    <r>
      <t xml:space="preserve">Total Capital and O&amp;M Cost (rounded) </t>
    </r>
    <r>
      <rPr>
        <b/>
        <vertAlign val="superscript"/>
        <sz val="10"/>
        <rFont val="Times New Roman"/>
        <family val="1"/>
      </rPr>
      <t>k</t>
    </r>
  </si>
  <si>
    <r>
      <t xml:space="preserve">GRAND TOTAL (rounded) </t>
    </r>
    <r>
      <rPr>
        <b/>
        <vertAlign val="superscript"/>
        <sz val="10"/>
        <rFont val="Times New Roman"/>
        <family val="1"/>
      </rPr>
      <t>k</t>
    </r>
  </si>
  <si>
    <r>
      <t xml:space="preserve">iv. Record deviations </t>
    </r>
    <r>
      <rPr>
        <vertAlign val="superscript"/>
        <sz val="10"/>
        <rFont val="Times New Roman"/>
        <family val="1"/>
      </rPr>
      <t>j</t>
    </r>
  </si>
  <si>
    <r>
      <t>j</t>
    </r>
    <r>
      <rPr>
        <sz val="10"/>
        <rFont val="Times New Roman"/>
        <family val="1"/>
      </rPr>
      <t xml:space="preserve">  We assume 15% of sources will have a deviation from an emission limitation. (8*0.15=1.2, rounded to 1) </t>
    </r>
  </si>
  <si>
    <r>
      <t>b</t>
    </r>
    <r>
      <rPr>
        <sz val="10"/>
        <rFont val="Times New Roman"/>
        <family val="1"/>
      </rPr>
      <t xml:space="preserve">  The rule requires periodic testing every 5 years. Based on a review of permit data collected during the recent RTR (2598.02, 85 FR 14526), 3 of the 4 asphalt roofing manufacturing facilities and 1 of the 4 asphalt processing facilities already perform all periodic performance testing under State Agency permits. Therefore, this ICR only includes the cost for the 4 remaining facilities not currently required to conduct periodic testing under State Agency permits (1 asphalt roofing manufacturing facility and 3 asphalt processing facilities). 1 asphalt roofing manufacturing facility tests once every five years (1/5=0.2 respondents/year). 3 asphalt processing facilities each test once every five years (3/5=0.6 respondents/year). </t>
    </r>
  </si>
  <si>
    <t>Burden Item</t>
  </si>
  <si>
    <r>
      <t xml:space="preserve">k  </t>
    </r>
    <r>
      <rPr>
        <sz val="10"/>
        <rFont val="Times New Roman"/>
        <family val="1"/>
      </rPr>
      <t xml:space="preserve">Totals have been rounded to 3 significant figures. Figures may not add exactly due to rounding. </t>
    </r>
  </si>
  <si>
    <r>
      <t>c</t>
    </r>
    <r>
      <rPr>
        <sz val="10"/>
        <rFont val="Times New Roman"/>
        <family val="1"/>
      </rPr>
      <t xml:space="preserve">  New respondents would have to comply with the initial rule requirements including notifications and performance tests for add-on control devices. There are no new respondents anticipated over the next three-year period of this ICR, therefore, there is no anticipated burden associated with these activities.</t>
    </r>
  </si>
  <si>
    <r>
      <t xml:space="preserve">a  </t>
    </r>
    <r>
      <rPr>
        <sz val="10"/>
        <rFont val="Times New Roman"/>
        <family val="1"/>
      </rPr>
      <t xml:space="preserve">There is an average of 8 existing respondents per year over the next three years of this ICR.  In addition, we assume that no new facilities will become subject to this regulation during the three-year period of this ICR.  </t>
    </r>
  </si>
  <si>
    <r>
      <t>a</t>
    </r>
    <r>
      <rPr>
        <sz val="10"/>
        <rFont val="Times New Roman"/>
        <family val="1"/>
      </rPr>
      <t xml:space="preserve">  There is an average of 8 existing respondents per year over the next three years of this ICR.  In addition, we assume that no new facilities will become subject to this regulation during the three-year period of this ICR.</t>
    </r>
  </si>
  <si>
    <r>
      <t xml:space="preserve">f   </t>
    </r>
    <r>
      <rPr>
        <sz val="10"/>
        <rFont val="Times New Roman"/>
        <family val="1"/>
      </rPr>
      <t>Monitoring and recordkeeping of operations for respondents with add-on control devices include: 1) specific operating parameters for each control device established during the performance test, 2) deviations, and 3) work practices.</t>
    </r>
  </si>
  <si>
    <r>
      <t>g</t>
    </r>
    <r>
      <rPr>
        <sz val="10"/>
        <rFont val="Times New Roman"/>
        <family val="1"/>
      </rPr>
      <t xml:space="preserve">  The rule requires periodic testing every 5 years. Based on a review of permit data collected during the recent RTR (2598.02, 85 FR 14526), 3 of the 4 asphalt roofing manufacturing facilities and 1 of the 4 asphalt processing facilities already perform all periodic performance testing under State Agency permits. Therefore, this ICR only includes the cost for the 4 remaining facilities not currently required to conduct periodic testing under State Agency permits (1 asphalt roofing manufacturing facility and 3 asphalt processing facilities). We assume that 20 percent of respondents will repeat the performance tests due to failure. (4 respondents test once every five years (4/5=0.8), plus 20% retest (0.8*1.2 = 1 respondent/year, rounded)). Therefore, this testing occurs for one respondent each year. We assume that the testing and reporting are conducted by an emissions testing contractor, and facility personnel will work on-site to assist the contractor. We assume 4 asphalt roofing manufacturing facilities would conduct an EPA Method 5A test of the PM control device, an EPA Method 25A test of the thermal oxidizer, and an EPA Method 9 opacity test; and 4 asphalt processing facilities would conduct an EPA Method 25A test of the thermal oxidizer and an EPA Method 9 opacity test. </t>
    </r>
  </si>
  <si>
    <r>
      <t>d</t>
    </r>
    <r>
      <rPr>
        <sz val="10"/>
        <rFont val="Times New Roman"/>
        <family val="1"/>
      </rPr>
      <t xml:space="preserve">  The rule requires periodic performance testing once every 5 years. We assume review of the notification will take 4 hours and review of the periodic performance test report will take 20 hours. We assume that 20 percent of periodic performance tests will be repeated due to failure. There are four sources that do not already have testing requirements in their state permits and require testing under this rule. (4 respondents test once every five years (4/5=0.8), plus 20% retest (0.8*1.2 = 1 respondent/year, rounded)). Therefore, this testing occurs for one respondent each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</si>
</sst>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General_)"/>
    <numFmt numFmtId="166" formatCode="&quot;$&quot;#,##0"/>
    <numFmt numFmtId="167" formatCode="0.0"/>
  </numFmts>
  <fonts count="31" x14ac:knownFonts="1">
    <font>
      <sz val="11"/>
      <color theme="1"/>
      <name val="Calibri"/>
      <family val="2"/>
      <scheme val="minor"/>
    </font>
    <font>
      <sz val="11"/>
      <color rgb="FFFF0000"/>
      <name val="Calibri"/>
      <family val="2"/>
      <scheme val="minor"/>
    </font>
    <font>
      <b/>
      <sz val="10"/>
      <name val="Times New Roman"/>
      <family val="1"/>
    </font>
    <font>
      <sz val="10"/>
      <color theme="1"/>
      <name val="Times New Roman"/>
      <family val="1"/>
    </font>
    <font>
      <vertAlign val="superscript"/>
      <sz val="10"/>
      <name val="Times New Roman"/>
      <family val="1"/>
    </font>
    <font>
      <sz val="10"/>
      <color rgb="FF000000"/>
      <name val="Times New Roman"/>
      <family val="1"/>
    </font>
    <font>
      <sz val="10"/>
      <name val="Times New Roman"/>
      <family val="1"/>
    </font>
    <font>
      <sz val="10"/>
      <color rgb="FFFF0000"/>
      <name val="Times New Roman"/>
      <family val="1"/>
    </font>
    <font>
      <vertAlign val="superscript"/>
      <sz val="10"/>
      <color rgb="FF000000"/>
      <name val="Times New Roman"/>
      <family val="1"/>
    </font>
    <font>
      <vertAlign val="superscript"/>
      <sz val="10"/>
      <color rgb="FFFF0000"/>
      <name val="Times New Roman"/>
      <family val="1"/>
    </font>
    <font>
      <b/>
      <sz val="12"/>
      <color rgb="FF000000"/>
      <name val="Times New Roman"/>
      <family val="1"/>
    </font>
    <font>
      <sz val="11"/>
      <name val="Calibri"/>
      <family val="2"/>
      <scheme val="minor"/>
    </font>
    <font>
      <sz val="9"/>
      <color rgb="FF000000"/>
      <name val="Times New Roman"/>
      <family val="1"/>
    </font>
    <font>
      <b/>
      <sz val="9"/>
      <color rgb="FFFF0000"/>
      <name val="Times New Roman"/>
      <family val="1"/>
    </font>
    <font>
      <sz val="8"/>
      <name val="Helv"/>
    </font>
    <font>
      <b/>
      <u/>
      <sz val="10"/>
      <name val="Times New Roman"/>
      <family val="1"/>
    </font>
    <font>
      <sz val="10"/>
      <name val="Arial"/>
      <family val="2"/>
    </font>
    <font>
      <b/>
      <vertAlign val="superscript"/>
      <sz val="10"/>
      <name val="Times New Roman"/>
      <family val="1"/>
    </font>
    <font>
      <sz val="12"/>
      <name val="Times New Roman"/>
      <family val="1"/>
    </font>
    <font>
      <b/>
      <i/>
      <sz val="10"/>
      <name val="Times New Roman"/>
      <family val="1"/>
    </font>
    <font>
      <b/>
      <sz val="12"/>
      <name val="Times New Roman"/>
      <family val="1"/>
    </font>
    <font>
      <sz val="11"/>
      <color theme="1"/>
      <name val="Times New Roman"/>
      <family val="1"/>
    </font>
    <font>
      <sz val="11"/>
      <name val="Times New Roman"/>
      <family val="1"/>
    </font>
    <font>
      <sz val="11"/>
      <color theme="1"/>
      <name val="Calibri"/>
      <family val="2"/>
    </font>
    <font>
      <sz val="12"/>
      <name val="Calibri"/>
      <family val="2"/>
    </font>
    <font>
      <sz val="11"/>
      <name val="Calibri"/>
      <family val="2"/>
    </font>
    <font>
      <sz val="10"/>
      <name val="Calibri"/>
      <family val="2"/>
    </font>
    <font>
      <i/>
      <sz val="10"/>
      <name val="Times New Roman"/>
      <family val="1"/>
    </font>
    <font>
      <sz val="10"/>
      <color rgb="FF7030A0"/>
      <name val="Times New Roman"/>
      <family val="1"/>
    </font>
    <font>
      <sz val="11"/>
      <color rgb="FF7030A0"/>
      <name val="Calibri"/>
      <family val="2"/>
      <scheme val="minor"/>
    </font>
    <font>
      <sz val="11"/>
      <color rgb="FF7030A0"/>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5" fontId="14" fillId="0" borderId="0"/>
    <xf numFmtId="0" fontId="16" fillId="0" borderId="0"/>
  </cellStyleXfs>
  <cellXfs count="153">
    <xf numFmtId="0" fontId="0" fillId="0" borderId="0" xfId="0"/>
    <xf numFmtId="0" fontId="3"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xf>
    <xf numFmtId="8" fontId="6" fillId="0" borderId="1" xfId="0" applyNumberFormat="1" applyFont="1" applyBorder="1" applyAlignment="1">
      <alignment horizontal="right" vertical="center"/>
    </xf>
    <xf numFmtId="0" fontId="7" fillId="0" borderId="0" xfId="0" applyFont="1" applyFill="1"/>
    <xf numFmtId="0" fontId="6" fillId="0" borderId="0" xfId="0" applyFont="1"/>
    <xf numFmtId="0" fontId="7" fillId="0" borderId="0" xfId="0" applyFont="1"/>
    <xf numFmtId="0" fontId="2" fillId="0" borderId="1" xfId="0" applyFont="1" applyBorder="1" applyAlignment="1">
      <alignment horizontal="center" vertical="center"/>
    </xf>
    <xf numFmtId="0" fontId="6" fillId="0" borderId="1" xfId="0" applyFont="1" applyBorder="1"/>
    <xf numFmtId="0" fontId="1" fillId="0" borderId="0" xfId="0" applyFont="1"/>
    <xf numFmtId="0" fontId="11" fillId="0" borderId="0" xfId="0" applyFont="1"/>
    <xf numFmtId="0" fontId="9" fillId="0" borderId="0" xfId="0" applyFont="1" applyAlignment="1">
      <alignment horizontal="left" vertical="center" indent="1"/>
    </xf>
    <xf numFmtId="0" fontId="3" fillId="0" borderId="1" xfId="0" applyFont="1" applyBorder="1" applyAlignment="1">
      <alignment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xf>
    <xf numFmtId="0" fontId="6"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indent="2"/>
    </xf>
    <xf numFmtId="0" fontId="6" fillId="0" borderId="0" xfId="0" applyFont="1" applyFill="1" applyAlignment="1">
      <alignment horizontal="center"/>
    </xf>
    <xf numFmtId="0" fontId="6" fillId="0" borderId="1" xfId="0" applyFont="1" applyBorder="1" applyAlignment="1">
      <alignment horizontal="right" vertical="center"/>
    </xf>
    <xf numFmtId="0" fontId="6" fillId="0" borderId="1" xfId="0" applyFont="1" applyFill="1" applyBorder="1" applyAlignment="1">
      <alignment horizontal="center" vertical="center"/>
    </xf>
    <xf numFmtId="0" fontId="6" fillId="0" borderId="1" xfId="0" applyFont="1" applyBorder="1" applyAlignment="1">
      <alignment vertical="center"/>
    </xf>
    <xf numFmtId="3" fontId="6" fillId="0" borderId="1" xfId="0" applyNumberFormat="1" applyFont="1" applyBorder="1" applyAlignment="1">
      <alignment horizontal="center" vertical="center"/>
    </xf>
    <xf numFmtId="6" fontId="2" fillId="0" borderId="1" xfId="0" applyNumberFormat="1" applyFont="1" applyBorder="1" applyAlignment="1">
      <alignment horizontal="right" vertical="center"/>
    </xf>
    <xf numFmtId="0" fontId="2" fillId="0" borderId="1" xfId="0" applyFont="1" applyFill="1" applyBorder="1" applyAlignment="1">
      <alignment vertical="center" wrapText="1"/>
    </xf>
    <xf numFmtId="6" fontId="2" fillId="0" borderId="1" xfId="0" applyNumberFormat="1" applyFont="1" applyBorder="1"/>
    <xf numFmtId="1" fontId="6" fillId="0" borderId="0" xfId="0" applyNumberFormat="1" applyFont="1"/>
    <xf numFmtId="8" fontId="6" fillId="0" borderId="1" xfId="0" applyNumberFormat="1" applyFont="1" applyBorder="1" applyAlignment="1">
      <alignment horizontal="right" vertical="center" wrapText="1"/>
    </xf>
    <xf numFmtId="6" fontId="2" fillId="0" borderId="1" xfId="0" applyNumberFormat="1" applyFont="1" applyBorder="1" applyAlignment="1">
      <alignment vertical="center" wrapText="1"/>
    </xf>
    <xf numFmtId="6" fontId="6" fillId="0" borderId="1" xfId="0" applyNumberFormat="1" applyFont="1" applyBorder="1" applyAlignment="1">
      <alignment horizontal="right" vertical="center"/>
    </xf>
    <xf numFmtId="166" fontId="6" fillId="0" borderId="1" xfId="0" applyNumberFormat="1" applyFont="1" applyBorder="1" applyAlignment="1">
      <alignment horizontal="right" vertical="center"/>
    </xf>
    <xf numFmtId="6" fontId="6" fillId="0" borderId="1" xfId="0" applyNumberFormat="1" applyFont="1" applyBorder="1" applyAlignment="1">
      <alignment horizontal="right" vertical="center" wrapText="1"/>
    </xf>
    <xf numFmtId="166" fontId="6" fillId="0" borderId="1" xfId="0" applyNumberFormat="1" applyFont="1" applyFill="1" applyBorder="1" applyAlignment="1">
      <alignment horizontal="center" vertical="center" wrapText="1"/>
    </xf>
    <xf numFmtId="6" fontId="19" fillId="0" borderId="1" xfId="0" applyNumberFormat="1" applyFont="1" applyBorder="1" applyAlignment="1">
      <alignment vertical="center"/>
    </xf>
    <xf numFmtId="0" fontId="6" fillId="0" borderId="0" xfId="0" applyFont="1" applyAlignment="1">
      <alignment wrapText="1"/>
    </xf>
    <xf numFmtId="0" fontId="2" fillId="0" borderId="1" xfId="0" applyFont="1" applyBorder="1" applyAlignment="1">
      <alignment vertical="center" wrapText="1"/>
    </xf>
    <xf numFmtId="3"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5" fontId="15" fillId="0" borderId="0" xfId="1" applyFont="1" applyFill="1" applyBorder="1" applyAlignment="1">
      <alignment horizontal="center" vertical="center" wrapText="1"/>
    </xf>
    <xf numFmtId="165" fontId="6" fillId="0" borderId="0" xfId="1" applyFont="1" applyFill="1" applyBorder="1" applyAlignment="1">
      <alignment horizontal="center" vertical="center" wrapText="1"/>
    </xf>
    <xf numFmtId="164" fontId="6" fillId="0" borderId="0" xfId="1" applyNumberFormat="1" applyFont="1" applyFill="1" applyBorder="1" applyAlignment="1">
      <alignment horizontal="right" wrapText="1"/>
    </xf>
    <xf numFmtId="164" fontId="6" fillId="0" borderId="1" xfId="0" applyNumberFormat="1" applyFont="1" applyBorder="1"/>
    <xf numFmtId="0" fontId="6" fillId="0" borderId="0" xfId="2" applyFont="1" applyFill="1" applyBorder="1"/>
    <xf numFmtId="0" fontId="21" fillId="0" borderId="0" xfId="0" applyFont="1"/>
    <xf numFmtId="0" fontId="22" fillId="0" borderId="0" xfId="0" applyFont="1"/>
    <xf numFmtId="0" fontId="6" fillId="0" borderId="0" xfId="0" applyFont="1" applyBorder="1"/>
    <xf numFmtId="165" fontId="2" fillId="0" borderId="0" xfId="1" applyFont="1" applyFill="1" applyBorder="1" applyAlignment="1">
      <alignment horizontal="center" vertical="center" wrapText="1"/>
    </xf>
    <xf numFmtId="0" fontId="2" fillId="0" borderId="0" xfId="2"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22" fillId="0" borderId="0" xfId="0" applyFont="1" applyAlignment="1">
      <alignment wrapText="1"/>
    </xf>
    <xf numFmtId="0" fontId="22" fillId="0" borderId="0" xfId="0" applyFont="1" applyBorder="1" applyAlignment="1">
      <alignment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0" xfId="0" applyFont="1" applyBorder="1" applyAlignment="1">
      <alignment wrapText="1"/>
    </xf>
    <xf numFmtId="0" fontId="25" fillId="0" borderId="0" xfId="0" applyFont="1"/>
    <xf numFmtId="0" fontId="24" fillId="0" borderId="0" xfId="0" applyFont="1" applyBorder="1" applyAlignment="1">
      <alignment horizontal="center" wrapText="1"/>
    </xf>
    <xf numFmtId="0" fontId="2" fillId="0" borderId="0" xfId="0" applyFont="1" applyBorder="1" applyAlignment="1">
      <alignment horizontal="center" vertical="center" wrapText="1"/>
    </xf>
    <xf numFmtId="164" fontId="6" fillId="0" borderId="0" xfId="0" applyNumberFormat="1" applyFont="1" applyBorder="1"/>
    <xf numFmtId="166" fontId="6" fillId="0" borderId="1" xfId="0" applyNumberFormat="1" applyFont="1" applyBorder="1"/>
    <xf numFmtId="167" fontId="6" fillId="0" borderId="1" xfId="0" applyNumberFormat="1" applyFont="1" applyBorder="1" applyAlignment="1">
      <alignment horizontal="center" vertical="center"/>
    </xf>
    <xf numFmtId="0" fontId="6" fillId="0" borderId="1" xfId="0" applyFont="1" applyFill="1" applyBorder="1" applyAlignment="1">
      <alignment horizontal="left" vertical="center" wrapText="1"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wrapText="1" indent="3"/>
    </xf>
    <xf numFmtId="0" fontId="5" fillId="0" borderId="1" xfId="0" applyFont="1" applyBorder="1" applyAlignment="1">
      <alignment horizontal="left" vertical="center" wrapText="1" indent="2"/>
    </xf>
    <xf numFmtId="1" fontId="6" fillId="0" borderId="1" xfId="0" applyNumberFormat="1" applyFont="1" applyBorder="1" applyAlignment="1">
      <alignment horizontal="center" vertical="center"/>
    </xf>
    <xf numFmtId="167"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4" fillId="0" borderId="0" xfId="0" applyFont="1" applyAlignment="1">
      <alignment vertical="center"/>
    </xf>
    <xf numFmtId="0" fontId="11" fillId="0" borderId="0" xfId="0" applyFont="1" applyAlignment="1"/>
    <xf numFmtId="1" fontId="3" fillId="0" borderId="1" xfId="0" applyNumberFormat="1" applyFont="1" applyBorder="1" applyAlignment="1">
      <alignment horizontal="center" vertical="center" wrapText="1"/>
    </xf>
    <xf numFmtId="0" fontId="0" fillId="0" borderId="1" xfId="0" applyBorder="1" applyAlignment="1">
      <alignment horizontal="center"/>
    </xf>
    <xf numFmtId="0" fontId="6" fillId="0" borderId="1" xfId="0" applyFont="1" applyFill="1" applyBorder="1" applyAlignment="1">
      <alignment horizontal="left" vertical="center" wrapText="1" indent="2"/>
    </xf>
    <xf numFmtId="167" fontId="3" fillId="0" borderId="1" xfId="0" applyNumberFormat="1" applyFont="1" applyBorder="1" applyAlignment="1">
      <alignment horizontal="center" vertical="center"/>
    </xf>
    <xf numFmtId="166" fontId="5"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xf>
    <xf numFmtId="0" fontId="10" fillId="0" borderId="7" xfId="0" applyFont="1" applyBorder="1" applyAlignment="1">
      <alignment vertical="center"/>
    </xf>
    <xf numFmtId="0" fontId="23" fillId="0" borderId="8" xfId="0" applyFont="1" applyBorder="1"/>
    <xf numFmtId="0" fontId="0" fillId="0" borderId="9" xfId="0" applyBorder="1"/>
    <xf numFmtId="0" fontId="25" fillId="0" borderId="0" xfId="0" applyFont="1" applyBorder="1"/>
    <xf numFmtId="0" fontId="0" fillId="0" borderId="11" xfId="0" applyBorder="1"/>
    <xf numFmtId="0" fontId="2" fillId="0" borderId="10" xfId="0" applyFont="1" applyBorder="1" applyAlignment="1">
      <alignment horizontal="center" vertical="center"/>
    </xf>
    <xf numFmtId="0" fontId="23" fillId="0" borderId="0" xfId="0" applyFont="1" applyBorder="1"/>
    <xf numFmtId="0" fontId="6" fillId="0" borderId="10" xfId="0" applyFont="1" applyBorder="1" applyAlignment="1">
      <alignment wrapText="1"/>
    </xf>
    <xf numFmtId="0" fontId="6" fillId="0" borderId="10" xfId="0" applyFont="1" applyBorder="1"/>
    <xf numFmtId="0" fontId="6" fillId="0" borderId="10" xfId="0" applyFont="1" applyBorder="1" applyAlignment="1">
      <alignment vertical="center" wrapText="1"/>
    </xf>
    <xf numFmtId="0" fontId="6" fillId="0" borderId="12" xfId="0" applyFont="1" applyBorder="1" applyAlignment="1">
      <alignment vertical="center"/>
    </xf>
    <xf numFmtId="166" fontId="25" fillId="0" borderId="0" xfId="0" applyNumberFormat="1" applyFont="1" applyBorder="1"/>
    <xf numFmtId="0" fontId="18" fillId="0" borderId="12" xfId="0" applyFont="1" applyBorder="1" applyAlignment="1">
      <alignment vertical="center" wrapText="1"/>
    </xf>
    <xf numFmtId="0" fontId="25" fillId="0" borderId="0" xfId="0" applyFont="1" applyBorder="1" applyAlignment="1"/>
    <xf numFmtId="0" fontId="6" fillId="0" borderId="10" xfId="0" applyFont="1" applyBorder="1" applyAlignment="1">
      <alignment horizontal="center" vertical="center" wrapText="1"/>
    </xf>
    <xf numFmtId="0" fontId="25" fillId="0" borderId="13" xfId="0" applyFont="1" applyBorder="1"/>
    <xf numFmtId="0" fontId="25" fillId="0" borderId="14" xfId="0" applyFont="1" applyBorder="1"/>
    <xf numFmtId="0" fontId="0" fillId="0" borderId="15" xfId="0" applyBorder="1"/>
    <xf numFmtId="6" fontId="2" fillId="0" borderId="1" xfId="0" applyNumberFormat="1" applyFont="1" applyFill="1" applyBorder="1"/>
    <xf numFmtId="0" fontId="5" fillId="0" borderId="1" xfId="0" applyFont="1" applyFill="1" applyBorder="1"/>
    <xf numFmtId="164" fontId="6" fillId="0" borderId="1" xfId="0" applyNumberFormat="1" applyFont="1" applyFill="1" applyBorder="1"/>
    <xf numFmtId="0" fontId="6" fillId="0" borderId="0" xfId="0" applyFont="1" applyFill="1" applyBorder="1"/>
    <xf numFmtId="0" fontId="6" fillId="0" borderId="1" xfId="0" applyFont="1" applyFill="1" applyBorder="1" applyAlignment="1">
      <alignment horizontal="left" indent="2"/>
    </xf>
    <xf numFmtId="0" fontId="2" fillId="0" borderId="0" xfId="0" applyFont="1" applyAlignment="1"/>
    <xf numFmtId="0" fontId="28" fillId="0" borderId="0" xfId="0" applyFont="1"/>
    <xf numFmtId="0" fontId="29" fillId="0" borderId="0" xfId="0" applyFont="1"/>
    <xf numFmtId="0" fontId="30" fillId="0" borderId="0" xfId="0" applyFont="1"/>
    <xf numFmtId="1" fontId="6" fillId="0" borderId="1" xfId="0" applyNumberFormat="1" applyFont="1" applyFill="1" applyBorder="1" applyAlignment="1">
      <alignment horizontal="center"/>
    </xf>
    <xf numFmtId="1" fontId="6" fillId="0"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1" fontId="6"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4" fillId="0" borderId="0" xfId="0" applyFont="1" applyAlignment="1">
      <alignment vertical="center" wrapText="1"/>
    </xf>
    <xf numFmtId="0" fontId="6" fillId="0" borderId="0" xfId="0" applyFont="1" applyAlignment="1">
      <alignment wrapText="1"/>
    </xf>
    <xf numFmtId="0" fontId="20" fillId="0" borderId="0" xfId="0" applyFont="1" applyAlignment="1">
      <alignment horizontal="left" vertical="top" wrapText="1"/>
    </xf>
    <xf numFmtId="0" fontId="6" fillId="0" borderId="1" xfId="0" applyFont="1" applyBorder="1" applyAlignment="1">
      <alignment horizontal="center" vertical="center" wrapText="1"/>
    </xf>
    <xf numFmtId="0" fontId="4" fillId="0" borderId="0" xfId="0" applyFont="1" applyFill="1" applyAlignment="1">
      <alignment vertical="center" wrapText="1"/>
    </xf>
    <xf numFmtId="0" fontId="6" fillId="0" borderId="0" xfId="0" applyFont="1" applyFill="1" applyAlignment="1">
      <alignment wrapText="1"/>
    </xf>
    <xf numFmtId="0" fontId="5" fillId="0" borderId="1" xfId="0" applyFont="1" applyBorder="1" applyAlignment="1">
      <alignment horizontal="center"/>
    </xf>
    <xf numFmtId="3" fontId="19" fillId="0" borderId="1" xfId="0" applyNumberFormat="1" applyFont="1" applyBorder="1" applyAlignment="1">
      <alignment horizontal="center" vertical="center"/>
    </xf>
    <xf numFmtId="3" fontId="2" fillId="0" borderId="1" xfId="0" applyNumberFormat="1" applyFont="1" applyBorder="1" applyAlignment="1">
      <alignment horizontal="center" vertical="center"/>
    </xf>
    <xf numFmtId="0" fontId="19" fillId="0" borderId="1" xfId="0" applyFont="1" applyBorder="1" applyAlignment="1">
      <alignment vertical="center" wrapText="1"/>
    </xf>
    <xf numFmtId="0" fontId="5" fillId="0" borderId="1" xfId="0" applyFont="1" applyFill="1" applyBorder="1" applyAlignment="1">
      <alignment horizontal="center"/>
    </xf>
    <xf numFmtId="0" fontId="2" fillId="0" borderId="0" xfId="0" applyFont="1" applyAlignment="1">
      <alignment horizontal="left" vertical="center"/>
    </xf>
    <xf numFmtId="0" fontId="6" fillId="0" borderId="0" xfId="0" applyFont="1" applyAlignment="1">
      <alignment vertical="center" wrapText="1"/>
    </xf>
    <xf numFmtId="0" fontId="2" fillId="0" borderId="1" xfId="0" applyFont="1" applyBorder="1" applyAlignment="1">
      <alignment vertical="center" wrapText="1"/>
    </xf>
    <xf numFmtId="1" fontId="2" fillId="0" borderId="3"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0" fontId="6" fillId="0" borderId="0" xfId="0" applyFont="1" applyFill="1" applyAlignment="1">
      <alignment vertical="center" wrapText="1"/>
    </xf>
    <xf numFmtId="0" fontId="10" fillId="0" borderId="1" xfId="0" applyFont="1" applyBorder="1" applyAlignment="1">
      <alignment horizontal="center"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4" fillId="0" borderId="0" xfId="0" applyFont="1" applyAlignment="1">
      <alignment horizontal="left" vertical="center" wrapText="1"/>
    </xf>
    <xf numFmtId="0" fontId="20" fillId="0" borderId="10" xfId="0" applyFont="1" applyBorder="1" applyAlignment="1">
      <alignment horizontal="center" vertical="center" wrapText="1"/>
    </xf>
    <xf numFmtId="0" fontId="23" fillId="0" borderId="1" xfId="0" applyFont="1" applyBorder="1" applyAlignment="1">
      <alignment horizont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6" fillId="0" borderId="1" xfId="0" applyFont="1" applyBorder="1" applyAlignment="1">
      <alignment wrapText="1"/>
    </xf>
    <xf numFmtId="0" fontId="4" fillId="0" borderId="12" xfId="0" applyFont="1" applyBorder="1" applyAlignment="1">
      <alignment horizontal="left" vertical="center" indent="1"/>
    </xf>
    <xf numFmtId="0" fontId="4" fillId="0" borderId="0" xfId="0" applyFont="1" applyBorder="1" applyAlignment="1">
      <alignment horizontal="left" vertical="center" indent="1"/>
    </xf>
    <xf numFmtId="0" fontId="26" fillId="0" borderId="1" xfId="0" applyFont="1" applyBorder="1" applyAlignment="1">
      <alignment horizontal="center" vertical="center" wrapText="1"/>
    </xf>
    <xf numFmtId="0" fontId="2" fillId="0" borderId="10" xfId="0" applyFont="1" applyBorder="1" applyAlignment="1">
      <alignment horizontal="right" vertical="center"/>
    </xf>
    <xf numFmtId="0" fontId="2" fillId="0" borderId="1" xfId="0" applyFont="1" applyBorder="1" applyAlignment="1">
      <alignment horizontal="right" vertical="center"/>
    </xf>
    <xf numFmtId="0" fontId="0" fillId="0" borderId="3" xfId="0" applyBorder="1" applyAlignment="1">
      <alignment horizontal="center"/>
    </xf>
    <xf numFmtId="0" fontId="0" fillId="0" borderId="5" xfId="0" applyBorder="1" applyAlignment="1">
      <alignment horizontal="center"/>
    </xf>
    <xf numFmtId="0" fontId="6" fillId="0" borderId="2" xfId="0"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cellXfs>
  <cellStyles count="3">
    <cellStyle name="Normal" xfId="0" builtinId="0"/>
    <cellStyle name="Normal_ICR Cost Inputs" xfId="2" xr:uid="{4A6793F1-FD36-43ED-98BC-4DA832AC51C4}"/>
    <cellStyle name="Normal_SSI Burden Estimate BML 060710" xfId="1" xr:uid="{08DE9C4B-87F1-47EB-9E13-165446FD19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942F2-EFCD-40D5-9A05-A971311B0617}">
  <dimension ref="A1:L60"/>
  <sheetViews>
    <sheetView tabSelected="1" zoomScaleNormal="100" workbookViewId="0">
      <selection activeCell="A56" sqref="A56:I56"/>
    </sheetView>
  </sheetViews>
  <sheetFormatPr defaultColWidth="9.1796875" defaultRowHeight="14" x14ac:dyDescent="0.3"/>
  <cols>
    <col min="1" max="1" width="54.1796875" style="48" customWidth="1"/>
    <col min="2" max="2" width="12.1796875" style="48" customWidth="1"/>
    <col min="3" max="3" width="11.81640625" style="48" customWidth="1"/>
    <col min="4" max="4" width="13.54296875" style="48" customWidth="1"/>
    <col min="5" max="5" width="13.26953125" style="48" customWidth="1"/>
    <col min="6" max="6" width="13" style="48" customWidth="1"/>
    <col min="7" max="7" width="13.54296875" style="48" customWidth="1"/>
    <col min="8" max="8" width="13" style="48" customWidth="1"/>
    <col min="9" max="9" width="13.26953125" style="48" customWidth="1"/>
    <col min="10" max="10" width="5.26953125" style="48" customWidth="1"/>
    <col min="11" max="11" width="11.81640625" style="48" customWidth="1"/>
    <col min="12" max="12" width="8.7265625" style="48" customWidth="1"/>
    <col min="13" max="16384" width="9.1796875" style="48"/>
  </cols>
  <sheetData>
    <row r="1" spans="1:12" ht="15" x14ac:dyDescent="0.3">
      <c r="A1" s="117" t="s">
        <v>168</v>
      </c>
      <c r="B1" s="117"/>
      <c r="C1" s="117"/>
      <c r="D1" s="117"/>
      <c r="E1" s="117"/>
      <c r="F1" s="117"/>
      <c r="G1" s="117"/>
      <c r="H1" s="117"/>
      <c r="I1" s="117"/>
    </row>
    <row r="2" spans="1:12" x14ac:dyDescent="0.3">
      <c r="A2" s="1"/>
      <c r="B2" s="1"/>
      <c r="C2" s="1"/>
      <c r="D2" s="1"/>
      <c r="E2" s="8"/>
      <c r="I2" s="1"/>
      <c r="J2" s="1"/>
      <c r="K2" s="39"/>
      <c r="L2" s="56"/>
    </row>
    <row r="3" spans="1:12" x14ac:dyDescent="0.3">
      <c r="A3" s="118" t="s">
        <v>208</v>
      </c>
      <c r="B3" s="3" t="s">
        <v>0</v>
      </c>
      <c r="C3" s="3" t="s">
        <v>1</v>
      </c>
      <c r="D3" s="3" t="s">
        <v>2</v>
      </c>
      <c r="E3" s="19" t="s">
        <v>3</v>
      </c>
      <c r="F3" s="3" t="s">
        <v>4</v>
      </c>
      <c r="G3" s="3" t="s">
        <v>5</v>
      </c>
      <c r="H3" s="3" t="s">
        <v>6</v>
      </c>
      <c r="I3" s="3" t="s">
        <v>7</v>
      </c>
      <c r="J3" s="20"/>
      <c r="K3" s="57"/>
      <c r="L3" s="57"/>
    </row>
    <row r="4" spans="1:12" ht="52" x14ac:dyDescent="0.3">
      <c r="A4" s="118"/>
      <c r="B4" s="58" t="s">
        <v>75</v>
      </c>
      <c r="C4" s="58" t="s">
        <v>76</v>
      </c>
      <c r="D4" s="58" t="s">
        <v>77</v>
      </c>
      <c r="E4" s="58" t="s">
        <v>78</v>
      </c>
      <c r="F4" s="58" t="s">
        <v>79</v>
      </c>
      <c r="G4" s="58" t="s">
        <v>80</v>
      </c>
      <c r="H4" s="58" t="s">
        <v>81</v>
      </c>
      <c r="I4" s="58" t="s">
        <v>82</v>
      </c>
      <c r="J4" s="1"/>
      <c r="K4" s="43"/>
      <c r="L4" s="43"/>
    </row>
    <row r="5" spans="1:12" x14ac:dyDescent="0.3">
      <c r="A5" s="21" t="s">
        <v>147</v>
      </c>
      <c r="B5" s="3" t="s">
        <v>12</v>
      </c>
      <c r="C5" s="3"/>
      <c r="D5" s="3"/>
      <c r="E5" s="3"/>
      <c r="F5" s="3"/>
      <c r="G5" s="3"/>
      <c r="H5" s="3"/>
      <c r="I5" s="3"/>
      <c r="J5" s="1"/>
      <c r="K5" s="121" t="s">
        <v>69</v>
      </c>
      <c r="L5" s="121"/>
    </row>
    <row r="6" spans="1:12" x14ac:dyDescent="0.3">
      <c r="A6" s="21" t="s">
        <v>146</v>
      </c>
      <c r="B6" s="3" t="s">
        <v>12</v>
      </c>
      <c r="C6" s="3"/>
      <c r="D6" s="3"/>
      <c r="E6" s="3"/>
      <c r="F6" s="3"/>
      <c r="G6" s="3"/>
      <c r="H6" s="3"/>
      <c r="I6" s="3"/>
      <c r="J6" s="1"/>
      <c r="K6" s="102" t="s">
        <v>70</v>
      </c>
      <c r="L6" s="103">
        <v>153.55000000000001</v>
      </c>
    </row>
    <row r="7" spans="1:12" ht="27.75" customHeight="1" x14ac:dyDescent="0.3">
      <c r="A7" s="21" t="s">
        <v>145</v>
      </c>
      <c r="B7" s="3" t="s">
        <v>12</v>
      </c>
      <c r="C7" s="3"/>
      <c r="D7" s="3"/>
      <c r="E7" s="3"/>
      <c r="F7" s="3"/>
      <c r="G7" s="3"/>
      <c r="H7" s="3"/>
      <c r="I7" s="3"/>
      <c r="J7" s="1"/>
      <c r="K7" s="102" t="s">
        <v>71</v>
      </c>
      <c r="L7" s="103">
        <v>122.2</v>
      </c>
    </row>
    <row r="8" spans="1:12" x14ac:dyDescent="0.3">
      <c r="A8" s="21" t="s">
        <v>144</v>
      </c>
      <c r="B8" s="4"/>
      <c r="C8" s="4"/>
      <c r="D8" s="4"/>
      <c r="E8" s="4"/>
      <c r="F8" s="4"/>
      <c r="G8" s="4"/>
      <c r="H8" s="4"/>
      <c r="I8" s="4"/>
      <c r="J8" s="1"/>
      <c r="K8" s="102" t="s">
        <v>72</v>
      </c>
      <c r="L8" s="103">
        <v>61.51</v>
      </c>
    </row>
    <row r="9" spans="1:12" x14ac:dyDescent="0.3">
      <c r="A9" s="67" t="s">
        <v>143</v>
      </c>
      <c r="B9" s="4"/>
      <c r="C9" s="4"/>
      <c r="D9" s="4"/>
      <c r="E9" s="4"/>
      <c r="F9" s="4"/>
      <c r="G9" s="4"/>
      <c r="H9" s="4"/>
      <c r="I9" s="4"/>
      <c r="J9" s="1"/>
      <c r="K9" s="44"/>
      <c r="L9" s="45"/>
    </row>
    <row r="10" spans="1:12" x14ac:dyDescent="0.3">
      <c r="A10" s="22" t="s">
        <v>13</v>
      </c>
      <c r="B10" s="4">
        <v>25</v>
      </c>
      <c r="C10" s="4">
        <v>1</v>
      </c>
      <c r="D10" s="4">
        <f>B10*C10</f>
        <v>25</v>
      </c>
      <c r="E10" s="4">
        <v>0</v>
      </c>
      <c r="F10" s="4">
        <f>D10*E10</f>
        <v>0</v>
      </c>
      <c r="G10" s="4">
        <f>F10*0.05</f>
        <v>0</v>
      </c>
      <c r="H10" s="4">
        <f>F10*0.1</f>
        <v>0</v>
      </c>
      <c r="I10" s="34">
        <f>F10*$L$7+G10*$L$6+H10*$L$8</f>
        <v>0</v>
      </c>
      <c r="J10" s="1"/>
      <c r="K10" s="8"/>
      <c r="L10" s="8"/>
    </row>
    <row r="11" spans="1:12" x14ac:dyDescent="0.3">
      <c r="A11" s="105" t="s">
        <v>14</v>
      </c>
      <c r="B11" s="110">
        <v>1</v>
      </c>
      <c r="C11" s="5">
        <v>1</v>
      </c>
      <c r="D11" s="71">
        <f>B11*C11</f>
        <v>1</v>
      </c>
      <c r="E11" s="23">
        <v>8</v>
      </c>
      <c r="F11" s="71">
        <f>D11*E11</f>
        <v>8</v>
      </c>
      <c r="G11" s="66">
        <f>F11*0.05</f>
        <v>0.4</v>
      </c>
      <c r="H11" s="66">
        <f>F11*0.1</f>
        <v>0.8</v>
      </c>
      <c r="I11" s="6">
        <f>F11*$L$7+G11*$L$6+H11*$L$8</f>
        <v>1088.2280000000001</v>
      </c>
      <c r="J11" s="7"/>
      <c r="K11" s="8"/>
      <c r="L11" s="8"/>
    </row>
    <row r="12" spans="1:12" x14ac:dyDescent="0.3">
      <c r="A12" s="68" t="s">
        <v>148</v>
      </c>
      <c r="B12" s="4"/>
      <c r="C12" s="4"/>
      <c r="D12" s="4"/>
      <c r="E12" s="4"/>
      <c r="F12" s="4"/>
      <c r="G12" s="4"/>
      <c r="H12" s="4"/>
      <c r="I12" s="24"/>
      <c r="J12" s="1"/>
      <c r="K12" s="1"/>
      <c r="L12" s="1"/>
    </row>
    <row r="13" spans="1:12" ht="15.5" x14ac:dyDescent="0.3">
      <c r="A13" s="22" t="s">
        <v>139</v>
      </c>
      <c r="B13" s="4"/>
      <c r="C13" s="4"/>
      <c r="D13" s="4"/>
      <c r="E13" s="4"/>
      <c r="F13" s="4"/>
      <c r="G13" s="4"/>
      <c r="H13" s="4"/>
      <c r="I13" s="24"/>
      <c r="J13" s="1"/>
      <c r="K13" s="8"/>
      <c r="L13" s="8"/>
    </row>
    <row r="14" spans="1:12" x14ac:dyDescent="0.3">
      <c r="A14" s="69" t="s">
        <v>140</v>
      </c>
      <c r="B14" s="4">
        <v>24</v>
      </c>
      <c r="C14" s="4">
        <v>1</v>
      </c>
      <c r="D14" s="4">
        <f>B14*C14</f>
        <v>24</v>
      </c>
      <c r="E14" s="4">
        <f>E$10</f>
        <v>0</v>
      </c>
      <c r="F14" s="4">
        <f>D14*E14</f>
        <v>0</v>
      </c>
      <c r="G14" s="4">
        <f>F14*0.05</f>
        <v>0</v>
      </c>
      <c r="H14" s="4">
        <f>F14*0.1</f>
        <v>0</v>
      </c>
      <c r="I14" s="35">
        <f>F14*$L$7+G14*$L$6+H14*$L$8</f>
        <v>0</v>
      </c>
      <c r="J14" s="1"/>
      <c r="K14" s="1"/>
      <c r="L14" s="1"/>
    </row>
    <row r="15" spans="1:12" ht="15.5" x14ac:dyDescent="0.3">
      <c r="A15" s="69" t="s">
        <v>141</v>
      </c>
      <c r="B15" s="4">
        <v>24</v>
      </c>
      <c r="C15" s="25">
        <v>0.2</v>
      </c>
      <c r="D15" s="4">
        <f t="shared" ref="D15" si="0">B15*C15</f>
        <v>4.8000000000000007</v>
      </c>
      <c r="E15" s="4">
        <f>E$10</f>
        <v>0</v>
      </c>
      <c r="F15" s="4">
        <f t="shared" ref="F15" si="1">D15*E15</f>
        <v>0</v>
      </c>
      <c r="G15" s="4">
        <f t="shared" ref="G15" si="2">F15*0.05</f>
        <v>0</v>
      </c>
      <c r="H15" s="4">
        <f t="shared" ref="H15" si="3">F15*0.1</f>
        <v>0</v>
      </c>
      <c r="I15" s="35">
        <f>F15*$L$7+G15*$L$6+H15*$L$8</f>
        <v>0</v>
      </c>
      <c r="J15" s="9"/>
      <c r="K15" s="1"/>
      <c r="L15" s="1"/>
    </row>
    <row r="16" spans="1:12" x14ac:dyDescent="0.3">
      <c r="A16" s="22" t="s">
        <v>14</v>
      </c>
      <c r="B16" s="4"/>
      <c r="C16" s="4"/>
      <c r="D16" s="4"/>
      <c r="E16" s="4"/>
      <c r="F16" s="4"/>
      <c r="G16" s="4"/>
      <c r="H16" s="4"/>
      <c r="I16" s="35"/>
      <c r="J16" s="1"/>
      <c r="K16" s="1"/>
      <c r="L16" s="1"/>
    </row>
    <row r="17" spans="1:12" ht="15.5" x14ac:dyDescent="0.3">
      <c r="A17" s="69" t="s">
        <v>142</v>
      </c>
      <c r="B17" s="26" t="s">
        <v>15</v>
      </c>
      <c r="C17" s="4"/>
      <c r="D17" s="4"/>
      <c r="E17" s="4"/>
      <c r="F17" s="4"/>
      <c r="G17" s="4"/>
      <c r="H17" s="4"/>
      <c r="I17" s="35"/>
      <c r="J17" s="9"/>
      <c r="K17" s="1"/>
      <c r="L17" s="1"/>
    </row>
    <row r="18" spans="1:12" ht="15.5" x14ac:dyDescent="0.3">
      <c r="A18" s="69" t="s">
        <v>171</v>
      </c>
      <c r="B18" s="25">
        <v>24</v>
      </c>
      <c r="C18" s="4">
        <v>1</v>
      </c>
      <c r="D18" s="4">
        <f t="shared" ref="D18" si="4">B18*C18</f>
        <v>24</v>
      </c>
      <c r="E18" s="111">
        <v>1</v>
      </c>
      <c r="F18" s="71">
        <f t="shared" ref="F18" si="5">D18*E18</f>
        <v>24</v>
      </c>
      <c r="G18" s="66">
        <f t="shared" ref="G18" si="6">F18*0.05</f>
        <v>1.2000000000000002</v>
      </c>
      <c r="H18" s="66">
        <f t="shared" ref="H18" si="7">F18*0.1</f>
        <v>2.4000000000000004</v>
      </c>
      <c r="I18" s="35">
        <f>F18*$L$7+G18*$L$6+H18*$L$8</f>
        <v>3264.6840000000002</v>
      </c>
      <c r="J18" s="9"/>
      <c r="K18" s="1"/>
      <c r="L18" s="1"/>
    </row>
    <row r="19" spans="1:12" x14ac:dyDescent="0.3">
      <c r="A19" s="68" t="s">
        <v>149</v>
      </c>
      <c r="B19" s="26" t="s">
        <v>16</v>
      </c>
      <c r="C19" s="26"/>
      <c r="D19" s="4"/>
      <c r="E19" s="4"/>
      <c r="F19" s="4"/>
      <c r="G19" s="4"/>
      <c r="H19" s="4"/>
      <c r="I19" s="35"/>
      <c r="J19" s="1"/>
      <c r="K19" s="1"/>
      <c r="L19" s="1"/>
    </row>
    <row r="20" spans="1:12" ht="15.5" x14ac:dyDescent="0.3">
      <c r="A20" s="68" t="s">
        <v>150</v>
      </c>
      <c r="B20" s="4"/>
      <c r="C20" s="4"/>
      <c r="D20" s="4"/>
      <c r="E20" s="4"/>
      <c r="F20" s="4"/>
      <c r="G20" s="4"/>
      <c r="H20" s="4"/>
      <c r="I20" s="35"/>
      <c r="J20" s="1"/>
      <c r="K20" s="1"/>
      <c r="L20" s="1"/>
    </row>
    <row r="21" spans="1:12" x14ac:dyDescent="0.3">
      <c r="A21" s="22" t="s">
        <v>156</v>
      </c>
      <c r="B21" s="4">
        <v>4</v>
      </c>
      <c r="C21" s="4">
        <v>1</v>
      </c>
      <c r="D21" s="4">
        <f t="shared" ref="D21:D29" si="8">B21*C21</f>
        <v>4</v>
      </c>
      <c r="E21" s="4">
        <f t="shared" ref="E21:E25" si="9">E$10</f>
        <v>0</v>
      </c>
      <c r="F21" s="4">
        <f t="shared" ref="F21:F25" si="10">D21*E21</f>
        <v>0</v>
      </c>
      <c r="G21" s="4">
        <f t="shared" ref="G21:G29" si="11">F21*0.05</f>
        <v>0</v>
      </c>
      <c r="H21" s="4">
        <f t="shared" ref="H21:H25" si="12">F21*0.1</f>
        <v>0</v>
      </c>
      <c r="I21" s="35">
        <f>F21*$L$7+G21*$L$6+H21*$L$8</f>
        <v>0</v>
      </c>
      <c r="J21" s="1"/>
      <c r="K21" s="1"/>
      <c r="L21" s="1"/>
    </row>
    <row r="22" spans="1:12" ht="26" x14ac:dyDescent="0.3">
      <c r="A22" s="22" t="s">
        <v>155</v>
      </c>
      <c r="B22" s="4">
        <v>4</v>
      </c>
      <c r="C22" s="4">
        <v>1</v>
      </c>
      <c r="D22" s="4">
        <f t="shared" si="8"/>
        <v>4</v>
      </c>
      <c r="E22" s="4">
        <f t="shared" si="9"/>
        <v>0</v>
      </c>
      <c r="F22" s="4">
        <f t="shared" si="10"/>
        <v>0</v>
      </c>
      <c r="G22" s="4">
        <f t="shared" si="11"/>
        <v>0</v>
      </c>
      <c r="H22" s="4">
        <f t="shared" si="12"/>
        <v>0</v>
      </c>
      <c r="I22" s="35">
        <f>F22*$L$7+G22*$L$6+H22*$L$8</f>
        <v>0</v>
      </c>
      <c r="J22" s="1"/>
      <c r="K22" s="1"/>
      <c r="L22" s="1"/>
    </row>
    <row r="23" spans="1:12" ht="15.5" x14ac:dyDescent="0.3">
      <c r="A23" s="22" t="s">
        <v>154</v>
      </c>
      <c r="B23" s="4">
        <v>4</v>
      </c>
      <c r="C23" s="4">
        <v>1</v>
      </c>
      <c r="D23" s="4">
        <f t="shared" si="8"/>
        <v>4</v>
      </c>
      <c r="E23" s="4">
        <f t="shared" si="9"/>
        <v>0</v>
      </c>
      <c r="F23" s="4">
        <f t="shared" si="10"/>
        <v>0</v>
      </c>
      <c r="G23" s="4">
        <f t="shared" si="11"/>
        <v>0</v>
      </c>
      <c r="H23" s="4">
        <f t="shared" si="12"/>
        <v>0</v>
      </c>
      <c r="I23" s="35">
        <f>F23*$L$7+G23*$L$6+H23*$L$8</f>
        <v>0</v>
      </c>
      <c r="J23" s="1"/>
      <c r="K23" s="1"/>
      <c r="L23" s="1"/>
    </row>
    <row r="24" spans="1:12" x14ac:dyDescent="0.3">
      <c r="A24" s="22" t="s">
        <v>153</v>
      </c>
      <c r="B24" s="4">
        <v>4</v>
      </c>
      <c r="C24" s="4">
        <v>1</v>
      </c>
      <c r="D24" s="4">
        <f t="shared" si="8"/>
        <v>4</v>
      </c>
      <c r="E24" s="4">
        <f t="shared" si="9"/>
        <v>0</v>
      </c>
      <c r="F24" s="4">
        <f t="shared" si="10"/>
        <v>0</v>
      </c>
      <c r="G24" s="4">
        <f t="shared" si="11"/>
        <v>0</v>
      </c>
      <c r="H24" s="4">
        <f t="shared" si="12"/>
        <v>0</v>
      </c>
      <c r="I24" s="35">
        <f>F24*$L$7+G24*$L$6+H24*$L$8</f>
        <v>0</v>
      </c>
      <c r="J24" s="1"/>
      <c r="K24" s="1"/>
      <c r="L24" s="1"/>
    </row>
    <row r="25" spans="1:12" x14ac:dyDescent="0.3">
      <c r="A25" s="22" t="s">
        <v>152</v>
      </c>
      <c r="B25" s="4">
        <v>4</v>
      </c>
      <c r="C25" s="4">
        <v>1</v>
      </c>
      <c r="D25" s="4">
        <f t="shared" si="8"/>
        <v>4</v>
      </c>
      <c r="E25" s="4">
        <f t="shared" si="9"/>
        <v>0</v>
      </c>
      <c r="F25" s="4">
        <f t="shared" si="10"/>
        <v>0</v>
      </c>
      <c r="G25" s="4">
        <f t="shared" si="11"/>
        <v>0</v>
      </c>
      <c r="H25" s="4">
        <f t="shared" si="12"/>
        <v>0</v>
      </c>
      <c r="I25" s="35">
        <f>F25*$L$7+G25*$L$6+H25*$L$8</f>
        <v>0</v>
      </c>
      <c r="J25" s="1"/>
      <c r="K25" s="1"/>
      <c r="L25" s="1"/>
    </row>
    <row r="26" spans="1:12" x14ac:dyDescent="0.3">
      <c r="A26" s="22" t="s">
        <v>151</v>
      </c>
      <c r="B26" s="26" t="s">
        <v>17</v>
      </c>
      <c r="C26" s="26"/>
      <c r="D26" s="4"/>
      <c r="E26" s="4"/>
      <c r="F26" s="4"/>
      <c r="G26" s="4"/>
      <c r="H26" s="4"/>
      <c r="I26" s="24"/>
      <c r="J26" s="7"/>
      <c r="K26" s="1"/>
      <c r="L26" s="1"/>
    </row>
    <row r="27" spans="1:12" ht="15.5" x14ac:dyDescent="0.3">
      <c r="A27" s="70" t="s">
        <v>174</v>
      </c>
      <c r="B27" s="112">
        <f>B25</f>
        <v>4</v>
      </c>
      <c r="C27" s="54">
        <f>C18</f>
        <v>1</v>
      </c>
      <c r="D27" s="74">
        <f t="shared" ref="D27" si="13">B27*C27</f>
        <v>4</v>
      </c>
      <c r="E27" s="111">
        <f>E18</f>
        <v>1</v>
      </c>
      <c r="F27" s="4">
        <f t="shared" ref="F27" si="14">D27*E27</f>
        <v>4</v>
      </c>
      <c r="G27" s="4">
        <f t="shared" ref="G27" si="15">F27*0.05</f>
        <v>0.2</v>
      </c>
      <c r="H27" s="4">
        <f t="shared" ref="H27" si="16">F27*0.1</f>
        <v>0.4</v>
      </c>
      <c r="I27" s="35">
        <f>F27*$L$7+G27*$L$6+H27*$L$8</f>
        <v>544.11400000000003</v>
      </c>
      <c r="J27" s="9"/>
      <c r="K27" s="1"/>
      <c r="L27" s="1"/>
    </row>
    <row r="28" spans="1:12" ht="15.5" x14ac:dyDescent="0.3">
      <c r="A28" s="70" t="s">
        <v>173</v>
      </c>
      <c r="B28" s="55" t="s">
        <v>17</v>
      </c>
      <c r="C28" s="55"/>
      <c r="D28" s="54"/>
      <c r="E28" s="4"/>
      <c r="F28" s="4"/>
      <c r="G28" s="4"/>
      <c r="H28" s="4"/>
      <c r="I28" s="24"/>
      <c r="J28" s="9"/>
      <c r="K28" s="1"/>
      <c r="L28" s="1"/>
    </row>
    <row r="29" spans="1:12" ht="15.5" x14ac:dyDescent="0.3">
      <c r="A29" s="22" t="s">
        <v>157</v>
      </c>
      <c r="B29" s="4">
        <v>12</v>
      </c>
      <c r="C29" s="4">
        <v>2</v>
      </c>
      <c r="D29" s="4">
        <f t="shared" si="8"/>
        <v>24</v>
      </c>
      <c r="E29" s="25">
        <f>E$11</f>
        <v>8</v>
      </c>
      <c r="F29" s="4">
        <f t="shared" ref="F29" si="17">D29*E29</f>
        <v>192</v>
      </c>
      <c r="G29" s="4">
        <f t="shared" si="11"/>
        <v>9.6000000000000014</v>
      </c>
      <c r="H29" s="4">
        <f t="shared" ref="H29" si="18">F29*0.1</f>
        <v>19.200000000000003</v>
      </c>
      <c r="I29" s="6">
        <f>F29*$L$7+G29*$L$6+H29*$L$8</f>
        <v>26117.472000000002</v>
      </c>
      <c r="J29" s="1"/>
      <c r="K29" s="1"/>
      <c r="L29" s="1"/>
    </row>
    <row r="30" spans="1:12" x14ac:dyDescent="0.3">
      <c r="A30" s="124" t="s">
        <v>18</v>
      </c>
      <c r="B30" s="124"/>
      <c r="C30" s="124"/>
      <c r="D30" s="124"/>
      <c r="E30" s="124"/>
      <c r="F30" s="122">
        <f>SUM(F10:H29)</f>
        <v>262.2</v>
      </c>
      <c r="G30" s="122"/>
      <c r="H30" s="122"/>
      <c r="I30" s="38">
        <f>SUM(I10:I29)</f>
        <v>31014.498</v>
      </c>
      <c r="J30" s="1"/>
      <c r="K30" s="1"/>
      <c r="L30" s="1"/>
    </row>
    <row r="31" spans="1:12" x14ac:dyDescent="0.3">
      <c r="A31" s="21" t="s">
        <v>19</v>
      </c>
      <c r="B31" s="4"/>
      <c r="C31" s="4"/>
      <c r="D31" s="4"/>
      <c r="E31" s="4"/>
      <c r="F31" s="4"/>
      <c r="G31" s="4"/>
      <c r="H31" s="4"/>
      <c r="I31" s="4"/>
      <c r="J31" s="1"/>
      <c r="K31" s="1"/>
      <c r="L31" s="1"/>
    </row>
    <row r="32" spans="1:12" x14ac:dyDescent="0.3">
      <c r="A32" s="68" t="s">
        <v>158</v>
      </c>
      <c r="B32" s="26" t="s">
        <v>20</v>
      </c>
      <c r="C32" s="26"/>
      <c r="D32" s="4"/>
      <c r="E32" s="4"/>
      <c r="F32" s="4"/>
      <c r="G32" s="4"/>
      <c r="H32" s="4"/>
      <c r="I32" s="4"/>
      <c r="J32" s="1"/>
      <c r="K32" s="1"/>
      <c r="L32" s="1"/>
    </row>
    <row r="33" spans="1:12" x14ac:dyDescent="0.3">
      <c r="A33" s="68" t="s">
        <v>159</v>
      </c>
      <c r="B33" s="4">
        <v>10</v>
      </c>
      <c r="C33" s="4">
        <v>1</v>
      </c>
      <c r="D33" s="4">
        <f t="shared" ref="D33" si="19">B33*C33</f>
        <v>10</v>
      </c>
      <c r="E33" s="4">
        <f>E$10</f>
        <v>0</v>
      </c>
      <c r="F33" s="4">
        <f t="shared" ref="F33" si="20">D33*E33</f>
        <v>0</v>
      </c>
      <c r="G33" s="4">
        <f t="shared" ref="G33" si="21">F33*0.05</f>
        <v>0</v>
      </c>
      <c r="H33" s="4">
        <f t="shared" ref="H33" si="22">F33*0.1</f>
        <v>0</v>
      </c>
      <c r="I33" s="34">
        <f>F33*$L$7+G33*$L$6+H33*$L$8</f>
        <v>0</v>
      </c>
      <c r="J33" s="1"/>
      <c r="K33" s="1"/>
      <c r="L33" s="1"/>
    </row>
    <row r="34" spans="1:12" x14ac:dyDescent="0.3">
      <c r="A34" s="68" t="s">
        <v>160</v>
      </c>
      <c r="B34" s="26" t="s">
        <v>21</v>
      </c>
      <c r="C34" s="26"/>
      <c r="D34" s="4"/>
      <c r="E34" s="4"/>
      <c r="F34" s="4"/>
      <c r="G34" s="4"/>
      <c r="H34" s="4"/>
      <c r="I34" s="24"/>
      <c r="J34" s="1"/>
      <c r="K34" s="1"/>
      <c r="L34" s="1"/>
    </row>
    <row r="35" spans="1:12" ht="15.5" x14ac:dyDescent="0.3">
      <c r="A35" s="68" t="s">
        <v>161</v>
      </c>
      <c r="B35" s="4" t="s">
        <v>22</v>
      </c>
      <c r="C35" s="4"/>
      <c r="D35" s="4"/>
      <c r="E35" s="4"/>
      <c r="F35" s="4"/>
      <c r="G35" s="4"/>
      <c r="H35" s="4"/>
      <c r="I35" s="24"/>
      <c r="J35" s="7"/>
      <c r="K35" s="1"/>
      <c r="L35" s="1"/>
    </row>
    <row r="36" spans="1:12" x14ac:dyDescent="0.3">
      <c r="A36" s="68" t="s">
        <v>177</v>
      </c>
      <c r="B36" s="4"/>
      <c r="C36" s="4"/>
      <c r="D36" s="4"/>
      <c r="E36" s="4"/>
      <c r="F36" s="4"/>
      <c r="G36" s="4"/>
      <c r="H36" s="4"/>
      <c r="I36" s="24"/>
      <c r="J36" s="7"/>
      <c r="K36" s="1"/>
      <c r="L36" s="1"/>
    </row>
    <row r="37" spans="1:12" x14ac:dyDescent="0.3">
      <c r="A37" s="22" t="s">
        <v>162</v>
      </c>
      <c r="B37" s="4">
        <v>4</v>
      </c>
      <c r="C37" s="4">
        <v>1</v>
      </c>
      <c r="D37" s="4">
        <f t="shared" ref="D37:D43" si="23">B37*C37</f>
        <v>4</v>
      </c>
      <c r="E37" s="4">
        <f>E$10</f>
        <v>0</v>
      </c>
      <c r="F37" s="4">
        <f t="shared" ref="F37:F43" si="24">D37*E37</f>
        <v>0</v>
      </c>
      <c r="G37" s="4">
        <f t="shared" ref="G37:G43" si="25">F37*0.05</f>
        <v>0</v>
      </c>
      <c r="H37" s="4">
        <f t="shared" ref="H37:H43" si="26">F37*0.1</f>
        <v>0</v>
      </c>
      <c r="I37" s="34">
        <f t="shared" ref="I37:I43" si="27">F37*$L$7+G37*$L$6+H37*$L$8</f>
        <v>0</v>
      </c>
      <c r="J37" s="7"/>
      <c r="K37" s="1"/>
      <c r="L37" s="1"/>
    </row>
    <row r="38" spans="1:12" ht="15.5" x14ac:dyDescent="0.3">
      <c r="A38" s="70" t="s">
        <v>172</v>
      </c>
      <c r="B38" s="112">
        <f>B37</f>
        <v>4</v>
      </c>
      <c r="C38" s="54">
        <f>C18</f>
        <v>1</v>
      </c>
      <c r="D38" s="74">
        <f t="shared" si="23"/>
        <v>4</v>
      </c>
      <c r="E38" s="111">
        <f>E18</f>
        <v>1</v>
      </c>
      <c r="F38" s="4">
        <f t="shared" si="24"/>
        <v>4</v>
      </c>
      <c r="G38" s="4">
        <f t="shared" si="25"/>
        <v>0.2</v>
      </c>
      <c r="H38" s="4">
        <f t="shared" si="26"/>
        <v>0.4</v>
      </c>
      <c r="I38" s="35">
        <f t="shared" si="27"/>
        <v>544.11400000000003</v>
      </c>
      <c r="J38" s="7"/>
      <c r="K38" s="1"/>
      <c r="L38" s="1"/>
    </row>
    <row r="39" spans="1:12" ht="15.5" x14ac:dyDescent="0.3">
      <c r="A39" s="22" t="s">
        <v>178</v>
      </c>
      <c r="B39" s="4">
        <v>1</v>
      </c>
      <c r="C39" s="4">
        <v>365</v>
      </c>
      <c r="D39" s="4">
        <f t="shared" si="23"/>
        <v>365</v>
      </c>
      <c r="E39" s="25">
        <f>E$11</f>
        <v>8</v>
      </c>
      <c r="F39" s="27">
        <f t="shared" si="24"/>
        <v>2920</v>
      </c>
      <c r="G39" s="4">
        <f t="shared" si="25"/>
        <v>146</v>
      </c>
      <c r="H39" s="4">
        <f t="shared" si="26"/>
        <v>292</v>
      </c>
      <c r="I39" s="6">
        <f t="shared" si="27"/>
        <v>397203.22</v>
      </c>
      <c r="J39" s="1"/>
      <c r="K39" s="1"/>
      <c r="L39" s="1"/>
    </row>
    <row r="40" spans="1:12" ht="15.5" x14ac:dyDescent="0.3">
      <c r="A40" s="79" t="s">
        <v>205</v>
      </c>
      <c r="B40" s="4">
        <v>2</v>
      </c>
      <c r="C40" s="4">
        <v>1</v>
      </c>
      <c r="D40" s="4">
        <f t="shared" si="23"/>
        <v>2</v>
      </c>
      <c r="E40" s="25">
        <v>1</v>
      </c>
      <c r="F40" s="4">
        <f t="shared" si="24"/>
        <v>2</v>
      </c>
      <c r="G40" s="4">
        <f t="shared" si="25"/>
        <v>0.1</v>
      </c>
      <c r="H40" s="4">
        <f t="shared" si="26"/>
        <v>0.2</v>
      </c>
      <c r="I40" s="6">
        <f t="shared" si="27"/>
        <v>272.05700000000002</v>
      </c>
      <c r="J40" s="1"/>
      <c r="K40" s="1"/>
      <c r="L40" s="1"/>
    </row>
    <row r="41" spans="1:12" ht="18.75" customHeight="1" x14ac:dyDescent="0.3">
      <c r="A41" s="22" t="s">
        <v>179</v>
      </c>
      <c r="B41" s="4">
        <v>4</v>
      </c>
      <c r="C41" s="4">
        <v>5</v>
      </c>
      <c r="D41" s="4">
        <f t="shared" si="23"/>
        <v>20</v>
      </c>
      <c r="E41" s="25">
        <f t="shared" ref="E41:E42" si="28">E$11</f>
        <v>8</v>
      </c>
      <c r="F41" s="4">
        <f t="shared" si="24"/>
        <v>160</v>
      </c>
      <c r="G41" s="4">
        <f t="shared" si="25"/>
        <v>8</v>
      </c>
      <c r="H41" s="4">
        <f t="shared" si="26"/>
        <v>16</v>
      </c>
      <c r="I41" s="6">
        <f t="shared" si="27"/>
        <v>21764.560000000001</v>
      </c>
      <c r="J41" s="1"/>
      <c r="K41" s="1"/>
      <c r="L41" s="1"/>
    </row>
    <row r="42" spans="1:12" x14ac:dyDescent="0.3">
      <c r="A42" s="22" t="s">
        <v>163</v>
      </c>
      <c r="B42" s="4">
        <v>20</v>
      </c>
      <c r="C42" s="4">
        <v>1</v>
      </c>
      <c r="D42" s="4">
        <f t="shared" si="23"/>
        <v>20</v>
      </c>
      <c r="E42" s="25">
        <f t="shared" si="28"/>
        <v>8</v>
      </c>
      <c r="F42" s="4">
        <f t="shared" si="24"/>
        <v>160</v>
      </c>
      <c r="G42" s="4">
        <f t="shared" si="25"/>
        <v>8</v>
      </c>
      <c r="H42" s="4">
        <f t="shared" si="26"/>
        <v>16</v>
      </c>
      <c r="I42" s="6">
        <f t="shared" si="27"/>
        <v>21764.560000000001</v>
      </c>
      <c r="J42" s="9"/>
      <c r="K42" s="1"/>
      <c r="L42" s="1"/>
    </row>
    <row r="43" spans="1:12" ht="15.5" x14ac:dyDescent="0.3">
      <c r="A43" s="68" t="s">
        <v>180</v>
      </c>
      <c r="B43" s="4">
        <v>16</v>
      </c>
      <c r="C43" s="4">
        <v>1</v>
      </c>
      <c r="D43" s="4">
        <f t="shared" si="23"/>
        <v>16</v>
      </c>
      <c r="E43" s="4">
        <f>E$10</f>
        <v>0</v>
      </c>
      <c r="F43" s="4">
        <f t="shared" si="24"/>
        <v>0</v>
      </c>
      <c r="G43" s="4">
        <f t="shared" si="25"/>
        <v>0</v>
      </c>
      <c r="H43" s="4">
        <f t="shared" si="26"/>
        <v>0</v>
      </c>
      <c r="I43" s="34">
        <f t="shared" si="27"/>
        <v>0</v>
      </c>
      <c r="K43" s="1"/>
      <c r="L43" s="1"/>
    </row>
    <row r="44" spans="1:12" x14ac:dyDescent="0.3">
      <c r="A44" s="68" t="s">
        <v>23</v>
      </c>
      <c r="B44" s="4" t="s">
        <v>12</v>
      </c>
      <c r="C44" s="4"/>
      <c r="D44" s="4"/>
      <c r="E44" s="4"/>
      <c r="F44" s="4"/>
      <c r="G44" s="4"/>
      <c r="H44" s="4"/>
      <c r="I44" s="24"/>
      <c r="J44" s="8"/>
      <c r="K44" s="1"/>
      <c r="L44" s="1"/>
    </row>
    <row r="45" spans="1:12" x14ac:dyDescent="0.3">
      <c r="A45" s="124" t="s">
        <v>24</v>
      </c>
      <c r="B45" s="124"/>
      <c r="C45" s="124"/>
      <c r="D45" s="124"/>
      <c r="E45" s="124"/>
      <c r="F45" s="122">
        <f>SUM(F33:H43)</f>
        <v>3732.8999999999996</v>
      </c>
      <c r="G45" s="122"/>
      <c r="H45" s="122"/>
      <c r="I45" s="38">
        <f>SUM(I37:I43)</f>
        <v>441548.51099999994</v>
      </c>
      <c r="K45" s="31">
        <f>F46/'Capital and O&amp;M'!E15</f>
        <v>222.22222222222223</v>
      </c>
      <c r="L45" s="1"/>
    </row>
    <row r="46" spans="1:12" ht="15" x14ac:dyDescent="0.3">
      <c r="A46" s="40" t="s">
        <v>202</v>
      </c>
      <c r="B46" s="10"/>
      <c r="C46" s="10"/>
      <c r="D46" s="10"/>
      <c r="E46" s="10"/>
      <c r="F46" s="123">
        <f>ROUND(F30+F45, -1)</f>
        <v>4000</v>
      </c>
      <c r="G46" s="123"/>
      <c r="H46" s="123"/>
      <c r="I46" s="28">
        <f>ROUND(I30+I45, -3)</f>
        <v>473000</v>
      </c>
      <c r="J46" s="1"/>
      <c r="K46" s="8"/>
      <c r="L46" s="1"/>
    </row>
    <row r="47" spans="1:12" ht="15" x14ac:dyDescent="0.3">
      <c r="A47" s="29" t="s">
        <v>203</v>
      </c>
      <c r="B47" s="11"/>
      <c r="C47" s="11"/>
      <c r="D47" s="11"/>
      <c r="E47" s="11"/>
      <c r="F47" s="11"/>
      <c r="G47" s="11"/>
      <c r="H47" s="11"/>
      <c r="I47" s="101">
        <f>'Capital and O&amp;M'!G31</f>
        <v>84900</v>
      </c>
      <c r="J47" s="1"/>
      <c r="K47" s="8" t="s">
        <v>25</v>
      </c>
      <c r="L47" s="8"/>
    </row>
    <row r="48" spans="1:12" ht="15" x14ac:dyDescent="0.3">
      <c r="A48" s="29" t="s">
        <v>204</v>
      </c>
      <c r="B48" s="11"/>
      <c r="C48" s="11"/>
      <c r="D48" s="11"/>
      <c r="E48" s="11"/>
      <c r="F48" s="11"/>
      <c r="G48" s="11"/>
      <c r="H48" s="11"/>
      <c r="I48" s="30">
        <f>ROUND(I46+I47, -3)</f>
        <v>558000</v>
      </c>
      <c r="J48" s="1"/>
      <c r="K48" s="1"/>
      <c r="L48" s="1"/>
    </row>
    <row r="49" spans="1:12" ht="27" customHeight="1" x14ac:dyDescent="0.3">
      <c r="A49" s="106" t="s">
        <v>26</v>
      </c>
      <c r="B49" s="49"/>
      <c r="C49" s="49"/>
      <c r="D49" s="49"/>
      <c r="E49" s="49"/>
      <c r="F49" s="49"/>
      <c r="G49" s="49"/>
      <c r="H49" s="49"/>
      <c r="I49" s="49"/>
      <c r="J49" s="1"/>
      <c r="K49" s="1"/>
      <c r="L49" s="1"/>
    </row>
    <row r="50" spans="1:12" ht="34.5" customHeight="1" x14ac:dyDescent="0.3">
      <c r="A50" s="115" t="s">
        <v>212</v>
      </c>
      <c r="B50" s="116"/>
      <c r="C50" s="116"/>
      <c r="D50" s="116"/>
      <c r="E50" s="116"/>
      <c r="F50" s="116"/>
      <c r="G50" s="116"/>
      <c r="H50" s="116"/>
      <c r="I50" s="116"/>
      <c r="J50" s="1"/>
      <c r="K50" s="1"/>
      <c r="L50" s="1"/>
    </row>
    <row r="51" spans="1:12" ht="59.25" customHeight="1" x14ac:dyDescent="0.3">
      <c r="A51" s="119" t="s">
        <v>68</v>
      </c>
      <c r="B51" s="120"/>
      <c r="C51" s="120"/>
      <c r="D51" s="120"/>
      <c r="E51" s="120"/>
      <c r="F51" s="120"/>
      <c r="G51" s="120"/>
      <c r="H51" s="120"/>
      <c r="I51" s="120"/>
      <c r="J51" s="1"/>
      <c r="K51" s="1"/>
      <c r="L51" s="1"/>
    </row>
    <row r="52" spans="1:12" ht="36.75" customHeight="1" x14ac:dyDescent="0.3">
      <c r="A52" s="119" t="s">
        <v>210</v>
      </c>
      <c r="B52" s="120"/>
      <c r="C52" s="120"/>
      <c r="D52" s="120"/>
      <c r="E52" s="120"/>
      <c r="F52" s="120"/>
      <c r="G52" s="120"/>
      <c r="H52" s="120"/>
      <c r="I52" s="120"/>
      <c r="J52" s="107"/>
      <c r="K52" s="1"/>
      <c r="L52" s="1"/>
    </row>
    <row r="53" spans="1:12" ht="21" customHeight="1" x14ac:dyDescent="0.3">
      <c r="A53" s="115" t="s">
        <v>60</v>
      </c>
      <c r="B53" s="116"/>
      <c r="C53" s="116"/>
      <c r="D53" s="116"/>
      <c r="E53" s="116"/>
      <c r="F53" s="116"/>
      <c r="G53" s="116"/>
      <c r="H53" s="116"/>
      <c r="I53" s="116"/>
      <c r="J53" s="1"/>
      <c r="K53" s="1"/>
      <c r="L53" s="1"/>
    </row>
    <row r="54" spans="1:12" ht="21" customHeight="1" x14ac:dyDescent="0.3">
      <c r="A54" s="115" t="s">
        <v>61</v>
      </c>
      <c r="B54" s="116"/>
      <c r="C54" s="116"/>
      <c r="D54" s="116"/>
      <c r="E54" s="116"/>
      <c r="F54" s="116"/>
      <c r="G54" s="116"/>
      <c r="H54" s="116"/>
      <c r="I54" s="116"/>
      <c r="J54" s="1"/>
      <c r="K54" s="1"/>
      <c r="L54" s="1"/>
    </row>
    <row r="55" spans="1:12" ht="33.75" customHeight="1" x14ac:dyDescent="0.3">
      <c r="A55" s="119" t="s">
        <v>213</v>
      </c>
      <c r="B55" s="120"/>
      <c r="C55" s="120"/>
      <c r="D55" s="120"/>
      <c r="E55" s="120"/>
      <c r="F55" s="120"/>
      <c r="G55" s="120"/>
      <c r="H55" s="120"/>
      <c r="I55" s="120"/>
      <c r="J55" s="107"/>
      <c r="K55" s="1"/>
      <c r="L55" s="1"/>
    </row>
    <row r="56" spans="1:12" ht="90" customHeight="1" x14ac:dyDescent="0.3">
      <c r="A56" s="115" t="s">
        <v>214</v>
      </c>
      <c r="B56" s="116"/>
      <c r="C56" s="116"/>
      <c r="D56" s="116"/>
      <c r="E56" s="116"/>
      <c r="F56" s="116"/>
      <c r="G56" s="116"/>
      <c r="H56" s="116"/>
      <c r="I56" s="116"/>
      <c r="J56" s="1"/>
      <c r="K56" s="1"/>
      <c r="L56" s="1"/>
    </row>
    <row r="57" spans="1:12" ht="18.75" customHeight="1" x14ac:dyDescent="0.3">
      <c r="A57" s="115" t="s">
        <v>62</v>
      </c>
      <c r="B57" s="116"/>
      <c r="C57" s="116"/>
      <c r="D57" s="116"/>
      <c r="E57" s="116"/>
      <c r="F57" s="116"/>
      <c r="G57" s="116"/>
      <c r="H57" s="116"/>
      <c r="I57" s="116"/>
      <c r="K57" s="1"/>
      <c r="L57" s="1"/>
    </row>
    <row r="58" spans="1:12" ht="50.25" customHeight="1" x14ac:dyDescent="0.3">
      <c r="A58" s="115" t="s">
        <v>176</v>
      </c>
      <c r="B58" s="116"/>
      <c r="C58" s="116"/>
      <c r="D58" s="116"/>
      <c r="E58" s="116"/>
      <c r="F58" s="116"/>
      <c r="G58" s="116"/>
      <c r="H58" s="116"/>
      <c r="I58" s="116"/>
      <c r="K58" s="1"/>
      <c r="L58" s="1"/>
    </row>
    <row r="59" spans="1:12" ht="19.5" customHeight="1" x14ac:dyDescent="0.3">
      <c r="A59" s="119" t="s">
        <v>206</v>
      </c>
      <c r="B59" s="120"/>
      <c r="C59" s="120"/>
      <c r="D59" s="120"/>
      <c r="E59" s="120"/>
      <c r="F59" s="120"/>
      <c r="G59" s="120"/>
      <c r="H59" s="120"/>
      <c r="I59" s="120"/>
    </row>
    <row r="60" spans="1:12" x14ac:dyDescent="0.3">
      <c r="A60" s="115" t="s">
        <v>209</v>
      </c>
      <c r="B60" s="116"/>
      <c r="C60" s="116"/>
      <c r="D60" s="116"/>
      <c r="E60" s="116"/>
      <c r="F60" s="116"/>
      <c r="G60" s="116"/>
      <c r="H60" s="116"/>
      <c r="I60" s="116"/>
    </row>
  </sheetData>
  <mergeCells count="19">
    <mergeCell ref="K5:L5"/>
    <mergeCell ref="F45:H45"/>
    <mergeCell ref="A56:I56"/>
    <mergeCell ref="A57:I57"/>
    <mergeCell ref="F46:H46"/>
    <mergeCell ref="A30:E30"/>
    <mergeCell ref="F30:H30"/>
    <mergeCell ref="A45:E45"/>
    <mergeCell ref="A50:I50"/>
    <mergeCell ref="A51:I51"/>
    <mergeCell ref="A52:I52"/>
    <mergeCell ref="A53:I53"/>
    <mergeCell ref="A54:I54"/>
    <mergeCell ref="A55:I55"/>
    <mergeCell ref="A58:I58"/>
    <mergeCell ref="A60:I60"/>
    <mergeCell ref="A1:I1"/>
    <mergeCell ref="A3:A4"/>
    <mergeCell ref="A59:I59"/>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CD1FE-4F20-42CE-B1E3-4607081C6DA6}">
  <dimension ref="A1:L23"/>
  <sheetViews>
    <sheetView topLeftCell="A10" workbookViewId="0">
      <selection activeCell="A20" sqref="A20:I20"/>
    </sheetView>
  </sheetViews>
  <sheetFormatPr defaultColWidth="9.1796875" defaultRowHeight="14" x14ac:dyDescent="0.3"/>
  <cols>
    <col min="1" max="1" width="38.1796875" style="48" customWidth="1"/>
    <col min="2" max="2" width="12.26953125" style="48" customWidth="1"/>
    <col min="3" max="3" width="12.453125" style="48" customWidth="1"/>
    <col min="4" max="4" width="13.1796875" style="48" customWidth="1"/>
    <col min="5" max="6" width="12.54296875" style="48" customWidth="1"/>
    <col min="7" max="8" width="12.453125" style="48" customWidth="1"/>
    <col min="9" max="9" width="10.1796875" style="48" customWidth="1"/>
    <col min="10" max="10" width="5" style="48" customWidth="1"/>
    <col min="11" max="11" width="11.54296875" style="48" customWidth="1"/>
    <col min="12" max="12" width="9.54296875" style="48" customWidth="1"/>
    <col min="13" max="16384" width="9.1796875" style="48"/>
  </cols>
  <sheetData>
    <row r="1" spans="1:12" ht="34.5" customHeight="1" x14ac:dyDescent="0.3">
      <c r="A1" s="117" t="s">
        <v>169</v>
      </c>
      <c r="B1" s="117"/>
      <c r="C1" s="117"/>
      <c r="D1" s="117"/>
      <c r="E1" s="117"/>
      <c r="F1" s="117"/>
      <c r="G1" s="117"/>
      <c r="H1" s="117"/>
      <c r="I1" s="117"/>
    </row>
    <row r="2" spans="1:12" x14ac:dyDescent="0.3">
      <c r="A2" s="49"/>
      <c r="B2" s="49"/>
      <c r="C2" s="49"/>
      <c r="D2" s="49"/>
      <c r="E2" s="49"/>
      <c r="I2" s="49"/>
      <c r="K2" s="39"/>
      <c r="L2" s="39"/>
    </row>
    <row r="3" spans="1:12" x14ac:dyDescent="0.3">
      <c r="A3" s="118" t="s">
        <v>208</v>
      </c>
      <c r="B3" s="3" t="s">
        <v>0</v>
      </c>
      <c r="C3" s="3" t="s">
        <v>1</v>
      </c>
      <c r="D3" s="3" t="s">
        <v>2</v>
      </c>
      <c r="E3" s="3" t="s">
        <v>3</v>
      </c>
      <c r="F3" s="3" t="s">
        <v>38</v>
      </c>
      <c r="G3" s="3" t="s">
        <v>5</v>
      </c>
      <c r="H3" s="3" t="s">
        <v>6</v>
      </c>
      <c r="I3" s="3" t="s">
        <v>7</v>
      </c>
      <c r="J3" s="20"/>
      <c r="K3" s="60"/>
      <c r="L3" s="60"/>
    </row>
    <row r="4" spans="1:12" ht="52" x14ac:dyDescent="0.3">
      <c r="A4" s="118"/>
      <c r="B4" s="3" t="s">
        <v>8</v>
      </c>
      <c r="C4" s="3" t="s">
        <v>9</v>
      </c>
      <c r="D4" s="3" t="s">
        <v>10</v>
      </c>
      <c r="E4" s="3" t="s">
        <v>11</v>
      </c>
      <c r="F4" s="3" t="s">
        <v>39</v>
      </c>
      <c r="G4" s="3" t="s">
        <v>40</v>
      </c>
      <c r="H4" s="3" t="s">
        <v>41</v>
      </c>
      <c r="I4" s="3" t="s">
        <v>83</v>
      </c>
      <c r="K4" s="51"/>
      <c r="L4" s="52"/>
    </row>
    <row r="5" spans="1:12" ht="15.5" x14ac:dyDescent="0.3">
      <c r="A5" s="21" t="s">
        <v>170</v>
      </c>
      <c r="B5" s="3"/>
      <c r="C5" s="3"/>
      <c r="D5" s="3"/>
      <c r="E5" s="3"/>
      <c r="F5" s="3"/>
      <c r="G5" s="3"/>
      <c r="H5" s="3"/>
      <c r="I5" s="3"/>
      <c r="J5" s="9"/>
      <c r="K5" s="125" t="s">
        <v>69</v>
      </c>
      <c r="L5" s="125"/>
    </row>
    <row r="6" spans="1:12" x14ac:dyDescent="0.3">
      <c r="A6" s="68" t="s">
        <v>42</v>
      </c>
      <c r="B6" s="3">
        <v>4</v>
      </c>
      <c r="C6" s="3">
        <v>1</v>
      </c>
      <c r="D6" s="3">
        <f>B6*C6</f>
        <v>4</v>
      </c>
      <c r="E6" s="3">
        <f>'Table 1'!E21</f>
        <v>0</v>
      </c>
      <c r="F6" s="3">
        <f>D6*E6</f>
        <v>0</v>
      </c>
      <c r="G6" s="3">
        <f>F6*0.05</f>
        <v>0</v>
      </c>
      <c r="H6" s="3">
        <f>F6*0.1</f>
        <v>0</v>
      </c>
      <c r="I6" s="36">
        <f t="shared" ref="I6:I11" si="0">F6*$L$7+G6*$L$6+H6*$L$8</f>
        <v>0</v>
      </c>
      <c r="K6" s="102" t="s">
        <v>70</v>
      </c>
      <c r="L6" s="103">
        <v>69.040000000000006</v>
      </c>
    </row>
    <row r="7" spans="1:12" ht="26" x14ac:dyDescent="0.3">
      <c r="A7" s="68" t="s">
        <v>43</v>
      </c>
      <c r="B7" s="3">
        <v>4</v>
      </c>
      <c r="C7" s="3">
        <v>1</v>
      </c>
      <c r="D7" s="3">
        <f t="shared" ref="D7:D15" si="1">B7*C7</f>
        <v>4</v>
      </c>
      <c r="E7" s="3">
        <f>'Table 1'!E22</f>
        <v>0</v>
      </c>
      <c r="F7" s="3">
        <f t="shared" ref="F7:F15" si="2">D7*E7</f>
        <v>0</v>
      </c>
      <c r="G7" s="3">
        <f t="shared" ref="G7:G15" si="3">F7*0.05</f>
        <v>0</v>
      </c>
      <c r="H7" s="3">
        <f t="shared" ref="H7:H15" si="4">F7*0.1</f>
        <v>0</v>
      </c>
      <c r="I7" s="36">
        <f t="shared" si="0"/>
        <v>0</v>
      </c>
      <c r="K7" s="102" t="s">
        <v>74</v>
      </c>
      <c r="L7" s="103">
        <v>51.23</v>
      </c>
    </row>
    <row r="8" spans="1:12" x14ac:dyDescent="0.3">
      <c r="A8" s="68" t="s">
        <v>44</v>
      </c>
      <c r="B8" s="3">
        <v>2</v>
      </c>
      <c r="C8" s="3">
        <v>1</v>
      </c>
      <c r="D8" s="3">
        <f t="shared" si="1"/>
        <v>2</v>
      </c>
      <c r="E8" s="3">
        <f>'Table 1'!E23</f>
        <v>0</v>
      </c>
      <c r="F8" s="3">
        <f t="shared" si="2"/>
        <v>0</v>
      </c>
      <c r="G8" s="3">
        <f t="shared" si="3"/>
        <v>0</v>
      </c>
      <c r="H8" s="3">
        <f t="shared" si="4"/>
        <v>0</v>
      </c>
      <c r="I8" s="36">
        <f t="shared" si="0"/>
        <v>0</v>
      </c>
      <c r="K8" s="102" t="s">
        <v>72</v>
      </c>
      <c r="L8" s="103">
        <v>27.73</v>
      </c>
    </row>
    <row r="9" spans="1:12" x14ac:dyDescent="0.3">
      <c r="A9" s="68" t="s">
        <v>45</v>
      </c>
      <c r="B9" s="3">
        <v>2</v>
      </c>
      <c r="C9" s="3">
        <v>1</v>
      </c>
      <c r="D9" s="3">
        <f t="shared" si="1"/>
        <v>2</v>
      </c>
      <c r="E9" s="3">
        <f>'Table 1'!E24</f>
        <v>0</v>
      </c>
      <c r="F9" s="3">
        <f t="shared" si="2"/>
        <v>0</v>
      </c>
      <c r="G9" s="3">
        <f t="shared" si="3"/>
        <v>0</v>
      </c>
      <c r="H9" s="3">
        <f t="shared" si="4"/>
        <v>0</v>
      </c>
      <c r="I9" s="36">
        <f t="shared" si="0"/>
        <v>0</v>
      </c>
      <c r="K9" s="47"/>
      <c r="L9" s="104"/>
    </row>
    <row r="10" spans="1:12" ht="26" x14ac:dyDescent="0.3">
      <c r="A10" s="68" t="s">
        <v>46</v>
      </c>
      <c r="B10" s="3">
        <v>4</v>
      </c>
      <c r="C10" s="3">
        <v>1</v>
      </c>
      <c r="D10" s="3">
        <f t="shared" si="1"/>
        <v>4</v>
      </c>
      <c r="E10" s="3">
        <f>'Table 1'!E25</f>
        <v>0</v>
      </c>
      <c r="F10" s="3">
        <f t="shared" si="2"/>
        <v>0</v>
      </c>
      <c r="G10" s="3">
        <f t="shared" si="3"/>
        <v>0</v>
      </c>
      <c r="H10" s="3">
        <f t="shared" si="4"/>
        <v>0</v>
      </c>
      <c r="I10" s="36">
        <f t="shared" si="0"/>
        <v>0</v>
      </c>
      <c r="K10" s="47"/>
      <c r="L10" s="50"/>
    </row>
    <row r="11" spans="1:12" ht="26" x14ac:dyDescent="0.3">
      <c r="A11" s="68" t="s">
        <v>164</v>
      </c>
      <c r="B11" s="3">
        <v>20</v>
      </c>
      <c r="C11" s="3">
        <v>1</v>
      </c>
      <c r="D11" s="3">
        <f>B11*C11</f>
        <v>20</v>
      </c>
      <c r="E11" s="3">
        <f>'Table 1'!E25</f>
        <v>0</v>
      </c>
      <c r="F11" s="3">
        <f>D11*E11</f>
        <v>0</v>
      </c>
      <c r="G11" s="3">
        <f>F11*0.05</f>
        <v>0</v>
      </c>
      <c r="H11" s="3">
        <f>F11*0.1</f>
        <v>0</v>
      </c>
      <c r="I11" s="36">
        <f t="shared" si="0"/>
        <v>0</v>
      </c>
      <c r="K11" s="8"/>
      <c r="L11" s="8"/>
    </row>
    <row r="12" spans="1:12" x14ac:dyDescent="0.3">
      <c r="A12" s="21" t="s">
        <v>14</v>
      </c>
      <c r="B12" s="3"/>
      <c r="C12" s="3"/>
      <c r="D12" s="21"/>
      <c r="E12" s="3"/>
      <c r="F12" s="21"/>
      <c r="G12" s="21"/>
      <c r="H12" s="21"/>
      <c r="I12" s="36"/>
      <c r="K12" s="8"/>
      <c r="L12" s="8"/>
    </row>
    <row r="13" spans="1:12" ht="28.5" x14ac:dyDescent="0.3">
      <c r="A13" s="67" t="s">
        <v>165</v>
      </c>
      <c r="B13" s="113">
        <f>B10</f>
        <v>4</v>
      </c>
      <c r="C13" s="73">
        <f>'Table 1'!C27</f>
        <v>1</v>
      </c>
      <c r="D13" s="73">
        <f>B13*C13</f>
        <v>4</v>
      </c>
      <c r="E13" s="73">
        <f>'Table 1'!E27</f>
        <v>1</v>
      </c>
      <c r="F13" s="73">
        <f t="shared" ref="F13" si="5">D13*E13</f>
        <v>4</v>
      </c>
      <c r="G13" s="72">
        <f t="shared" ref="G13" si="6">F13*0.05</f>
        <v>0.2</v>
      </c>
      <c r="H13" s="72">
        <f t="shared" ref="H13" si="7">F13*0.1</f>
        <v>0.4</v>
      </c>
      <c r="I13" s="36">
        <f>F13*$L$7+G13*$L$6+H13*$L$8</f>
        <v>229.82</v>
      </c>
      <c r="J13" s="7"/>
    </row>
    <row r="14" spans="1:12" ht="28.5" x14ac:dyDescent="0.3">
      <c r="A14" s="67" t="s">
        <v>166</v>
      </c>
      <c r="B14" s="113">
        <f>20</f>
        <v>20</v>
      </c>
      <c r="C14" s="73">
        <f>'Table 1'!C27</f>
        <v>1</v>
      </c>
      <c r="D14" s="73">
        <f>B14*C14</f>
        <v>20</v>
      </c>
      <c r="E14" s="73">
        <f>'Table 1'!E27</f>
        <v>1</v>
      </c>
      <c r="F14" s="73">
        <f t="shared" si="2"/>
        <v>20</v>
      </c>
      <c r="G14" s="72">
        <f t="shared" si="3"/>
        <v>1</v>
      </c>
      <c r="H14" s="72">
        <f t="shared" si="4"/>
        <v>2</v>
      </c>
      <c r="I14" s="36">
        <f>F14*$L$7+G14*$L$6+H14*$L$8</f>
        <v>1149.0999999999999</v>
      </c>
      <c r="J14" s="7"/>
    </row>
    <row r="15" spans="1:12" x14ac:dyDescent="0.3">
      <c r="A15" s="68" t="s">
        <v>47</v>
      </c>
      <c r="B15" s="3">
        <v>8</v>
      </c>
      <c r="C15" s="3">
        <v>2</v>
      </c>
      <c r="D15" s="3">
        <f t="shared" si="1"/>
        <v>16</v>
      </c>
      <c r="E15" s="19">
        <f>'Table 1'!E29</f>
        <v>8</v>
      </c>
      <c r="F15" s="3">
        <f t="shared" si="2"/>
        <v>128</v>
      </c>
      <c r="G15" s="3">
        <f t="shared" si="3"/>
        <v>6.4</v>
      </c>
      <c r="H15" s="3">
        <f t="shared" si="4"/>
        <v>12.8</v>
      </c>
      <c r="I15" s="32">
        <f>F15*$L$7+G15*$L$6+H15*$L$8</f>
        <v>7354.24</v>
      </c>
      <c r="J15" s="8"/>
    </row>
    <row r="16" spans="1:12" x14ac:dyDescent="0.3">
      <c r="A16" s="128" t="s">
        <v>175</v>
      </c>
      <c r="B16" s="128"/>
      <c r="C16" s="128"/>
      <c r="D16" s="128"/>
      <c r="E16" s="128"/>
      <c r="F16" s="129">
        <f>SUM(F6:H15)</f>
        <v>174.8</v>
      </c>
      <c r="G16" s="130"/>
      <c r="H16" s="131"/>
      <c r="I16" s="33">
        <f>ROUND(SUM(I6:I15), -1)</f>
        <v>8730</v>
      </c>
    </row>
    <row r="17" spans="1:12" x14ac:dyDescent="0.3">
      <c r="A17" s="49"/>
      <c r="B17" s="49"/>
      <c r="C17" s="49"/>
      <c r="D17" s="49"/>
      <c r="E17" s="49"/>
      <c r="F17" s="49"/>
      <c r="G17" s="49"/>
      <c r="H17" s="49"/>
      <c r="I17" s="49"/>
    </row>
    <row r="18" spans="1:12" x14ac:dyDescent="0.3">
      <c r="A18" s="126" t="s">
        <v>26</v>
      </c>
      <c r="B18" s="126"/>
      <c r="C18" s="126"/>
      <c r="D18" s="126"/>
      <c r="E18" s="126"/>
      <c r="F18" s="126"/>
      <c r="G18" s="126"/>
      <c r="H18" s="126"/>
      <c r="I18" s="126"/>
      <c r="J18" s="9"/>
      <c r="K18" s="49"/>
      <c r="L18" s="49"/>
    </row>
    <row r="19" spans="1:12" ht="29.25" customHeight="1" x14ac:dyDescent="0.3">
      <c r="A19" s="115" t="s">
        <v>211</v>
      </c>
      <c r="B19" s="127"/>
      <c r="C19" s="127"/>
      <c r="D19" s="127"/>
      <c r="E19" s="127"/>
      <c r="F19" s="127"/>
      <c r="G19" s="127"/>
      <c r="H19" s="127"/>
      <c r="I19" s="127"/>
    </row>
    <row r="20" spans="1:12" ht="62.25" customHeight="1" x14ac:dyDescent="0.3">
      <c r="A20" s="119" t="s">
        <v>73</v>
      </c>
      <c r="B20" s="132"/>
      <c r="C20" s="132"/>
      <c r="D20" s="132"/>
      <c r="E20" s="132"/>
      <c r="F20" s="132"/>
      <c r="G20" s="132"/>
      <c r="H20" s="132"/>
      <c r="I20" s="132"/>
    </row>
    <row r="21" spans="1:12" ht="40.5" customHeight="1" x14ac:dyDescent="0.3">
      <c r="A21" s="115" t="s">
        <v>167</v>
      </c>
      <c r="B21" s="127"/>
      <c r="C21" s="127"/>
      <c r="D21" s="127"/>
      <c r="E21" s="127"/>
      <c r="F21" s="127"/>
      <c r="G21" s="127"/>
      <c r="H21" s="127"/>
      <c r="I21" s="127"/>
      <c r="J21" s="9"/>
    </row>
    <row r="22" spans="1:12" ht="64.5" customHeight="1" x14ac:dyDescent="0.3">
      <c r="A22" s="115" t="s">
        <v>215</v>
      </c>
      <c r="B22" s="127"/>
      <c r="C22" s="127"/>
      <c r="D22" s="127"/>
      <c r="E22" s="127"/>
      <c r="F22" s="127"/>
      <c r="G22" s="127"/>
      <c r="H22" s="127"/>
      <c r="I22" s="127"/>
      <c r="J22" s="109"/>
    </row>
    <row r="23" spans="1:12" ht="19.5" customHeight="1" x14ac:dyDescent="0.3">
      <c r="A23" s="115" t="s">
        <v>63</v>
      </c>
      <c r="B23" s="127"/>
      <c r="C23" s="127"/>
      <c r="D23" s="127"/>
      <c r="E23" s="127"/>
      <c r="F23" s="127"/>
      <c r="G23" s="127"/>
      <c r="H23" s="127"/>
      <c r="I23" s="127"/>
    </row>
  </sheetData>
  <mergeCells count="11">
    <mergeCell ref="K5:L5"/>
    <mergeCell ref="A18:I18"/>
    <mergeCell ref="A1:I1"/>
    <mergeCell ref="A22:I22"/>
    <mergeCell ref="A23:I23"/>
    <mergeCell ref="A3:A4"/>
    <mergeCell ref="A16:E16"/>
    <mergeCell ref="F16:H16"/>
    <mergeCell ref="A19:I19"/>
    <mergeCell ref="A20:I20"/>
    <mergeCell ref="A21:I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C43AB-4462-49DE-AF84-CC027A24D9FE}">
  <dimension ref="A2:Y69"/>
  <sheetViews>
    <sheetView workbookViewId="0">
      <selection activeCell="A34" sqref="A34:G34"/>
    </sheetView>
  </sheetViews>
  <sheetFormatPr defaultRowHeight="14.5" x14ac:dyDescent="0.35"/>
  <cols>
    <col min="1" max="1" width="35" customWidth="1"/>
    <col min="2" max="2" width="13.1796875" customWidth="1"/>
    <col min="3" max="3" width="13.54296875" customWidth="1"/>
    <col min="4" max="4" width="18.26953125" customWidth="1"/>
    <col min="5" max="5" width="14.453125" customWidth="1"/>
    <col min="6" max="6" width="13.7265625" customWidth="1"/>
    <col min="7" max="7" width="13.26953125" customWidth="1"/>
    <col min="8" max="8" width="16.26953125" customWidth="1"/>
    <col min="9" max="10" width="14.81640625" customWidth="1"/>
    <col min="11" max="15" width="19.26953125" customWidth="1"/>
    <col min="16" max="19" width="18.453125" customWidth="1"/>
  </cols>
  <sheetData>
    <row r="2" spans="1:25" ht="15.5" x14ac:dyDescent="0.35">
      <c r="A2" s="14"/>
      <c r="B2" s="14"/>
      <c r="C2" s="14"/>
      <c r="D2" s="14"/>
      <c r="E2" s="14"/>
      <c r="F2" s="14"/>
      <c r="G2" s="14"/>
      <c r="H2" s="13"/>
      <c r="T2" s="13"/>
      <c r="U2" s="13"/>
      <c r="V2" s="13"/>
      <c r="W2" s="13"/>
      <c r="X2" s="13"/>
      <c r="Y2" s="13"/>
    </row>
    <row r="3" spans="1:25" ht="15.5" x14ac:dyDescent="0.35">
      <c r="A3" s="133" t="s">
        <v>48</v>
      </c>
      <c r="B3" s="133"/>
      <c r="C3" s="133"/>
      <c r="D3" s="133"/>
      <c r="E3" s="133"/>
      <c r="F3" s="14"/>
      <c r="G3" s="14"/>
      <c r="H3" s="13"/>
      <c r="T3" s="13"/>
      <c r="U3" s="13"/>
      <c r="V3" s="13"/>
      <c r="W3" s="13"/>
      <c r="X3" s="13"/>
      <c r="Y3" s="13"/>
    </row>
    <row r="4" spans="1:25" ht="15.5" x14ac:dyDescent="0.35">
      <c r="A4" s="16" t="s">
        <v>28</v>
      </c>
      <c r="B4" s="16" t="s">
        <v>29</v>
      </c>
      <c r="C4" s="16" t="s">
        <v>30</v>
      </c>
      <c r="D4" s="16" t="s">
        <v>31</v>
      </c>
      <c r="E4" s="16" t="s">
        <v>4</v>
      </c>
      <c r="F4" s="14"/>
      <c r="G4" s="14"/>
      <c r="H4" s="13"/>
      <c r="T4" s="13"/>
      <c r="U4" s="13"/>
      <c r="V4" s="13"/>
      <c r="W4" s="13"/>
      <c r="X4" s="13"/>
      <c r="Y4" s="13"/>
    </row>
    <row r="5" spans="1:25" ht="46" x14ac:dyDescent="0.35">
      <c r="A5" s="16" t="s">
        <v>49</v>
      </c>
      <c r="B5" s="16" t="s">
        <v>50</v>
      </c>
      <c r="C5" s="16" t="s">
        <v>51</v>
      </c>
      <c r="D5" s="16" t="s">
        <v>52</v>
      </c>
      <c r="E5" s="16" t="s">
        <v>53</v>
      </c>
      <c r="F5" s="14"/>
      <c r="G5" s="14"/>
      <c r="H5" s="13"/>
      <c r="T5" s="13"/>
      <c r="U5" s="13"/>
      <c r="V5" s="13"/>
      <c r="W5" s="13"/>
      <c r="X5" s="13"/>
      <c r="Y5" s="13"/>
    </row>
    <row r="6" spans="1:25" x14ac:dyDescent="0.35">
      <c r="A6" s="21" t="s">
        <v>54</v>
      </c>
      <c r="B6" s="19">
        <f>'Table 1'!E21</f>
        <v>0</v>
      </c>
      <c r="C6" s="19">
        <f>'Table 1'!C21</f>
        <v>1</v>
      </c>
      <c r="D6" s="3">
        <v>0</v>
      </c>
      <c r="E6" s="3">
        <f>B6*C6+D6</f>
        <v>0</v>
      </c>
      <c r="F6" s="12"/>
      <c r="G6" s="12"/>
    </row>
    <row r="7" spans="1:25" ht="26" x14ac:dyDescent="0.35">
      <c r="A7" s="21" t="s">
        <v>65</v>
      </c>
      <c r="B7" s="19">
        <f>'Table 1'!E22</f>
        <v>0</v>
      </c>
      <c r="C7" s="19">
        <f>'Table 1'!C22</f>
        <v>1</v>
      </c>
      <c r="D7" s="3">
        <v>0</v>
      </c>
      <c r="E7" s="59">
        <f t="shared" ref="E7:E14" si="0">B7*C7+D7</f>
        <v>0</v>
      </c>
      <c r="F7" s="13"/>
      <c r="G7" s="13"/>
    </row>
    <row r="8" spans="1:25" ht="26" x14ac:dyDescent="0.35">
      <c r="A8" s="21" t="s">
        <v>55</v>
      </c>
      <c r="B8" s="19">
        <f>'Table 1'!E23</f>
        <v>0</v>
      </c>
      <c r="C8" s="19">
        <f>'Table 1'!C23</f>
        <v>1</v>
      </c>
      <c r="D8" s="3">
        <v>0</v>
      </c>
      <c r="E8" s="59">
        <f t="shared" si="0"/>
        <v>0</v>
      </c>
      <c r="F8" s="13"/>
      <c r="G8" s="13"/>
    </row>
    <row r="9" spans="1:25" x14ac:dyDescent="0.35">
      <c r="A9" s="21" t="s">
        <v>56</v>
      </c>
      <c r="B9" s="19">
        <f>'Table 1'!E24</f>
        <v>0</v>
      </c>
      <c r="C9" s="19">
        <f>'Table 1'!C24</f>
        <v>1</v>
      </c>
      <c r="D9" s="3">
        <v>0</v>
      </c>
      <c r="E9" s="59">
        <f t="shared" si="0"/>
        <v>0</v>
      </c>
      <c r="F9" s="13"/>
      <c r="G9" s="13"/>
    </row>
    <row r="10" spans="1:25" x14ac:dyDescent="0.35">
      <c r="A10" s="21" t="s">
        <v>57</v>
      </c>
      <c r="B10" s="19">
        <f>'Table 1'!E25</f>
        <v>0</v>
      </c>
      <c r="C10" s="19">
        <f>'Table 1'!C18</f>
        <v>1</v>
      </c>
      <c r="D10" s="3">
        <v>0</v>
      </c>
      <c r="E10" s="59">
        <f t="shared" si="0"/>
        <v>0</v>
      </c>
      <c r="F10" s="13"/>
      <c r="G10" s="13"/>
    </row>
    <row r="11" spans="1:25" x14ac:dyDescent="0.35">
      <c r="A11" s="21" t="s">
        <v>58</v>
      </c>
      <c r="B11" s="19">
        <f>'Table 1'!E14+'Table 1'!E15</f>
        <v>0</v>
      </c>
      <c r="C11" s="113">
        <f>'Table 1'!C14+'Table 1'!C15</f>
        <v>1.2</v>
      </c>
      <c r="D11" s="3">
        <v>0</v>
      </c>
      <c r="E11" s="59">
        <f t="shared" si="0"/>
        <v>0</v>
      </c>
    </row>
    <row r="12" spans="1:25" x14ac:dyDescent="0.35">
      <c r="A12" s="53" t="s">
        <v>137</v>
      </c>
      <c r="B12" s="114">
        <f>'Table 1'!E27</f>
        <v>1</v>
      </c>
      <c r="C12" s="114">
        <f>'Table 1'!C27</f>
        <v>1</v>
      </c>
      <c r="D12" s="2">
        <v>0</v>
      </c>
      <c r="E12" s="73">
        <f>ROUND(B12*C12+D12,0)</f>
        <v>1</v>
      </c>
      <c r="F12" s="108"/>
    </row>
    <row r="13" spans="1:25" x14ac:dyDescent="0.35">
      <c r="A13" s="53" t="s">
        <v>138</v>
      </c>
      <c r="B13" s="114">
        <f>'Table 1'!E27</f>
        <v>1</v>
      </c>
      <c r="C13" s="114">
        <f>'Table 1'!C27</f>
        <v>1</v>
      </c>
      <c r="D13" s="2">
        <v>0</v>
      </c>
      <c r="E13" s="73">
        <f>ROUND(B13*C13+D13,0)</f>
        <v>1</v>
      </c>
    </row>
    <row r="14" spans="1:25" x14ac:dyDescent="0.35">
      <c r="A14" s="21" t="s">
        <v>59</v>
      </c>
      <c r="B14" s="19">
        <f>'Table 1'!E29</f>
        <v>8</v>
      </c>
      <c r="C14" s="19">
        <v>2</v>
      </c>
      <c r="D14" s="3">
        <v>0</v>
      </c>
      <c r="E14" s="59">
        <f t="shared" si="0"/>
        <v>16</v>
      </c>
    </row>
    <row r="15" spans="1:25" x14ac:dyDescent="0.35">
      <c r="A15" s="15"/>
      <c r="B15" s="15"/>
      <c r="C15" s="15"/>
      <c r="D15" s="17" t="s">
        <v>37</v>
      </c>
      <c r="E15" s="77">
        <f>SUM(E6:E14)</f>
        <v>18</v>
      </c>
    </row>
    <row r="16" spans="1:25" x14ac:dyDescent="0.35">
      <c r="E16" s="18"/>
    </row>
    <row r="18" spans="1:19" ht="15" x14ac:dyDescent="0.35">
      <c r="A18" s="133" t="s">
        <v>27</v>
      </c>
      <c r="B18" s="133"/>
      <c r="C18" s="133"/>
      <c r="D18" s="133"/>
      <c r="E18" s="133"/>
      <c r="F18" s="133"/>
      <c r="G18" s="133"/>
      <c r="K18" s="61"/>
      <c r="L18" s="61"/>
      <c r="M18" s="61"/>
      <c r="N18" s="61"/>
      <c r="O18" s="61"/>
      <c r="P18" s="61"/>
      <c r="Q18" s="61"/>
      <c r="R18" s="61"/>
      <c r="S18" s="61"/>
    </row>
    <row r="19" spans="1:19" x14ac:dyDescent="0.35">
      <c r="A19" s="2" t="s">
        <v>28</v>
      </c>
      <c r="B19" s="2" t="s">
        <v>29</v>
      </c>
      <c r="C19" s="2" t="s">
        <v>30</v>
      </c>
      <c r="D19" s="2" t="s">
        <v>31</v>
      </c>
      <c r="E19" s="2" t="s">
        <v>4</v>
      </c>
      <c r="F19" s="2" t="s">
        <v>32</v>
      </c>
      <c r="G19" s="2" t="s">
        <v>33</v>
      </c>
      <c r="K19" s="61"/>
      <c r="L19" s="61"/>
      <c r="M19" s="61"/>
      <c r="N19" s="61"/>
      <c r="O19" s="61"/>
      <c r="P19" s="61"/>
      <c r="Q19" s="61"/>
      <c r="R19" s="61"/>
      <c r="S19" s="61"/>
    </row>
    <row r="20" spans="1:19" ht="52.5" customHeight="1" x14ac:dyDescent="0.35">
      <c r="A20" s="2" t="s">
        <v>34</v>
      </c>
      <c r="B20" s="2" t="s">
        <v>35</v>
      </c>
      <c r="C20" s="2" t="s">
        <v>184</v>
      </c>
      <c r="D20" s="2" t="s">
        <v>67</v>
      </c>
      <c r="E20" s="2" t="s">
        <v>36</v>
      </c>
      <c r="F20" s="2" t="s">
        <v>66</v>
      </c>
      <c r="G20" s="2" t="s">
        <v>64</v>
      </c>
    </row>
    <row r="21" spans="1:19" ht="21" customHeight="1" x14ac:dyDescent="0.35">
      <c r="A21" s="134" t="s">
        <v>182</v>
      </c>
      <c r="B21" s="135"/>
      <c r="C21" s="135"/>
      <c r="D21" s="135"/>
      <c r="E21" s="135"/>
      <c r="F21" s="135"/>
      <c r="G21" s="136"/>
    </row>
    <row r="22" spans="1:19" ht="21" customHeight="1" x14ac:dyDescent="0.35">
      <c r="A22" s="79" t="s">
        <v>186</v>
      </c>
      <c r="B22" s="81">
        <f>C47</f>
        <v>83100</v>
      </c>
      <c r="C22" s="2">
        <v>0</v>
      </c>
      <c r="D22" s="37">
        <f>B22*C22</f>
        <v>0</v>
      </c>
      <c r="E22" s="82">
        <f>B22</f>
        <v>83100</v>
      </c>
      <c r="F22" s="80">
        <f>1/5</f>
        <v>0.2</v>
      </c>
      <c r="G22" s="37">
        <f t="shared" ref="G22:G24" si="1">E22*F22</f>
        <v>16620</v>
      </c>
    </row>
    <row r="23" spans="1:19" ht="21" customHeight="1" x14ac:dyDescent="0.35">
      <c r="A23" s="79" t="s">
        <v>187</v>
      </c>
      <c r="B23" s="37">
        <f>E47</f>
        <v>55000</v>
      </c>
      <c r="C23" s="19">
        <v>0</v>
      </c>
      <c r="D23" s="37">
        <f>B23*C23</f>
        <v>0</v>
      </c>
      <c r="E23" s="82">
        <f t="shared" ref="E23:E24" si="2">B23</f>
        <v>55000</v>
      </c>
      <c r="F23" s="80">
        <f t="shared" ref="F23:F24" si="3">1/5</f>
        <v>0.2</v>
      </c>
      <c r="G23" s="37">
        <f t="shared" si="1"/>
        <v>11000</v>
      </c>
    </row>
    <row r="24" spans="1:19" ht="21" customHeight="1" x14ac:dyDescent="0.35">
      <c r="A24" s="79" t="s">
        <v>188</v>
      </c>
      <c r="B24" s="37">
        <f>D47</f>
        <v>1500</v>
      </c>
      <c r="C24" s="19">
        <v>0</v>
      </c>
      <c r="D24" s="37">
        <f>B24*C24</f>
        <v>0</v>
      </c>
      <c r="E24" s="82">
        <f t="shared" si="2"/>
        <v>1500</v>
      </c>
      <c r="F24" s="80">
        <f t="shared" si="3"/>
        <v>0.2</v>
      </c>
      <c r="G24" s="37">
        <f t="shared" si="1"/>
        <v>300</v>
      </c>
    </row>
    <row r="25" spans="1:19" ht="21" customHeight="1" x14ac:dyDescent="0.35">
      <c r="A25" s="79" t="s">
        <v>189</v>
      </c>
      <c r="B25" s="37"/>
      <c r="C25" s="19">
        <v>0</v>
      </c>
      <c r="D25" s="37">
        <f>B25*C25</f>
        <v>0</v>
      </c>
      <c r="E25" s="37">
        <f>5000*I27/J27</f>
        <v>7415.4228855721394</v>
      </c>
      <c r="F25" s="19">
        <v>4</v>
      </c>
      <c r="G25" s="37">
        <f>E25*F25</f>
        <v>29661.691542288558</v>
      </c>
      <c r="I25" s="148" t="s">
        <v>181</v>
      </c>
      <c r="J25" s="149"/>
    </row>
    <row r="26" spans="1:19" ht="21" customHeight="1" x14ac:dyDescent="0.35">
      <c r="A26" s="134" t="s">
        <v>183</v>
      </c>
      <c r="B26" s="135"/>
      <c r="C26" s="135"/>
      <c r="D26" s="135"/>
      <c r="E26" s="135"/>
      <c r="F26" s="135"/>
      <c r="G26" s="136"/>
      <c r="I26" s="78">
        <v>2020</v>
      </c>
      <c r="J26" s="78">
        <v>2003</v>
      </c>
    </row>
    <row r="27" spans="1:19" ht="21" customHeight="1" x14ac:dyDescent="0.35">
      <c r="A27" s="79" t="s">
        <v>190</v>
      </c>
      <c r="B27" s="37">
        <f>E48</f>
        <v>44000</v>
      </c>
      <c r="C27" s="19">
        <v>0</v>
      </c>
      <c r="D27" s="37">
        <f t="shared" ref="D27:D28" si="4">B27*C27</f>
        <v>0</v>
      </c>
      <c r="E27" s="82">
        <f t="shared" ref="E27:E28" si="5">B27</f>
        <v>44000</v>
      </c>
      <c r="F27" s="19">
        <f>3/5</f>
        <v>0.6</v>
      </c>
      <c r="G27" s="37">
        <f t="shared" ref="G27:G28" si="6">E27*F27</f>
        <v>26400</v>
      </c>
      <c r="I27" s="78">
        <v>596.20000000000005</v>
      </c>
      <c r="J27" s="78">
        <v>402</v>
      </c>
    </row>
    <row r="28" spans="1:19" ht="21" customHeight="1" x14ac:dyDescent="0.35">
      <c r="A28" s="79" t="s">
        <v>188</v>
      </c>
      <c r="B28" s="37">
        <f>D48</f>
        <v>1500</v>
      </c>
      <c r="C28" s="19">
        <v>0</v>
      </c>
      <c r="D28" s="37">
        <f t="shared" si="4"/>
        <v>0</v>
      </c>
      <c r="E28" s="82">
        <f t="shared" si="5"/>
        <v>1500</v>
      </c>
      <c r="F28" s="19">
        <f>3/5</f>
        <v>0.6</v>
      </c>
      <c r="G28" s="37">
        <f t="shared" si="6"/>
        <v>900</v>
      </c>
    </row>
    <row r="29" spans="1:19" ht="21" customHeight="1" x14ac:dyDescent="0.35">
      <c r="A29" s="134" t="s">
        <v>197</v>
      </c>
      <c r="B29" s="135"/>
      <c r="C29" s="135"/>
      <c r="D29" s="135"/>
      <c r="E29" s="135"/>
      <c r="F29" s="135"/>
      <c r="G29" s="136"/>
    </row>
    <row r="30" spans="1:19" ht="21" customHeight="1" x14ac:dyDescent="0.35">
      <c r="A30" s="79" t="s">
        <v>198</v>
      </c>
      <c r="B30" s="37" t="s">
        <v>12</v>
      </c>
      <c r="C30" s="19">
        <v>0</v>
      </c>
      <c r="D30" s="37">
        <v>0</v>
      </c>
      <c r="E30" s="82" t="s">
        <v>12</v>
      </c>
      <c r="F30" s="19">
        <v>0</v>
      </c>
      <c r="G30" s="37">
        <v>0</v>
      </c>
    </row>
    <row r="31" spans="1:19" ht="15" x14ac:dyDescent="0.35">
      <c r="A31" s="29" t="s">
        <v>199</v>
      </c>
      <c r="B31" s="19"/>
      <c r="C31" s="19"/>
      <c r="D31" s="37">
        <f>SUM(D22:D25)+SUM(D27:D28)</f>
        <v>0</v>
      </c>
      <c r="E31" s="37"/>
      <c r="F31" s="19"/>
      <c r="G31" s="37">
        <f>ROUND((SUM(G22:G25)+SUM(G27:G28)),-2)</f>
        <v>84900</v>
      </c>
    </row>
    <row r="32" spans="1:19" ht="4.5" customHeight="1" x14ac:dyDescent="0.35">
      <c r="A32" s="150"/>
      <c r="B32" s="150"/>
      <c r="C32" s="150"/>
      <c r="D32" s="150"/>
      <c r="E32" s="150"/>
      <c r="F32" s="150"/>
      <c r="G32" s="150"/>
    </row>
    <row r="33" spans="1:12" ht="18" customHeight="1" x14ac:dyDescent="0.35">
      <c r="A33" s="137" t="s">
        <v>185</v>
      </c>
      <c r="B33" s="137"/>
      <c r="C33" s="137"/>
      <c r="D33" s="137"/>
      <c r="E33" s="137"/>
      <c r="F33" s="137"/>
      <c r="G33" s="137"/>
    </row>
    <row r="34" spans="1:12" ht="73.5" customHeight="1" x14ac:dyDescent="0.35">
      <c r="A34" s="137" t="s">
        <v>207</v>
      </c>
      <c r="B34" s="137"/>
      <c r="C34" s="137"/>
      <c r="D34" s="137"/>
      <c r="E34" s="137"/>
      <c r="F34" s="137"/>
      <c r="G34" s="137"/>
    </row>
    <row r="35" spans="1:12" ht="32.25" customHeight="1" x14ac:dyDescent="0.35">
      <c r="A35" s="137" t="s">
        <v>194</v>
      </c>
      <c r="B35" s="137"/>
      <c r="C35" s="137"/>
      <c r="D35" s="137"/>
      <c r="E35" s="137"/>
      <c r="F35" s="137"/>
      <c r="G35" s="137"/>
    </row>
    <row r="36" spans="1:12" ht="32.25" customHeight="1" x14ac:dyDescent="0.35">
      <c r="A36" s="137" t="s">
        <v>193</v>
      </c>
      <c r="B36" s="137"/>
      <c r="C36" s="137"/>
      <c r="D36" s="137"/>
      <c r="E36" s="137"/>
      <c r="F36" s="137"/>
      <c r="G36" s="137"/>
    </row>
    <row r="37" spans="1:12" ht="21" customHeight="1" x14ac:dyDescent="0.35">
      <c r="A37" s="137" t="s">
        <v>192</v>
      </c>
      <c r="B37" s="137"/>
      <c r="C37" s="137"/>
      <c r="D37" s="137"/>
      <c r="E37" s="137"/>
      <c r="F37" s="137"/>
      <c r="G37" s="137"/>
    </row>
    <row r="38" spans="1:12" ht="32.25" customHeight="1" x14ac:dyDescent="0.35">
      <c r="A38" s="137" t="s">
        <v>191</v>
      </c>
      <c r="B38" s="137"/>
      <c r="C38" s="137"/>
      <c r="D38" s="137"/>
      <c r="E38" s="137"/>
      <c r="F38" s="137"/>
      <c r="G38" s="137"/>
    </row>
    <row r="39" spans="1:12" ht="32.25" customHeight="1" x14ac:dyDescent="0.35">
      <c r="A39" s="137" t="s">
        <v>195</v>
      </c>
      <c r="B39" s="137"/>
      <c r="C39" s="137"/>
      <c r="D39" s="137"/>
      <c r="E39" s="137"/>
      <c r="F39" s="137"/>
      <c r="G39" s="137"/>
    </row>
    <row r="40" spans="1:12" ht="33" customHeight="1" x14ac:dyDescent="0.35">
      <c r="A40" s="152" t="s">
        <v>200</v>
      </c>
      <c r="B40" s="152"/>
      <c r="C40" s="152"/>
      <c r="D40" s="152"/>
      <c r="E40" s="152"/>
      <c r="F40" s="152"/>
      <c r="G40" s="152"/>
    </row>
    <row r="41" spans="1:12" ht="15.5" x14ac:dyDescent="0.35">
      <c r="A41" s="151" t="s">
        <v>201</v>
      </c>
      <c r="B41" s="151"/>
      <c r="C41" s="151"/>
      <c r="D41" s="151"/>
      <c r="E41" s="151"/>
      <c r="F41" s="151"/>
      <c r="G41" s="151"/>
    </row>
    <row r="42" spans="1:12" ht="15.5" x14ac:dyDescent="0.35">
      <c r="A42" s="75"/>
      <c r="B42" s="76"/>
      <c r="C42" s="76"/>
      <c r="D42" s="76"/>
      <c r="E42" s="76"/>
      <c r="F42" s="76"/>
      <c r="G42" s="76"/>
    </row>
    <row r="43" spans="1:12" ht="16" thickBot="1" x14ac:dyDescent="0.4">
      <c r="A43" s="75"/>
      <c r="B43" s="76"/>
      <c r="C43" s="76"/>
      <c r="D43" s="76"/>
      <c r="E43" s="76"/>
      <c r="F43" s="76"/>
      <c r="G43" s="76"/>
    </row>
    <row r="44" spans="1:12" ht="15" x14ac:dyDescent="0.35">
      <c r="A44" s="83" t="s">
        <v>196</v>
      </c>
      <c r="B44" s="84"/>
      <c r="C44" s="84"/>
      <c r="D44" s="84"/>
      <c r="E44" s="84"/>
      <c r="F44" s="84"/>
      <c r="G44" s="84"/>
      <c r="H44" s="84"/>
      <c r="I44" s="84"/>
      <c r="J44" s="84"/>
      <c r="K44" s="84"/>
      <c r="L44" s="85"/>
    </row>
    <row r="45" spans="1:12" ht="15.5" x14ac:dyDescent="0.35">
      <c r="A45" s="138" t="s">
        <v>84</v>
      </c>
      <c r="B45" s="139"/>
      <c r="C45" s="139"/>
      <c r="D45" s="139"/>
      <c r="E45" s="139"/>
      <c r="F45" s="139"/>
      <c r="G45" s="139"/>
      <c r="H45" s="62"/>
      <c r="I45" s="62"/>
      <c r="J45" s="86"/>
      <c r="K45" s="86"/>
      <c r="L45" s="87"/>
    </row>
    <row r="46" spans="1:12" ht="93" x14ac:dyDescent="0.35">
      <c r="A46" s="88" t="s">
        <v>85</v>
      </c>
      <c r="B46" s="42" t="s">
        <v>86</v>
      </c>
      <c r="C46" s="42" t="s">
        <v>87</v>
      </c>
      <c r="D46" s="42" t="s">
        <v>88</v>
      </c>
      <c r="E46" s="42" t="s">
        <v>89</v>
      </c>
      <c r="F46" s="42" t="s">
        <v>90</v>
      </c>
      <c r="G46" s="42" t="s">
        <v>91</v>
      </c>
      <c r="H46" s="63"/>
      <c r="I46" s="89"/>
      <c r="J46" s="63"/>
      <c r="K46" s="89"/>
      <c r="L46" s="87"/>
    </row>
    <row r="47" spans="1:12" ht="32.25" customHeight="1" x14ac:dyDescent="0.35">
      <c r="A47" s="90" t="s">
        <v>92</v>
      </c>
      <c r="B47" s="11">
        <v>1</v>
      </c>
      <c r="C47" s="46">
        <f>I59</f>
        <v>83100</v>
      </c>
      <c r="D47" s="46">
        <f>AVERAGE(H57,H59,H60,H63)</f>
        <v>1500</v>
      </c>
      <c r="E47" s="46">
        <f>AVERAGE(J57,J59,J60,J63)</f>
        <v>55000</v>
      </c>
      <c r="F47" s="46">
        <f>C47+D47+E47</f>
        <v>139600</v>
      </c>
      <c r="G47" s="65">
        <f>F47*B47</f>
        <v>139600</v>
      </c>
      <c r="H47" s="64"/>
      <c r="I47" s="89"/>
      <c r="J47" s="64"/>
      <c r="K47" s="89"/>
      <c r="L47" s="87"/>
    </row>
    <row r="48" spans="1:12" x14ac:dyDescent="0.35">
      <c r="A48" s="91" t="s">
        <v>93</v>
      </c>
      <c r="B48" s="11">
        <v>3</v>
      </c>
      <c r="C48" s="46">
        <f>AVERAGE(I56+I58+I61+I62)</f>
        <v>0</v>
      </c>
      <c r="D48" s="46">
        <f>AVERAGE(H56,H58,H61,H62)</f>
        <v>1500</v>
      </c>
      <c r="E48" s="46">
        <f>AVERAGE(J56,J58,J61,J62)</f>
        <v>44000</v>
      </c>
      <c r="F48" s="46">
        <f>C48+D48+E48</f>
        <v>45500</v>
      </c>
      <c r="G48" s="65">
        <f>F48*B48</f>
        <v>136500</v>
      </c>
      <c r="H48" s="64"/>
      <c r="I48" s="89"/>
      <c r="J48" s="64"/>
      <c r="K48" s="89"/>
      <c r="L48" s="87"/>
    </row>
    <row r="49" spans="1:12" ht="26" x14ac:dyDescent="0.35">
      <c r="A49" s="92" t="s">
        <v>94</v>
      </c>
      <c r="B49" s="11">
        <f>SUM(B47:B48)</f>
        <v>4</v>
      </c>
      <c r="C49" s="11"/>
      <c r="D49" s="11"/>
      <c r="E49" s="11"/>
      <c r="F49" s="11"/>
      <c r="G49" s="65">
        <f>SUM(G47:G48)</f>
        <v>276100</v>
      </c>
      <c r="H49" s="50"/>
      <c r="I49" s="89"/>
      <c r="J49" s="50"/>
      <c r="K49" s="89"/>
      <c r="L49" s="87"/>
    </row>
    <row r="50" spans="1:12" ht="15.5" x14ac:dyDescent="0.35">
      <c r="A50" s="93" t="s">
        <v>95</v>
      </c>
      <c r="B50" s="86"/>
      <c r="C50" s="86"/>
      <c r="D50" s="86"/>
      <c r="E50" s="86"/>
      <c r="F50" s="86"/>
      <c r="G50" s="86"/>
      <c r="H50" s="86"/>
      <c r="I50" s="94"/>
      <c r="J50" s="86"/>
      <c r="K50" s="86"/>
      <c r="L50" s="87"/>
    </row>
    <row r="51" spans="1:12" ht="15.5" x14ac:dyDescent="0.35">
      <c r="A51" s="95"/>
      <c r="B51" s="86"/>
      <c r="C51" s="86"/>
      <c r="D51" s="86"/>
      <c r="E51" s="86"/>
      <c r="F51" s="86"/>
      <c r="G51" s="86"/>
      <c r="H51" s="86"/>
      <c r="I51" s="94"/>
      <c r="J51" s="86"/>
      <c r="K51" s="86"/>
      <c r="L51" s="87"/>
    </row>
    <row r="52" spans="1:12" x14ac:dyDescent="0.35">
      <c r="A52" s="93" t="s">
        <v>96</v>
      </c>
      <c r="B52" s="96"/>
      <c r="C52" s="96"/>
      <c r="D52" s="96"/>
      <c r="E52" s="96"/>
      <c r="F52" s="96"/>
      <c r="G52" s="96"/>
      <c r="H52" s="86"/>
      <c r="I52" s="86"/>
      <c r="J52" s="86"/>
      <c r="K52" s="86"/>
      <c r="L52" s="87"/>
    </row>
    <row r="53" spans="1:12" x14ac:dyDescent="0.35">
      <c r="A53" s="140" t="s">
        <v>97</v>
      </c>
      <c r="B53" s="141" t="s">
        <v>98</v>
      </c>
      <c r="C53" s="141" t="s">
        <v>99</v>
      </c>
      <c r="D53" s="141" t="s">
        <v>100</v>
      </c>
      <c r="E53" s="141" t="s">
        <v>101</v>
      </c>
      <c r="F53" s="141" t="s">
        <v>102</v>
      </c>
      <c r="G53" s="141" t="s">
        <v>103</v>
      </c>
      <c r="H53" s="141" t="s">
        <v>104</v>
      </c>
      <c r="I53" s="141" t="s">
        <v>105</v>
      </c>
      <c r="J53" s="141" t="s">
        <v>106</v>
      </c>
      <c r="K53" s="141" t="s">
        <v>107</v>
      </c>
      <c r="L53" s="87"/>
    </row>
    <row r="54" spans="1:12" x14ac:dyDescent="0.35">
      <c r="A54" s="140"/>
      <c r="B54" s="141"/>
      <c r="C54" s="141"/>
      <c r="D54" s="142"/>
      <c r="E54" s="141"/>
      <c r="F54" s="141"/>
      <c r="G54" s="141"/>
      <c r="H54" s="145"/>
      <c r="I54" s="145"/>
      <c r="J54" s="145"/>
      <c r="K54" s="145"/>
      <c r="L54" s="87"/>
    </row>
    <row r="55" spans="1:12" x14ac:dyDescent="0.35">
      <c r="A55" s="140"/>
      <c r="B55" s="141"/>
      <c r="C55" s="141"/>
      <c r="D55" s="142"/>
      <c r="E55" s="141"/>
      <c r="F55" s="141"/>
      <c r="G55" s="141"/>
      <c r="H55" s="145"/>
      <c r="I55" s="145"/>
      <c r="J55" s="145"/>
      <c r="K55" s="145"/>
      <c r="L55" s="87"/>
    </row>
    <row r="56" spans="1:12" x14ac:dyDescent="0.35">
      <c r="A56" s="97" t="s">
        <v>108</v>
      </c>
      <c r="B56" s="4" t="s">
        <v>109</v>
      </c>
      <c r="C56" s="4" t="s">
        <v>110</v>
      </c>
      <c r="D56" s="4" t="s">
        <v>111</v>
      </c>
      <c r="E56" s="4" t="s">
        <v>111</v>
      </c>
      <c r="F56" s="4">
        <v>0</v>
      </c>
      <c r="G56" s="4">
        <v>1</v>
      </c>
      <c r="H56" s="27">
        <v>1500</v>
      </c>
      <c r="I56" s="4">
        <v>0</v>
      </c>
      <c r="J56" s="27">
        <v>44000</v>
      </c>
      <c r="K56" s="4" t="s">
        <v>112</v>
      </c>
      <c r="L56" s="87"/>
    </row>
    <row r="57" spans="1:12" x14ac:dyDescent="0.35">
      <c r="A57" s="97" t="s">
        <v>113</v>
      </c>
      <c r="B57" s="4" t="s">
        <v>114</v>
      </c>
      <c r="C57" s="4" t="s">
        <v>115</v>
      </c>
      <c r="D57" s="4" t="s">
        <v>111</v>
      </c>
      <c r="E57" s="4" t="s">
        <v>111</v>
      </c>
      <c r="F57" s="4">
        <v>3</v>
      </c>
      <c r="G57" s="4">
        <v>1</v>
      </c>
      <c r="H57" s="27">
        <v>1500</v>
      </c>
      <c r="I57" s="27">
        <v>38700</v>
      </c>
      <c r="J57" s="27">
        <v>44000</v>
      </c>
      <c r="K57" s="4" t="s">
        <v>112</v>
      </c>
      <c r="L57" s="87"/>
    </row>
    <row r="58" spans="1:12" x14ac:dyDescent="0.35">
      <c r="A58" s="97" t="s">
        <v>116</v>
      </c>
      <c r="B58" s="4" t="s">
        <v>117</v>
      </c>
      <c r="C58" s="4" t="s">
        <v>118</v>
      </c>
      <c r="D58" s="4" t="s">
        <v>119</v>
      </c>
      <c r="E58" s="4" t="s">
        <v>111</v>
      </c>
      <c r="F58" s="4">
        <v>0</v>
      </c>
      <c r="G58" s="4">
        <v>1</v>
      </c>
      <c r="H58" s="27">
        <v>1500</v>
      </c>
      <c r="I58" s="4">
        <v>0</v>
      </c>
      <c r="J58" s="27">
        <v>44000</v>
      </c>
      <c r="K58" s="27">
        <v>45500</v>
      </c>
      <c r="L58" s="87"/>
    </row>
    <row r="59" spans="1:12" x14ac:dyDescent="0.35">
      <c r="A59" s="97" t="s">
        <v>120</v>
      </c>
      <c r="B59" s="4" t="s">
        <v>121</v>
      </c>
      <c r="C59" s="4" t="s">
        <v>122</v>
      </c>
      <c r="D59" s="4" t="s">
        <v>119</v>
      </c>
      <c r="E59" s="4" t="s">
        <v>111</v>
      </c>
      <c r="F59" s="4">
        <v>7</v>
      </c>
      <c r="G59" s="4">
        <v>2</v>
      </c>
      <c r="H59" s="27">
        <v>1500</v>
      </c>
      <c r="I59" s="27">
        <v>83100</v>
      </c>
      <c r="J59" s="27">
        <v>88000</v>
      </c>
      <c r="K59" s="27">
        <v>172600</v>
      </c>
      <c r="L59" s="87"/>
    </row>
    <row r="60" spans="1:12" x14ac:dyDescent="0.35">
      <c r="A60" s="97" t="s">
        <v>123</v>
      </c>
      <c r="B60" s="4" t="s">
        <v>124</v>
      </c>
      <c r="C60" s="4" t="s">
        <v>125</v>
      </c>
      <c r="D60" s="4" t="s">
        <v>111</v>
      </c>
      <c r="E60" s="4" t="s">
        <v>111</v>
      </c>
      <c r="F60" s="4">
        <v>4</v>
      </c>
      <c r="G60" s="4">
        <v>1</v>
      </c>
      <c r="H60" s="27">
        <v>1500</v>
      </c>
      <c r="I60" s="27">
        <v>49800</v>
      </c>
      <c r="J60" s="27">
        <v>44000</v>
      </c>
      <c r="K60" s="4" t="s">
        <v>112</v>
      </c>
      <c r="L60" s="87"/>
    </row>
    <row r="61" spans="1:12" x14ac:dyDescent="0.35">
      <c r="A61" s="97" t="s">
        <v>126</v>
      </c>
      <c r="B61" s="4" t="s">
        <v>127</v>
      </c>
      <c r="C61" s="4" t="s">
        <v>128</v>
      </c>
      <c r="D61" s="4" t="s">
        <v>119</v>
      </c>
      <c r="E61" s="4" t="s">
        <v>111</v>
      </c>
      <c r="F61" s="4">
        <v>0</v>
      </c>
      <c r="G61" s="4">
        <v>1</v>
      </c>
      <c r="H61" s="27">
        <v>1500</v>
      </c>
      <c r="I61" s="4">
        <v>0</v>
      </c>
      <c r="J61" s="27">
        <v>44000</v>
      </c>
      <c r="K61" s="27">
        <v>45500</v>
      </c>
      <c r="L61" s="87"/>
    </row>
    <row r="62" spans="1:12" x14ac:dyDescent="0.35">
      <c r="A62" s="97" t="s">
        <v>129</v>
      </c>
      <c r="B62" s="4" t="s">
        <v>130</v>
      </c>
      <c r="C62" s="4" t="s">
        <v>128</v>
      </c>
      <c r="D62" s="4" t="s">
        <v>119</v>
      </c>
      <c r="E62" s="4" t="s">
        <v>111</v>
      </c>
      <c r="F62" s="4">
        <v>0</v>
      </c>
      <c r="G62" s="4">
        <v>1</v>
      </c>
      <c r="H62" s="27">
        <v>1500</v>
      </c>
      <c r="I62" s="4">
        <v>0</v>
      </c>
      <c r="J62" s="27">
        <v>44000</v>
      </c>
      <c r="K62" s="27">
        <v>45500</v>
      </c>
      <c r="L62" s="87"/>
    </row>
    <row r="63" spans="1:12" x14ac:dyDescent="0.35">
      <c r="A63" s="97" t="s">
        <v>120</v>
      </c>
      <c r="B63" s="4" t="s">
        <v>131</v>
      </c>
      <c r="C63" s="4" t="s">
        <v>115</v>
      </c>
      <c r="D63" s="4" t="s">
        <v>111</v>
      </c>
      <c r="E63" s="4" t="s">
        <v>111</v>
      </c>
      <c r="F63" s="4">
        <v>3</v>
      </c>
      <c r="G63" s="4">
        <v>1</v>
      </c>
      <c r="H63" s="27">
        <v>1500</v>
      </c>
      <c r="I63" s="27">
        <v>38700</v>
      </c>
      <c r="J63" s="27">
        <v>44000</v>
      </c>
      <c r="K63" s="4" t="s">
        <v>112</v>
      </c>
      <c r="L63" s="87"/>
    </row>
    <row r="64" spans="1:12" x14ac:dyDescent="0.35">
      <c r="A64" s="146" t="s">
        <v>132</v>
      </c>
      <c r="B64" s="147"/>
      <c r="C64" s="147"/>
      <c r="D64" s="147"/>
      <c r="E64" s="147"/>
      <c r="F64" s="147"/>
      <c r="G64" s="147"/>
      <c r="H64" s="147"/>
      <c r="I64" s="147"/>
      <c r="J64" s="147"/>
      <c r="K64" s="41">
        <v>309100</v>
      </c>
      <c r="L64" s="87"/>
    </row>
    <row r="65" spans="1:12" ht="15.5" x14ac:dyDescent="0.35">
      <c r="A65" s="143" t="s">
        <v>133</v>
      </c>
      <c r="B65" s="144"/>
      <c r="C65" s="144"/>
      <c r="D65" s="144"/>
      <c r="E65" s="144"/>
      <c r="F65" s="144"/>
      <c r="G65" s="144"/>
      <c r="H65" s="144"/>
      <c r="I65" s="144"/>
      <c r="J65" s="144"/>
      <c r="K65" s="144"/>
      <c r="L65" s="87"/>
    </row>
    <row r="66" spans="1:12" ht="15.5" x14ac:dyDescent="0.35">
      <c r="A66" s="143" t="s">
        <v>134</v>
      </c>
      <c r="B66" s="144"/>
      <c r="C66" s="144"/>
      <c r="D66" s="144"/>
      <c r="E66" s="144"/>
      <c r="F66" s="144"/>
      <c r="G66" s="144"/>
      <c r="H66" s="144"/>
      <c r="I66" s="144"/>
      <c r="J66" s="144"/>
      <c r="K66" s="144"/>
      <c r="L66" s="87"/>
    </row>
    <row r="67" spans="1:12" ht="15.5" x14ac:dyDescent="0.35">
      <c r="A67" s="143" t="s">
        <v>135</v>
      </c>
      <c r="B67" s="144"/>
      <c r="C67" s="144"/>
      <c r="D67" s="144"/>
      <c r="E67" s="144"/>
      <c r="F67" s="144"/>
      <c r="G67" s="144"/>
      <c r="H67" s="144"/>
      <c r="I67" s="144"/>
      <c r="J67" s="144"/>
      <c r="K67" s="144"/>
      <c r="L67" s="87"/>
    </row>
    <row r="68" spans="1:12" ht="15.5" x14ac:dyDescent="0.35">
      <c r="A68" s="143" t="s">
        <v>136</v>
      </c>
      <c r="B68" s="144"/>
      <c r="C68" s="144"/>
      <c r="D68" s="144"/>
      <c r="E68" s="144"/>
      <c r="F68" s="144"/>
      <c r="G68" s="144"/>
      <c r="H68" s="144"/>
      <c r="I68" s="144"/>
      <c r="J68" s="144"/>
      <c r="K68" s="144"/>
      <c r="L68" s="87"/>
    </row>
    <row r="69" spans="1:12" ht="15" thickBot="1" x14ac:dyDescent="0.4">
      <c r="A69" s="98"/>
      <c r="B69" s="99"/>
      <c r="C69" s="99"/>
      <c r="D69" s="99"/>
      <c r="E69" s="99"/>
      <c r="F69" s="99"/>
      <c r="G69" s="99"/>
      <c r="H69" s="99"/>
      <c r="I69" s="99"/>
      <c r="J69" s="99"/>
      <c r="K69" s="99"/>
      <c r="L69" s="100"/>
    </row>
  </sheetData>
  <mergeCells count="33">
    <mergeCell ref="A65:K65"/>
    <mergeCell ref="A66:K66"/>
    <mergeCell ref="A67:K67"/>
    <mergeCell ref="A68:K68"/>
    <mergeCell ref="A3:E3"/>
    <mergeCell ref="H53:H55"/>
    <mergeCell ref="I53:I55"/>
    <mergeCell ref="J53:J55"/>
    <mergeCell ref="K53:K55"/>
    <mergeCell ref="A64:J64"/>
    <mergeCell ref="I25:J25"/>
    <mergeCell ref="A32:G32"/>
    <mergeCell ref="A29:G29"/>
    <mergeCell ref="A41:G41"/>
    <mergeCell ref="A39:G39"/>
    <mergeCell ref="A40:G40"/>
    <mergeCell ref="A45:G45"/>
    <mergeCell ref="A53:A55"/>
    <mergeCell ref="B53:B55"/>
    <mergeCell ref="C53:C55"/>
    <mergeCell ref="D53:D55"/>
    <mergeCell ref="E53:E55"/>
    <mergeCell ref="F53:F55"/>
    <mergeCell ref="G53:G55"/>
    <mergeCell ref="A18:G18"/>
    <mergeCell ref="A21:G21"/>
    <mergeCell ref="A26:G26"/>
    <mergeCell ref="A33:G33"/>
    <mergeCell ref="A38:G38"/>
    <mergeCell ref="A34:G34"/>
    <mergeCell ref="A35:G35"/>
    <mergeCell ref="A36:G36"/>
    <mergeCell ref="A37:G37"/>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Bevington</dc:creator>
  <cp:lastModifiedBy>Wrigley, William</cp:lastModifiedBy>
  <dcterms:created xsi:type="dcterms:W3CDTF">2018-10-13T14:18:57Z</dcterms:created>
  <dcterms:modified xsi:type="dcterms:W3CDTF">2022-02-04T15:06:02Z</dcterms:modified>
</cp:coreProperties>
</file>