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hidePivotFieldList="1"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3033B064-F9F3-4194-9C8F-B850374AAA41}" xr6:coauthVersionLast="47" xr6:coauthVersionMax="47" xr10:uidLastSave="{00000000-0000-0000-0000-000000000000}"/>
  <bookViews>
    <workbookView xWindow="-110" yWindow="-110" windowWidth="19420" windowHeight="10420" tabRatio="925" xr2:uid="{00000000-000D-0000-FFFF-FFFF00000000}"/>
  </bookViews>
  <sheets>
    <sheet name="Industry" sheetId="97" r:id="rId1"/>
    <sheet name="Record&amp;Reporting Burden Only" sheetId="100" state="hidden" r:id="rId2"/>
    <sheet name="Agency" sheetId="99" r:id="rId3"/>
    <sheet name="Process Vent - T&amp;M Costs" sheetId="81" state="hidden" r:id="rId4"/>
    <sheet name="Resin T&amp;M Costs" sheetId="82" state="hidden" r:id="rId5"/>
    <sheet name="Wastewater T&amp;M Costs" sheetId="83" state="hidden" r:id="rId6"/>
    <sheet name="EquipmentLeaks - T&amp;M Costs" sheetId="93" state="hidden" r:id="rId7"/>
    <sheet name="CAP&amp;O&amp;M" sheetId="101" r:id="rId8"/>
  </sheets>
  <definedNames>
    <definedName name="_Regression_Int" localSheetId="0" hidden="1">1</definedName>
    <definedName name="_xlnm.Print_Area" localSheetId="2">Agency!$A$1:$I$24</definedName>
    <definedName name="_xlnm.Print_Area" localSheetId="0">Industry!$A$1:$J$81</definedName>
    <definedName name="_xlnm.Print_Area" localSheetId="1">'Record&amp;Reporting Burden Only'!$A$1:$J$31</definedName>
    <definedName name="_xlnm.Print_Titles" localSheetId="0">Industry!$2:$8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101" l="1"/>
  <c r="I34" i="97" l="1"/>
  <c r="K69" i="97" l="1"/>
  <c r="F11" i="101"/>
  <c r="C10" i="101" l="1"/>
  <c r="F26" i="101" l="1"/>
  <c r="F24" i="101"/>
  <c r="F16" i="101"/>
  <c r="D34" i="97"/>
  <c r="H14" i="101" l="1"/>
  <c r="D14" i="97" l="1"/>
  <c r="F14" i="97" s="1"/>
  <c r="D41" i="97"/>
  <c r="F41" i="97" s="1"/>
  <c r="D40" i="97"/>
  <c r="F40" i="97" s="1"/>
  <c r="D39" i="97"/>
  <c r="F39" i="97" s="1"/>
  <c r="H39" i="97" s="1"/>
  <c r="D38" i="97"/>
  <c r="F38" i="97" s="1"/>
  <c r="D37" i="97"/>
  <c r="F37" i="97" s="1"/>
  <c r="D36" i="97"/>
  <c r="F36" i="97" s="1"/>
  <c r="H11" i="101"/>
  <c r="G14" i="97" l="1"/>
  <c r="H14" i="97"/>
  <c r="H40" i="97"/>
  <c r="G40" i="97"/>
  <c r="G39" i="97"/>
  <c r="I39" i="97" s="1"/>
  <c r="G41" i="97"/>
  <c r="H41" i="97"/>
  <c r="G38" i="97"/>
  <c r="H38" i="97"/>
  <c r="G37" i="97"/>
  <c r="H37" i="97"/>
  <c r="G36" i="97"/>
  <c r="H36" i="97"/>
  <c r="F20" i="101"/>
  <c r="H20" i="101" s="1"/>
  <c r="H16" i="101"/>
  <c r="C26" i="101"/>
  <c r="E26" i="101" s="1"/>
  <c r="F18" i="101"/>
  <c r="H18" i="101" s="1"/>
  <c r="C18" i="101"/>
  <c r="E18" i="101" s="1"/>
  <c r="E10" i="101"/>
  <c r="H26" i="101"/>
  <c r="H22" i="101"/>
  <c r="E22" i="101"/>
  <c r="H28" i="101"/>
  <c r="H24" i="101"/>
  <c r="H10" i="101"/>
  <c r="E28" i="101"/>
  <c r="E24" i="101"/>
  <c r="E20" i="101"/>
  <c r="E16" i="101"/>
  <c r="E14" i="101"/>
  <c r="B29" i="97"/>
  <c r="B28" i="97"/>
  <c r="B27" i="97"/>
  <c r="B26" i="97"/>
  <c r="B20" i="97"/>
  <c r="D20" i="97" s="1"/>
  <c r="F20" i="97" s="1"/>
  <c r="B25" i="97"/>
  <c r="B33" i="97"/>
  <c r="B21" i="97"/>
  <c r="B19" i="97"/>
  <c r="B18" i="97"/>
  <c r="I68" i="97" l="1"/>
  <c r="I14" i="97"/>
  <c r="I36" i="97"/>
  <c r="I40" i="97"/>
  <c r="I41" i="97"/>
  <c r="I38" i="97"/>
  <c r="I37" i="97"/>
  <c r="G20" i="97"/>
  <c r="H20" i="97"/>
  <c r="B13" i="97"/>
  <c r="D18" i="99"/>
  <c r="F18" i="99" s="1"/>
  <c r="D17" i="99"/>
  <c r="F17" i="99" s="1"/>
  <c r="D16" i="99"/>
  <c r="F16" i="99" s="1"/>
  <c r="D15" i="99"/>
  <c r="F15" i="99" s="1"/>
  <c r="D14" i="99"/>
  <c r="F14" i="99" s="1"/>
  <c r="D13" i="99"/>
  <c r="F13" i="99" s="1"/>
  <c r="D12" i="99"/>
  <c r="F12" i="99" s="1"/>
  <c r="D8" i="99"/>
  <c r="F8" i="99" s="1"/>
  <c r="D7" i="99"/>
  <c r="F7" i="99" s="1"/>
  <c r="D5" i="99"/>
  <c r="F5" i="99" s="1"/>
  <c r="I20" i="97" l="1"/>
  <c r="D4" i="83"/>
  <c r="E12" i="82" l="1"/>
  <c r="D4" i="82" l="1"/>
  <c r="E8" i="82" l="1"/>
  <c r="E10" i="82" s="1"/>
  <c r="C26" i="82" l="1"/>
  <c r="E14" i="82"/>
  <c r="D18" i="81"/>
  <c r="H15" i="81" s="1"/>
  <c r="F15" i="81"/>
  <c r="D14" i="81"/>
  <c r="F14" i="81" l="1"/>
  <c r="H14" i="81" s="1"/>
  <c r="D13" i="81"/>
  <c r="G12" i="81"/>
  <c r="G11" i="81"/>
  <c r="F11" i="81"/>
  <c r="H11" i="81" l="1"/>
  <c r="H12" i="81"/>
  <c r="D23" i="81"/>
  <c r="F13" i="81"/>
  <c r="H13" i="81" s="1"/>
  <c r="G8" i="99"/>
  <c r="G5" i="99"/>
  <c r="H22" i="81" l="1"/>
  <c r="H21" i="81" s="1"/>
  <c r="H23" i="81" s="1"/>
  <c r="H5" i="99"/>
  <c r="I5" i="99" s="1"/>
  <c r="G7" i="99"/>
  <c r="G18" i="99"/>
  <c r="F21" i="100" l="1"/>
  <c r="E21" i="100"/>
  <c r="C21" i="100"/>
  <c r="F20" i="100"/>
  <c r="E20" i="100"/>
  <c r="C20" i="100"/>
  <c r="F19" i="100"/>
  <c r="E19" i="100"/>
  <c r="C19" i="100"/>
  <c r="F18" i="100"/>
  <c r="E18" i="100"/>
  <c r="C18" i="100"/>
  <c r="F17" i="100"/>
  <c r="E17" i="100"/>
  <c r="C17" i="100" l="1"/>
  <c r="F16" i="100" l="1"/>
  <c r="E16" i="100"/>
  <c r="C16" i="100"/>
  <c r="F15" i="100"/>
  <c r="F22" i="100" s="1"/>
  <c r="E15" i="100"/>
  <c r="E22" i="100" s="1"/>
  <c r="C15" i="100"/>
  <c r="D63" i="97"/>
  <c r="D62" i="97"/>
  <c r="D61" i="97"/>
  <c r="D60" i="97"/>
  <c r="D59" i="97"/>
  <c r="D58" i="97"/>
  <c r="D57" i="97"/>
  <c r="C22" i="100" l="1"/>
  <c r="D50" i="97"/>
  <c r="D49" i="97"/>
  <c r="E48" i="97" l="1"/>
  <c r="D48" i="97"/>
  <c r="E47" i="97"/>
  <c r="D47" i="97"/>
  <c r="E46" i="97"/>
  <c r="D46" i="97"/>
  <c r="E45" i="97"/>
  <c r="D45" i="97"/>
  <c r="F44" i="97"/>
  <c r="G44" i="97" s="1"/>
  <c r="D33" i="97"/>
  <c r="D31" i="97"/>
  <c r="D29" i="97"/>
  <c r="D28" i="97"/>
  <c r="F28" i="97" s="1"/>
  <c r="F48" i="97" l="1"/>
  <c r="G48" i="97" s="1"/>
  <c r="F46" i="97"/>
  <c r="G46" i="97" s="1"/>
  <c r="F47" i="97"/>
  <c r="F45" i="97"/>
  <c r="G45" i="97" s="1"/>
  <c r="H44" i="97"/>
  <c r="G28" i="97"/>
  <c r="D27" i="97"/>
  <c r="D26" i="97"/>
  <c r="D25" i="97"/>
  <c r="D24" i="97"/>
  <c r="H48" i="97" l="1"/>
  <c r="I48" i="97" s="1"/>
  <c r="H46" i="97"/>
  <c r="I46" i="97" s="1"/>
  <c r="G47" i="97"/>
  <c r="H47" i="97"/>
  <c r="H45" i="97"/>
  <c r="I45" i="97" s="1"/>
  <c r="D22" i="97"/>
  <c r="I47" i="97" l="1"/>
  <c r="D21" i="97"/>
  <c r="D19" i="97"/>
  <c r="D18" i="97"/>
  <c r="D17" i="97"/>
  <c r="F16" i="97"/>
  <c r="G16" i="97" s="1"/>
  <c r="F15" i="97"/>
  <c r="G15" i="97" s="1"/>
  <c r="D13" i="97"/>
  <c r="F13" i="97" s="1"/>
  <c r="D11" i="97"/>
  <c r="H10" i="97"/>
  <c r="D10" i="97"/>
  <c r="I9" i="97"/>
  <c r="D9" i="97"/>
  <c r="F34" i="97"/>
  <c r="H12" i="99"/>
  <c r="H18" i="99"/>
  <c r="I18" i="99" s="1"/>
  <c r="H16" i="99"/>
  <c r="G15" i="99"/>
  <c r="I10" i="97" l="1"/>
  <c r="H16" i="97"/>
  <c r="H15" i="97"/>
  <c r="G34" i="97"/>
  <c r="H34" i="97"/>
  <c r="G13" i="97"/>
  <c r="H13" i="97"/>
  <c r="G12" i="99"/>
  <c r="G13" i="99"/>
  <c r="G14" i="99"/>
  <c r="G16" i="99"/>
  <c r="I16" i="99" s="1"/>
  <c r="H14" i="99"/>
  <c r="G17" i="99"/>
  <c r="H13" i="99"/>
  <c r="H17" i="99"/>
  <c r="H15" i="99"/>
  <c r="I15" i="99" s="1"/>
  <c r="H7" i="99"/>
  <c r="H8" i="99"/>
  <c r="I8" i="99" s="1"/>
  <c r="F19" i="99" l="1"/>
  <c r="I7" i="99"/>
  <c r="I17" i="99"/>
  <c r="I13" i="97"/>
  <c r="I12" i="99"/>
  <c r="I13" i="99"/>
  <c r="I14" i="99"/>
  <c r="F17" i="97"/>
  <c r="G17" i="97" s="1"/>
  <c r="F24" i="97"/>
  <c r="G24" i="97" s="1"/>
  <c r="I19" i="99" l="1"/>
  <c r="H17" i="97"/>
  <c r="I17" i="97" s="1"/>
  <c r="H24" i="97"/>
  <c r="I24" i="97" s="1"/>
  <c r="F25" i="97" l="1"/>
  <c r="G25" i="97" s="1"/>
  <c r="F18" i="97"/>
  <c r="H18" i="97" s="1"/>
  <c r="G18" i="97" l="1"/>
  <c r="I18" i="97" s="1"/>
  <c r="H25" i="97"/>
  <c r="I25" i="97" s="1"/>
  <c r="F19" i="97" l="1"/>
  <c r="F21" i="97"/>
  <c r="G21" i="97" s="1"/>
  <c r="H21" i="97" l="1"/>
  <c r="I21" i="97" s="1"/>
  <c r="G19" i="97"/>
  <c r="H19" i="97"/>
  <c r="F22" i="97"/>
  <c r="I19" i="97" l="1"/>
  <c r="G22" i="97"/>
  <c r="H22" i="97"/>
  <c r="F33" i="97"/>
  <c r="G33" i="97" s="1"/>
  <c r="H33" i="97" l="1"/>
  <c r="I33" i="97" s="1"/>
  <c r="I22" i="97"/>
  <c r="F31" i="97"/>
  <c r="F26" i="97"/>
  <c r="F27" i="97"/>
  <c r="H27" i="97" s="1"/>
  <c r="G31" i="97" l="1"/>
  <c r="H31" i="97"/>
  <c r="G27" i="97"/>
  <c r="G26" i="97"/>
  <c r="H26" i="97"/>
  <c r="I31" i="97" l="1"/>
  <c r="I26" i="97"/>
  <c r="I27" i="97"/>
  <c r="H28" i="97" l="1"/>
  <c r="I28" i="97" l="1"/>
  <c r="F29" i="97" l="1"/>
  <c r="G29" i="97" l="1"/>
  <c r="H29" i="97"/>
  <c r="F49" i="97"/>
  <c r="G49" i="97" s="1"/>
  <c r="I29" i="97" l="1"/>
  <c r="H49" i="97"/>
  <c r="I49" i="97" s="1"/>
  <c r="F50" i="97"/>
  <c r="H50" i="97" s="1"/>
  <c r="F57" i="97"/>
  <c r="F58" i="97"/>
  <c r="H58" i="97" s="1"/>
  <c r="F59" i="97"/>
  <c r="F60" i="97"/>
  <c r="H60" i="97" s="1"/>
  <c r="F61" i="97"/>
  <c r="G61" i="97" s="1"/>
  <c r="F62" i="97"/>
  <c r="G62" i="97" s="1"/>
  <c r="F63" i="97"/>
  <c r="H57" i="97" l="1"/>
  <c r="G58" i="97"/>
  <c r="I58" i="97" s="1"/>
  <c r="H62" i="97"/>
  <c r="I62" i="97" s="1"/>
  <c r="H61" i="97"/>
  <c r="I61" i="97" s="1"/>
  <c r="G63" i="97"/>
  <c r="G59" i="97"/>
  <c r="H63" i="97"/>
  <c r="G60" i="97"/>
  <c r="I60" i="97" s="1"/>
  <c r="H59" i="97"/>
  <c r="G50" i="97"/>
  <c r="I50" i="97" s="1"/>
  <c r="G57" i="97"/>
  <c r="I57" i="97" l="1"/>
  <c r="F66" i="97"/>
  <c r="G16" i="100"/>
  <c r="I63" i="97"/>
  <c r="G21" i="100" s="1"/>
  <c r="I59" i="97"/>
  <c r="G17" i="100" s="1"/>
  <c r="G15" i="100"/>
  <c r="G19" i="100"/>
  <c r="G20" i="100"/>
  <c r="G18" i="100"/>
  <c r="F11" i="97"/>
  <c r="G11" i="97" l="1"/>
  <c r="I66" i="97"/>
  <c r="H11" i="97"/>
  <c r="F51" i="97" s="1"/>
  <c r="F67" i="97" s="1"/>
  <c r="G22" i="100"/>
  <c r="I11" i="97" l="1"/>
  <c r="I51" i="97" s="1"/>
  <c r="I67" i="97" s="1"/>
  <c r="I69" i="97" s="1"/>
  <c r="E19" i="82"/>
  <c r="E26" i="82" s="1"/>
  <c r="F26" i="82" s="1"/>
  <c r="E25" i="82"/>
  <c r="F25" i="82" s="1"/>
  <c r="C25" i="82"/>
</calcChain>
</file>

<file path=xl/sharedStrings.xml><?xml version="1.0" encoding="utf-8"?>
<sst xmlns="http://schemas.openxmlformats.org/spreadsheetml/2006/main" count="390" uniqueCount="325">
  <si>
    <t>(B)</t>
  </si>
  <si>
    <t>(C)</t>
  </si>
  <si>
    <t>(D)</t>
  </si>
  <si>
    <t>(E)</t>
  </si>
  <si>
    <t>(F)</t>
  </si>
  <si>
    <t>Management</t>
  </si>
  <si>
    <t>Clerical</t>
  </si>
  <si>
    <t>Occurrences</t>
  </si>
  <si>
    <t>Hours</t>
  </si>
  <si>
    <t>Per</t>
  </si>
  <si>
    <t>Per Year</t>
  </si>
  <si>
    <t>Occurrence</t>
  </si>
  <si>
    <t>Burden Item</t>
  </si>
  <si>
    <t>not applicable</t>
  </si>
  <si>
    <t>c</t>
  </si>
  <si>
    <t xml:space="preserve"> </t>
  </si>
  <si>
    <t>f</t>
  </si>
  <si>
    <t>(A)</t>
  </si>
  <si>
    <t>(G)</t>
  </si>
  <si>
    <t>Number of</t>
  </si>
  <si>
    <t>Technical</t>
  </si>
  <si>
    <t>Total</t>
  </si>
  <si>
    <t>Respondents</t>
  </si>
  <si>
    <t>Labor Costs</t>
  </si>
  <si>
    <t>Respondent</t>
  </si>
  <si>
    <t>e</t>
  </si>
  <si>
    <t>d</t>
  </si>
  <si>
    <t>a</t>
  </si>
  <si>
    <t>b</t>
  </si>
  <si>
    <t>Hours per</t>
  </si>
  <si>
    <t>4.  Recordkeeping Requirements</t>
  </si>
  <si>
    <t>Parameters/Costs</t>
  </si>
  <si>
    <t>Equation</t>
  </si>
  <si>
    <t>A. Parameters</t>
  </si>
  <si>
    <t>Sources:</t>
  </si>
  <si>
    <t>Values</t>
  </si>
  <si>
    <t>B. Testing Costs, $</t>
  </si>
  <si>
    <t>Note:</t>
  </si>
  <si>
    <t>Recordkeeping Subtotal</t>
  </si>
  <si>
    <t>Average</t>
  </si>
  <si>
    <t>a,d</t>
  </si>
  <si>
    <t>N/A</t>
  </si>
  <si>
    <t>B.  Implement Activities</t>
  </si>
  <si>
    <t xml:space="preserve">1. CE Plant Cost index </t>
  </si>
  <si>
    <t xml:space="preserve">    a. 2010 (Feb 10 Final CE Index)</t>
  </si>
  <si>
    <t>b. 2009 (Annual CE Index)</t>
  </si>
  <si>
    <t xml:space="preserve">    c. 1992 (Annual CE Index)</t>
  </si>
  <si>
    <t>1. Method 1 or 1A</t>
  </si>
  <si>
    <t>Included as part of M 23</t>
  </si>
  <si>
    <t>2. Method 26 (HCl)</t>
  </si>
  <si>
    <t xml:space="preserve">= $5,000 x (539.1/358.2) </t>
  </si>
  <si>
    <t>3. Method 23 (CDD/CDF)</t>
  </si>
  <si>
    <t>= $21,000 x (539.1/358.2) - $5,000</t>
  </si>
  <si>
    <t>CRF (20 yr, 7%):</t>
  </si>
  <si>
    <t>(0.07*(1+0.07)^20)/((1+0.07)^20-1)</t>
  </si>
  <si>
    <t>2.  Testing costs have been rounded to the nearest $1,000  to be consistent with level of rounding in original costs; costs also adjusted based on additional information from EPA.</t>
  </si>
  <si>
    <t>1.  Memorandum from R. Segall, EPA/EMB, to R. Copland, EPA/SDB.  October 14, 1992. Medical Waste Incinerator Study:  Emission Measurement and Continuous Monitoring. (II-B-89)</t>
  </si>
  <si>
    <t>2.  E-mail from Jason Dewees, EPA, to Peter Westlin, EPA.  August 20, 2008. Monitoring Options for SNCR &amp; Test Cost Questions.</t>
  </si>
  <si>
    <t>3.  E-mail from Jason Dewees, EPA, to Mary Johnson, EPA.  August 20, 2008. Re: Monitoring Options for SNCR &amp; Test Cost Questions.</t>
  </si>
  <si>
    <t>4. Conversation with Ray Merrill, ERG - 11/5/2010.</t>
  </si>
  <si>
    <t xml:space="preserve">Initial Compliance </t>
  </si>
  <si>
    <t>Total Compliance Cost</t>
  </si>
  <si>
    <t>Annual Cost of Initial Compliance</t>
  </si>
  <si>
    <t>Monitoring</t>
  </si>
  <si>
    <t>Company</t>
  </si>
  <si>
    <t>TAC of Resin Testing</t>
  </si>
  <si>
    <t>*National Environmental Methods Index Website https://www.nemi.gov/apex/f?p=237:38:951365369293524::::P38_METHOD_ID:7041</t>
  </si>
  <si>
    <t>Wastewater Sampling and Monitoring</t>
  </si>
  <si>
    <t>4) Continuous parameter monitoring</t>
  </si>
  <si>
    <t>C.  Develop Record System</t>
  </si>
  <si>
    <t>D.  Record Information</t>
  </si>
  <si>
    <t>E. Personnel Training</t>
  </si>
  <si>
    <t>F. Time for Audits</t>
  </si>
  <si>
    <t>3) Establish operating parameters and monitoring plan</t>
  </si>
  <si>
    <t>1) Initial performance test, sampling, and report</t>
  </si>
  <si>
    <t>2) Periodic performance test, sampling, and report</t>
  </si>
  <si>
    <r>
      <t>tests per month for each type of resin x 2 strippers</t>
    </r>
    <r>
      <rPr>
        <vertAlign val="superscript"/>
        <sz val="10"/>
        <rFont val="Arial"/>
        <family val="2"/>
      </rPr>
      <t>2</t>
    </r>
  </si>
  <si>
    <t>2. Average number of strippers calculated from facility submitted survey data</t>
  </si>
  <si>
    <r>
      <t>outlet tests x 2 strippers</t>
    </r>
    <r>
      <rPr>
        <vertAlign val="superscript"/>
        <sz val="10"/>
        <rFont val="Arial"/>
        <family val="2"/>
      </rPr>
      <t>2</t>
    </r>
  </si>
  <si>
    <t>Process Vents Emission Testing Costs</t>
  </si>
  <si>
    <t>Testing Freq.*</t>
  </si>
  <si>
    <t>Annual Cost fo Test</t>
  </si>
  <si>
    <t xml:space="preserve">Annual Cost of Initial Test </t>
  </si>
  <si>
    <t>TAC of Testing</t>
  </si>
  <si>
    <t>4. Method 25A (THC)</t>
  </si>
  <si>
    <t>=$6,000x(539.1/521.9)</t>
  </si>
  <si>
    <t xml:space="preserve">C. </t>
  </si>
  <si>
    <t>D. Facility Totals</t>
  </si>
  <si>
    <t>1. HCl, TOH, &amp;VC</t>
  </si>
  <si>
    <t>2. CDD/CDF</t>
  </si>
  <si>
    <t>3. Facility Total</t>
  </si>
  <si>
    <t>* Number of Years Between Tests</t>
  </si>
  <si>
    <t>g</t>
  </si>
  <si>
    <t>40CFR61 V</t>
  </si>
  <si>
    <t>5. Method 18 (assumed cost is equal to Method SW 846 0031)</t>
  </si>
  <si>
    <t>Removed method 301</t>
  </si>
  <si>
    <t>Estimated Emission Reductions (Tons/yr)</t>
  </si>
  <si>
    <t>Low</t>
  </si>
  <si>
    <t>High</t>
  </si>
  <si>
    <t>Cost of US EPA Method 8260B [1]</t>
  </si>
  <si>
    <t>`= (3 inlet tests*Avg Cost*2 Strippers)*CRF</t>
  </si>
  <si>
    <t>Initial Compliance Costs</t>
  </si>
  <si>
    <t>Annualized Initial Compliance Costs</t>
  </si>
  <si>
    <t>1. National Environmental Methods Index Website https://www.nemi.gov/apex/f?p=237:38:951365369293524::::P38_METHOD_ID:7041</t>
  </si>
  <si>
    <t>Cost of US EPA Method 8260B</t>
  </si>
  <si>
    <t>Cost of US EPA Method 305</t>
  </si>
  <si>
    <t>http://analyticallaboratories.com/page.cfm?pageid=90 (Cost of Volatile Organics)</t>
  </si>
  <si>
    <t>Cost of US EPA Method 107</t>
  </si>
  <si>
    <t xml:space="preserve">Assume no cost since facilities are presumably already testing VC (Based on VI submitted data). </t>
  </si>
  <si>
    <t>Initial Uncontrolled Stream Testing</t>
  </si>
  <si>
    <t>Number of Uncontrolled Streams (As reported in survey data)</t>
  </si>
  <si>
    <t>Number of Uncontrolled Streams with average for missing data</t>
  </si>
  <si>
    <t>7) Records of other emission sources requirements</t>
  </si>
  <si>
    <t>h</t>
  </si>
  <si>
    <t>(H)</t>
  </si>
  <si>
    <t>Other Sources</t>
  </si>
  <si>
    <t>Heat Exchange Systems</t>
  </si>
  <si>
    <t>Storage Vessels</t>
  </si>
  <si>
    <t>Equipment Leaks</t>
  </si>
  <si>
    <t>Wastewater</t>
  </si>
  <si>
    <t>Process Vents</t>
  </si>
  <si>
    <t>Resins</t>
  </si>
  <si>
    <t>Yr 3</t>
  </si>
  <si>
    <t>Yr 2</t>
  </si>
  <si>
    <t>Yr 1</t>
  </si>
  <si>
    <t>Record Keeping and Reporting Burden By Emission Point</t>
  </si>
  <si>
    <t>Initial Cost
($)</t>
  </si>
  <si>
    <t>Annual Cost ($/yr)</t>
  </si>
  <si>
    <t>Initial Notes</t>
  </si>
  <si>
    <t>Labor/Non Labor Costs to "Read/Understand Rule Requirements" divided by 7 emission points</t>
  </si>
  <si>
    <t>Initial Performance Test/Sampling/Report</t>
  </si>
  <si>
    <t>Establishment of operating parameters and monitoring plan</t>
  </si>
  <si>
    <t>Report preparation for item 3.E.1-6 divided by 7 emission points</t>
  </si>
  <si>
    <t>a,b,c,d</t>
  </si>
  <si>
    <t>a,b,d</t>
  </si>
  <si>
    <t>Annual Notes</t>
  </si>
  <si>
    <t>Periodic sampling/testing/and monitoring (not applicable for process vents in year 1)</t>
  </si>
  <si>
    <t>In year 2 and 3, recordkeeping items under 4.D are included</t>
  </si>
  <si>
    <t>includes annual labor cost for PRD monitoring system</t>
  </si>
  <si>
    <t>e,f,g</t>
  </si>
  <si>
    <t>e,f,g,h</t>
  </si>
  <si>
    <t>Years 2 and 3 include items 3.E.5 and 3.E.6 divided by 7 emission points</t>
  </si>
  <si>
    <t>Emission Point</t>
  </si>
  <si>
    <t>Record Keeping and Reporting Burden by Emission Point</t>
  </si>
  <si>
    <t xml:space="preserve">Note: This table is used to caluclate the record keeping and reporting burden by emission point for the PVC NESHAP. The costs presented </t>
  </si>
  <si>
    <t xml:space="preserve">in the table below represent costs not otherwise included in the PVC NESHAP Impact estimate (i.e., testing and monitoring costs are already </t>
  </si>
  <si>
    <t xml:space="preserve">included in the PVC NESHAP impacts estimate, therefore, they are not included in the table below). The costs presented in the table below </t>
  </si>
  <si>
    <t xml:space="preserve">should be added to the previously calculated PVC Impacts to obtain an impacts estimate which includes record keeping and reporting. </t>
  </si>
  <si>
    <t>1. Initial testing costs not annualized since initial = annual</t>
  </si>
  <si>
    <t>CertainTeed - Lake Charles</t>
  </si>
  <si>
    <t>Bulk</t>
  </si>
  <si>
    <t>Resin Type</t>
  </si>
  <si>
    <t>LDAR Cost increase for V to UU</t>
  </si>
  <si>
    <t>WastewaterTesting and Sampling Cost Estimate</t>
  </si>
  <si>
    <t>Resin Sampling and Monitoring</t>
  </si>
  <si>
    <r>
      <t>LDAR Program</t>
    </r>
    <r>
      <rPr>
        <b/>
        <vertAlign val="superscript"/>
        <sz val="10"/>
        <rFont val="Times New Roman"/>
        <family val="1"/>
      </rPr>
      <t>[1]</t>
    </r>
  </si>
  <si>
    <t>(A) PRV Monitoring System Capital Cost ($)</t>
  </si>
  <si>
    <t>(B) Capital Cost Increase of LDAR ($)</t>
  </si>
  <si>
    <t>(C) TCI ($)
C=A+B</t>
  </si>
  <si>
    <t>(D) Annualized Capital Cost Increase of LDAR</t>
  </si>
  <si>
    <t>(E) Annual Increase in LDAR Cost</t>
  </si>
  <si>
    <t>(F) Total Annualized Increase LDAR Cost
F=D+E</t>
  </si>
  <si>
    <t>(G) Annualize Capital Cost of PRV Monitoring System ($)</t>
  </si>
  <si>
    <t>(H) TAC ($)
H=D+E+G</t>
  </si>
  <si>
    <r>
      <t>Baseline Emission</t>
    </r>
    <r>
      <rPr>
        <b/>
        <vertAlign val="superscript"/>
        <sz val="10"/>
        <rFont val="Times New Roman"/>
        <family val="1"/>
      </rPr>
      <t>[2]</t>
    </r>
    <r>
      <rPr>
        <b/>
        <sz val="10"/>
        <rFont val="Times New Roman"/>
        <family val="1"/>
      </rPr>
      <t xml:space="preserve"> (Tons/yr) </t>
    </r>
  </si>
  <si>
    <t>OxyVinyls - Deer Park</t>
  </si>
  <si>
    <t>Suspension</t>
  </si>
  <si>
    <t>(C=A x B)</t>
  </si>
  <si>
    <t>Increase:Updated labor rates</t>
  </si>
  <si>
    <t>Increase: Update labor rates</t>
  </si>
  <si>
    <t>(F) Management person-hours per year (Ex0.05)</t>
  </si>
  <si>
    <t>Capital/Startup vs. Operation and Maintenance (O&amp;M) Costs</t>
  </si>
  <si>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</si>
  <si>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</si>
  <si>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</si>
  <si>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</si>
  <si>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</si>
  <si>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</si>
  <si>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t>
  </si>
  <si>
    <t>(E X F)</t>
  </si>
  <si>
    <t>Continuous Parameter Monitoring</t>
  </si>
  <si>
    <t>Periodic Testing</t>
  </si>
  <si>
    <t>Process Vent Testing</t>
  </si>
  <si>
    <t>Equipment Leak Testing</t>
  </si>
  <si>
    <t>Wastewater Testing: Non-VC TOHAP testing</t>
  </si>
  <si>
    <r>
      <t>PRD Electronic Monitor</t>
    </r>
    <r>
      <rPr>
        <vertAlign val="superscript"/>
        <sz val="10"/>
        <color rgb="FF000000"/>
        <rFont val="Times New Roman"/>
        <family val="1"/>
      </rPr>
      <t>3</t>
    </r>
  </si>
  <si>
    <r>
      <t>Resin: Non-VC TOHAP testing</t>
    </r>
    <r>
      <rPr>
        <vertAlign val="superscript"/>
        <sz val="10"/>
        <color rgb="FF000000"/>
        <rFont val="Times New Roman"/>
        <family val="1"/>
      </rPr>
      <t>4</t>
    </r>
  </si>
  <si>
    <r>
      <t>Resin Sampling and Monitoring</t>
    </r>
    <r>
      <rPr>
        <vertAlign val="superscript"/>
        <sz val="10"/>
        <color rgb="FF000000"/>
        <rFont val="Times New Roman"/>
        <family val="1"/>
      </rPr>
      <t>1</t>
    </r>
  </si>
  <si>
    <r>
      <t>Wastewater Testing</t>
    </r>
    <r>
      <rPr>
        <vertAlign val="superscript"/>
        <sz val="10"/>
        <color rgb="FF000000"/>
        <rFont val="Times New Roman"/>
        <family val="1"/>
      </rPr>
      <t>2</t>
    </r>
  </si>
  <si>
    <r>
      <t xml:space="preserve">Uncontrolled Wastewater testing: Non-VC TOHAP testing </t>
    </r>
    <r>
      <rPr>
        <vertAlign val="superscript"/>
        <sz val="10"/>
        <color rgb="FF000000"/>
        <rFont val="Times New Roman"/>
        <family val="1"/>
      </rPr>
      <t>5</t>
    </r>
  </si>
  <si>
    <t xml:space="preserve">Per VI, 40 hr per employee and 8 employees total required to read and understand the rule, which totals 320 hr per facility. </t>
  </si>
  <si>
    <t xml:space="preserve">Estimate updated per VI. </t>
  </si>
  <si>
    <t>Estimate updated per VI.  One-time requirement only</t>
  </si>
  <si>
    <t xml:space="preserve">Per VI, daily monitoring of parameters will take 5 min per record with 112 records per day across 33 devices for the industry (3 area sources and 15 major sources). On average, each facility will take 17.1 hr per day over 350 day/yr. </t>
  </si>
  <si>
    <t>Per VI, 4 hr per sample for 9 samples per facility</t>
  </si>
  <si>
    <t xml:space="preserve">Per VI, 4 hr per sample for 9 samples per day per facility, over 350 day/yr. </t>
  </si>
  <si>
    <t xml:space="preserve">Per VI, 4 hr per sample for 2 samples per facility. 1 wastewater stream per area source. </t>
  </si>
  <si>
    <t xml:space="preserve">Per VI, sampling is conducted monthly. 4 hrs per sample for 2 samples per facility per month.  1 wastewater stream per area source. </t>
  </si>
  <si>
    <t xml:space="preserve">New item added. 4 hr per sample for 2 samples per facility.  5 uncontrolled wastewater stream per area source. </t>
  </si>
  <si>
    <t xml:space="preserve">4 hr per sample for 2 samples per facility.  5 uncontrolled wastewater stream per area source. </t>
  </si>
  <si>
    <t xml:space="preserve">Estimates per VI. 1 HE system per area source. </t>
  </si>
  <si>
    <t xml:space="preserve">Estimate updated per VI.  Monthly compliance testing required. </t>
  </si>
  <si>
    <t xml:space="preserve">VI estimates approx 10,0000 components per facility that have to be inspected and 5 min. per component, plus additional time for calibration of analytical device for a total of 850 hr per facility. </t>
  </si>
  <si>
    <t xml:space="preserve">ERG assumes periodic compliance with this requirement will take 5% of time as the initial compliance. </t>
  </si>
  <si>
    <t>Estimate updated per VI</t>
  </si>
  <si>
    <r>
      <t xml:space="preserve">VC Ambient monitoring </t>
    </r>
    <r>
      <rPr>
        <vertAlign val="superscript"/>
        <sz val="10"/>
        <color rgb="FF000000"/>
        <rFont val="Times New Roman"/>
        <family val="1"/>
      </rPr>
      <t>6</t>
    </r>
  </si>
  <si>
    <t xml:space="preserve">One-time only cost. Per VI, 1.5 hr to obtain measurement. </t>
  </si>
  <si>
    <t xml:space="preserve">Per VI, 1.5 hr to obtain measurement.  Daily occurrence. </t>
  </si>
  <si>
    <t>Per VI, it will require 24 hr to evaluate compliance options, order materials, monitor installation, and developing O&amp;M procedures. Note: there are only 15 gas holders in the industry among major &amp; area sources.</t>
  </si>
  <si>
    <t>Gas holders</t>
  </si>
  <si>
    <t>5) Other requirements</t>
  </si>
  <si>
    <t xml:space="preserve">One-time only cost. Per VI, 40 hr per facility to develop initial and ongoing compliance, inspection,and maintenance plans and procedures. </t>
  </si>
  <si>
    <t xml:space="preserve">One-time only cost. Per VI, 40 hr per facility for traning, development, and implementation. </t>
  </si>
  <si>
    <t xml:space="preserve">Per VI, it will take 1 hr per month to inspect car seals per facility. </t>
  </si>
  <si>
    <t>1. Applications</t>
  </si>
  <si>
    <t>2. Surveys and Studies</t>
  </si>
  <si>
    <t>3. Reporting Requirements</t>
  </si>
  <si>
    <t>B. Required Activities</t>
  </si>
  <si>
    <t>C. Create Information</t>
  </si>
  <si>
    <t>D. Gather Information</t>
  </si>
  <si>
    <t>E. Report Preparation</t>
  </si>
  <si>
    <t>Reporting Subtotal</t>
  </si>
  <si>
    <t>3. Required Activities</t>
  </si>
  <si>
    <r>
      <t>B. Excess emissions -- Enforcement Activities</t>
    </r>
    <r>
      <rPr>
        <vertAlign val="superscript"/>
        <sz val="9"/>
        <rFont val="Arial"/>
        <family val="2"/>
      </rPr>
      <t>d</t>
    </r>
  </si>
  <si>
    <t>E. Report Reviews</t>
  </si>
  <si>
    <t>1) Review initial notification</t>
  </si>
  <si>
    <t>2) Review batch precompliance report</t>
  </si>
  <si>
    <t>3) Review notification of performance test</t>
  </si>
  <si>
    <t>4) Review notification of compliance status</t>
  </si>
  <si>
    <t>5) Review compliance report</t>
  </si>
  <si>
    <t>6) Review notice of inspection</t>
  </si>
  <si>
    <t>(A)
EPA person-hours per occurrence</t>
  </si>
  <si>
    <t>(B)
No. of occurrences per plant per year</t>
  </si>
  <si>
    <t>(C) 
EPA person-hours per plant per year (C=AxB)</t>
  </si>
  <si>
    <t>(E) 
Technical person-hours per year (E=CxD)</t>
  </si>
  <si>
    <t>(G) 
Clerical person-hours per year (Ex0.10)</t>
  </si>
  <si>
    <t>For existing sources, we assume 1 hr per employee and 8 employees to re-familiarize themselves with the rule.</t>
  </si>
  <si>
    <t>2. Familiarize with Rule Requirements</t>
  </si>
  <si>
    <t>A. Familiarization with Regulatory Requirements</t>
  </si>
  <si>
    <t>A.  Familiarization with Regulatory Requirements</t>
  </si>
  <si>
    <t>See 3.A</t>
  </si>
  <si>
    <t>See 3.E</t>
  </si>
  <si>
    <t>See 3.B</t>
  </si>
  <si>
    <r>
      <t xml:space="preserve">Per Year </t>
    </r>
    <r>
      <rPr>
        <vertAlign val="superscript"/>
        <sz val="8"/>
        <rFont val="Arial"/>
        <family val="2"/>
      </rPr>
      <t>b</t>
    </r>
  </si>
  <si>
    <r>
      <t xml:space="preserve">Per Year </t>
    </r>
    <r>
      <rPr>
        <vertAlign val="superscript"/>
        <sz val="8"/>
        <rFont val="Arial"/>
        <family val="2"/>
      </rPr>
      <t>a</t>
    </r>
  </si>
  <si>
    <r>
      <t>a) Process Vents</t>
    </r>
    <r>
      <rPr>
        <vertAlign val="superscript"/>
        <sz val="8"/>
        <rFont val="Arial"/>
        <family val="2"/>
      </rPr>
      <t>c,f</t>
    </r>
  </si>
  <si>
    <r>
      <t>b) Resins</t>
    </r>
    <r>
      <rPr>
        <vertAlign val="superscript"/>
        <sz val="8"/>
        <rFont val="Arial"/>
        <family val="2"/>
      </rPr>
      <t>c,g</t>
    </r>
  </si>
  <si>
    <r>
      <t>c) wastewater</t>
    </r>
    <r>
      <rPr>
        <vertAlign val="superscript"/>
        <sz val="8"/>
        <rFont val="Arial"/>
        <family val="2"/>
      </rPr>
      <t>c,h</t>
    </r>
  </si>
  <si>
    <r>
      <t>d) uncontrolled wastewater</t>
    </r>
    <r>
      <rPr>
        <vertAlign val="superscript"/>
        <sz val="8"/>
        <rFont val="Arial"/>
        <family val="2"/>
      </rPr>
      <t>h</t>
    </r>
  </si>
  <si>
    <r>
      <t>e) heat exchangers</t>
    </r>
    <r>
      <rPr>
        <vertAlign val="superscript"/>
        <sz val="8"/>
        <rFont val="Arial"/>
        <family val="2"/>
      </rPr>
      <t>i</t>
    </r>
  </si>
  <si>
    <r>
      <t>f) equipment leaks</t>
    </r>
    <r>
      <rPr>
        <vertAlign val="superscript"/>
        <sz val="8"/>
        <rFont val="Arial"/>
        <family val="2"/>
      </rPr>
      <t>j</t>
    </r>
  </si>
  <si>
    <r>
      <t>a) Process Vents</t>
    </r>
    <r>
      <rPr>
        <vertAlign val="superscript"/>
        <sz val="8"/>
        <rFont val="Arial"/>
        <family val="2"/>
      </rPr>
      <t>f</t>
    </r>
  </si>
  <si>
    <r>
      <t>b) Resins</t>
    </r>
    <r>
      <rPr>
        <vertAlign val="superscript"/>
        <sz val="8"/>
        <rFont val="Arial"/>
        <family val="2"/>
      </rPr>
      <t>g</t>
    </r>
  </si>
  <si>
    <r>
      <t>c) wastewater</t>
    </r>
    <r>
      <rPr>
        <vertAlign val="superscript"/>
        <sz val="8"/>
        <rFont val="Arial"/>
        <family val="2"/>
      </rPr>
      <t>h</t>
    </r>
  </si>
  <si>
    <r>
      <t>a) Process Vents</t>
    </r>
    <r>
      <rPr>
        <vertAlign val="superscript"/>
        <sz val="8"/>
        <rFont val="Arial"/>
        <family val="2"/>
      </rPr>
      <t>c,d,f</t>
    </r>
  </si>
  <si>
    <r>
      <t>a) Initial capital costs (PRD Electronic Monitor)</t>
    </r>
    <r>
      <rPr>
        <vertAlign val="superscript"/>
        <sz val="8"/>
        <rFont val="Arial"/>
        <family val="2"/>
      </rPr>
      <t>c,k</t>
    </r>
  </si>
  <si>
    <r>
      <t xml:space="preserve">a) equipment openings, initial measurement </t>
    </r>
    <r>
      <rPr>
        <vertAlign val="superscript"/>
        <sz val="8"/>
        <rFont val="Arial"/>
        <family val="2"/>
      </rPr>
      <t>m</t>
    </r>
  </si>
  <si>
    <r>
      <t xml:space="preserve">b) equipment openings, daily measurement </t>
    </r>
    <r>
      <rPr>
        <vertAlign val="superscript"/>
        <sz val="8"/>
        <rFont val="Arial"/>
        <family val="2"/>
      </rPr>
      <t>m</t>
    </r>
  </si>
  <si>
    <r>
      <t xml:space="preserve">e) bypasses, initial requirement </t>
    </r>
    <r>
      <rPr>
        <vertAlign val="superscript"/>
        <sz val="8"/>
        <rFont val="Arial"/>
        <family val="2"/>
      </rPr>
      <t>m</t>
    </r>
  </si>
  <si>
    <r>
      <t>1) Initial Notification</t>
    </r>
    <r>
      <rPr>
        <vertAlign val="superscript"/>
        <sz val="8"/>
        <rFont val="Arial"/>
        <family val="2"/>
      </rPr>
      <t>c,d</t>
    </r>
  </si>
  <si>
    <r>
      <t>2) Batch precompliance report</t>
    </r>
    <r>
      <rPr>
        <vertAlign val="superscript"/>
        <sz val="8"/>
        <rFont val="Arial"/>
        <family val="2"/>
      </rPr>
      <t>c,d</t>
    </r>
  </si>
  <si>
    <r>
      <t>3) Notification of performance test with test plan</t>
    </r>
    <r>
      <rPr>
        <vertAlign val="superscript"/>
        <sz val="8"/>
        <rFont val="Arial"/>
        <family val="2"/>
      </rPr>
      <t>c,d</t>
    </r>
  </si>
  <si>
    <r>
      <t>4) Notification of compliance status</t>
    </r>
    <r>
      <rPr>
        <vertAlign val="superscript"/>
        <sz val="8"/>
        <rFont val="Arial"/>
        <family val="2"/>
      </rPr>
      <t>c,d</t>
    </r>
  </si>
  <si>
    <r>
      <t>5) Compliance report</t>
    </r>
    <r>
      <rPr>
        <vertAlign val="superscript"/>
        <sz val="8"/>
        <rFont val="Arial"/>
        <family val="2"/>
      </rPr>
      <t>d</t>
    </r>
  </si>
  <si>
    <r>
      <t>6) Notice of inspection</t>
    </r>
    <r>
      <rPr>
        <vertAlign val="superscript"/>
        <sz val="8"/>
        <rFont val="Arial"/>
        <family val="2"/>
      </rPr>
      <t>d</t>
    </r>
  </si>
  <si>
    <r>
      <t>1) Records of process vent requirements</t>
    </r>
    <r>
      <rPr>
        <vertAlign val="superscript"/>
        <sz val="8"/>
        <rFont val="Arial"/>
        <family val="2"/>
      </rPr>
      <t>d</t>
    </r>
  </si>
  <si>
    <r>
      <t>2) Records of resin stripper requirements</t>
    </r>
    <r>
      <rPr>
        <vertAlign val="superscript"/>
        <sz val="8"/>
        <rFont val="Arial"/>
        <family val="2"/>
      </rPr>
      <t>d</t>
    </r>
  </si>
  <si>
    <r>
      <t>3) Records of wastewater requirements</t>
    </r>
    <r>
      <rPr>
        <vertAlign val="superscript"/>
        <sz val="8"/>
        <rFont val="Arial"/>
        <family val="2"/>
      </rPr>
      <t>d</t>
    </r>
  </si>
  <si>
    <r>
      <t>4) Records of storage vessel requirements</t>
    </r>
    <r>
      <rPr>
        <vertAlign val="superscript"/>
        <sz val="8"/>
        <rFont val="Arial"/>
        <family val="2"/>
      </rPr>
      <t>d</t>
    </r>
  </si>
  <si>
    <r>
      <t>5) Records of equipment leak requirements</t>
    </r>
    <r>
      <rPr>
        <vertAlign val="superscript"/>
        <sz val="8"/>
        <rFont val="Arial"/>
        <family val="2"/>
      </rPr>
      <t>d</t>
    </r>
  </si>
  <si>
    <r>
      <t>6) Records of heat exchanger requirements</t>
    </r>
    <r>
      <rPr>
        <vertAlign val="superscript"/>
        <sz val="8"/>
        <rFont val="Arial"/>
        <family val="2"/>
      </rPr>
      <t>d</t>
    </r>
  </si>
  <si>
    <r>
      <t xml:space="preserve">GRAND TOTAL (rounded): </t>
    </r>
    <r>
      <rPr>
        <b/>
        <vertAlign val="superscript"/>
        <sz val="8"/>
        <rFont val="Times New Roman"/>
        <family val="1"/>
      </rPr>
      <t>n</t>
    </r>
  </si>
  <si>
    <r>
      <t>TOTAL LABOR BURDEN AND COSTS (rounded):</t>
    </r>
    <r>
      <rPr>
        <b/>
        <vertAlign val="superscript"/>
        <sz val="8"/>
        <rFont val="Times New Roman"/>
        <family val="1"/>
      </rPr>
      <t>n</t>
    </r>
  </si>
  <si>
    <r>
      <t xml:space="preserve">TOTAL CAPITAL AND O&amp;M COSTS (rounded): </t>
    </r>
    <r>
      <rPr>
        <b/>
        <vertAlign val="superscript"/>
        <sz val="8"/>
        <rFont val="Times New Roman"/>
        <family val="1"/>
      </rPr>
      <t>n</t>
    </r>
  </si>
  <si>
    <r>
      <t xml:space="preserve">New sources </t>
    </r>
    <r>
      <rPr>
        <vertAlign val="superscript"/>
        <sz val="8"/>
        <rFont val="Arial"/>
        <family val="2"/>
      </rPr>
      <t>c,d,l</t>
    </r>
  </si>
  <si>
    <r>
      <t xml:space="preserve">Existing sources </t>
    </r>
    <r>
      <rPr>
        <vertAlign val="superscript"/>
        <sz val="8"/>
        <rFont val="Arial"/>
        <family val="2"/>
      </rPr>
      <t>e</t>
    </r>
  </si>
  <si>
    <r>
      <t xml:space="preserve">(D)
Plants Per Year </t>
    </r>
    <r>
      <rPr>
        <b/>
        <vertAlign val="superscript"/>
        <sz val="9"/>
        <color rgb="FF000000"/>
        <rFont val="Arial"/>
        <family val="2"/>
      </rPr>
      <t>a</t>
    </r>
  </si>
  <si>
    <r>
      <t xml:space="preserve">(H) 
EPA Cost Per Year </t>
    </r>
    <r>
      <rPr>
        <b/>
        <vertAlign val="superscript"/>
        <sz val="9"/>
        <rFont val="Arial"/>
        <family val="2"/>
      </rPr>
      <t>b</t>
    </r>
  </si>
  <si>
    <r>
      <t>A. Observe initial performance tests</t>
    </r>
    <r>
      <rPr>
        <vertAlign val="superscript"/>
        <sz val="9"/>
        <rFont val="Arial"/>
        <family val="2"/>
      </rPr>
      <t>c</t>
    </r>
  </si>
  <si>
    <r>
      <rPr>
        <vertAlign val="superscript"/>
        <sz val="8"/>
        <rFont val="Arial"/>
        <family val="2"/>
      </rPr>
      <t>c</t>
    </r>
    <r>
      <rPr>
        <sz val="8"/>
        <rFont val="Arial"/>
        <family val="2"/>
      </rPr>
      <t xml:space="preserve"> Assumes EPA personnel attend 20 percent of the initial process vent stack tests.</t>
    </r>
  </si>
  <si>
    <r>
      <t>F. Prepare annual summary report</t>
    </r>
    <r>
      <rPr>
        <vertAlign val="superscript"/>
        <sz val="9"/>
        <rFont val="Arial"/>
        <family val="2"/>
      </rPr>
      <t>e</t>
    </r>
  </si>
  <si>
    <r>
      <t xml:space="preserve">TOTAL (rounded) </t>
    </r>
    <r>
      <rPr>
        <b/>
        <vertAlign val="superscript"/>
        <sz val="9"/>
        <rFont val="Arial"/>
        <family val="2"/>
      </rPr>
      <t>f</t>
    </r>
  </si>
  <si>
    <r>
      <rPr>
        <vertAlign val="superscript"/>
        <sz val="8"/>
        <rFont val="Arial"/>
        <family val="2"/>
      </rPr>
      <t>d</t>
    </r>
    <r>
      <rPr>
        <sz val="8"/>
        <rFont val="Arial"/>
        <family val="2"/>
      </rPr>
      <t xml:space="preserve"> Assumes no emissions exceedances.</t>
    </r>
  </si>
  <si>
    <r>
      <rPr>
        <vertAlign val="superscript"/>
        <sz val="8"/>
        <rFont val="Arial"/>
        <family val="2"/>
      </rPr>
      <t>e</t>
    </r>
    <r>
      <rPr>
        <sz val="8"/>
        <rFont val="Arial"/>
        <family val="2"/>
      </rPr>
      <t xml:space="preserve"> Assumes four hours per state to write annual summary report.</t>
    </r>
  </si>
  <si>
    <r>
      <rPr>
        <vertAlign val="superscript"/>
        <sz val="8"/>
        <rFont val="Arial"/>
        <family val="2"/>
      </rPr>
      <t>f</t>
    </r>
    <r>
      <rPr>
        <sz val="8"/>
        <rFont val="Arial"/>
        <family val="2"/>
      </rPr>
      <t xml:space="preserve"> Totals have been rounded to 3 significant figures. Figures may not add exactly due to rounding.</t>
    </r>
  </si>
  <si>
    <t>hrs/response</t>
  </si>
  <si>
    <r>
      <rPr>
        <vertAlign val="superscript"/>
        <sz val="9"/>
        <rFont val="Times New Roman"/>
        <family val="1"/>
      </rPr>
      <t>4</t>
    </r>
    <r>
      <rPr>
        <sz val="9"/>
        <rFont val="Times New Roman"/>
        <family val="1"/>
      </rPr>
      <t xml:space="preserve"> The costs of Non-VC TOHAP testing is $650 per sample, and three samples per facility.</t>
    </r>
  </si>
  <si>
    <r>
      <rPr>
        <b/>
        <sz val="8"/>
        <rFont val="Arial"/>
        <family val="2"/>
      </rPr>
      <t>Internal Notes:</t>
    </r>
    <r>
      <rPr>
        <sz val="8"/>
        <rFont val="Arial"/>
        <family val="2"/>
      </rPr>
      <t xml:space="preserve"> Assume sources have met initial requirements for consistency with the previous ICR.  </t>
    </r>
    <r>
      <rPr>
        <sz val="8"/>
        <color rgb="FF0070C0"/>
        <rFont val="Arial"/>
        <family val="2"/>
      </rPr>
      <t xml:space="preserve">Estimates for each item also updated using numbers provided by The Vinyl Institute (VI) for 2454.02, where appropriate.   </t>
    </r>
    <r>
      <rPr>
        <sz val="8"/>
        <rFont val="Arial"/>
        <family val="2"/>
      </rPr>
      <t xml:space="preserve">See notes in rows below (also in footnotes). </t>
    </r>
  </si>
  <si>
    <r>
      <t>c</t>
    </r>
    <r>
      <rPr>
        <sz val="8"/>
        <rFont val="Arial"/>
        <family val="2"/>
      </rPr>
      <t xml:space="preserve"> Costs apply only to newly-applicable sources.</t>
    </r>
  </si>
  <si>
    <r>
      <t>h</t>
    </r>
    <r>
      <rPr>
        <sz val="8"/>
        <rFont val="Arial"/>
        <family val="2"/>
      </rPr>
      <t xml:space="preserve"> Estimated 1 uncontrolled stream and 1 wastewater stripper per facility. 1 wastewater stripper outlet is expected to require monthly testing;  5 uncontrolled stream will require annual testing (per facility).  It will take 4 hours per sample for 2 samples per stream.</t>
    </r>
  </si>
  <si>
    <r>
      <t>i</t>
    </r>
    <r>
      <rPr>
        <sz val="8"/>
        <rFont val="Arial"/>
        <family val="2"/>
      </rPr>
      <t xml:space="preserve"> It is assumed that performance testing on heat exchangers will take 4 hours per sample for 2 samples per facility, initially and monthly. </t>
    </r>
  </si>
  <si>
    <r>
      <t>j</t>
    </r>
    <r>
      <rPr>
        <sz val="8"/>
        <rFont val="Arial"/>
        <family val="2"/>
      </rPr>
      <t xml:space="preserve"> For Equipment leaks, we estimate approx 10,000 components per facility and 5 minutes per component, plus additional time calibration of analytical device for a total of 850 hr per facility.  For continuous monitoring, we assume 1 hr is required per component for leak repair, if detected.  It was assumed that overall continuous compliace of leak monitoring will take 5% of the time with initial monitoring per month. </t>
    </r>
  </si>
  <si>
    <r>
      <t>m</t>
    </r>
    <r>
      <rPr>
        <sz val="8"/>
        <rFont val="Arial"/>
        <family val="2"/>
      </rPr>
      <t xml:space="preserve"> We have included this item based on comments previously provided by the Vinyl Institute. </t>
    </r>
  </si>
  <si>
    <r>
      <t>n</t>
    </r>
    <r>
      <rPr>
        <sz val="8"/>
        <rFont val="Arial"/>
        <family val="2"/>
      </rPr>
      <t xml:space="preserve"> Totals have been rounded to 3 significant figures. Figures may not add exactly due to rounding.</t>
    </r>
  </si>
  <si>
    <r>
      <t>f</t>
    </r>
    <r>
      <rPr>
        <sz val="8"/>
        <rFont val="Arial"/>
        <family val="2"/>
      </rPr>
      <t xml:space="preserve">  It is assumed that performance testing for process vents will take 120 hours per occurrence initially.  The initial compliance and operating procedure development for continuous compliance and will take 8 hours.  The daily monitoring of parameters will take on avg 17.1 hr per facility per day over 350 day/yr. </t>
    </r>
  </si>
  <si>
    <t>(E x 0.05)</t>
  </si>
  <si>
    <t>(E x 0.1)</t>
  </si>
  <si>
    <t>(C x D)</t>
  </si>
  <si>
    <r>
      <t>b</t>
    </r>
    <r>
      <rPr>
        <sz val="8"/>
        <rFont val="Arial"/>
        <family val="2"/>
      </rPr>
      <t xml:space="preserve"> Labor rates are $153.55 for managerial, $122.20 for technical, and $61.51 for clerical. These rates from the United States Department of Labor, Bureau of Labor Statistics, March 2021, “Table 2. Civilian Workers, by occupational and industry group.” The rates are from column 1, “Total compensation.” The rates have been increased by 110 percent to account for the benefit packages available to those employed by private industry.</t>
    </r>
  </si>
  <si>
    <r>
      <t>g</t>
    </r>
    <r>
      <rPr>
        <sz val="8"/>
        <rFont val="Arial"/>
        <family val="2"/>
      </rPr>
      <t xml:space="preserve"> Per VI's previous comments, it is assumed that performance testing for resins will take 4 hours per sample for 9 samples per facility, initially and daily (350 days per year). Pursuant to 40 CFR 63.11142(f)(16) and 63.11960(d)(2), we have increased the number of occurrences from 350 to 362 to account for 12 monthly samples.</t>
    </r>
  </si>
  <si>
    <r>
      <t xml:space="preserve">b) Annualized PRD Electronic Monitor Review </t>
    </r>
    <r>
      <rPr>
        <vertAlign val="superscript"/>
        <sz val="8"/>
        <rFont val="Arial"/>
        <family val="2"/>
      </rPr>
      <t>k</t>
    </r>
  </si>
  <si>
    <r>
      <t>k</t>
    </r>
    <r>
      <rPr>
        <sz val="8"/>
        <rFont val="Arial"/>
        <family val="2"/>
      </rPr>
      <t xml:space="preserve"> The Annualized PRD Electronic Monitor Review hours have been updated to include hours for corrective action for dishcarges and hours for replacement analysis. Per VI's comments, corrective action for discharge from a PRD would take 24 hours, and less than one PRD discharge event occurs per year in the entire industry. The number of hours for a discharge event is estimated to be 24/13 = 1.8 (rounded to 2) hours per facility. Per VI's comments, analysis for replacement of PRD monitors is estimated to take 24 hours per facility. Because the lifetime of a PRD monitor is expected to be 7 years, we do not expect the replacement alaysis to occur annually, and we have assumed that this occurs once every 3 years (24 hrs/3 years = 8 hours per year).</t>
    </r>
  </si>
  <si>
    <r>
      <rPr>
        <vertAlign val="superscript"/>
        <sz val="8"/>
        <rFont val="Arial"/>
        <family val="2"/>
      </rPr>
      <t>o</t>
    </r>
    <r>
      <rPr>
        <sz val="8"/>
        <rFont val="Arial"/>
        <family val="2"/>
      </rPr>
      <t xml:space="preserve"> Per VI, 40 hrs per facility for traning, development, and implementation; and it will take 2 hrs per month to inspect car seals per facility. </t>
    </r>
  </si>
  <si>
    <r>
      <t xml:space="preserve">f) bypasses, ongoing inspection </t>
    </r>
    <r>
      <rPr>
        <vertAlign val="superscript"/>
        <sz val="8"/>
        <rFont val="Arial"/>
        <family val="2"/>
      </rPr>
      <t>m,o</t>
    </r>
  </si>
  <si>
    <r>
      <t>d</t>
    </r>
    <r>
      <rPr>
        <sz val="8"/>
        <rFont val="Arial"/>
        <family val="2"/>
      </rPr>
      <t xml:space="preserve"> Cost incurred by a facility regardless of the number of affected units at the plant.</t>
    </r>
    <r>
      <rPr>
        <vertAlign val="superscript"/>
        <sz val="8"/>
        <rFont val="Arial"/>
        <family val="2"/>
      </rPr>
      <t xml:space="preserve"> </t>
    </r>
    <r>
      <rPr>
        <sz val="8"/>
        <rFont val="Arial"/>
        <family val="2"/>
      </rPr>
      <t>Per VI's comments, this is performed monthly. We have assumed 10 hours per month for each process listed.</t>
    </r>
  </si>
  <si>
    <r>
      <rPr>
        <vertAlign val="superscript"/>
        <sz val="8"/>
        <rFont val="Arial"/>
        <family val="2"/>
      </rPr>
      <t>a</t>
    </r>
    <r>
      <rPr>
        <sz val="8"/>
        <rFont val="Arial"/>
        <family val="2"/>
      </rPr>
      <t xml:space="preserve"> Assumes that, over the next three years, approximately 3 respondents per year will be subject to the standard, and no additional respondents per year will become subject to the standard. </t>
    </r>
  </si>
  <si>
    <r>
      <rPr>
        <vertAlign val="superscript"/>
        <sz val="8"/>
        <rFont val="Arial"/>
        <family val="2"/>
      </rPr>
      <t>b</t>
    </r>
    <r>
      <rPr>
        <sz val="8"/>
        <rFont val="Arial"/>
        <family val="2"/>
      </rPr>
      <t xml:space="preserve"> Labor rates are $69.04 for managerial (GS-13, Step 5, $43.15 + 60%), $51.23 for technical (GS-12, Step 1, $32.02 + 60%), and $27.73 for clerical (GS-6, Step 3, $17.33 + 60%). These rates are from the Office of Personnel Management (OPM), 2021 General Schedule, which excludes locality rates of pay. The rates have been increased by 60 percent to account for the benefit packages available to government employees.</t>
    </r>
  </si>
  <si>
    <r>
      <rPr>
        <vertAlign val="superscript"/>
        <sz val="9"/>
        <rFont val="Times New Roman"/>
        <family val="1"/>
      </rPr>
      <t>6</t>
    </r>
    <r>
      <rPr>
        <sz val="9"/>
        <rFont val="Times New Roman"/>
        <family val="1"/>
      </rPr>
      <t xml:space="preserve"> Per VI's comments, assume an average of 3 GC monitors per facility with an annual cost of $45,000 per monitor for vinyl chloride. The average annual O&amp;M cost per facility is $135,000. </t>
    </r>
  </si>
  <si>
    <r>
      <t>Uncontrolled Wastewater testing</t>
    </r>
    <r>
      <rPr>
        <vertAlign val="superscript"/>
        <sz val="10"/>
        <color rgb="FF000000"/>
        <rFont val="Times New Roman"/>
        <family val="1"/>
      </rPr>
      <t>7</t>
    </r>
  </si>
  <si>
    <r>
      <rPr>
        <vertAlign val="superscript"/>
        <sz val="9"/>
        <rFont val="Times New Roman"/>
        <family val="1"/>
      </rPr>
      <t>7</t>
    </r>
    <r>
      <rPr>
        <sz val="9"/>
        <rFont val="Times New Roman"/>
        <family val="1"/>
      </rPr>
      <t>Per VI's comments, there are 5 uncontrolled wastewater streams and 2 cooling tower streams per source sampled annually. Using a cost of $491 per sample x 7 samples = $3,437</t>
    </r>
  </si>
  <si>
    <r>
      <rPr>
        <vertAlign val="superscript"/>
        <sz val="9"/>
        <rFont val="Times New Roman"/>
        <family val="1"/>
      </rPr>
      <t>5</t>
    </r>
    <r>
      <rPr>
        <sz val="9"/>
        <rFont val="Times New Roman"/>
        <family val="1"/>
      </rPr>
      <t xml:space="preserve"> The costs of Non-VC TOHAP testing is assumed to be $650 per sample. Per VI's comments there are 5 uncontrolled wastewater streams and 2 cooling water streams per source sampled annually. $650 x 7 = $4,550</t>
    </r>
  </si>
  <si>
    <t>Table 2: Average Annual EPA Burden and Cost – NESHAP for Polyvinyl Chloride and Copolymers Production Area Sources (40 CFR Part 63, Subpart DDDDDD) (Renewal)</t>
  </si>
  <si>
    <t>Table 1: Annual Respondent Burden and Cost – NESHAP for Polyvinyl Chloride and Copolymers Production Area Sources (40 CFR Part 63, Subpart DDDDDD) (Renewal)</t>
  </si>
  <si>
    <r>
      <t>a</t>
    </r>
    <r>
      <rPr>
        <sz val="8"/>
        <rFont val="Arial"/>
        <family val="2"/>
      </rPr>
      <t xml:space="preserve"> Assumes that, over the next three years, approximately 3 respondents per year will be subject to the standard, and no additional respondents per year will become subject to the standard. </t>
    </r>
  </si>
  <si>
    <r>
      <t>e</t>
    </r>
    <r>
      <rPr>
        <sz val="8"/>
        <rFont val="Arial"/>
        <family val="2"/>
      </rPr>
      <t xml:space="preserve"> There are 3 area sources in the affected source category.</t>
    </r>
  </si>
  <si>
    <r>
      <t>l</t>
    </r>
    <r>
      <rPr>
        <sz val="8"/>
        <rFont val="Arial"/>
        <family val="2"/>
      </rPr>
      <t xml:space="preserve"> Because the rule requirements have not changed for existing respondents, we assume it will take 8 hours per respondent to read and understand the rule requirements (1 hr for 8 employees). We assume minimal time is needed each year to refamiliarize with rule requirements for existing employees. We assume that new employees will need 320 hours to familiarize with rule requirements (40 hours for 8 employees).</t>
    </r>
  </si>
  <si>
    <r>
      <rPr>
        <vertAlign val="superscript"/>
        <sz val="8"/>
        <rFont val="Arial"/>
        <family val="2"/>
      </rPr>
      <t>p</t>
    </r>
    <r>
      <rPr>
        <sz val="8"/>
        <rFont val="Arial"/>
        <family val="2"/>
      </rPr>
      <t>Per VI's previous comments, this will require 24 hrs to evaluate compliance options, order materials, monitor installation, and developing O&amp;M procedures. Note: there is only gasholder at an area source. This is assumed to be a one-time cost. Per VI's comments, facilities are performing this annually. We have assumed that annual updates to compliance options, order materials, monitor installation, and O&amp;M procedures will require 5% of the time that was needed to meet the initial requirements.</t>
    </r>
  </si>
  <si>
    <r>
      <t xml:space="preserve">c) gasholders </t>
    </r>
    <r>
      <rPr>
        <vertAlign val="superscript"/>
        <sz val="8"/>
        <rFont val="Arial"/>
        <family val="2"/>
      </rPr>
      <t>p</t>
    </r>
  </si>
  <si>
    <r>
      <t xml:space="preserve">d) storage vessels </t>
    </r>
    <r>
      <rPr>
        <vertAlign val="superscript"/>
        <sz val="8"/>
        <rFont val="Arial"/>
        <family val="2"/>
      </rPr>
      <t>q</t>
    </r>
  </si>
  <si>
    <r>
      <rPr>
        <vertAlign val="superscript"/>
        <sz val="8"/>
        <rFont val="Arial"/>
        <family val="2"/>
      </rPr>
      <t>q</t>
    </r>
    <r>
      <rPr>
        <sz val="8"/>
        <rFont val="Arial"/>
        <family val="2"/>
      </rPr>
      <t>Per VI's previous comments, 40 hrs per facility to develop initial and ongoing compliance, inspection,and maintenance plans and procedures. This is assumed to be a one-time cost. Per VI's comments, facilities are performing this annually. We have assumed that annual updates will require 5% of the time that was needed to meet the initial requirements.</t>
    </r>
  </si>
  <si>
    <r>
      <rPr>
        <vertAlign val="superscript"/>
        <sz val="9"/>
        <rFont val="Times New Roman"/>
        <family val="1"/>
      </rPr>
      <t>3</t>
    </r>
    <r>
      <rPr>
        <sz val="9"/>
        <rFont val="Times New Roman"/>
        <family val="1"/>
      </rPr>
      <t xml:space="preserve"> The capital cost of a PRD monitor is $15,000 per device, and it is assumed that 25 devices per facility require indicators.</t>
    </r>
  </si>
  <si>
    <r>
      <rPr>
        <vertAlign val="superscript"/>
        <sz val="9"/>
        <color rgb="FF000000"/>
        <rFont val="Times New Roman"/>
        <family val="1"/>
      </rPr>
      <t>1</t>
    </r>
    <r>
      <rPr>
        <sz val="12"/>
        <color rgb="FF000000"/>
        <rFont val="Times New Roman"/>
        <family val="1"/>
      </rPr>
      <t xml:space="preserve"> </t>
    </r>
    <r>
      <rPr>
        <sz val="9"/>
        <color rgb="FF000000"/>
        <rFont val="Times New Roman"/>
        <family val="1"/>
      </rPr>
      <t xml:space="preserve">Per VI's comments, monthly maintenance and service of a lab GC costs $600 per unit. </t>
    </r>
  </si>
  <si>
    <r>
      <rPr>
        <vertAlign val="superscript"/>
        <sz val="9"/>
        <color rgb="FF000000"/>
        <rFont val="Times New Roman"/>
        <family val="1"/>
      </rPr>
      <t xml:space="preserve">2 </t>
    </r>
    <r>
      <rPr>
        <sz val="9"/>
        <color rgb="FF000000"/>
        <rFont val="Times New Roman"/>
        <family val="1"/>
      </rPr>
      <t>Monthly testing ($491 x 12 months = $5,892 per year)</t>
    </r>
  </si>
  <si>
    <r>
      <t>Total</t>
    </r>
    <r>
      <rPr>
        <b/>
        <vertAlign val="superscript"/>
        <sz val="10"/>
        <color rgb="FF000000"/>
        <rFont val="Times New Roman"/>
        <family val="1"/>
      </rPr>
      <t>8</t>
    </r>
  </si>
  <si>
    <r>
      <rPr>
        <vertAlign val="superscript"/>
        <sz val="9"/>
        <rFont val="Times New Roman"/>
        <family val="1"/>
      </rPr>
      <t>8</t>
    </r>
    <r>
      <rPr>
        <sz val="9"/>
        <rFont val="Times New Roman"/>
        <family val="1"/>
      </rPr>
      <t>Totals have been rounded to 3 significant figures. Figures may not add exactly due to rounding.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</si>
</sst>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General_)"/>
    <numFmt numFmtId="165" formatCode=";;;"/>
    <numFmt numFmtId="166" formatCode="0_)"/>
    <numFmt numFmtId="167" formatCode="&quot;$&quot;#,##0"/>
    <numFmt numFmtId="168" formatCode="0.00000"/>
    <numFmt numFmtId="169" formatCode="&quot;$&quot;#,##0.00"/>
    <numFmt numFmtId="170" formatCode="_(&quot;$&quot;* #,##0_);_(&quot;$&quot;* \(#,##0\);_(&quot;$&quot;* &quot;-&quot;??_);_(@_)"/>
    <numFmt numFmtId="171" formatCode="_(&quot;$&quot;* #,##0.00000_);_(&quot;$&quot;* \(#,##0.00000\);_(&quot;$&quot;* &quot;-&quot;?????_);_(@_)"/>
    <numFmt numFmtId="172" formatCode="_(&quot;$&quot;* #,##0_);_(&quot;$&quot;* \(#,##0\);_(&quot;$&quot;* &quot;-&quot;?????_);_(@_)"/>
    <numFmt numFmtId="173" formatCode="_(* #,##0_);_(* \(#,##0\);_(* &quot;-&quot;??_);_(@_)"/>
    <numFmt numFmtId="174" formatCode="[$-409]mmmm\ d\,\ yyyy;@"/>
    <numFmt numFmtId="175" formatCode="0.0"/>
    <numFmt numFmtId="176" formatCode="#,##0.0_);\(#,##0.0\)"/>
  </numFmts>
  <fonts count="57" x14ac:knownFonts="1">
    <font>
      <sz val="8"/>
      <name val="Helv"/>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u/>
      <sz val="10"/>
      <name val="Arial"/>
      <family val="2"/>
    </font>
    <font>
      <b/>
      <sz val="8"/>
      <name val="Arial"/>
      <family val="2"/>
    </font>
    <font>
      <sz val="8"/>
      <name val="Arial"/>
      <family val="2"/>
    </font>
    <font>
      <b/>
      <sz val="12"/>
      <name val="Arial"/>
      <family val="2"/>
    </font>
    <font>
      <sz val="22"/>
      <name val="Arial"/>
      <family val="2"/>
    </font>
    <font>
      <sz val="8"/>
      <color indexed="8"/>
      <name val="Arial"/>
      <family val="2"/>
    </font>
    <font>
      <b/>
      <sz val="9"/>
      <name val="Arial"/>
      <family val="2"/>
    </font>
    <font>
      <sz val="9"/>
      <name val="Arial"/>
      <family val="2"/>
    </font>
    <font>
      <sz val="9"/>
      <color indexed="8"/>
      <name val="Arial"/>
      <family val="2"/>
    </font>
    <font>
      <b/>
      <sz val="9"/>
      <color indexed="8"/>
      <name val="Arial"/>
      <family val="2"/>
    </font>
    <font>
      <u/>
      <sz val="8"/>
      <name val="Arial"/>
      <family val="2"/>
    </font>
    <font>
      <b/>
      <sz val="8"/>
      <name val="Helv"/>
    </font>
    <font>
      <vertAlign val="superscript"/>
      <sz val="10"/>
      <name val="Arial"/>
      <family val="2"/>
    </font>
    <font>
      <sz val="9"/>
      <color indexed="12"/>
      <name val="Arial"/>
      <family val="2"/>
    </font>
    <font>
      <sz val="11"/>
      <name val="Arial"/>
      <family val="2"/>
    </font>
    <font>
      <sz val="9"/>
      <color rgb="FFFF0000"/>
      <name val="Arial"/>
      <family val="2"/>
    </font>
    <font>
      <sz val="8"/>
      <name val="Times New Roman"/>
      <family val="1"/>
    </font>
    <font>
      <sz val="10"/>
      <name val="Times New Roman"/>
      <family val="1"/>
    </font>
    <font>
      <sz val="10"/>
      <color rgb="FF0070C0"/>
      <name val="Arial"/>
      <family val="2"/>
    </font>
    <font>
      <b/>
      <sz val="11"/>
      <color theme="1"/>
      <name val="Calibri"/>
      <family val="2"/>
      <scheme val="minor"/>
    </font>
    <font>
      <b/>
      <sz val="14"/>
      <color theme="1"/>
      <name val="Calibri"/>
      <family val="2"/>
      <scheme val="minor"/>
    </font>
    <font>
      <b/>
      <u val="double"/>
      <sz val="16"/>
      <name val="Arial"/>
      <family val="2"/>
    </font>
    <font>
      <b/>
      <u val="double"/>
      <sz val="16"/>
      <name val="Helv"/>
    </font>
    <font>
      <b/>
      <sz val="10"/>
      <name val="Times New Roman"/>
      <family val="1"/>
    </font>
    <font>
      <b/>
      <vertAlign val="superscript"/>
      <sz val="10"/>
      <name val="Times New Roman"/>
      <family val="1"/>
    </font>
    <font>
      <sz val="11"/>
      <color rgb="FFFF0000"/>
      <name val="Calibri"/>
      <family val="2"/>
      <scheme val="minor"/>
    </font>
    <font>
      <b/>
      <sz val="12"/>
      <color rgb="FFFF0000"/>
      <name val="Times New Roman"/>
      <family val="1"/>
    </font>
    <font>
      <b/>
      <i/>
      <sz val="8"/>
      <name val="Arial"/>
      <family val="2"/>
    </font>
    <font>
      <b/>
      <sz val="8"/>
      <name val="Times New Roman"/>
      <family val="1"/>
    </font>
    <font>
      <vertAlign val="superscript"/>
      <sz val="8"/>
      <name val="Arial"/>
      <family val="2"/>
    </font>
    <font>
      <vertAlign val="superscript"/>
      <sz val="9"/>
      <name val="Arial"/>
      <family val="2"/>
    </font>
    <font>
      <b/>
      <sz val="9"/>
      <color rgb="FF000000"/>
      <name val="Arial"/>
      <family val="2"/>
    </font>
    <font>
      <b/>
      <vertAlign val="superscript"/>
      <sz val="9"/>
      <name val="Arial"/>
      <family val="2"/>
    </font>
    <font>
      <sz val="12"/>
      <color rgb="FF000000"/>
      <name val="Times New Roman"/>
      <family val="1"/>
    </font>
    <font>
      <b/>
      <sz val="12"/>
      <color rgb="FF000000"/>
      <name val="Times New Roman"/>
      <family val="1"/>
    </font>
    <font>
      <sz val="10"/>
      <color rgb="FF000000"/>
      <name val="Times New Roman"/>
      <family val="1"/>
    </font>
    <font>
      <b/>
      <sz val="10"/>
      <color rgb="FF000000"/>
      <name val="Times New Roman"/>
      <family val="1"/>
    </font>
    <font>
      <vertAlign val="superscript"/>
      <sz val="12"/>
      <color rgb="FF000000"/>
      <name val="Times New Roman"/>
      <family val="1"/>
    </font>
    <font>
      <sz val="9"/>
      <color rgb="FF000000"/>
      <name val="Times New Roman"/>
      <family val="1"/>
    </font>
    <font>
      <vertAlign val="superscript"/>
      <sz val="9"/>
      <color rgb="FF000000"/>
      <name val="Times New Roman"/>
      <family val="1"/>
    </font>
    <font>
      <vertAlign val="superscript"/>
      <sz val="10"/>
      <color rgb="FF000000"/>
      <name val="Times New Roman"/>
      <family val="1"/>
    </font>
    <font>
      <sz val="9"/>
      <name val="Times New Roman"/>
      <family val="1"/>
    </font>
    <font>
      <vertAlign val="superscript"/>
      <sz val="9"/>
      <name val="Times New Roman"/>
      <family val="1"/>
    </font>
    <font>
      <sz val="8"/>
      <color rgb="FF0070C0"/>
      <name val="Arial"/>
      <family val="2"/>
    </font>
    <font>
      <b/>
      <vertAlign val="superscript"/>
      <sz val="8"/>
      <name val="Times New Roman"/>
      <family val="1"/>
    </font>
    <font>
      <b/>
      <vertAlign val="superscript"/>
      <sz val="9"/>
      <color rgb="FF000000"/>
      <name val="Arial"/>
      <family val="2"/>
    </font>
    <font>
      <b/>
      <sz val="8"/>
      <color rgb="FF7030A0"/>
      <name val="Arial"/>
      <family val="2"/>
    </font>
    <font>
      <b/>
      <sz val="10"/>
      <color rgb="FF7030A0"/>
      <name val="Times New Roman"/>
      <family val="1"/>
    </font>
    <font>
      <sz val="8"/>
      <color rgb="FFFF0000"/>
      <name val="Arial"/>
      <family val="2"/>
    </font>
    <font>
      <b/>
      <vertAlign val="superscript"/>
      <sz val="10"/>
      <color rgb="FF000000"/>
      <name val="Times New Roman"/>
      <family val="1"/>
    </font>
    <font>
      <b/>
      <sz val="8"/>
      <color rgb="FF7030A0"/>
      <name val="Helv"/>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s>
  <borders count="73">
    <border>
      <left/>
      <right/>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8"/>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style="thin">
        <color indexed="8"/>
      </left>
      <right style="thin">
        <color indexed="64"/>
      </right>
      <top style="medium">
        <color indexed="64"/>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64"/>
      </right>
      <top/>
      <bottom style="medium">
        <color indexed="64"/>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style="thin">
        <color indexed="64"/>
      </top>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right style="thin">
        <color indexed="64"/>
      </right>
      <top style="thin">
        <color indexed="8"/>
      </top>
      <bottom/>
      <diagonal/>
    </border>
    <border>
      <left/>
      <right style="thin">
        <color indexed="64"/>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indexed="64"/>
      </left>
      <right style="thin">
        <color indexed="64"/>
      </right>
      <top style="medium">
        <color indexed="64"/>
      </top>
      <bottom/>
      <diagonal/>
    </border>
    <border>
      <left style="thin">
        <color indexed="8"/>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thin">
        <color indexed="8"/>
      </right>
      <top style="thin">
        <color indexed="8"/>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bottom/>
      <diagonal/>
    </border>
    <border>
      <left style="thin">
        <color indexed="8"/>
      </left>
      <right style="medium">
        <color indexed="64"/>
      </right>
      <top/>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top style="thin">
        <color indexed="8"/>
      </top>
      <bottom/>
      <diagonal/>
    </border>
    <border>
      <left style="thin">
        <color indexed="8"/>
      </left>
      <right style="medium">
        <color indexed="64"/>
      </right>
      <top style="thin">
        <color indexed="8"/>
      </top>
      <bottom/>
      <diagonal/>
    </border>
    <border>
      <left/>
      <right style="medium">
        <color indexed="64"/>
      </right>
      <top/>
      <bottom/>
      <diagonal/>
    </border>
    <border>
      <left style="medium">
        <color indexed="64"/>
      </left>
      <right/>
      <top style="thin">
        <color indexed="8"/>
      </top>
      <bottom style="thin">
        <color indexed="64"/>
      </bottom>
      <diagonal/>
    </border>
    <border>
      <left style="medium">
        <color indexed="64"/>
      </left>
      <right/>
      <top style="thin">
        <color indexed="8"/>
      </top>
      <bottom style="thin">
        <color indexed="8"/>
      </bottom>
      <diagonal/>
    </border>
    <border>
      <left style="medium">
        <color indexed="64"/>
      </left>
      <right/>
      <top style="thin">
        <color indexed="64"/>
      </top>
      <bottom style="thin">
        <color indexed="64"/>
      </bottom>
      <diagonal/>
    </border>
    <border>
      <left style="thin">
        <color indexed="8"/>
      </left>
      <right style="medium">
        <color indexed="64"/>
      </right>
      <top style="thin">
        <color indexed="64"/>
      </top>
      <bottom/>
      <diagonal/>
    </border>
    <border>
      <left/>
      <right/>
      <top style="medium">
        <color indexed="64"/>
      </top>
      <bottom/>
      <diagonal/>
    </border>
  </borders>
  <cellStyleXfs count="9">
    <xf numFmtId="164"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1" fillId="0" borderId="0"/>
  </cellStyleXfs>
  <cellXfs count="368">
    <xf numFmtId="164" fontId="0" fillId="0" borderId="0" xfId="0"/>
    <xf numFmtId="164" fontId="8" fillId="0" borderId="0" xfId="0" applyFont="1" applyFill="1"/>
    <xf numFmtId="164" fontId="8" fillId="0" borderId="0" xfId="0" applyFont="1" applyFill="1" applyBorder="1"/>
    <xf numFmtId="164" fontId="8" fillId="0" borderId="18" xfId="0" applyFont="1" applyFill="1" applyBorder="1" applyAlignment="1" applyProtection="1">
      <alignment horizontal="center"/>
    </xf>
    <xf numFmtId="164" fontId="8" fillId="0" borderId="21" xfId="0" applyFont="1" applyFill="1" applyBorder="1" applyAlignment="1" applyProtection="1">
      <alignment horizontal="center"/>
    </xf>
    <xf numFmtId="164" fontId="8" fillId="0" borderId="22" xfId="0" applyFont="1" applyFill="1" applyBorder="1" applyAlignment="1" applyProtection="1">
      <alignment horizontal="center"/>
    </xf>
    <xf numFmtId="164" fontId="8" fillId="0" borderId="23" xfId="0" applyFont="1" applyFill="1" applyBorder="1" applyAlignment="1" applyProtection="1">
      <alignment horizontal="center"/>
    </xf>
    <xf numFmtId="164" fontId="8" fillId="0" borderId="21" xfId="0" quotePrefix="1" applyFont="1" applyFill="1" applyBorder="1" applyAlignment="1" applyProtection="1">
      <alignment horizontal="center"/>
    </xf>
    <xf numFmtId="164" fontId="8" fillId="0" borderId="23" xfId="0" quotePrefix="1" applyFont="1" applyFill="1" applyBorder="1" applyAlignment="1" applyProtection="1">
      <alignment horizontal="center"/>
    </xf>
    <xf numFmtId="164" fontId="8" fillId="0" borderId="24" xfId="0" applyFont="1" applyFill="1" applyBorder="1" applyAlignment="1">
      <alignment horizontal="center"/>
    </xf>
    <xf numFmtId="164" fontId="8" fillId="0" borderId="25" xfId="0" applyFont="1" applyFill="1" applyBorder="1" applyAlignment="1" applyProtection="1">
      <alignment horizontal="center"/>
    </xf>
    <xf numFmtId="164" fontId="8" fillId="3" borderId="27" xfId="0" applyFont="1" applyFill="1" applyBorder="1" applyAlignment="1">
      <alignment horizontal="center"/>
    </xf>
    <xf numFmtId="164" fontId="8" fillId="0" borderId="28" xfId="0" applyFont="1" applyFill="1" applyBorder="1" applyAlignment="1">
      <alignment horizontal="center" vertical="center"/>
    </xf>
    <xf numFmtId="165" fontId="8" fillId="0" borderId="28" xfId="0" applyNumberFormat="1" applyFont="1" applyFill="1" applyBorder="1" applyAlignment="1" applyProtection="1">
      <alignment horizontal="center" vertical="center"/>
    </xf>
    <xf numFmtId="165" fontId="8" fillId="0" borderId="19" xfId="0" applyNumberFormat="1" applyFont="1" applyFill="1" applyBorder="1" applyAlignment="1" applyProtection="1">
      <alignment horizontal="center" vertical="center"/>
      <protection locked="0"/>
    </xf>
    <xf numFmtId="164" fontId="8" fillId="0" borderId="19" xfId="0" applyFont="1" applyFill="1" applyBorder="1" applyAlignment="1">
      <alignment horizontal="center" vertical="center"/>
    </xf>
    <xf numFmtId="164" fontId="8" fillId="0" borderId="29" xfId="0" applyFont="1" applyFill="1" applyBorder="1" applyAlignment="1">
      <alignment horizontal="center" vertical="center"/>
    </xf>
    <xf numFmtId="164" fontId="8" fillId="0" borderId="31" xfId="0" applyFont="1" applyFill="1" applyBorder="1" applyAlignment="1">
      <alignment horizontal="center" vertical="center"/>
    </xf>
    <xf numFmtId="164" fontId="8" fillId="0" borderId="32" xfId="0" applyFont="1" applyFill="1" applyBorder="1" applyAlignment="1">
      <alignment horizontal="center" vertical="center"/>
    </xf>
    <xf numFmtId="165" fontId="8" fillId="0" borderId="34" xfId="0" applyNumberFormat="1" applyFont="1" applyFill="1" applyBorder="1" applyAlignment="1" applyProtection="1">
      <alignment horizontal="center" vertical="center"/>
    </xf>
    <xf numFmtId="168" fontId="11" fillId="0" borderId="0" xfId="4" quotePrefix="1" applyNumberFormat="1" applyFont="1" applyFill="1" applyBorder="1" applyAlignment="1" applyProtection="1">
      <alignment vertical="top" wrapText="1"/>
    </xf>
    <xf numFmtId="44" fontId="8" fillId="0" borderId="0" xfId="2" applyFont="1"/>
    <xf numFmtId="164" fontId="8" fillId="0" borderId="31" xfId="0" applyFont="1" applyFill="1" applyBorder="1" applyAlignment="1" applyProtection="1">
      <alignment horizontal="center" vertical="center"/>
      <protection locked="0"/>
    </xf>
    <xf numFmtId="164" fontId="8" fillId="0" borderId="36" xfId="0" applyFont="1" applyFill="1" applyBorder="1" applyAlignment="1" applyProtection="1">
      <alignment horizontal="center" vertical="center"/>
    </xf>
    <xf numFmtId="166" fontId="8" fillId="0" borderId="36" xfId="0" applyNumberFormat="1" applyFont="1" applyFill="1" applyBorder="1" applyAlignment="1" applyProtection="1">
      <alignment horizontal="center" vertical="center"/>
      <protection locked="0"/>
    </xf>
    <xf numFmtId="37" fontId="8" fillId="0" borderId="36" xfId="0" applyNumberFormat="1" applyFont="1" applyFill="1" applyBorder="1" applyAlignment="1" applyProtection="1">
      <alignment horizontal="center" vertical="center"/>
    </xf>
    <xf numFmtId="37" fontId="8" fillId="0" borderId="37" xfId="0" applyNumberFormat="1" applyFont="1" applyFill="1" applyBorder="1" applyAlignment="1" applyProtection="1">
      <alignment horizontal="center" vertical="center"/>
    </xf>
    <xf numFmtId="164" fontId="8" fillId="0" borderId="36" xfId="0" applyFont="1" applyFill="1" applyBorder="1" applyAlignment="1" applyProtection="1">
      <alignment horizontal="center" vertical="center"/>
      <protection locked="0"/>
    </xf>
    <xf numFmtId="166" fontId="8" fillId="0" borderId="31" xfId="0" applyNumberFormat="1" applyFont="1" applyFill="1" applyBorder="1" applyAlignment="1" applyProtection="1">
      <alignment horizontal="center" vertical="center"/>
      <protection locked="0"/>
    </xf>
    <xf numFmtId="37" fontId="8" fillId="0" borderId="31" xfId="0" applyNumberFormat="1" applyFont="1" applyFill="1" applyBorder="1" applyAlignment="1" applyProtection="1">
      <alignment horizontal="center" vertical="center"/>
    </xf>
    <xf numFmtId="37" fontId="8" fillId="0" borderId="39" xfId="0" applyNumberFormat="1" applyFont="1" applyFill="1" applyBorder="1" applyAlignment="1" applyProtection="1">
      <alignment horizontal="center" vertical="center"/>
    </xf>
    <xf numFmtId="164" fontId="8" fillId="0" borderId="40" xfId="0" applyFont="1" applyFill="1" applyBorder="1" applyAlignment="1" applyProtection="1">
      <alignment horizontal="center" vertical="center"/>
    </xf>
    <xf numFmtId="164" fontId="8" fillId="0" borderId="30" xfId="0" applyFont="1" applyFill="1" applyBorder="1" applyAlignment="1">
      <alignment horizontal="center"/>
    </xf>
    <xf numFmtId="164" fontId="8" fillId="0" borderId="0" xfId="0" applyFont="1" applyFill="1" applyBorder="1" applyAlignment="1">
      <alignment horizontal="center"/>
    </xf>
    <xf numFmtId="164" fontId="8" fillId="0" borderId="0" xfId="0" applyFont="1" applyFill="1" applyAlignment="1">
      <alignment horizontal="center"/>
    </xf>
    <xf numFmtId="164" fontId="8" fillId="0" borderId="3" xfId="0" applyFont="1" applyFill="1" applyBorder="1" applyAlignment="1">
      <alignment horizontal="center" vertical="center"/>
    </xf>
    <xf numFmtId="0" fontId="3" fillId="0" borderId="0" xfId="3"/>
    <xf numFmtId="164" fontId="8" fillId="3" borderId="34" xfId="0" applyFont="1" applyFill="1" applyBorder="1" applyAlignment="1">
      <alignment horizontal="center"/>
    </xf>
    <xf numFmtId="0" fontId="8" fillId="0" borderId="1" xfId="0" applyNumberFormat="1" applyFont="1" applyFill="1" applyBorder="1" applyAlignment="1" applyProtection="1">
      <alignment vertical="center"/>
      <protection locked="0"/>
    </xf>
    <xf numFmtId="0" fontId="8" fillId="0" borderId="42" xfId="0" applyNumberFormat="1" applyFont="1" applyFill="1" applyBorder="1" applyAlignment="1" applyProtection="1">
      <alignment vertical="center"/>
      <protection locked="0"/>
    </xf>
    <xf numFmtId="165" fontId="8" fillId="0" borderId="43" xfId="0" applyNumberFormat="1" applyFont="1" applyFill="1" applyBorder="1" applyAlignment="1" applyProtection="1">
      <alignment horizontal="center" vertical="center"/>
    </xf>
    <xf numFmtId="164" fontId="8" fillId="0" borderId="3" xfId="0" applyFont="1" applyFill="1" applyBorder="1" applyAlignment="1" applyProtection="1">
      <alignment horizontal="center" vertical="center"/>
    </xf>
    <xf numFmtId="164" fontId="8" fillId="0" borderId="3" xfId="0" applyFont="1" applyFill="1" applyBorder="1" applyAlignment="1" applyProtection="1">
      <alignment horizontal="center" vertical="center"/>
      <protection locked="0"/>
    </xf>
    <xf numFmtId="165" fontId="8"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protection locked="0"/>
    </xf>
    <xf numFmtId="37" fontId="8" fillId="0" borderId="3" xfId="0" applyNumberFormat="1" applyFont="1" applyFill="1" applyBorder="1" applyAlignment="1" applyProtection="1">
      <alignment horizontal="center" vertical="center"/>
      <protection locked="0"/>
    </xf>
    <xf numFmtId="37" fontId="8" fillId="0" borderId="3" xfId="0" applyNumberFormat="1" applyFont="1" applyFill="1" applyBorder="1" applyAlignment="1" applyProtection="1">
      <alignment horizontal="center" vertical="center"/>
    </xf>
    <xf numFmtId="166" fontId="8" fillId="0" borderId="3" xfId="0" applyNumberFormat="1" applyFont="1" applyFill="1" applyBorder="1" applyAlignment="1" applyProtection="1">
      <alignment horizontal="center" vertical="center"/>
      <protection locked="0"/>
    </xf>
    <xf numFmtId="165" fontId="8" fillId="0" borderId="3" xfId="0" applyNumberFormat="1" applyFont="1" applyFill="1" applyBorder="1" applyAlignment="1" applyProtection="1">
      <alignment horizontal="center" vertical="center"/>
      <protection locked="0"/>
    </xf>
    <xf numFmtId="164" fontId="5" fillId="0" borderId="0" xfId="0" applyFont="1" applyBorder="1"/>
    <xf numFmtId="164" fontId="8" fillId="0" borderId="10" xfId="0" applyFont="1" applyFill="1" applyBorder="1" applyAlignment="1">
      <alignment vertical="center"/>
    </xf>
    <xf numFmtId="164" fontId="8" fillId="0" borderId="21" xfId="0" applyFont="1" applyFill="1" applyBorder="1" applyAlignment="1">
      <alignment horizontal="center"/>
    </xf>
    <xf numFmtId="0" fontId="3" fillId="0" borderId="0" xfId="0" applyNumberFormat="1" applyFont="1"/>
    <xf numFmtId="0" fontId="0" fillId="0" borderId="0" xfId="0" applyNumberFormat="1"/>
    <xf numFmtId="0" fontId="5" fillId="0" borderId="0" xfId="0" applyNumberFormat="1" applyFont="1"/>
    <xf numFmtId="0" fontId="5" fillId="2" borderId="3" xfId="0" applyNumberFormat="1" applyFont="1" applyFill="1" applyBorder="1"/>
    <xf numFmtId="0" fontId="5" fillId="2" borderId="3" xfId="0" applyNumberFormat="1" applyFont="1" applyFill="1" applyBorder="1" applyAlignment="1">
      <alignment horizontal="center"/>
    </xf>
    <xf numFmtId="0" fontId="12" fillId="0" borderId="3" xfId="0" applyNumberFormat="1" applyFont="1" applyBorder="1"/>
    <xf numFmtId="0" fontId="12" fillId="0" borderId="3" xfId="0" applyNumberFormat="1" applyFont="1" applyBorder="1" applyAlignment="1">
      <alignment horizontal="center"/>
    </xf>
    <xf numFmtId="0" fontId="0" fillId="0" borderId="3" xfId="0" applyNumberFormat="1" applyBorder="1"/>
    <xf numFmtId="0" fontId="13" fillId="0" borderId="3" xfId="0" applyNumberFormat="1" applyFont="1" applyFill="1" applyBorder="1"/>
    <xf numFmtId="0" fontId="13" fillId="0" borderId="3" xfId="0" applyNumberFormat="1" applyFont="1" applyBorder="1"/>
    <xf numFmtId="0" fontId="14" fillId="0" borderId="3" xfId="0" applyNumberFormat="1" applyFont="1" applyFill="1" applyBorder="1" applyAlignment="1">
      <alignment vertical="top" wrapText="1"/>
    </xf>
    <xf numFmtId="0" fontId="14" fillId="0" borderId="3" xfId="0" applyNumberFormat="1" applyFont="1" applyFill="1" applyBorder="1" applyAlignment="1">
      <alignment horizontal="left" vertical="top" wrapText="1" indent="1"/>
    </xf>
    <xf numFmtId="44" fontId="13" fillId="0" borderId="3" xfId="2" applyFont="1" applyBorder="1"/>
    <xf numFmtId="44" fontId="0" fillId="0" borderId="3" xfId="0" applyNumberFormat="1" applyBorder="1"/>
    <xf numFmtId="171" fontId="0" fillId="0" borderId="3" xfId="0" applyNumberFormat="1" applyBorder="1"/>
    <xf numFmtId="167" fontId="13" fillId="0" borderId="3" xfId="0" quotePrefix="1" applyNumberFormat="1" applyFont="1" applyBorder="1"/>
    <xf numFmtId="167" fontId="13" fillId="0" borderId="3" xfId="0" applyNumberFormat="1" applyFont="1" applyBorder="1"/>
    <xf numFmtId="170" fontId="0" fillId="0" borderId="3" xfId="0" applyNumberFormat="1" applyBorder="1"/>
    <xf numFmtId="172" fontId="0" fillId="0" borderId="3" xfId="0" applyNumberFormat="1" applyBorder="1"/>
    <xf numFmtId="49" fontId="13" fillId="0" borderId="3" xfId="0" applyNumberFormat="1" applyFont="1" applyBorder="1"/>
    <xf numFmtId="168" fontId="14" fillId="0" borderId="3" xfId="0" quotePrefix="1" applyNumberFormat="1" applyFont="1" applyFill="1" applyBorder="1" applyAlignment="1" applyProtection="1">
      <alignment vertical="top" wrapText="1"/>
    </xf>
    <xf numFmtId="168" fontId="15" fillId="0" borderId="3" xfId="0" quotePrefix="1" applyNumberFormat="1" applyFont="1" applyFill="1" applyBorder="1" applyAlignment="1" applyProtection="1">
      <alignment vertical="top" wrapText="1"/>
    </xf>
    <xf numFmtId="172" fontId="5" fillId="0" borderId="3" xfId="0" applyNumberFormat="1" applyFont="1" applyBorder="1"/>
    <xf numFmtId="0" fontId="13" fillId="0" borderId="0" xfId="0" applyNumberFormat="1" applyFont="1"/>
    <xf numFmtId="44" fontId="0" fillId="0" borderId="0" xfId="2" applyFont="1"/>
    <xf numFmtId="0" fontId="16" fillId="0" borderId="0" xfId="0" applyNumberFormat="1" applyFont="1"/>
    <xf numFmtId="0" fontId="4" fillId="0" borderId="0" xfId="0" applyNumberFormat="1" applyFont="1"/>
    <xf numFmtId="0" fontId="6" fillId="0" borderId="0" xfId="0" applyNumberFormat="1" applyFont="1"/>
    <xf numFmtId="167" fontId="0" fillId="0" borderId="0" xfId="0" applyNumberFormat="1"/>
    <xf numFmtId="0" fontId="0" fillId="0" borderId="0" xfId="0" applyNumberFormat="1" applyFill="1" applyBorder="1" applyAlignment="1">
      <alignment vertical="top"/>
    </xf>
    <xf numFmtId="172" fontId="5" fillId="4" borderId="3" xfId="0" applyNumberFormat="1" applyFont="1" applyFill="1" applyBorder="1"/>
    <xf numFmtId="164" fontId="4" fillId="0" borderId="0" xfId="0" applyFont="1" applyFill="1"/>
    <xf numFmtId="164" fontId="8" fillId="0" borderId="41" xfId="0" applyFont="1" applyFill="1" applyBorder="1" applyAlignment="1">
      <alignment horizontal="center"/>
    </xf>
    <xf numFmtId="0" fontId="3" fillId="0" borderId="0" xfId="5" applyFont="1" applyAlignment="1">
      <alignment horizontal="centerContinuous"/>
    </xf>
    <xf numFmtId="0" fontId="3" fillId="0" borderId="0" xfId="5" applyFont="1"/>
    <xf numFmtId="164" fontId="4" fillId="0" borderId="0" xfId="0" applyFont="1" applyBorder="1"/>
    <xf numFmtId="164" fontId="4" fillId="0" borderId="0" xfId="0" applyFont="1" applyBorder="1" applyAlignment="1">
      <alignment horizontal="center"/>
    </xf>
    <xf numFmtId="3" fontId="4" fillId="0" borderId="0" xfId="1" applyNumberFormat="1" applyFont="1" applyBorder="1" applyAlignment="1">
      <alignment horizontal="right"/>
    </xf>
    <xf numFmtId="3" fontId="4" fillId="0" borderId="0" xfId="0" applyNumberFormat="1" applyFont="1"/>
    <xf numFmtId="164" fontId="4" fillId="0" borderId="0" xfId="0" applyFont="1"/>
    <xf numFmtId="167" fontId="4" fillId="0" borderId="0" xfId="0" applyNumberFormat="1" applyFont="1" applyBorder="1"/>
    <xf numFmtId="0" fontId="13" fillId="0" borderId="0" xfId="5" applyFont="1"/>
    <xf numFmtId="164" fontId="13" fillId="0" borderId="4" xfId="0" applyFont="1" applyBorder="1" applyAlignment="1" applyProtection="1">
      <alignment horizontal="left" vertical="center"/>
    </xf>
    <xf numFmtId="37" fontId="13" fillId="0" borderId="3" xfId="0" applyNumberFormat="1" applyFont="1" applyBorder="1" applyAlignment="1" applyProtection="1">
      <alignment horizontal="center" vertical="center"/>
      <protection locked="0"/>
    </xf>
    <xf numFmtId="1" fontId="13" fillId="0" borderId="3" xfId="0" applyNumberFormat="1" applyFont="1" applyBorder="1" applyAlignment="1" applyProtection="1">
      <alignment horizontal="center" vertical="center"/>
    </xf>
    <xf numFmtId="0" fontId="13" fillId="0" borderId="0" xfId="5" applyFont="1" applyBorder="1"/>
    <xf numFmtId="164" fontId="13" fillId="0" borderId="17" xfId="0" applyFont="1" applyFill="1" applyBorder="1" applyAlignment="1" applyProtection="1">
      <alignment horizontal="left" vertical="center"/>
    </xf>
    <xf numFmtId="37" fontId="13" fillId="0" borderId="3" xfId="0" applyNumberFormat="1" applyFont="1" applyFill="1" applyBorder="1" applyAlignment="1" applyProtection="1">
      <alignment horizontal="center" vertical="center"/>
      <protection locked="0"/>
    </xf>
    <xf numFmtId="1" fontId="13" fillId="0" borderId="3" xfId="0" applyNumberFormat="1" applyFont="1" applyFill="1" applyBorder="1" applyAlignment="1" applyProtection="1">
      <alignment horizontal="center" vertical="center"/>
    </xf>
    <xf numFmtId="166" fontId="13" fillId="0" borderId="3" xfId="0" applyNumberFormat="1" applyFont="1" applyFill="1" applyBorder="1" applyAlignment="1" applyProtection="1">
      <alignment horizontal="center" vertical="center"/>
      <protection locked="0"/>
    </xf>
    <xf numFmtId="164" fontId="13" fillId="0" borderId="3" xfId="0" applyFont="1" applyFill="1" applyBorder="1" applyAlignment="1">
      <alignment horizontal="center" vertical="center"/>
    </xf>
    <xf numFmtId="166" fontId="13" fillId="3" borderId="3" xfId="0" applyNumberFormat="1" applyFont="1" applyFill="1" applyBorder="1" applyAlignment="1" applyProtection="1">
      <alignment horizontal="center" vertical="center"/>
      <protection locked="0"/>
    </xf>
    <xf numFmtId="1" fontId="13" fillId="0" borderId="3" xfId="0" applyNumberFormat="1" applyFont="1" applyFill="1" applyBorder="1" applyAlignment="1">
      <alignment horizontal="center" vertical="center"/>
    </xf>
    <xf numFmtId="165" fontId="13" fillId="0" borderId="3" xfId="0" applyNumberFormat="1" applyFont="1" applyFill="1" applyBorder="1" applyAlignment="1" applyProtection="1">
      <alignment horizontal="center" vertical="center"/>
      <protection locked="0"/>
    </xf>
    <xf numFmtId="166" fontId="19" fillId="0" borderId="11" xfId="0" applyNumberFormat="1" applyFont="1" applyFill="1" applyBorder="1" applyAlignment="1" applyProtection="1">
      <alignment horizontal="center" vertical="center"/>
      <protection locked="0"/>
    </xf>
    <xf numFmtId="1" fontId="13" fillId="0" borderId="12" xfId="0" applyNumberFormat="1" applyFont="1" applyFill="1" applyBorder="1" applyAlignment="1" applyProtection="1">
      <alignment horizontal="center" vertical="center"/>
    </xf>
    <xf numFmtId="3" fontId="13" fillId="0" borderId="0" xfId="5" applyNumberFormat="1" applyFont="1" applyBorder="1"/>
    <xf numFmtId="5" fontId="13" fillId="0" borderId="5" xfId="0" applyNumberFormat="1" applyFont="1" applyFill="1" applyBorder="1" applyAlignment="1">
      <alignment horizontal="center" vertical="center"/>
    </xf>
    <xf numFmtId="164" fontId="20" fillId="0" borderId="0" xfId="0" applyFont="1" applyFill="1"/>
    <xf numFmtId="164" fontId="17" fillId="0" borderId="0" xfId="0" applyFont="1"/>
    <xf numFmtId="167" fontId="13" fillId="0" borderId="3" xfId="0" applyNumberFormat="1" applyFont="1" applyFill="1" applyBorder="1"/>
    <xf numFmtId="0" fontId="0" fillId="0" borderId="3" xfId="0" applyNumberFormat="1" applyFill="1" applyBorder="1"/>
    <xf numFmtId="170" fontId="0" fillId="0" borderId="3" xfId="0" applyNumberFormat="1" applyFill="1" applyBorder="1"/>
    <xf numFmtId="172" fontId="0" fillId="0" borderId="3" xfId="0" applyNumberFormat="1" applyFill="1" applyBorder="1"/>
    <xf numFmtId="0" fontId="3" fillId="0" borderId="0" xfId="3" applyFill="1"/>
    <xf numFmtId="0" fontId="21" fillId="0" borderId="3" xfId="0" applyNumberFormat="1" applyFont="1" applyFill="1" applyBorder="1"/>
    <xf numFmtId="0" fontId="22" fillId="0" borderId="0" xfId="0" applyNumberFormat="1" applyFont="1" applyFill="1" applyBorder="1" applyAlignment="1">
      <alignment horizontal="left" vertical="center"/>
    </xf>
    <xf numFmtId="43" fontId="0" fillId="0" borderId="0" xfId="1" applyFont="1" applyProtection="1"/>
    <xf numFmtId="0" fontId="5" fillId="0" borderId="0" xfId="6" applyFont="1"/>
    <xf numFmtId="0" fontId="3" fillId="0" borderId="0" xfId="6"/>
    <xf numFmtId="0" fontId="3" fillId="0" borderId="0" xfId="6" applyAlignment="1">
      <alignment horizontal="right"/>
    </xf>
    <xf numFmtId="6" fontId="3" fillId="0" borderId="0" xfId="6" applyNumberFormat="1"/>
    <xf numFmtId="0" fontId="3" fillId="0" borderId="0" xfId="6" applyFont="1"/>
    <xf numFmtId="8" fontId="3" fillId="0" borderId="0" xfId="6" applyNumberFormat="1"/>
    <xf numFmtId="0" fontId="5" fillId="0" borderId="2" xfId="6" applyFont="1" applyBorder="1"/>
    <xf numFmtId="0" fontId="3" fillId="0" borderId="2" xfId="6" applyBorder="1"/>
    <xf numFmtId="8" fontId="3" fillId="0" borderId="2" xfId="6" applyNumberFormat="1" applyBorder="1"/>
    <xf numFmtId="0" fontId="12" fillId="0" borderId="0" xfId="6" applyFont="1"/>
    <xf numFmtId="0" fontId="13" fillId="0" borderId="0" xfId="6" applyFont="1"/>
    <xf numFmtId="168" fontId="14" fillId="0" borderId="0" xfId="6" quotePrefix="1" applyNumberFormat="1" applyFont="1" applyFill="1" applyBorder="1" applyAlignment="1" applyProtection="1">
      <alignment vertical="top" wrapText="1"/>
    </xf>
    <xf numFmtId="0" fontId="3" fillId="0" borderId="2" xfId="6" applyFont="1" applyBorder="1"/>
    <xf numFmtId="8" fontId="5" fillId="0" borderId="2" xfId="6" applyNumberFormat="1" applyFont="1" applyBorder="1"/>
    <xf numFmtId="0" fontId="5" fillId="2" borderId="3" xfId="6" applyFont="1" applyFill="1" applyBorder="1" applyAlignment="1">
      <alignment vertical="center" wrapText="1"/>
    </xf>
    <xf numFmtId="0" fontId="3" fillId="0" borderId="3" xfId="6" applyBorder="1"/>
    <xf numFmtId="8" fontId="3" fillId="0" borderId="3" xfId="6" applyNumberFormat="1" applyBorder="1"/>
    <xf numFmtId="8" fontId="24" fillId="0" borderId="3" xfId="6" applyNumberFormat="1" applyFont="1" applyBorder="1"/>
    <xf numFmtId="6" fontId="0" fillId="0" borderId="0" xfId="0" applyNumberFormat="1"/>
    <xf numFmtId="0" fontId="0" fillId="0" borderId="0" xfId="0" applyNumberFormat="1" applyAlignment="1">
      <alignment vertical="top"/>
    </xf>
    <xf numFmtId="6" fontId="0" fillId="0" borderId="3" xfId="0" applyNumberFormat="1" applyBorder="1"/>
    <xf numFmtId="6" fontId="3" fillId="0" borderId="3" xfId="0" applyNumberFormat="1" applyFont="1" applyBorder="1"/>
    <xf numFmtId="0" fontId="3" fillId="0" borderId="3" xfId="0" applyNumberFormat="1" applyFont="1" applyBorder="1"/>
    <xf numFmtId="0" fontId="3" fillId="0" borderId="3" xfId="0" applyNumberFormat="1" applyFont="1" applyBorder="1" applyAlignment="1">
      <alignment wrapText="1"/>
    </xf>
    <xf numFmtId="0" fontId="0" fillId="0" borderId="3" xfId="0" applyNumberFormat="1" applyBorder="1" applyAlignment="1">
      <alignment wrapText="1"/>
    </xf>
    <xf numFmtId="167" fontId="15" fillId="0" borderId="3" xfId="2" quotePrefix="1" applyNumberFormat="1" applyFont="1" applyFill="1" applyBorder="1" applyAlignment="1" applyProtection="1">
      <alignment vertical="top" wrapText="1"/>
    </xf>
    <xf numFmtId="1" fontId="8" fillId="0" borderId="3" xfId="1" applyNumberFormat="1" applyFont="1" applyFill="1" applyBorder="1" applyAlignment="1" applyProtection="1">
      <alignment horizontal="center" vertical="center"/>
      <protection locked="0"/>
    </xf>
    <xf numFmtId="164" fontId="8" fillId="0" borderId="35" xfId="0" applyFont="1" applyFill="1" applyBorder="1" applyAlignment="1" applyProtection="1">
      <alignment horizontal="center" vertical="center"/>
    </xf>
    <xf numFmtId="37" fontId="8" fillId="0" borderId="32" xfId="0" applyNumberFormat="1" applyFont="1" applyFill="1" applyBorder="1" applyAlignment="1" applyProtection="1">
      <alignment horizontal="center" vertical="center"/>
    </xf>
    <xf numFmtId="164" fontId="4" fillId="0" borderId="19" xfId="0" applyFont="1" applyFill="1" applyBorder="1" applyAlignment="1" applyProtection="1">
      <alignment horizontal="center"/>
    </xf>
    <xf numFmtId="164" fontId="4" fillId="0" borderId="18" xfId="0" applyFont="1" applyFill="1" applyBorder="1" applyAlignment="1" applyProtection="1">
      <alignment horizontal="center"/>
    </xf>
    <xf numFmtId="164" fontId="4" fillId="0" borderId="20" xfId="0" applyFont="1" applyFill="1" applyBorder="1" applyAlignment="1" applyProtection="1">
      <alignment horizontal="center"/>
    </xf>
    <xf numFmtId="164" fontId="4" fillId="0" borderId="24" xfId="0" applyFont="1" applyFill="1" applyBorder="1" applyAlignment="1" applyProtection="1">
      <alignment horizontal="center"/>
    </xf>
    <xf numFmtId="164" fontId="4" fillId="0" borderId="25" xfId="0" applyFont="1" applyFill="1" applyBorder="1" applyAlignment="1" applyProtection="1">
      <alignment horizontal="center"/>
    </xf>
    <xf numFmtId="164" fontId="4" fillId="0" borderId="26" xfId="0" applyFont="1" applyFill="1" applyBorder="1" applyAlignment="1" applyProtection="1">
      <alignment horizontal="center"/>
    </xf>
    <xf numFmtId="174" fontId="20" fillId="0" borderId="0" xfId="0" applyNumberFormat="1" applyFont="1" applyFill="1" applyAlignment="1">
      <alignment horizontal="left"/>
    </xf>
    <xf numFmtId="0" fontId="2" fillId="0" borderId="0" xfId="7"/>
    <xf numFmtId="7" fontId="2" fillId="0" borderId="0" xfId="7" applyNumberFormat="1"/>
    <xf numFmtId="0" fontId="2" fillId="0" borderId="3" xfId="7" applyBorder="1"/>
    <xf numFmtId="5" fontId="2" fillId="0" borderId="3" xfId="7" applyNumberFormat="1" applyBorder="1"/>
    <xf numFmtId="7" fontId="2" fillId="0" borderId="3" xfId="7" applyNumberFormat="1" applyBorder="1"/>
    <xf numFmtId="0" fontId="25" fillId="0" borderId="3" xfId="7" applyFont="1" applyBorder="1"/>
    <xf numFmtId="5" fontId="25" fillId="0" borderId="3" xfId="7" applyNumberFormat="1" applyFont="1" applyBorder="1"/>
    <xf numFmtId="7" fontId="25" fillId="0" borderId="3" xfId="7" applyNumberFormat="1" applyFont="1" applyBorder="1"/>
    <xf numFmtId="0" fontId="2" fillId="0" borderId="3" xfId="7" applyBorder="1" applyAlignment="1">
      <alignment horizontal="center" vertical="center"/>
    </xf>
    <xf numFmtId="0" fontId="22" fillId="0" borderId="3" xfId="0" applyNumberFormat="1" applyFont="1" applyBorder="1" applyAlignment="1">
      <alignment horizontal="left" vertical="center"/>
    </xf>
    <xf numFmtId="173" fontId="22" fillId="0" borderId="3" xfId="1" applyNumberFormat="1" applyFont="1" applyBorder="1" applyAlignment="1">
      <alignment horizontal="left" vertical="center"/>
    </xf>
    <xf numFmtId="173" fontId="22" fillId="0" borderId="3" xfId="1" applyNumberFormat="1" applyFont="1" applyBorder="1"/>
    <xf numFmtId="2" fontId="23" fillId="0" borderId="3" xfId="0" applyNumberFormat="1" applyFont="1" applyBorder="1"/>
    <xf numFmtId="0" fontId="26" fillId="0" borderId="0" xfId="7" applyFont="1"/>
    <xf numFmtId="164" fontId="28" fillId="0" borderId="0" xfId="0" applyFont="1"/>
    <xf numFmtId="0" fontId="28" fillId="0" borderId="0" xfId="0" applyNumberFormat="1" applyFont="1"/>
    <xf numFmtId="0" fontId="27" fillId="0" borderId="0" xfId="6" applyFont="1"/>
    <xf numFmtId="0" fontId="27" fillId="0" borderId="0" xfId="0" applyNumberFormat="1" applyFont="1"/>
    <xf numFmtId="43" fontId="29" fillId="5" borderId="3" xfId="1" applyFont="1" applyFill="1" applyBorder="1" applyAlignment="1">
      <alignment horizontal="center" vertical="center" wrapText="1"/>
    </xf>
    <xf numFmtId="0" fontId="29" fillId="5" borderId="3" xfId="6" applyNumberFormat="1" applyFont="1" applyFill="1" applyBorder="1" applyAlignment="1">
      <alignment horizontal="center" vertical="center" wrapText="1"/>
    </xf>
    <xf numFmtId="14" fontId="20" fillId="0" borderId="0" xfId="0" applyNumberFormat="1" applyFont="1" applyFill="1" applyAlignment="1">
      <alignment horizontal="left"/>
    </xf>
    <xf numFmtId="0" fontId="5" fillId="0" borderId="3" xfId="0" applyNumberFormat="1" applyFont="1" applyBorder="1"/>
    <xf numFmtId="0" fontId="0" fillId="0" borderId="3" xfId="0" applyNumberFormat="1" applyBorder="1" applyAlignment="1">
      <alignment vertical="top"/>
    </xf>
    <xf numFmtId="164" fontId="9" fillId="0" borderId="0" xfId="0" applyFont="1" applyFill="1" applyAlignment="1" applyProtection="1">
      <alignment horizontal="center"/>
    </xf>
    <xf numFmtId="0" fontId="31" fillId="0" borderId="0" xfId="8" applyFont="1"/>
    <xf numFmtId="0" fontId="32" fillId="0" borderId="0" xfId="8" applyFont="1" applyBorder="1" applyAlignment="1">
      <alignment vertical="top"/>
    </xf>
    <xf numFmtId="164" fontId="33" fillId="0" borderId="8" xfId="0" applyFont="1" applyFill="1" applyBorder="1" applyAlignment="1">
      <alignment vertical="center"/>
    </xf>
    <xf numFmtId="164" fontId="33" fillId="0" borderId="3" xfId="0" applyFont="1" applyFill="1" applyBorder="1" applyAlignment="1" applyProtection="1">
      <alignment horizontal="center" vertical="center"/>
      <protection locked="0"/>
    </xf>
    <xf numFmtId="164" fontId="33" fillId="0" borderId="3" xfId="0" applyFont="1" applyFill="1" applyBorder="1" applyAlignment="1" applyProtection="1">
      <alignment horizontal="center" vertical="center"/>
    </xf>
    <xf numFmtId="164" fontId="33" fillId="0" borderId="0" xfId="0" applyFont="1" applyFill="1"/>
    <xf numFmtId="39" fontId="8" fillId="0" borderId="3" xfId="0" applyNumberFormat="1" applyFont="1" applyFill="1" applyBorder="1" applyAlignment="1" applyProtection="1">
      <alignment horizontal="center" vertical="center"/>
    </xf>
    <xf numFmtId="0" fontId="8" fillId="0" borderId="3" xfId="0" applyNumberFormat="1" applyFont="1" applyFill="1" applyBorder="1" applyAlignment="1" applyProtection="1">
      <alignment horizontal="center" vertical="center"/>
    </xf>
    <xf numFmtId="0" fontId="8" fillId="0" borderId="31" xfId="0" applyNumberFormat="1" applyFont="1" applyFill="1" applyBorder="1" applyAlignment="1" applyProtection="1">
      <alignment horizontal="center" vertical="center"/>
    </xf>
    <xf numFmtId="0" fontId="8" fillId="0" borderId="39" xfId="0" applyNumberFormat="1" applyFont="1" applyFill="1" applyBorder="1" applyAlignment="1" applyProtection="1">
      <alignment horizontal="center" vertical="center"/>
    </xf>
    <xf numFmtId="0" fontId="8" fillId="0" borderId="32" xfId="0" applyNumberFormat="1" applyFont="1" applyFill="1" applyBorder="1" applyAlignment="1" applyProtection="1">
      <alignment horizontal="center" vertical="center"/>
    </xf>
    <xf numFmtId="0" fontId="8" fillId="0" borderId="33" xfId="0" applyNumberFormat="1" applyFont="1" applyFill="1" applyBorder="1" applyAlignment="1" applyProtection="1">
      <alignment horizontal="center" vertical="center"/>
    </xf>
    <xf numFmtId="0" fontId="31" fillId="0" borderId="0" xfId="0" applyNumberFormat="1" applyFont="1"/>
    <xf numFmtId="1" fontId="13" fillId="0" borderId="11" xfId="0" applyNumberFormat="1" applyFont="1" applyFill="1" applyBorder="1" applyAlignment="1" applyProtection="1">
      <alignment horizontal="center" vertical="center"/>
    </xf>
    <xf numFmtId="0" fontId="13" fillId="0" borderId="3" xfId="0" applyNumberFormat="1" applyFont="1" applyBorder="1" applyAlignment="1" applyProtection="1">
      <alignment horizontal="center" vertical="center"/>
    </xf>
    <xf numFmtId="0" fontId="13" fillId="0" borderId="3" xfId="0" applyNumberFormat="1" applyFont="1" applyFill="1" applyBorder="1" applyAlignment="1">
      <alignment horizontal="center" vertical="center"/>
    </xf>
    <xf numFmtId="0" fontId="13" fillId="0" borderId="3" xfId="0" applyNumberFormat="1" applyFont="1" applyFill="1" applyBorder="1" applyAlignment="1" applyProtection="1">
      <alignment horizontal="center" vertical="center"/>
    </xf>
    <xf numFmtId="3" fontId="8" fillId="0" borderId="3" xfId="0" applyNumberFormat="1" applyFont="1" applyFill="1" applyBorder="1" applyAlignment="1" applyProtection="1">
      <alignment horizontal="center" vertical="center"/>
    </xf>
    <xf numFmtId="164" fontId="9" fillId="0" borderId="0" xfId="0" applyFont="1" applyFill="1" applyAlignment="1" applyProtection="1">
      <alignment horizontal="center" wrapText="1"/>
    </xf>
    <xf numFmtId="164" fontId="8" fillId="0" borderId="0" xfId="0" applyFont="1" applyFill="1" applyAlignment="1">
      <alignment horizontal="center" wrapText="1"/>
    </xf>
    <xf numFmtId="175" fontId="8" fillId="0" borderId="3" xfId="1" applyNumberFormat="1" applyFont="1" applyFill="1" applyBorder="1" applyAlignment="1" applyProtection="1">
      <alignment horizontal="center" vertical="center"/>
      <protection locked="0"/>
    </xf>
    <xf numFmtId="175" fontId="8" fillId="0" borderId="3" xfId="0" applyNumberFormat="1" applyFont="1" applyFill="1" applyBorder="1" applyAlignment="1" applyProtection="1">
      <alignment horizontal="center" vertical="center"/>
    </xf>
    <xf numFmtId="1" fontId="8" fillId="0" borderId="3" xfId="0" applyNumberFormat="1" applyFont="1" applyFill="1" applyBorder="1" applyAlignment="1" applyProtection="1">
      <alignment horizontal="center" vertical="center"/>
    </xf>
    <xf numFmtId="164" fontId="9" fillId="0" borderId="14" xfId="0" applyFont="1" applyBorder="1" applyAlignment="1" applyProtection="1">
      <alignment wrapText="1"/>
    </xf>
    <xf numFmtId="164" fontId="9" fillId="0" borderId="14" xfId="0" applyFont="1" applyBorder="1" applyAlignment="1" applyProtection="1"/>
    <xf numFmtId="9" fontId="12" fillId="0" borderId="11" xfId="0" applyNumberFormat="1" applyFont="1" applyBorder="1" applyAlignment="1" applyProtection="1">
      <alignment vertical="center"/>
    </xf>
    <xf numFmtId="164" fontId="13" fillId="0" borderId="6" xfId="0" applyFont="1" applyFill="1" applyBorder="1" applyAlignment="1" applyProtection="1">
      <alignment horizontal="left" vertical="center" wrapText="1" indent="1"/>
    </xf>
    <xf numFmtId="164" fontId="13" fillId="0" borderId="4" xfId="0" applyFont="1" applyFill="1" applyBorder="1" applyAlignment="1" applyProtection="1">
      <alignment horizontal="left" vertical="center" indent="1"/>
    </xf>
    <xf numFmtId="164" fontId="13" fillId="0" borderId="0" xfId="0" applyFont="1" applyFill="1" applyBorder="1" applyAlignment="1" applyProtection="1">
      <alignment horizontal="left" vertical="center" indent="1"/>
    </xf>
    <xf numFmtId="164" fontId="13" fillId="0" borderId="6" xfId="0" applyFont="1" applyFill="1" applyBorder="1" applyAlignment="1" applyProtection="1">
      <alignment horizontal="left" vertical="center" indent="2"/>
    </xf>
    <xf numFmtId="0" fontId="37" fillId="0" borderId="49" xfId="0" applyNumberFormat="1" applyFont="1" applyFill="1" applyBorder="1" applyAlignment="1">
      <alignment horizontal="center" vertical="center" wrapText="1"/>
    </xf>
    <xf numFmtId="0" fontId="37" fillId="0" borderId="7" xfId="0" applyNumberFormat="1" applyFont="1" applyFill="1" applyBorder="1" applyAlignment="1">
      <alignment horizontal="center" vertical="center" wrapText="1"/>
    </xf>
    <xf numFmtId="0" fontId="37" fillId="0" borderId="48" xfId="0" applyNumberFormat="1" applyFont="1" applyFill="1" applyBorder="1" applyAlignment="1">
      <alignment horizontal="center" vertical="center" wrapText="1"/>
    </xf>
    <xf numFmtId="164" fontId="12" fillId="0" borderId="50" xfId="0" applyFont="1" applyFill="1" applyBorder="1" applyAlignment="1">
      <alignment horizontal="center" vertical="center" wrapText="1"/>
    </xf>
    <xf numFmtId="164" fontId="12" fillId="0" borderId="16" xfId="0" applyFont="1" applyFill="1" applyBorder="1" applyAlignment="1" applyProtection="1">
      <alignment horizontal="center" vertical="center"/>
    </xf>
    <xf numFmtId="164" fontId="0" fillId="0" borderId="0" xfId="0" applyFill="1"/>
    <xf numFmtId="164" fontId="40" fillId="0" borderId="3" xfId="0" applyFont="1" applyFill="1" applyBorder="1" applyAlignment="1">
      <alignment vertical="top" wrapText="1"/>
    </xf>
    <xf numFmtId="164" fontId="41" fillId="0" borderId="3" xfId="0" applyFont="1" applyFill="1" applyBorder="1" applyAlignment="1">
      <alignment vertical="top" wrapText="1"/>
    </xf>
    <xf numFmtId="164" fontId="41" fillId="0" borderId="3" xfId="0" applyFont="1" applyFill="1" applyBorder="1" applyAlignment="1">
      <alignment horizontal="center" vertical="top" wrapText="1"/>
    </xf>
    <xf numFmtId="164" fontId="0" fillId="0" borderId="3" xfId="0" applyFill="1" applyBorder="1" applyAlignment="1">
      <alignment vertical="top" wrapText="1"/>
    </xf>
    <xf numFmtId="167" fontId="41" fillId="0" borderId="3" xfId="0" applyNumberFormat="1" applyFont="1" applyFill="1" applyBorder="1" applyAlignment="1">
      <alignment vertical="top" wrapText="1"/>
    </xf>
    <xf numFmtId="164" fontId="47" fillId="0" borderId="0" xfId="0" applyFont="1" applyFill="1"/>
    <xf numFmtId="176" fontId="8" fillId="0" borderId="3" xfId="0" applyNumberFormat="1" applyFont="1" applyFill="1" applyBorder="1" applyAlignment="1" applyProtection="1">
      <alignment horizontal="center" vertical="center"/>
    </xf>
    <xf numFmtId="164" fontId="4" fillId="0" borderId="3" xfId="0" applyFont="1" applyFill="1" applyBorder="1" applyAlignment="1" applyProtection="1">
      <alignment horizontal="center" vertical="center"/>
      <protection locked="0"/>
    </xf>
    <xf numFmtId="0" fontId="31" fillId="0" borderId="0" xfId="0" quotePrefix="1" applyNumberFormat="1" applyFont="1"/>
    <xf numFmtId="164" fontId="4" fillId="0" borderId="0" xfId="0" applyFont="1" applyFill="1" applyAlignment="1">
      <alignment vertical="top" wrapText="1"/>
    </xf>
    <xf numFmtId="164" fontId="4" fillId="0" borderId="0" xfId="0" applyFont="1" applyFill="1" applyAlignment="1">
      <alignment vertical="center" wrapText="1"/>
    </xf>
    <xf numFmtId="164" fontId="4" fillId="0" borderId="21" xfId="0" applyFont="1" applyFill="1" applyBorder="1" applyAlignment="1" applyProtection="1">
      <alignment horizontal="center"/>
    </xf>
    <xf numFmtId="164" fontId="33" fillId="0" borderId="34" xfId="0" applyFont="1" applyFill="1" applyBorder="1" applyAlignment="1">
      <alignment horizontal="center"/>
    </xf>
    <xf numFmtId="164" fontId="7" fillId="0" borderId="3" xfId="0" applyFont="1" applyFill="1" applyBorder="1" applyAlignment="1">
      <alignment horizontal="center" vertical="center"/>
    </xf>
    <xf numFmtId="164" fontId="7" fillId="0" borderId="3" xfId="0" applyFont="1" applyFill="1" applyBorder="1" applyAlignment="1">
      <alignment horizontal="left" vertical="center"/>
    </xf>
    <xf numFmtId="3" fontId="7" fillId="0" borderId="3" xfId="0" applyNumberFormat="1" applyFont="1" applyFill="1" applyBorder="1" applyAlignment="1">
      <alignment horizontal="center" vertical="center"/>
    </xf>
    <xf numFmtId="167" fontId="7" fillId="0" borderId="3" xfId="0" applyNumberFormat="1" applyFont="1" applyFill="1" applyBorder="1" applyAlignment="1">
      <alignment horizontal="center" vertical="center"/>
    </xf>
    <xf numFmtId="164" fontId="33" fillId="0" borderId="16" xfId="0" applyFont="1" applyFill="1" applyBorder="1" applyAlignment="1">
      <alignment vertical="center"/>
    </xf>
    <xf numFmtId="164" fontId="7" fillId="0" borderId="53" xfId="0" applyFont="1" applyFill="1" applyBorder="1" applyAlignment="1">
      <alignment horizontal="center" vertical="center"/>
    </xf>
    <xf numFmtId="167" fontId="7" fillId="0" borderId="5" xfId="0" applyNumberFormat="1" applyFont="1" applyFill="1" applyBorder="1" applyAlignment="1">
      <alignment horizontal="right" vertical="center"/>
    </xf>
    <xf numFmtId="164" fontId="7" fillId="0" borderId="55" xfId="0" applyFont="1" applyFill="1" applyBorder="1" applyAlignment="1">
      <alignment horizontal="center" vertical="center"/>
    </xf>
    <xf numFmtId="167" fontId="7" fillId="0" borderId="55" xfId="0" applyNumberFormat="1" applyFont="1" applyFill="1" applyBorder="1" applyAlignment="1">
      <alignment horizontal="center" vertical="center"/>
    </xf>
    <xf numFmtId="167" fontId="7" fillId="0" borderId="9" xfId="0" applyNumberFormat="1" applyFont="1" applyFill="1" applyBorder="1" applyAlignment="1">
      <alignment horizontal="right" vertical="center"/>
    </xf>
    <xf numFmtId="167" fontId="7" fillId="0" borderId="54" xfId="0" applyNumberFormat="1" applyFont="1" applyFill="1" applyBorder="1" applyAlignment="1">
      <alignment horizontal="right" vertical="center"/>
    </xf>
    <xf numFmtId="1" fontId="8" fillId="0" borderId="0" xfId="0" applyNumberFormat="1" applyFont="1" applyFill="1"/>
    <xf numFmtId="164" fontId="8" fillId="0" borderId="16" xfId="0" applyFont="1" applyFill="1" applyBorder="1"/>
    <xf numFmtId="164" fontId="33" fillId="0" borderId="16" xfId="0" applyFont="1" applyFill="1" applyBorder="1"/>
    <xf numFmtId="164" fontId="4" fillId="0" borderId="56" xfId="0" applyFont="1" applyFill="1" applyBorder="1" applyAlignment="1" applyProtection="1">
      <alignment horizontal="center"/>
    </xf>
    <xf numFmtId="164" fontId="8" fillId="0" borderId="6" xfId="0" applyFont="1" applyFill="1" applyBorder="1" applyAlignment="1">
      <alignment wrapText="1"/>
    </xf>
    <xf numFmtId="164" fontId="4" fillId="0" borderId="6" xfId="0" applyFont="1" applyFill="1" applyBorder="1" applyAlignment="1">
      <alignment wrapText="1"/>
    </xf>
    <xf numFmtId="164" fontId="33" fillId="0" borderId="6" xfId="0" applyFont="1" applyFill="1" applyBorder="1" applyAlignment="1">
      <alignment wrapText="1"/>
    </xf>
    <xf numFmtId="164" fontId="4" fillId="0" borderId="58" xfId="0" applyFont="1" applyFill="1" applyBorder="1" applyAlignment="1" applyProtection="1">
      <alignment horizontal="center"/>
    </xf>
    <xf numFmtId="164" fontId="4" fillId="0" borderId="60" xfId="0" applyFont="1" applyFill="1" applyBorder="1" applyAlignment="1" applyProtection="1">
      <alignment horizontal="center"/>
    </xf>
    <xf numFmtId="164" fontId="4" fillId="0" borderId="60" xfId="0" applyFont="1" applyFill="1" applyBorder="1" applyAlignment="1">
      <alignment horizontal="center"/>
    </xf>
    <xf numFmtId="164" fontId="4" fillId="0" borderId="62" xfId="0" applyFont="1" applyFill="1" applyBorder="1" applyAlignment="1">
      <alignment horizontal="center"/>
    </xf>
    <xf numFmtId="164" fontId="4" fillId="0" borderId="63" xfId="0" applyFont="1" applyFill="1" applyBorder="1" applyAlignment="1">
      <alignment vertical="center"/>
    </xf>
    <xf numFmtId="165" fontId="4" fillId="0" borderId="64" xfId="0" applyNumberFormat="1" applyFont="1" applyFill="1" applyBorder="1" applyAlignment="1" applyProtection="1">
      <alignment horizontal="right" vertical="center"/>
    </xf>
    <xf numFmtId="164" fontId="4" fillId="0" borderId="65" xfId="0" applyFont="1" applyFill="1" applyBorder="1" applyAlignment="1">
      <alignment vertical="center"/>
    </xf>
    <xf numFmtId="165" fontId="4" fillId="0" borderId="66" xfId="0" applyNumberFormat="1" applyFont="1" applyFill="1" applyBorder="1" applyAlignment="1" applyProtection="1">
      <alignment horizontal="right" vertical="center"/>
    </xf>
    <xf numFmtId="164" fontId="4" fillId="0" borderId="8" xfId="0" applyFont="1" applyFill="1" applyBorder="1" applyAlignment="1">
      <alignment vertical="center"/>
    </xf>
    <xf numFmtId="165" fontId="4" fillId="0" borderId="5" xfId="0" applyNumberFormat="1" applyFont="1" applyFill="1" applyBorder="1" applyAlignment="1" applyProtection="1">
      <alignment horizontal="right" vertical="center"/>
    </xf>
    <xf numFmtId="164" fontId="4" fillId="0" borderId="8" xfId="0" applyFont="1" applyFill="1" applyBorder="1" applyAlignment="1" applyProtection="1">
      <alignment horizontal="left" vertical="center" indent="1"/>
    </xf>
    <xf numFmtId="164" fontId="4" fillId="0" borderId="67" xfId="0" applyFont="1" applyFill="1" applyBorder="1" applyAlignment="1">
      <alignment horizontal="right"/>
    </xf>
    <xf numFmtId="0" fontId="4" fillId="0" borderId="8" xfId="0" applyNumberFormat="1" applyFont="1" applyFill="1" applyBorder="1" applyAlignment="1" applyProtection="1">
      <alignment horizontal="left" vertical="center" indent="3"/>
    </xf>
    <xf numFmtId="5" fontId="4" fillId="0" borderId="5" xfId="0" applyNumberFormat="1" applyFont="1" applyFill="1" applyBorder="1" applyAlignment="1" applyProtection="1">
      <alignment horizontal="right" vertical="center"/>
    </xf>
    <xf numFmtId="7" fontId="4" fillId="0" borderId="5" xfId="0" applyNumberFormat="1" applyFont="1" applyFill="1" applyBorder="1" applyAlignment="1" applyProtection="1">
      <alignment horizontal="right" vertical="center"/>
    </xf>
    <xf numFmtId="164" fontId="4" fillId="0" borderId="8" xfId="0" applyFont="1" applyFill="1" applyBorder="1" applyAlignment="1">
      <alignment horizontal="left" vertical="center" indent="3"/>
    </xf>
    <xf numFmtId="164" fontId="4" fillId="0" borderId="8" xfId="0" applyFont="1" applyFill="1" applyBorder="1" applyAlignment="1" applyProtection="1">
      <alignment horizontal="left" vertical="center" wrapText="1" indent="3"/>
    </xf>
    <xf numFmtId="164" fontId="4" fillId="0" borderId="8" xfId="0" applyFont="1" applyFill="1" applyBorder="1" applyAlignment="1">
      <alignment horizontal="left" vertical="center" indent="2"/>
    </xf>
    <xf numFmtId="169" fontId="33" fillId="0" borderId="5" xfId="0" applyNumberFormat="1" applyFont="1" applyFill="1" applyBorder="1" applyAlignment="1" applyProtection="1">
      <alignment horizontal="right" vertical="center"/>
    </xf>
    <xf numFmtId="5" fontId="4" fillId="0" borderId="56" xfId="0" applyNumberFormat="1" applyFont="1" applyFill="1" applyBorder="1" applyAlignment="1" applyProtection="1">
      <alignment horizontal="right" vertical="center"/>
    </xf>
    <xf numFmtId="9" fontId="4" fillId="0" borderId="68" xfId="0" applyNumberFormat="1" applyFont="1" applyFill="1" applyBorder="1" applyAlignment="1" applyProtection="1">
      <alignment horizontal="left" vertical="center" indent="1"/>
    </xf>
    <xf numFmtId="9" fontId="8" fillId="0" borderId="68" xfId="0" applyNumberFormat="1" applyFont="1" applyFill="1" applyBorder="1" applyAlignment="1" applyProtection="1">
      <alignment horizontal="left" vertical="center" indent="1"/>
    </xf>
    <xf numFmtId="9" fontId="8" fillId="0" borderId="69" xfId="0" applyNumberFormat="1" applyFont="1" applyFill="1" applyBorder="1" applyAlignment="1" applyProtection="1">
      <alignment horizontal="left" vertical="center" indent="1"/>
    </xf>
    <xf numFmtId="9" fontId="8" fillId="0" borderId="65" xfId="0" applyNumberFormat="1" applyFont="1" applyFill="1" applyBorder="1" applyAlignment="1" applyProtection="1">
      <alignment horizontal="left" vertical="center" indent="1"/>
    </xf>
    <xf numFmtId="164" fontId="4" fillId="0" borderId="65" xfId="0" applyFont="1" applyFill="1" applyBorder="1" applyAlignment="1" applyProtection="1">
      <alignment horizontal="left" vertical="center" indent="2"/>
    </xf>
    <xf numFmtId="164" fontId="4" fillId="0" borderId="69" xfId="0" applyFont="1" applyFill="1" applyBorder="1" applyAlignment="1">
      <alignment horizontal="left" vertical="center" indent="2"/>
    </xf>
    <xf numFmtId="164" fontId="4" fillId="0" borderId="68" xfId="0" applyFont="1" applyFill="1" applyBorder="1" applyAlignment="1">
      <alignment horizontal="left" vertical="center" indent="2"/>
    </xf>
    <xf numFmtId="164" fontId="4" fillId="0" borderId="70" xfId="0" applyFont="1" applyFill="1" applyBorder="1" applyAlignment="1">
      <alignment horizontal="left" vertical="center" indent="2"/>
    </xf>
    <xf numFmtId="9" fontId="8" fillId="0" borderId="10" xfId="0" applyNumberFormat="1" applyFont="1" applyFill="1" applyBorder="1" applyAlignment="1" applyProtection="1">
      <alignment horizontal="left" vertical="center" indent="1"/>
    </xf>
    <xf numFmtId="164" fontId="8" fillId="0" borderId="68" xfId="0" applyFont="1" applyFill="1" applyBorder="1" applyAlignment="1">
      <alignment horizontal="left" vertical="center" indent="1"/>
    </xf>
    <xf numFmtId="7" fontId="4" fillId="0" borderId="60" xfId="0" applyNumberFormat="1" applyFont="1" applyFill="1" applyBorder="1" applyAlignment="1" applyProtection="1">
      <alignment horizontal="right" vertical="center"/>
    </xf>
    <xf numFmtId="7" fontId="33" fillId="0" borderId="71" xfId="0" applyNumberFormat="1" applyFont="1" applyFill="1" applyBorder="1" applyAlignment="1" applyProtection="1">
      <alignment horizontal="right" vertical="center"/>
    </xf>
    <xf numFmtId="164" fontId="35" fillId="0" borderId="0" xfId="0" applyFont="1" applyAlignment="1">
      <alignment vertical="center"/>
    </xf>
    <xf numFmtId="164" fontId="23" fillId="0" borderId="0" xfId="0" applyFont="1"/>
    <xf numFmtId="5" fontId="13" fillId="0" borderId="5" xfId="0" applyNumberFormat="1" applyFont="1" applyBorder="1" applyAlignment="1">
      <alignment horizontal="left" vertical="center"/>
    </xf>
    <xf numFmtId="5" fontId="13" fillId="0" borderId="5" xfId="0" applyNumberFormat="1" applyFont="1" applyFill="1" applyBorder="1" applyAlignment="1">
      <alignment horizontal="left" vertical="center"/>
    </xf>
    <xf numFmtId="7" fontId="13" fillId="0" borderId="5" xfId="0" applyNumberFormat="1" applyFont="1" applyBorder="1" applyAlignment="1">
      <alignment horizontal="left" vertical="center"/>
    </xf>
    <xf numFmtId="5" fontId="12" fillId="0" borderId="9" xfId="0" applyNumberFormat="1" applyFont="1" applyFill="1" applyBorder="1" applyAlignment="1">
      <alignment horizontal="left" vertical="center"/>
    </xf>
    <xf numFmtId="164" fontId="4" fillId="0" borderId="0" xfId="0" applyFont="1" applyBorder="1" applyAlignment="1">
      <alignment wrapText="1"/>
    </xf>
    <xf numFmtId="164" fontId="5" fillId="0" borderId="0" xfId="0" applyFont="1" applyFill="1"/>
    <xf numFmtId="164" fontId="52" fillId="0" borderId="0" xfId="0" applyFont="1"/>
    <xf numFmtId="164" fontId="53" fillId="0" borderId="0" xfId="0" applyFont="1"/>
    <xf numFmtId="164" fontId="8" fillId="0" borderId="8" xfId="0" applyFont="1" applyFill="1" applyBorder="1" applyAlignment="1" applyProtection="1">
      <alignment horizontal="left" vertical="center" indent="2"/>
    </xf>
    <xf numFmtId="0" fontId="8" fillId="0" borderId="3" xfId="1" applyNumberFormat="1" applyFont="1" applyFill="1" applyBorder="1" applyAlignment="1" applyProtection="1">
      <alignment horizontal="center" vertical="center"/>
      <protection locked="0"/>
    </xf>
    <xf numFmtId="1" fontId="8" fillId="0" borderId="3" xfId="0" applyNumberFormat="1" applyFont="1" applyFill="1" applyBorder="1" applyAlignment="1" applyProtection="1">
      <alignment horizontal="center" vertical="center"/>
      <protection locked="0"/>
    </xf>
    <xf numFmtId="164" fontId="4" fillId="0" borderId="8" xfId="0" applyFont="1" applyFill="1" applyBorder="1" applyAlignment="1" applyProtection="1">
      <alignment horizontal="left" vertical="center" indent="2"/>
    </xf>
    <xf numFmtId="175" fontId="8" fillId="0" borderId="3" xfId="0" applyNumberFormat="1" applyFont="1" applyFill="1" applyBorder="1" applyAlignment="1" applyProtection="1">
      <alignment horizontal="center" vertical="center"/>
      <protection locked="0"/>
    </xf>
    <xf numFmtId="164" fontId="4" fillId="0" borderId="36" xfId="0" applyFont="1" applyFill="1" applyBorder="1" applyAlignment="1" applyProtection="1">
      <alignment horizontal="center" vertical="center"/>
      <protection locked="0"/>
    </xf>
    <xf numFmtId="164" fontId="8" fillId="0" borderId="31" xfId="0" applyFont="1" applyFill="1" applyBorder="1" applyAlignment="1" applyProtection="1">
      <alignment horizontal="center" vertical="center"/>
    </xf>
    <xf numFmtId="164" fontId="8" fillId="0" borderId="32" xfId="0" applyFont="1" applyFill="1" applyBorder="1" applyAlignment="1" applyProtection="1">
      <alignment horizontal="center" vertical="center"/>
      <protection locked="0"/>
    </xf>
    <xf numFmtId="164" fontId="8" fillId="0" borderId="38" xfId="0" applyFont="1" applyFill="1" applyBorder="1" applyAlignment="1" applyProtection="1">
      <alignment horizontal="center" vertical="center"/>
    </xf>
    <xf numFmtId="164" fontId="8" fillId="0" borderId="22" xfId="0" applyFont="1" applyFill="1" applyBorder="1" applyAlignment="1" applyProtection="1">
      <alignment horizontal="center" vertical="center"/>
      <protection locked="0"/>
    </xf>
    <xf numFmtId="166" fontId="8" fillId="0" borderId="42" xfId="0" applyNumberFormat="1" applyFont="1" applyFill="1" applyBorder="1" applyAlignment="1" applyProtection="1">
      <alignment horizontal="center" vertical="center"/>
      <protection locked="0"/>
    </xf>
    <xf numFmtId="164" fontId="34" fillId="0" borderId="51" xfId="0" applyFont="1" applyFill="1" applyBorder="1"/>
    <xf numFmtId="164" fontId="34" fillId="0" borderId="16" xfId="0" applyFont="1" applyFill="1" applyBorder="1"/>
    <xf numFmtId="164" fontId="34" fillId="0" borderId="15" xfId="0" applyFont="1" applyFill="1" applyBorder="1"/>
    <xf numFmtId="164" fontId="35" fillId="0" borderId="0" xfId="0" applyFont="1" applyFill="1" applyAlignment="1">
      <alignment vertical="center"/>
    </xf>
    <xf numFmtId="164" fontId="23" fillId="0" borderId="0" xfId="0" applyFont="1" applyFill="1"/>
    <xf numFmtId="1" fontId="13" fillId="0" borderId="7" xfId="0" applyNumberFormat="1" applyFont="1" applyFill="1" applyBorder="1" applyAlignment="1" applyProtection="1">
      <alignment horizontal="center" vertical="center"/>
    </xf>
    <xf numFmtId="164" fontId="44" fillId="0" borderId="0" xfId="0" applyFont="1" applyFill="1"/>
    <xf numFmtId="164" fontId="43" fillId="0" borderId="0" xfId="0" applyFont="1" applyFill="1"/>
    <xf numFmtId="164" fontId="4" fillId="0" borderId="16" xfId="0" applyFont="1" applyFill="1" applyBorder="1"/>
    <xf numFmtId="164" fontId="56" fillId="0" borderId="0" xfId="0" applyFont="1" applyFill="1"/>
    <xf numFmtId="164" fontId="52" fillId="0" borderId="0" xfId="0" applyFont="1" applyFill="1" applyAlignment="1">
      <alignment horizontal="left"/>
    </xf>
    <xf numFmtId="164" fontId="54" fillId="0" borderId="0" xfId="0" applyFont="1" applyFill="1"/>
    <xf numFmtId="164" fontId="35" fillId="0" borderId="0" xfId="0" applyFont="1" applyAlignment="1">
      <alignment horizontal="left" vertical="center" wrapText="1"/>
    </xf>
    <xf numFmtId="164" fontId="35" fillId="0" borderId="0" xfId="0" applyFont="1" applyFill="1" applyAlignment="1">
      <alignment horizontal="left" vertical="center"/>
    </xf>
    <xf numFmtId="164" fontId="35" fillId="0" borderId="0" xfId="0" applyFont="1" applyFill="1" applyAlignment="1">
      <alignment vertical="center" wrapText="1"/>
    </xf>
    <xf numFmtId="164" fontId="4" fillId="0" borderId="0" xfId="0" applyFont="1" applyFill="1" applyAlignment="1">
      <alignment horizontal="left" wrapText="1"/>
    </xf>
    <xf numFmtId="164" fontId="35" fillId="0" borderId="0" xfId="0" applyFont="1" applyFill="1" applyAlignment="1">
      <alignment vertical="center"/>
    </xf>
    <xf numFmtId="164" fontId="4" fillId="0" borderId="6" xfId="0" applyFont="1" applyFill="1" applyBorder="1" applyAlignment="1">
      <alignment horizontal="center" vertical="center" wrapText="1"/>
    </xf>
    <xf numFmtId="164" fontId="8" fillId="0" borderId="4" xfId="0" applyFont="1" applyFill="1" applyBorder="1" applyAlignment="1">
      <alignment horizontal="center" vertical="center" wrapText="1"/>
    </xf>
    <xf numFmtId="164" fontId="8" fillId="0" borderId="6" xfId="0" applyFont="1" applyFill="1" applyBorder="1" applyAlignment="1">
      <alignment horizontal="center" vertical="center" wrapText="1"/>
    </xf>
    <xf numFmtId="164" fontId="35" fillId="0" borderId="72" xfId="0" applyFont="1" applyFill="1" applyBorder="1" applyAlignment="1">
      <alignment vertical="center" wrapText="1"/>
    </xf>
    <xf numFmtId="164" fontId="35" fillId="0" borderId="0" xfId="0" applyFont="1" applyAlignment="1">
      <alignment vertical="center" wrapText="1"/>
    </xf>
    <xf numFmtId="164" fontId="7" fillId="0" borderId="57" xfId="0" applyFont="1" applyFill="1" applyBorder="1" applyAlignment="1" applyProtection="1">
      <alignment horizontal="center" vertical="center"/>
    </xf>
    <xf numFmtId="164" fontId="7" fillId="0" borderId="59" xfId="0" applyFont="1" applyFill="1" applyBorder="1" applyAlignment="1" applyProtection="1">
      <alignment horizontal="center" vertical="center"/>
    </xf>
    <xf numFmtId="164" fontId="7" fillId="0" borderId="61" xfId="0" applyFont="1" applyFill="1" applyBorder="1" applyAlignment="1" applyProtection="1">
      <alignment horizontal="center" vertical="center"/>
    </xf>
    <xf numFmtId="164" fontId="7" fillId="0" borderId="55" xfId="0" applyFont="1" applyFill="1" applyBorder="1" applyAlignment="1">
      <alignment horizontal="left" vertical="center"/>
    </xf>
    <xf numFmtId="3" fontId="33" fillId="0" borderId="17" xfId="0" applyNumberFormat="1" applyFont="1" applyFill="1" applyBorder="1" applyAlignment="1" applyProtection="1">
      <alignment horizontal="center" vertical="center"/>
    </xf>
    <xf numFmtId="3" fontId="33" fillId="0" borderId="6" xfId="0" applyNumberFormat="1" applyFont="1" applyFill="1" applyBorder="1" applyAlignment="1" applyProtection="1">
      <alignment horizontal="center" vertical="center"/>
    </xf>
    <xf numFmtId="3" fontId="33" fillId="0" borderId="4" xfId="0" applyNumberFormat="1" applyFont="1" applyFill="1" applyBorder="1" applyAlignment="1" applyProtection="1">
      <alignment horizontal="center" vertical="center"/>
    </xf>
    <xf numFmtId="3" fontId="33" fillId="0" borderId="34" xfId="0" applyNumberFormat="1" applyFont="1" applyFill="1" applyBorder="1" applyAlignment="1">
      <alignment horizontal="center"/>
    </xf>
    <xf numFmtId="3" fontId="33" fillId="0" borderId="13" xfId="0" applyNumberFormat="1" applyFont="1" applyFill="1" applyBorder="1" applyAlignment="1">
      <alignment horizontal="center"/>
    </xf>
    <xf numFmtId="3" fontId="33" fillId="0" borderId="52" xfId="0" applyNumberFormat="1" applyFont="1" applyFill="1" applyBorder="1" applyAlignment="1">
      <alignment horizontal="center"/>
    </xf>
    <xf numFmtId="3" fontId="7" fillId="0" borderId="53" xfId="0" applyNumberFormat="1" applyFont="1" applyFill="1" applyBorder="1" applyAlignment="1">
      <alignment horizontal="center" vertical="center"/>
    </xf>
    <xf numFmtId="164" fontId="4" fillId="0" borderId="0" xfId="0" applyFont="1" applyFill="1" applyAlignment="1">
      <alignment horizontal="left"/>
    </xf>
    <xf numFmtId="164" fontId="35" fillId="0" borderId="0" xfId="0" applyFont="1" applyAlignment="1">
      <alignment horizontal="left" vertical="center"/>
    </xf>
    <xf numFmtId="0" fontId="2" fillId="0" borderId="17" xfId="7" applyBorder="1" applyAlignment="1">
      <alignment horizontal="center"/>
    </xf>
    <xf numFmtId="0" fontId="2" fillId="0" borderId="6" xfId="7" applyBorder="1" applyAlignment="1">
      <alignment horizontal="center"/>
    </xf>
    <xf numFmtId="0" fontId="2" fillId="0" borderId="4" xfId="7" applyBorder="1" applyAlignment="1">
      <alignment horizontal="center"/>
    </xf>
    <xf numFmtId="0" fontId="2" fillId="0" borderId="42" xfId="7" applyBorder="1" applyAlignment="1">
      <alignment horizontal="center" vertical="center" wrapText="1"/>
    </xf>
    <xf numFmtId="0" fontId="2" fillId="0" borderId="7" xfId="7" applyBorder="1" applyAlignment="1">
      <alignment horizontal="center" vertical="center" wrapText="1"/>
    </xf>
    <xf numFmtId="0" fontId="2" fillId="0" borderId="17" xfId="7" applyBorder="1" applyAlignment="1">
      <alignment horizontal="center" vertical="center"/>
    </xf>
    <xf numFmtId="0" fontId="2" fillId="0" borderId="6" xfId="7" applyBorder="1" applyAlignment="1">
      <alignment horizontal="center" vertical="center"/>
    </xf>
    <xf numFmtId="0" fontId="2" fillId="0" borderId="4" xfId="7" applyBorder="1" applyAlignment="1">
      <alignment horizontal="center" vertical="center"/>
    </xf>
    <xf numFmtId="164" fontId="4" fillId="0" borderId="0" xfId="0" applyFont="1" applyFill="1" applyBorder="1" applyAlignment="1">
      <alignment horizontal="left" wrapText="1"/>
    </xf>
    <xf numFmtId="164" fontId="13" fillId="0" borderId="3" xfId="0" applyFont="1" applyBorder="1" applyAlignment="1">
      <alignment horizontal="center" vertical="center" wrapText="1"/>
    </xf>
    <xf numFmtId="164" fontId="13" fillId="0" borderId="5" xfId="0" applyFont="1" applyBorder="1" applyAlignment="1">
      <alignment horizontal="center" vertical="center" wrapText="1"/>
    </xf>
    <xf numFmtId="1" fontId="12" fillId="0" borderId="24" xfId="0" applyNumberFormat="1" applyFont="1" applyFill="1" applyBorder="1" applyAlignment="1" applyProtection="1">
      <alignment horizontal="center" vertical="center"/>
    </xf>
    <xf numFmtId="1" fontId="12" fillId="0" borderId="14" xfId="0" applyNumberFormat="1" applyFont="1" applyFill="1" applyBorder="1" applyAlignment="1" applyProtection="1">
      <alignment horizontal="center" vertical="center"/>
    </xf>
    <xf numFmtId="1" fontId="12" fillId="0" borderId="44" xfId="0" applyNumberFormat="1" applyFont="1" applyFill="1" applyBorder="1" applyAlignment="1" applyProtection="1">
      <alignment horizontal="center" vertical="center"/>
    </xf>
    <xf numFmtId="0" fontId="13" fillId="0" borderId="3" xfId="0" applyNumberFormat="1" applyFont="1" applyFill="1" applyBorder="1" applyAlignment="1" applyProtection="1">
      <alignment horizontal="center" vertical="center"/>
      <protection locked="0"/>
    </xf>
    <xf numFmtId="0" fontId="13" fillId="0" borderId="5" xfId="0" applyNumberFormat="1" applyFont="1" applyFill="1" applyBorder="1" applyAlignment="1" applyProtection="1">
      <alignment horizontal="center" vertical="center"/>
      <protection locked="0"/>
    </xf>
    <xf numFmtId="164" fontId="4" fillId="0" borderId="72" xfId="0" applyFont="1" applyFill="1" applyBorder="1" applyAlignment="1">
      <alignment horizontal="left"/>
    </xf>
    <xf numFmtId="0" fontId="4" fillId="0" borderId="0" xfId="0" applyNumberFormat="1" applyFont="1" applyAlignment="1">
      <alignment horizontal="left" wrapText="1"/>
    </xf>
    <xf numFmtId="0" fontId="16" fillId="0" borderId="0" xfId="0" applyNumberFormat="1" applyFont="1" applyAlignment="1">
      <alignment horizontal="left" wrapText="1"/>
    </xf>
    <xf numFmtId="0" fontId="3" fillId="0" borderId="0" xfId="6" applyAlignment="1">
      <alignment horizontal="left" vertical="top" wrapText="1"/>
    </xf>
    <xf numFmtId="0" fontId="5" fillId="0" borderId="3" xfId="0" applyNumberFormat="1" applyFont="1" applyBorder="1" applyAlignment="1">
      <alignment horizontal="center" vertical="center"/>
    </xf>
    <xf numFmtId="164" fontId="47" fillId="0" borderId="0" xfId="0" applyFont="1" applyFill="1" applyAlignment="1">
      <alignment horizontal="left" wrapText="1"/>
    </xf>
    <xf numFmtId="164" fontId="47" fillId="0" borderId="0" xfId="0" applyFont="1" applyFill="1" applyAlignment="1">
      <alignment horizontal="left"/>
    </xf>
    <xf numFmtId="164" fontId="39" fillId="0" borderId="45" xfId="0" applyFont="1" applyFill="1" applyBorder="1" applyAlignment="1">
      <alignment vertical="top" wrapText="1"/>
    </xf>
    <xf numFmtId="164" fontId="39" fillId="0" borderId="46" xfId="0" applyFont="1" applyFill="1" applyBorder="1" applyAlignment="1">
      <alignment vertical="top" wrapText="1"/>
    </xf>
    <xf numFmtId="164" fontId="39" fillId="0" borderId="47" xfId="0" applyFont="1" applyFill="1" applyBorder="1" applyAlignment="1">
      <alignment vertical="top" wrapText="1"/>
    </xf>
    <xf numFmtId="164" fontId="40" fillId="0" borderId="3" xfId="0" applyFont="1" applyFill="1" applyBorder="1" applyAlignment="1">
      <alignment horizontal="center" vertical="top" wrapText="1"/>
    </xf>
    <xf numFmtId="164" fontId="42" fillId="0" borderId="3" xfId="0" applyFont="1" applyFill="1" applyBorder="1" applyAlignment="1">
      <alignment horizontal="center" vertical="top" wrapText="1"/>
    </xf>
    <xf numFmtId="164" fontId="41" fillId="0" borderId="3" xfId="0" applyFont="1" applyFill="1" applyBorder="1" applyAlignment="1">
      <alignment horizontal="left" vertical="center" wrapText="1"/>
    </xf>
    <xf numFmtId="167" fontId="41" fillId="0" borderId="3" xfId="0" applyNumberFormat="1" applyFont="1" applyFill="1" applyBorder="1" applyAlignment="1">
      <alignment horizontal="right" vertical="center" wrapText="1"/>
    </xf>
    <xf numFmtId="164" fontId="41" fillId="0" borderId="3" xfId="0" applyFont="1" applyFill="1" applyBorder="1" applyAlignment="1">
      <alignment horizontal="right" vertical="center" wrapText="1"/>
    </xf>
    <xf numFmtId="167" fontId="41" fillId="0" borderId="42" xfId="0" applyNumberFormat="1" applyFont="1" applyFill="1" applyBorder="1" applyAlignment="1">
      <alignment horizontal="right" vertical="center" wrapText="1"/>
    </xf>
    <xf numFmtId="167" fontId="41" fillId="0" borderId="7" xfId="0" applyNumberFormat="1" applyFont="1" applyFill="1" applyBorder="1" applyAlignment="1">
      <alignment horizontal="right" vertical="center" wrapText="1"/>
    </xf>
  </cellXfs>
  <cellStyles count="9">
    <cellStyle name="Comma" xfId="1" builtinId="3"/>
    <cellStyle name="Currency" xfId="2" builtinId="4"/>
    <cellStyle name="Normal" xfId="0" builtinId="0"/>
    <cellStyle name="Normal 2" xfId="6" xr:uid="{00000000-0005-0000-0000-000003000000}"/>
    <cellStyle name="Normal 3" xfId="7" xr:uid="{00000000-0005-0000-0000-000004000000}"/>
    <cellStyle name="Normal 4" xfId="8" xr:uid="{00000000-0005-0000-0000-000005000000}"/>
    <cellStyle name="Normal_Cost Analysis - Testing and Monitoring - 20101104 (QA 20101110)" xfId="3" xr:uid="{00000000-0005-0000-0000-000006000000}"/>
    <cellStyle name="Normal_ICR Cost Inputs" xfId="4" xr:uid="{00000000-0005-0000-0000-000007000000}"/>
    <cellStyle name="Normal_Sheet1" xfId="5"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R90"/>
  <sheetViews>
    <sheetView showGridLines="0" tabSelected="1" zoomScale="95" zoomScaleNormal="95" zoomScaleSheetLayoutView="85" workbookViewId="0">
      <pane ySplit="8" topLeftCell="A9" activePane="bottomLeft" state="frozenSplit"/>
      <selection activeCell="D2" sqref="D2"/>
      <selection pane="bottomLeft" activeCell="A3" sqref="A3:A8"/>
    </sheetView>
  </sheetViews>
  <sheetFormatPr defaultColWidth="9.77734375" defaultRowHeight="10" x14ac:dyDescent="0.2"/>
  <cols>
    <col min="1" max="1" width="65.44140625" style="1" customWidth="1"/>
    <col min="2" max="2" width="12.33203125" style="34" customWidth="1"/>
    <col min="3" max="3" width="11.77734375" style="34" bestFit="1" customWidth="1"/>
    <col min="4" max="4" width="12.109375" style="34" customWidth="1"/>
    <col min="5" max="5" width="11.77734375" style="34" bestFit="1" customWidth="1"/>
    <col min="6" max="6" width="8.77734375" style="34" bestFit="1" customWidth="1"/>
    <col min="7" max="7" width="11.33203125" style="34" bestFit="1" customWidth="1"/>
    <col min="8" max="8" width="8.6640625" style="34" bestFit="1" customWidth="1"/>
    <col min="9" max="9" width="23.33203125" style="34" customWidth="1"/>
    <col min="10" max="10" width="37.44140625" style="199" hidden="1" customWidth="1"/>
    <col min="11" max="11" width="9.109375" style="1" customWidth="1"/>
    <col min="12" max="12" width="11.77734375" style="1" bestFit="1" customWidth="1"/>
    <col min="13" max="16384" width="9.77734375" style="1"/>
  </cols>
  <sheetData>
    <row r="1" spans="1:13" ht="31.5" customHeight="1" x14ac:dyDescent="0.35">
      <c r="F1" s="180">
        <v>122.2</v>
      </c>
      <c r="G1" s="180">
        <v>153.55000000000001</v>
      </c>
      <c r="H1" s="180">
        <v>61.51</v>
      </c>
      <c r="I1" s="181" t="s">
        <v>168</v>
      </c>
    </row>
    <row r="2" spans="1:13" ht="16" thickBot="1" x14ac:dyDescent="0.4">
      <c r="A2" s="286" t="s">
        <v>312</v>
      </c>
      <c r="B2" s="179"/>
      <c r="C2" s="179"/>
      <c r="D2" s="179"/>
      <c r="E2" s="179"/>
      <c r="J2" s="198"/>
    </row>
    <row r="3" spans="1:13" x14ac:dyDescent="0.2">
      <c r="A3" s="322" t="s">
        <v>12</v>
      </c>
      <c r="B3" s="3" t="s">
        <v>17</v>
      </c>
      <c r="C3" s="149" t="s">
        <v>0</v>
      </c>
      <c r="D3" s="149" t="s">
        <v>1</v>
      </c>
      <c r="E3" s="150" t="s">
        <v>2</v>
      </c>
      <c r="F3" s="150" t="s">
        <v>3</v>
      </c>
      <c r="G3" s="150" t="s">
        <v>4</v>
      </c>
      <c r="H3" s="151" t="s">
        <v>18</v>
      </c>
      <c r="I3" s="247" t="s">
        <v>114</v>
      </c>
      <c r="J3" s="317" t="s">
        <v>287</v>
      </c>
      <c r="K3" s="241"/>
    </row>
    <row r="4" spans="1:13" x14ac:dyDescent="0.2">
      <c r="A4" s="323"/>
      <c r="B4" s="4" t="s">
        <v>24</v>
      </c>
      <c r="C4" s="5" t="s">
        <v>19</v>
      </c>
      <c r="D4" s="5" t="s">
        <v>8</v>
      </c>
      <c r="E4" s="4" t="s">
        <v>19</v>
      </c>
      <c r="F4" s="4" t="s">
        <v>20</v>
      </c>
      <c r="G4" s="4" t="s">
        <v>5</v>
      </c>
      <c r="H4" s="6" t="s">
        <v>6</v>
      </c>
      <c r="I4" s="243" t="s">
        <v>21</v>
      </c>
      <c r="J4" s="318"/>
    </row>
    <row r="5" spans="1:13" x14ac:dyDescent="0.2">
      <c r="A5" s="323"/>
      <c r="B5" s="4" t="s">
        <v>29</v>
      </c>
      <c r="C5" s="5" t="s">
        <v>7</v>
      </c>
      <c r="D5" s="5" t="s">
        <v>9</v>
      </c>
      <c r="E5" s="4" t="s">
        <v>22</v>
      </c>
      <c r="F5" s="4" t="s">
        <v>8</v>
      </c>
      <c r="G5" s="4" t="s">
        <v>8</v>
      </c>
      <c r="H5" s="6" t="s">
        <v>8</v>
      </c>
      <c r="I5" s="248" t="s">
        <v>23</v>
      </c>
      <c r="J5" s="319"/>
      <c r="K5" s="241"/>
    </row>
    <row r="6" spans="1:13" ht="12" x14ac:dyDescent="0.2">
      <c r="A6" s="323"/>
      <c r="B6" s="4" t="s">
        <v>11</v>
      </c>
      <c r="C6" s="5" t="s">
        <v>9</v>
      </c>
      <c r="D6" s="5" t="s">
        <v>24</v>
      </c>
      <c r="E6" s="227" t="s">
        <v>244</v>
      </c>
      <c r="F6" s="4" t="s">
        <v>10</v>
      </c>
      <c r="G6" s="4" t="s">
        <v>10</v>
      </c>
      <c r="H6" s="6" t="s">
        <v>10</v>
      </c>
      <c r="I6" s="248" t="s">
        <v>243</v>
      </c>
      <c r="J6" s="319"/>
      <c r="K6" s="241"/>
    </row>
    <row r="7" spans="1:13" x14ac:dyDescent="0.2">
      <c r="A7" s="323"/>
      <c r="B7" s="4"/>
      <c r="C7" s="5" t="s">
        <v>24</v>
      </c>
      <c r="D7" s="5" t="s">
        <v>10</v>
      </c>
      <c r="E7" s="51"/>
      <c r="F7" s="7"/>
      <c r="G7" s="7"/>
      <c r="H7" s="8"/>
      <c r="I7" s="249"/>
      <c r="J7" s="319"/>
      <c r="K7" s="241"/>
    </row>
    <row r="8" spans="1:13" ht="10.5" thickBot="1" x14ac:dyDescent="0.25">
      <c r="A8" s="324"/>
      <c r="B8" s="9"/>
      <c r="C8" s="10" t="s">
        <v>10</v>
      </c>
      <c r="D8" s="153" t="s">
        <v>167</v>
      </c>
      <c r="E8" s="9"/>
      <c r="F8" s="152" t="s">
        <v>297</v>
      </c>
      <c r="G8" s="152" t="s">
        <v>295</v>
      </c>
      <c r="H8" s="154" t="s">
        <v>296</v>
      </c>
      <c r="I8" s="250"/>
      <c r="J8" s="319"/>
      <c r="K8" s="241"/>
    </row>
    <row r="9" spans="1:13" x14ac:dyDescent="0.2">
      <c r="A9" s="251" t="s">
        <v>214</v>
      </c>
      <c r="B9" s="11" t="s">
        <v>41</v>
      </c>
      <c r="C9" s="12"/>
      <c r="D9" s="13">
        <f>B9*$C9</f>
        <v>0</v>
      </c>
      <c r="E9" s="14">
        <v>55</v>
      </c>
      <c r="F9" s="15"/>
      <c r="G9" s="15"/>
      <c r="H9" s="16"/>
      <c r="I9" s="252">
        <f>F9*33+G9*49+H9*15</f>
        <v>0</v>
      </c>
      <c r="J9" s="244"/>
      <c r="K9" s="241"/>
    </row>
    <row r="10" spans="1:13" x14ac:dyDescent="0.2">
      <c r="A10" s="253" t="s">
        <v>215</v>
      </c>
      <c r="B10" s="37" t="s">
        <v>41</v>
      </c>
      <c r="C10" s="18"/>
      <c r="D10" s="19">
        <f>B10*$C10</f>
        <v>0</v>
      </c>
      <c r="E10" s="38"/>
      <c r="F10" s="39"/>
      <c r="G10" s="39"/>
      <c r="H10" s="40">
        <f t="shared" ref="H10:H22" si="0">F10*0.1</f>
        <v>0</v>
      </c>
      <c r="I10" s="254">
        <f>F10*33+G10*49+H10*15</f>
        <v>0</v>
      </c>
      <c r="J10" s="244"/>
      <c r="K10" s="241"/>
    </row>
    <row r="11" spans="1:13" ht="20.149999999999999" customHeight="1" x14ac:dyDescent="0.2">
      <c r="A11" s="255" t="s">
        <v>216</v>
      </c>
      <c r="B11" s="42"/>
      <c r="C11" s="35"/>
      <c r="D11" s="43">
        <f>B11*$C11</f>
        <v>0</v>
      </c>
      <c r="E11" s="44"/>
      <c r="F11" s="43">
        <f>D11*E11</f>
        <v>0</v>
      </c>
      <c r="G11" s="43">
        <f>F11*0.05</f>
        <v>0</v>
      </c>
      <c r="H11" s="43">
        <f t="shared" si="0"/>
        <v>0</v>
      </c>
      <c r="I11" s="256">
        <f>F11*33+G11*49+H11*15</f>
        <v>0</v>
      </c>
      <c r="J11" s="244"/>
      <c r="K11" s="241"/>
    </row>
    <row r="12" spans="1:13" ht="10.5" customHeight="1" x14ac:dyDescent="0.2">
      <c r="A12" s="257" t="s">
        <v>238</v>
      </c>
      <c r="B12" s="2"/>
      <c r="C12" s="2"/>
      <c r="D12" s="2"/>
      <c r="E12" s="2"/>
      <c r="F12" s="2"/>
      <c r="G12" s="2"/>
      <c r="H12" s="2"/>
      <c r="I12" s="258"/>
      <c r="J12" s="1"/>
      <c r="K12" s="241"/>
    </row>
    <row r="13" spans="1:13" ht="13" customHeight="1" x14ac:dyDescent="0.2">
      <c r="A13" s="259" t="s">
        <v>274</v>
      </c>
      <c r="B13" s="42">
        <f>2*4*40</f>
        <v>320</v>
      </c>
      <c r="C13" s="41">
        <v>1</v>
      </c>
      <c r="D13" s="41">
        <f>B13*$C13</f>
        <v>320</v>
      </c>
      <c r="E13" s="45">
        <v>0</v>
      </c>
      <c r="F13" s="46">
        <f>D13*E13</f>
        <v>0</v>
      </c>
      <c r="G13" s="46">
        <f>F13*0.05</f>
        <v>0</v>
      </c>
      <c r="H13" s="46">
        <f>F13*0.1</f>
        <v>0</v>
      </c>
      <c r="I13" s="260">
        <f>F13*$F$1+G13*$G$1+H13*$H$1</f>
        <v>0</v>
      </c>
      <c r="J13" s="245" t="s">
        <v>190</v>
      </c>
      <c r="K13" s="241"/>
    </row>
    <row r="14" spans="1:13" ht="13" customHeight="1" x14ac:dyDescent="0.25">
      <c r="A14" s="259" t="s">
        <v>275</v>
      </c>
      <c r="B14" s="42">
        <v>8</v>
      </c>
      <c r="C14" s="41">
        <v>1</v>
      </c>
      <c r="D14" s="41">
        <f>B14*$C14</f>
        <v>8</v>
      </c>
      <c r="E14" s="45">
        <v>3</v>
      </c>
      <c r="F14" s="46">
        <f>D14*E14</f>
        <v>24</v>
      </c>
      <c r="G14" s="222">
        <f>F14*0.05</f>
        <v>1.2000000000000002</v>
      </c>
      <c r="H14" s="222">
        <f>F14*0.1</f>
        <v>2.4000000000000004</v>
      </c>
      <c r="I14" s="261">
        <f>F14*$F$1+G14*$G$1+H14*$H$1</f>
        <v>3264.6840000000002</v>
      </c>
      <c r="J14" s="245" t="s">
        <v>236</v>
      </c>
      <c r="K14" s="287"/>
    </row>
    <row r="15" spans="1:13" ht="13" customHeight="1" x14ac:dyDescent="0.2">
      <c r="A15" s="257" t="s">
        <v>217</v>
      </c>
      <c r="B15" s="42"/>
      <c r="C15" s="35"/>
      <c r="D15" s="35"/>
      <c r="E15" s="45"/>
      <c r="F15" s="43">
        <f>D15*E15</f>
        <v>0</v>
      </c>
      <c r="G15" s="43">
        <f>F15*0.05</f>
        <v>0</v>
      </c>
      <c r="H15" s="43">
        <f t="shared" si="0"/>
        <v>0</v>
      </c>
      <c r="I15" s="260"/>
      <c r="J15" s="244"/>
      <c r="K15" s="241"/>
      <c r="M15" s="20"/>
    </row>
    <row r="16" spans="1:13" ht="13" customHeight="1" x14ac:dyDescent="0.2">
      <c r="A16" s="289" t="s">
        <v>74</v>
      </c>
      <c r="B16" s="42"/>
      <c r="C16" s="35"/>
      <c r="D16" s="35"/>
      <c r="E16" s="45"/>
      <c r="F16" s="43">
        <f>D16*E16</f>
        <v>0</v>
      </c>
      <c r="G16" s="43">
        <f>F16*0.05</f>
        <v>0</v>
      </c>
      <c r="H16" s="43">
        <f t="shared" si="0"/>
        <v>0</v>
      </c>
      <c r="I16" s="260"/>
      <c r="J16" s="244"/>
      <c r="K16" s="241"/>
      <c r="M16" s="21"/>
    </row>
    <row r="17" spans="1:13" ht="13" customHeight="1" x14ac:dyDescent="0.2">
      <c r="A17" s="262" t="s">
        <v>245</v>
      </c>
      <c r="B17" s="42">
        <v>120</v>
      </c>
      <c r="C17" s="41">
        <v>1</v>
      </c>
      <c r="D17" s="41">
        <f>B17*$C17</f>
        <v>120</v>
      </c>
      <c r="E17" s="47">
        <v>0</v>
      </c>
      <c r="F17" s="46">
        <f>D17*E17</f>
        <v>0</v>
      </c>
      <c r="G17" s="46">
        <f>F17*0.05</f>
        <v>0</v>
      </c>
      <c r="H17" s="46">
        <f t="shared" si="0"/>
        <v>0</v>
      </c>
      <c r="I17" s="260">
        <f t="shared" ref="I17:I22" si="1">F17*$F$1+G17*$G$1+H17*$H$1</f>
        <v>0</v>
      </c>
      <c r="J17" s="245" t="s">
        <v>191</v>
      </c>
      <c r="K17" s="241"/>
      <c r="M17" s="21"/>
    </row>
    <row r="18" spans="1:13" ht="13.5" customHeight="1" x14ac:dyDescent="0.2">
      <c r="A18" s="263" t="s">
        <v>246</v>
      </c>
      <c r="B18" s="42">
        <f>3*3*4</f>
        <v>36</v>
      </c>
      <c r="C18" s="41">
        <v>1</v>
      </c>
      <c r="D18" s="41">
        <f>B18*$C18</f>
        <v>36</v>
      </c>
      <c r="E18" s="45">
        <v>0</v>
      </c>
      <c r="F18" s="46">
        <f t="shared" ref="F18:F29" si="2">D18*E18</f>
        <v>0</v>
      </c>
      <c r="G18" s="46">
        <f t="shared" ref="G18:G29" si="3">F18*0.05</f>
        <v>0</v>
      </c>
      <c r="H18" s="46">
        <f t="shared" si="0"/>
        <v>0</v>
      </c>
      <c r="I18" s="260">
        <f t="shared" si="1"/>
        <v>0</v>
      </c>
      <c r="J18" s="245" t="s">
        <v>194</v>
      </c>
      <c r="K18" s="241"/>
      <c r="M18" s="21"/>
    </row>
    <row r="19" spans="1:13" ht="13.5" customHeight="1" x14ac:dyDescent="0.2">
      <c r="A19" s="263" t="s">
        <v>247</v>
      </c>
      <c r="B19" s="42">
        <f>4*2</f>
        <v>8</v>
      </c>
      <c r="C19" s="41">
        <v>1</v>
      </c>
      <c r="D19" s="41">
        <f>B19*$C19</f>
        <v>8</v>
      </c>
      <c r="E19" s="45">
        <v>0</v>
      </c>
      <c r="F19" s="46">
        <f t="shared" si="2"/>
        <v>0</v>
      </c>
      <c r="G19" s="46">
        <f t="shared" si="3"/>
        <v>0</v>
      </c>
      <c r="H19" s="46">
        <f t="shared" si="0"/>
        <v>0</v>
      </c>
      <c r="I19" s="260">
        <f t="shared" si="1"/>
        <v>0</v>
      </c>
      <c r="J19" s="245" t="s">
        <v>196</v>
      </c>
      <c r="K19" s="241"/>
      <c r="M19" s="21"/>
    </row>
    <row r="20" spans="1:13" ht="11.15" customHeight="1" x14ac:dyDescent="0.2">
      <c r="A20" s="263" t="s">
        <v>248</v>
      </c>
      <c r="B20" s="42">
        <f>4*2*5</f>
        <v>40</v>
      </c>
      <c r="C20" s="41">
        <v>1</v>
      </c>
      <c r="D20" s="41">
        <f>B20*C20</f>
        <v>40</v>
      </c>
      <c r="E20" s="45">
        <v>0</v>
      </c>
      <c r="F20" s="46">
        <f>D20*E20</f>
        <v>0</v>
      </c>
      <c r="G20" s="46">
        <f>F20*0.05</f>
        <v>0</v>
      </c>
      <c r="H20" s="46">
        <f t="shared" ref="H20" si="4">F20*0.1</f>
        <v>0</v>
      </c>
      <c r="I20" s="260">
        <f t="shared" si="1"/>
        <v>0</v>
      </c>
      <c r="J20" s="245" t="s">
        <v>198</v>
      </c>
      <c r="K20" s="241"/>
      <c r="M20" s="21"/>
    </row>
    <row r="21" spans="1:13" ht="11.15" customHeight="1" x14ac:dyDescent="0.2">
      <c r="A21" s="263" t="s">
        <v>249</v>
      </c>
      <c r="B21" s="290">
        <f>4*1*2</f>
        <v>8</v>
      </c>
      <c r="C21" s="41">
        <v>1</v>
      </c>
      <c r="D21" s="41">
        <f>B21*$C21</f>
        <v>8</v>
      </c>
      <c r="E21" s="45">
        <v>0</v>
      </c>
      <c r="F21" s="46">
        <f t="shared" si="2"/>
        <v>0</v>
      </c>
      <c r="G21" s="46">
        <f t="shared" si="3"/>
        <v>0</v>
      </c>
      <c r="H21" s="46">
        <f t="shared" si="0"/>
        <v>0</v>
      </c>
      <c r="I21" s="260">
        <f t="shared" si="1"/>
        <v>0</v>
      </c>
      <c r="J21" s="245" t="s">
        <v>200</v>
      </c>
      <c r="K21" s="241"/>
      <c r="M21" s="21"/>
    </row>
    <row r="22" spans="1:13" ht="11.15" customHeight="1" x14ac:dyDescent="0.2">
      <c r="A22" s="263" t="s">
        <v>250</v>
      </c>
      <c r="B22" s="291">
        <v>850</v>
      </c>
      <c r="C22" s="41">
        <v>1</v>
      </c>
      <c r="D22" s="41">
        <f>B22*$C22</f>
        <v>850</v>
      </c>
      <c r="E22" s="45">
        <v>0</v>
      </c>
      <c r="F22" s="46">
        <f t="shared" si="2"/>
        <v>0</v>
      </c>
      <c r="G22" s="46">
        <f t="shared" si="3"/>
        <v>0</v>
      </c>
      <c r="H22" s="46">
        <f t="shared" si="0"/>
        <v>0</v>
      </c>
      <c r="I22" s="260">
        <f t="shared" si="1"/>
        <v>0</v>
      </c>
      <c r="J22" s="245" t="s">
        <v>202</v>
      </c>
      <c r="K22" s="241"/>
      <c r="M22" s="21"/>
    </row>
    <row r="23" spans="1:13" x14ac:dyDescent="0.2">
      <c r="A23" s="292" t="s">
        <v>75</v>
      </c>
      <c r="B23" s="42"/>
      <c r="C23" s="41"/>
      <c r="D23" s="41"/>
      <c r="E23" s="47"/>
      <c r="F23" s="46"/>
      <c r="G23" s="46"/>
      <c r="H23" s="46"/>
      <c r="I23" s="260"/>
      <c r="J23" s="244"/>
      <c r="K23" s="241"/>
      <c r="M23" s="21"/>
    </row>
    <row r="24" spans="1:13" ht="10" customHeight="1" x14ac:dyDescent="0.2">
      <c r="A24" s="262" t="s">
        <v>251</v>
      </c>
      <c r="B24" s="42">
        <v>17.100000000000001</v>
      </c>
      <c r="C24" s="41">
        <v>350</v>
      </c>
      <c r="D24" s="197">
        <f t="shared" ref="D24:D29" si="5">B24*$C24</f>
        <v>5985.0000000000009</v>
      </c>
      <c r="E24" s="47">
        <v>3</v>
      </c>
      <c r="F24" s="46">
        <f t="shared" si="2"/>
        <v>17955.000000000004</v>
      </c>
      <c r="G24" s="186">
        <f t="shared" si="3"/>
        <v>897.75000000000023</v>
      </c>
      <c r="H24" s="186">
        <f t="shared" ref="H24:H29" si="6">F24*0.1</f>
        <v>1795.5000000000005</v>
      </c>
      <c r="I24" s="261">
        <f t="shared" ref="I24:I29" si="7">F24*$F$1+G24*$G$1+H24*$H$1</f>
        <v>2442391.7175000007</v>
      </c>
      <c r="J24" s="245" t="s">
        <v>193</v>
      </c>
      <c r="K24" s="241"/>
      <c r="M24" s="21"/>
    </row>
    <row r="25" spans="1:13" ht="10" customHeight="1" x14ac:dyDescent="0.2">
      <c r="A25" s="263" t="s">
        <v>252</v>
      </c>
      <c r="B25" s="42">
        <f>3*3*4</f>
        <v>36</v>
      </c>
      <c r="C25" s="41">
        <v>362</v>
      </c>
      <c r="D25" s="197">
        <f t="shared" si="5"/>
        <v>13032</v>
      </c>
      <c r="E25" s="47">
        <v>3</v>
      </c>
      <c r="F25" s="46">
        <f t="shared" si="2"/>
        <v>39096</v>
      </c>
      <c r="G25" s="197">
        <f t="shared" si="3"/>
        <v>1954.8000000000002</v>
      </c>
      <c r="H25" s="197">
        <f t="shared" si="6"/>
        <v>3909.6000000000004</v>
      </c>
      <c r="I25" s="261">
        <f t="shared" si="7"/>
        <v>5318170.2360000005</v>
      </c>
      <c r="J25" s="245" t="s">
        <v>195</v>
      </c>
      <c r="K25" s="241"/>
      <c r="M25" s="21"/>
    </row>
    <row r="26" spans="1:13" ht="12" customHeight="1" x14ac:dyDescent="0.2">
      <c r="A26" s="263" t="s">
        <v>253</v>
      </c>
      <c r="B26" s="42">
        <f>4*2</f>
        <v>8</v>
      </c>
      <c r="C26" s="41">
        <v>12</v>
      </c>
      <c r="D26" s="41">
        <f t="shared" si="5"/>
        <v>96</v>
      </c>
      <c r="E26" s="47">
        <v>3</v>
      </c>
      <c r="F26" s="46">
        <f t="shared" si="2"/>
        <v>288</v>
      </c>
      <c r="G26" s="187">
        <f t="shared" si="3"/>
        <v>14.4</v>
      </c>
      <c r="H26" s="187">
        <f t="shared" si="6"/>
        <v>28.8</v>
      </c>
      <c r="I26" s="261">
        <f t="shared" si="7"/>
        <v>39176.207999999999</v>
      </c>
      <c r="J26" s="245" t="s">
        <v>197</v>
      </c>
      <c r="K26" s="241"/>
      <c r="M26" s="21"/>
    </row>
    <row r="27" spans="1:13" ht="12" customHeight="1" x14ac:dyDescent="0.2">
      <c r="A27" s="263" t="s">
        <v>248</v>
      </c>
      <c r="B27" s="42">
        <f>4*2*5</f>
        <v>40</v>
      </c>
      <c r="C27" s="41">
        <v>1</v>
      </c>
      <c r="D27" s="41">
        <f t="shared" si="5"/>
        <v>40</v>
      </c>
      <c r="E27" s="47">
        <v>3</v>
      </c>
      <c r="F27" s="46">
        <f t="shared" si="2"/>
        <v>120</v>
      </c>
      <c r="G27" s="187">
        <f t="shared" si="3"/>
        <v>6</v>
      </c>
      <c r="H27" s="187">
        <f t="shared" si="6"/>
        <v>12</v>
      </c>
      <c r="I27" s="261">
        <f t="shared" si="7"/>
        <v>16323.42</v>
      </c>
      <c r="J27" s="245" t="s">
        <v>199</v>
      </c>
      <c r="K27" s="241"/>
      <c r="M27" s="21"/>
    </row>
    <row r="28" spans="1:13" ht="12" customHeight="1" x14ac:dyDescent="0.2">
      <c r="A28" s="263" t="s">
        <v>249</v>
      </c>
      <c r="B28" s="290">
        <f>4*1*2</f>
        <v>8</v>
      </c>
      <c r="C28" s="41">
        <v>12</v>
      </c>
      <c r="D28" s="41">
        <f t="shared" si="5"/>
        <v>96</v>
      </c>
      <c r="E28" s="47">
        <v>3</v>
      </c>
      <c r="F28" s="46">
        <f>D28*E28</f>
        <v>288</v>
      </c>
      <c r="G28" s="187">
        <f t="shared" si="3"/>
        <v>14.4</v>
      </c>
      <c r="H28" s="187">
        <f t="shared" si="6"/>
        <v>28.8</v>
      </c>
      <c r="I28" s="261">
        <f t="shared" si="7"/>
        <v>39176.207999999999</v>
      </c>
      <c r="J28" s="245" t="s">
        <v>201</v>
      </c>
      <c r="K28" s="241"/>
      <c r="M28" s="21"/>
    </row>
    <row r="29" spans="1:13" ht="12" customHeight="1" x14ac:dyDescent="0.2">
      <c r="A29" s="263" t="s">
        <v>250</v>
      </c>
      <c r="B29" s="146">
        <f>0.05*B22</f>
        <v>42.5</v>
      </c>
      <c r="C29" s="41">
        <v>12</v>
      </c>
      <c r="D29" s="41">
        <f t="shared" si="5"/>
        <v>510</v>
      </c>
      <c r="E29" s="47">
        <v>3</v>
      </c>
      <c r="F29" s="46">
        <f t="shared" si="2"/>
        <v>1530</v>
      </c>
      <c r="G29" s="187">
        <f t="shared" si="3"/>
        <v>76.5</v>
      </c>
      <c r="H29" s="187">
        <f t="shared" si="6"/>
        <v>153</v>
      </c>
      <c r="I29" s="261">
        <f t="shared" si="7"/>
        <v>208123.60500000001</v>
      </c>
      <c r="J29" s="245" t="s">
        <v>203</v>
      </c>
      <c r="K29" s="241"/>
      <c r="M29" s="21"/>
    </row>
    <row r="30" spans="1:13" x14ac:dyDescent="0.2">
      <c r="A30" s="289" t="s">
        <v>73</v>
      </c>
      <c r="B30" s="42"/>
      <c r="C30" s="35"/>
      <c r="D30" s="35"/>
      <c r="E30" s="47"/>
      <c r="F30" s="46"/>
      <c r="G30" s="46"/>
      <c r="H30" s="46"/>
      <c r="I30" s="260"/>
      <c r="J30" s="244"/>
      <c r="K30" s="241"/>
    </row>
    <row r="31" spans="1:13" ht="11.5" customHeight="1" x14ac:dyDescent="0.2">
      <c r="A31" s="262" t="s">
        <v>254</v>
      </c>
      <c r="B31" s="42">
        <v>8</v>
      </c>
      <c r="C31" s="35">
        <v>1</v>
      </c>
      <c r="D31" s="35">
        <f>B31*$C31</f>
        <v>8</v>
      </c>
      <c r="E31" s="47">
        <v>0</v>
      </c>
      <c r="F31" s="46">
        <f>D31*E31</f>
        <v>0</v>
      </c>
      <c r="G31" s="46">
        <f>F31*0.05</f>
        <v>0</v>
      </c>
      <c r="H31" s="46">
        <f>F31*0.1</f>
        <v>0</v>
      </c>
      <c r="I31" s="260">
        <f>F31*$F$1+G31*$G$1+H31*$H$1</f>
        <v>0</v>
      </c>
      <c r="J31" s="245" t="s">
        <v>192</v>
      </c>
      <c r="K31" s="241"/>
    </row>
    <row r="32" spans="1:13" x14ac:dyDescent="0.2">
      <c r="A32" s="289" t="s">
        <v>68</v>
      </c>
      <c r="B32" s="42"/>
      <c r="C32" s="35"/>
      <c r="D32" s="35"/>
      <c r="E32" s="47"/>
      <c r="F32" s="46"/>
      <c r="G32" s="46"/>
      <c r="H32" s="46"/>
      <c r="I32" s="260"/>
      <c r="J32" s="244"/>
      <c r="K32" s="241"/>
    </row>
    <row r="33" spans="1:13" ht="13" customHeight="1" x14ac:dyDescent="0.2">
      <c r="A33" s="262" t="s">
        <v>255</v>
      </c>
      <c r="B33" s="42">
        <f>500+24</f>
        <v>524</v>
      </c>
      <c r="C33" s="35">
        <v>1</v>
      </c>
      <c r="D33" s="35">
        <f>B33*$C33</f>
        <v>524</v>
      </c>
      <c r="E33" s="47">
        <v>0</v>
      </c>
      <c r="F33" s="46">
        <f>D33*E33</f>
        <v>0</v>
      </c>
      <c r="G33" s="46">
        <f>F33*0.05</f>
        <v>0</v>
      </c>
      <c r="H33" s="46">
        <f>F33*0.1</f>
        <v>0</v>
      </c>
      <c r="I33" s="260">
        <f>F33*$F$1+G33*$G$1+H33*$H$1</f>
        <v>0</v>
      </c>
      <c r="J33" s="245" t="s">
        <v>204</v>
      </c>
      <c r="K33" s="241"/>
    </row>
    <row r="34" spans="1:13" ht="13" customHeight="1" x14ac:dyDescent="0.2">
      <c r="A34" s="262" t="s">
        <v>300</v>
      </c>
      <c r="B34" s="42">
        <v>10</v>
      </c>
      <c r="C34" s="35">
        <v>1</v>
      </c>
      <c r="D34" s="35">
        <f>B34*$C34</f>
        <v>10</v>
      </c>
      <c r="E34" s="291">
        <v>3</v>
      </c>
      <c r="F34" s="202">
        <f>D34*E34</f>
        <v>30</v>
      </c>
      <c r="G34" s="201">
        <f>F34*0.05</f>
        <v>1.5</v>
      </c>
      <c r="H34" s="202">
        <f>F34*0.1</f>
        <v>3</v>
      </c>
      <c r="I34" s="261">
        <f>F34*$F$1+G34*$G$1+H34*$H$1</f>
        <v>4080.855</v>
      </c>
      <c r="J34" s="245" t="s">
        <v>204</v>
      </c>
      <c r="K34" s="308"/>
    </row>
    <row r="35" spans="1:13" x14ac:dyDescent="0.2">
      <c r="A35" s="292" t="s">
        <v>210</v>
      </c>
      <c r="B35" s="42"/>
      <c r="C35" s="35"/>
      <c r="D35" s="35"/>
      <c r="E35" s="47"/>
      <c r="F35" s="46"/>
      <c r="G35" s="46"/>
      <c r="H35" s="46"/>
      <c r="I35" s="260"/>
      <c r="J35" s="244"/>
      <c r="K35" s="241"/>
    </row>
    <row r="36" spans="1:13" ht="13" customHeight="1" x14ac:dyDescent="0.2">
      <c r="A36" s="263" t="s">
        <v>256</v>
      </c>
      <c r="B36" s="293">
        <v>1.5</v>
      </c>
      <c r="C36" s="41">
        <v>1</v>
      </c>
      <c r="D36" s="41">
        <f t="shared" ref="D36:D41" si="8">B36*$C36</f>
        <v>1.5</v>
      </c>
      <c r="E36" s="45">
        <v>0</v>
      </c>
      <c r="F36" s="46">
        <f t="shared" ref="F36:F41" si="9">D36*E36</f>
        <v>0</v>
      </c>
      <c r="G36" s="46">
        <f t="shared" ref="G36:G41" si="10">F36*0.05</f>
        <v>0</v>
      </c>
      <c r="H36" s="46">
        <f>F36*0.1</f>
        <v>0</v>
      </c>
      <c r="I36" s="260">
        <f t="shared" ref="I36:I41" si="11">F36*$F$1+G36*$G$1+H36*$H$1</f>
        <v>0</v>
      </c>
      <c r="J36" s="245" t="s">
        <v>206</v>
      </c>
      <c r="K36" s="241"/>
      <c r="M36" s="21"/>
    </row>
    <row r="37" spans="1:13" ht="13" customHeight="1" x14ac:dyDescent="0.2">
      <c r="A37" s="263" t="s">
        <v>257</v>
      </c>
      <c r="B37" s="200">
        <v>1.5</v>
      </c>
      <c r="C37" s="41">
        <v>350</v>
      </c>
      <c r="D37" s="41">
        <f t="shared" si="8"/>
        <v>525</v>
      </c>
      <c r="E37" s="47">
        <v>3</v>
      </c>
      <c r="F37" s="46">
        <f t="shared" si="9"/>
        <v>1575</v>
      </c>
      <c r="G37" s="187">
        <f t="shared" si="10"/>
        <v>78.75</v>
      </c>
      <c r="H37" s="187">
        <f>F37*0.1</f>
        <v>157.5</v>
      </c>
      <c r="I37" s="261">
        <f t="shared" si="11"/>
        <v>214244.88750000001</v>
      </c>
      <c r="J37" s="245" t="s">
        <v>207</v>
      </c>
    </row>
    <row r="38" spans="1:13" ht="13" customHeight="1" x14ac:dyDescent="0.2">
      <c r="A38" s="263" t="s">
        <v>317</v>
      </c>
      <c r="B38" s="291">
        <v>1</v>
      </c>
      <c r="C38" s="41">
        <v>1</v>
      </c>
      <c r="D38" s="41">
        <f t="shared" si="8"/>
        <v>1</v>
      </c>
      <c r="E38" s="45">
        <v>1</v>
      </c>
      <c r="F38" s="46">
        <f t="shared" si="9"/>
        <v>1</v>
      </c>
      <c r="G38" s="46">
        <f t="shared" si="10"/>
        <v>0.05</v>
      </c>
      <c r="H38" s="46">
        <f>F38*0.1</f>
        <v>0.1</v>
      </c>
      <c r="I38" s="260">
        <f t="shared" si="11"/>
        <v>136.02850000000001</v>
      </c>
      <c r="J38" s="245" t="s">
        <v>208</v>
      </c>
      <c r="K38" s="83"/>
    </row>
    <row r="39" spans="1:13" ht="13" customHeight="1" x14ac:dyDescent="0.2">
      <c r="A39" s="263" t="s">
        <v>318</v>
      </c>
      <c r="B39" s="146">
        <v>2</v>
      </c>
      <c r="C39" s="41">
        <v>1</v>
      </c>
      <c r="D39" s="41">
        <f t="shared" si="8"/>
        <v>2</v>
      </c>
      <c r="E39" s="47">
        <v>3</v>
      </c>
      <c r="F39" s="46">
        <f t="shared" si="9"/>
        <v>6</v>
      </c>
      <c r="G39" s="46">
        <f t="shared" si="10"/>
        <v>0.30000000000000004</v>
      </c>
      <c r="H39" s="46">
        <f t="shared" ref="H39:H41" si="12">F39*0.1</f>
        <v>0.60000000000000009</v>
      </c>
      <c r="I39" s="260">
        <f t="shared" si="11"/>
        <v>816.17100000000005</v>
      </c>
      <c r="J39" s="245" t="s">
        <v>211</v>
      </c>
      <c r="K39" s="83"/>
    </row>
    <row r="40" spans="1:13" ht="13" customHeight="1" x14ac:dyDescent="0.2">
      <c r="A40" s="263" t="s">
        <v>258</v>
      </c>
      <c r="B40" s="291">
        <v>40</v>
      </c>
      <c r="C40" s="41">
        <v>1</v>
      </c>
      <c r="D40" s="41">
        <f t="shared" si="8"/>
        <v>40</v>
      </c>
      <c r="E40" s="45">
        <v>0</v>
      </c>
      <c r="F40" s="46">
        <f t="shared" si="9"/>
        <v>0</v>
      </c>
      <c r="G40" s="46">
        <f t="shared" si="10"/>
        <v>0</v>
      </c>
      <c r="H40" s="46">
        <f t="shared" si="12"/>
        <v>0</v>
      </c>
      <c r="I40" s="260">
        <f t="shared" si="11"/>
        <v>0</v>
      </c>
      <c r="J40" s="245" t="s">
        <v>212</v>
      </c>
      <c r="K40" s="241"/>
      <c r="M40" s="21"/>
    </row>
    <row r="41" spans="1:13" ht="13" customHeight="1" x14ac:dyDescent="0.2">
      <c r="A41" s="263" t="s">
        <v>303</v>
      </c>
      <c r="B41" s="42">
        <v>2</v>
      </c>
      <c r="C41" s="35">
        <v>12</v>
      </c>
      <c r="D41" s="35">
        <f t="shared" si="8"/>
        <v>24</v>
      </c>
      <c r="E41" s="291">
        <v>3</v>
      </c>
      <c r="F41" s="202">
        <f t="shared" si="9"/>
        <v>72</v>
      </c>
      <c r="G41" s="201">
        <f t="shared" si="10"/>
        <v>3.6</v>
      </c>
      <c r="H41" s="46">
        <f t="shared" si="12"/>
        <v>7.2</v>
      </c>
      <c r="I41" s="261">
        <f t="shared" si="11"/>
        <v>9794.0519999999997</v>
      </c>
      <c r="J41" s="245" t="s">
        <v>213</v>
      </c>
      <c r="K41" s="308"/>
    </row>
    <row r="42" spans="1:13" x14ac:dyDescent="0.2">
      <c r="A42" s="257" t="s">
        <v>218</v>
      </c>
      <c r="B42" s="223" t="s">
        <v>242</v>
      </c>
      <c r="C42" s="35"/>
      <c r="D42" s="35"/>
      <c r="E42" s="47"/>
      <c r="F42" s="46"/>
      <c r="G42" s="46"/>
      <c r="H42" s="46"/>
      <c r="I42" s="260"/>
      <c r="J42" s="244"/>
      <c r="K42" s="241"/>
    </row>
    <row r="43" spans="1:13" x14ac:dyDescent="0.2">
      <c r="A43" s="257" t="s">
        <v>219</v>
      </c>
      <c r="B43" s="223" t="s">
        <v>241</v>
      </c>
      <c r="C43" s="41"/>
      <c r="D43" s="41"/>
      <c r="E43" s="47"/>
      <c r="F43" s="46"/>
      <c r="G43" s="46"/>
      <c r="H43" s="46"/>
      <c r="I43" s="260"/>
      <c r="J43" s="244"/>
      <c r="K43" s="241"/>
    </row>
    <row r="44" spans="1:13" x14ac:dyDescent="0.2">
      <c r="A44" s="257" t="s">
        <v>220</v>
      </c>
      <c r="B44" s="42"/>
      <c r="C44" s="35"/>
      <c r="D44" s="43"/>
      <c r="E44" s="48"/>
      <c r="F44" s="43">
        <f t="shared" ref="F44:F50" si="13">D44*E44</f>
        <v>0</v>
      </c>
      <c r="G44" s="43">
        <f t="shared" ref="G44:G50" si="14">F44*0.05</f>
        <v>0</v>
      </c>
      <c r="H44" s="43">
        <f t="shared" ref="H44:H50" si="15">F44*0.1</f>
        <v>0</v>
      </c>
      <c r="I44" s="260"/>
      <c r="J44" s="244"/>
      <c r="K44" s="241"/>
    </row>
    <row r="45" spans="1:13" ht="12" x14ac:dyDescent="0.2">
      <c r="A45" s="264" t="s">
        <v>259</v>
      </c>
      <c r="B45" s="42">
        <v>5</v>
      </c>
      <c r="C45" s="35">
        <v>1</v>
      </c>
      <c r="D45" s="35">
        <f t="shared" ref="D45:D50" si="16">B45*$C45</f>
        <v>5</v>
      </c>
      <c r="E45" s="47">
        <f>$E$13</f>
        <v>0</v>
      </c>
      <c r="F45" s="46">
        <f t="shared" si="13"/>
        <v>0</v>
      </c>
      <c r="G45" s="46">
        <f t="shared" si="14"/>
        <v>0</v>
      </c>
      <c r="H45" s="46">
        <f t="shared" si="15"/>
        <v>0</v>
      </c>
      <c r="I45" s="260">
        <f t="shared" ref="I45:I50" si="17">F45*$F$1+G45*$G$1+H45*$H$1</f>
        <v>0</v>
      </c>
      <c r="J45" s="244"/>
      <c r="K45" s="241"/>
    </row>
    <row r="46" spans="1:13" ht="12" x14ac:dyDescent="0.2">
      <c r="A46" s="264" t="s">
        <v>260</v>
      </c>
      <c r="B46" s="42">
        <v>5</v>
      </c>
      <c r="C46" s="35">
        <v>1</v>
      </c>
      <c r="D46" s="35">
        <f t="shared" si="16"/>
        <v>5</v>
      </c>
      <c r="E46" s="47">
        <f>$E$13</f>
        <v>0</v>
      </c>
      <c r="F46" s="46">
        <f t="shared" si="13"/>
        <v>0</v>
      </c>
      <c r="G46" s="46">
        <f t="shared" si="14"/>
        <v>0</v>
      </c>
      <c r="H46" s="46">
        <f t="shared" si="15"/>
        <v>0</v>
      </c>
      <c r="I46" s="260">
        <f t="shared" si="17"/>
        <v>0</v>
      </c>
      <c r="J46" s="244"/>
      <c r="K46" s="241"/>
    </row>
    <row r="47" spans="1:13" ht="12" x14ac:dyDescent="0.2">
      <c r="A47" s="264" t="s">
        <v>261</v>
      </c>
      <c r="B47" s="42">
        <v>10</v>
      </c>
      <c r="C47" s="35">
        <v>1</v>
      </c>
      <c r="D47" s="35">
        <f t="shared" si="16"/>
        <v>10</v>
      </c>
      <c r="E47" s="47">
        <f>$E$13</f>
        <v>0</v>
      </c>
      <c r="F47" s="46">
        <f t="shared" si="13"/>
        <v>0</v>
      </c>
      <c r="G47" s="46">
        <f t="shared" si="14"/>
        <v>0</v>
      </c>
      <c r="H47" s="46">
        <f t="shared" si="15"/>
        <v>0</v>
      </c>
      <c r="I47" s="260">
        <f t="shared" si="17"/>
        <v>0</v>
      </c>
      <c r="J47" s="244"/>
      <c r="K47" s="241"/>
    </row>
    <row r="48" spans="1:13" ht="12" x14ac:dyDescent="0.2">
      <c r="A48" s="264" t="s">
        <v>262</v>
      </c>
      <c r="B48" s="42">
        <v>20</v>
      </c>
      <c r="C48" s="35">
        <v>1</v>
      </c>
      <c r="D48" s="35">
        <f t="shared" si="16"/>
        <v>20</v>
      </c>
      <c r="E48" s="47">
        <f>$E$13</f>
        <v>0</v>
      </c>
      <c r="F48" s="46">
        <f t="shared" si="13"/>
        <v>0</v>
      </c>
      <c r="G48" s="46">
        <f t="shared" si="14"/>
        <v>0</v>
      </c>
      <c r="H48" s="46">
        <f t="shared" si="15"/>
        <v>0</v>
      </c>
      <c r="I48" s="260">
        <f t="shared" si="17"/>
        <v>0</v>
      </c>
      <c r="J48" s="244"/>
      <c r="K48" s="241"/>
    </row>
    <row r="49" spans="1:11" ht="25.5" customHeight="1" x14ac:dyDescent="0.2">
      <c r="A49" s="264" t="s">
        <v>263</v>
      </c>
      <c r="B49" s="42">
        <v>40</v>
      </c>
      <c r="C49" s="35">
        <v>2</v>
      </c>
      <c r="D49" s="35">
        <f t="shared" si="16"/>
        <v>80</v>
      </c>
      <c r="E49" s="47">
        <v>3</v>
      </c>
      <c r="F49" s="46">
        <f>D49*E49</f>
        <v>240</v>
      </c>
      <c r="G49" s="187">
        <f t="shared" si="14"/>
        <v>12</v>
      </c>
      <c r="H49" s="187">
        <f t="shared" si="15"/>
        <v>24</v>
      </c>
      <c r="I49" s="261">
        <f t="shared" si="17"/>
        <v>32646.84</v>
      </c>
      <c r="J49" s="245" t="s">
        <v>204</v>
      </c>
      <c r="K49" s="241"/>
    </row>
    <row r="50" spans="1:11" ht="12" x14ac:dyDescent="0.2">
      <c r="A50" s="264" t="s">
        <v>264</v>
      </c>
      <c r="B50" s="42">
        <v>5</v>
      </c>
      <c r="C50" s="35">
        <v>1</v>
      </c>
      <c r="D50" s="35">
        <f t="shared" si="16"/>
        <v>5</v>
      </c>
      <c r="E50" s="47">
        <v>3</v>
      </c>
      <c r="F50" s="46">
        <f t="shared" si="13"/>
        <v>15</v>
      </c>
      <c r="G50" s="187">
        <f t="shared" si="14"/>
        <v>0.75</v>
      </c>
      <c r="H50" s="187">
        <f t="shared" si="15"/>
        <v>1.5</v>
      </c>
      <c r="I50" s="261">
        <f t="shared" si="17"/>
        <v>2040.4275</v>
      </c>
      <c r="J50" s="244"/>
      <c r="K50" s="241"/>
    </row>
    <row r="51" spans="1:11" s="2" customFormat="1" x14ac:dyDescent="0.2">
      <c r="A51" s="182" t="s">
        <v>221</v>
      </c>
      <c r="B51" s="183"/>
      <c r="C51" s="184"/>
      <c r="D51" s="184"/>
      <c r="E51" s="184"/>
      <c r="F51" s="326">
        <f>SUM(F9:H50)</f>
        <v>70426.000000000029</v>
      </c>
      <c r="G51" s="327"/>
      <c r="H51" s="328"/>
      <c r="I51" s="265">
        <f>SUM(I9:I50)</f>
        <v>8330385.3400000017</v>
      </c>
      <c r="J51" s="244"/>
      <c r="K51" s="241"/>
    </row>
    <row r="52" spans="1:11" x14ac:dyDescent="0.2">
      <c r="A52" s="50" t="s">
        <v>30</v>
      </c>
      <c r="B52" s="27" t="s">
        <v>15</v>
      </c>
      <c r="C52" s="23" t="s">
        <v>15</v>
      </c>
      <c r="D52" s="23" t="s">
        <v>15</v>
      </c>
      <c r="E52" s="24" t="s">
        <v>15</v>
      </c>
      <c r="F52" s="25" t="s">
        <v>15</v>
      </c>
      <c r="G52" s="25" t="s">
        <v>15</v>
      </c>
      <c r="H52" s="26" t="s">
        <v>15</v>
      </c>
      <c r="I52" s="266"/>
      <c r="J52" s="244"/>
      <c r="K52" s="241"/>
    </row>
    <row r="53" spans="1:11" x14ac:dyDescent="0.2">
      <c r="A53" s="267" t="s">
        <v>239</v>
      </c>
      <c r="B53" s="294" t="s">
        <v>240</v>
      </c>
      <c r="C53" s="23" t="s">
        <v>15</v>
      </c>
      <c r="D53" s="23" t="s">
        <v>15</v>
      </c>
      <c r="E53" s="24" t="s">
        <v>15</v>
      </c>
      <c r="F53" s="25" t="s">
        <v>15</v>
      </c>
      <c r="G53" s="25" t="s">
        <v>15</v>
      </c>
      <c r="H53" s="26" t="s">
        <v>15</v>
      </c>
      <c r="I53" s="260"/>
      <c r="J53" s="244"/>
      <c r="K53" s="241"/>
    </row>
    <row r="54" spans="1:11" x14ac:dyDescent="0.2">
      <c r="A54" s="268" t="s">
        <v>42</v>
      </c>
      <c r="B54" s="32" t="s">
        <v>41</v>
      </c>
      <c r="C54" s="17"/>
      <c r="D54" s="17"/>
      <c r="E54" s="28"/>
      <c r="F54" s="29"/>
      <c r="G54" s="29"/>
      <c r="H54" s="30"/>
      <c r="I54" s="260"/>
      <c r="J54" s="244"/>
      <c r="K54" s="241"/>
    </row>
    <row r="55" spans="1:11" x14ac:dyDescent="0.2">
      <c r="A55" s="269" t="s">
        <v>69</v>
      </c>
      <c r="B55" s="32" t="s">
        <v>41</v>
      </c>
      <c r="C55" s="17"/>
      <c r="D55" s="17"/>
      <c r="E55" s="28"/>
      <c r="F55" s="29"/>
      <c r="G55" s="29"/>
      <c r="H55" s="30"/>
      <c r="I55" s="260"/>
      <c r="J55" s="244"/>
      <c r="K55" s="241"/>
    </row>
    <row r="56" spans="1:11" x14ac:dyDescent="0.2">
      <c r="A56" s="270" t="s">
        <v>70</v>
      </c>
      <c r="B56" s="22"/>
      <c r="C56" s="17"/>
      <c r="D56" s="17"/>
      <c r="E56" s="28"/>
      <c r="F56" s="29"/>
      <c r="G56" s="29"/>
      <c r="H56" s="30"/>
      <c r="I56" s="260"/>
      <c r="J56" s="244"/>
      <c r="K56" s="241"/>
    </row>
    <row r="57" spans="1:11" ht="12" x14ac:dyDescent="0.2">
      <c r="A57" s="271" t="s">
        <v>265</v>
      </c>
      <c r="B57" s="22">
        <v>10</v>
      </c>
      <c r="C57" s="295">
        <v>12</v>
      </c>
      <c r="D57" s="31">
        <f t="shared" ref="D57:D63" si="18">B57*$C57</f>
        <v>120</v>
      </c>
      <c r="E57" s="47">
        <v>3</v>
      </c>
      <c r="F57" s="29">
        <f t="shared" ref="F57:F63" si="19">D57*E57</f>
        <v>360</v>
      </c>
      <c r="G57" s="188">
        <f t="shared" ref="G57:G63" si="20">F57*0.05</f>
        <v>18</v>
      </c>
      <c r="H57" s="189">
        <f t="shared" ref="H57:H63" si="21">F57*0.1</f>
        <v>36</v>
      </c>
      <c r="I57" s="261">
        <f t="shared" ref="I57:I63" si="22">F57*$F$1+G57*$G$1+H57*$H$1</f>
        <v>48970.26</v>
      </c>
      <c r="J57" s="244"/>
      <c r="K57" s="241"/>
    </row>
    <row r="58" spans="1:11" ht="12" x14ac:dyDescent="0.2">
      <c r="A58" s="271" t="s">
        <v>266</v>
      </c>
      <c r="B58" s="22">
        <v>10</v>
      </c>
      <c r="C58" s="295">
        <v>12</v>
      </c>
      <c r="D58" s="31">
        <f t="shared" si="18"/>
        <v>120</v>
      </c>
      <c r="E58" s="47">
        <v>3</v>
      </c>
      <c r="F58" s="29">
        <f t="shared" si="19"/>
        <v>360</v>
      </c>
      <c r="G58" s="188">
        <f t="shared" si="20"/>
        <v>18</v>
      </c>
      <c r="H58" s="189">
        <f t="shared" si="21"/>
        <v>36</v>
      </c>
      <c r="I58" s="261">
        <f t="shared" si="22"/>
        <v>48970.26</v>
      </c>
      <c r="J58" s="244"/>
      <c r="K58" s="241"/>
    </row>
    <row r="59" spans="1:11" ht="12" x14ac:dyDescent="0.2">
      <c r="A59" s="271" t="s">
        <v>267</v>
      </c>
      <c r="B59" s="22">
        <v>10</v>
      </c>
      <c r="C59" s="295">
        <v>12</v>
      </c>
      <c r="D59" s="31">
        <f t="shared" si="18"/>
        <v>120</v>
      </c>
      <c r="E59" s="47">
        <v>3</v>
      </c>
      <c r="F59" s="29">
        <f t="shared" si="19"/>
        <v>360</v>
      </c>
      <c r="G59" s="188">
        <f t="shared" si="20"/>
        <v>18</v>
      </c>
      <c r="H59" s="189">
        <f t="shared" si="21"/>
        <v>36</v>
      </c>
      <c r="I59" s="261">
        <f t="shared" si="22"/>
        <v>48970.26</v>
      </c>
      <c r="J59" s="244"/>
      <c r="K59" s="241"/>
    </row>
    <row r="60" spans="1:11" ht="12" x14ac:dyDescent="0.2">
      <c r="A60" s="271" t="s">
        <v>268</v>
      </c>
      <c r="B60" s="296">
        <v>10</v>
      </c>
      <c r="C60" s="295">
        <v>12</v>
      </c>
      <c r="D60" s="31">
        <f t="shared" si="18"/>
        <v>120</v>
      </c>
      <c r="E60" s="47">
        <v>3</v>
      </c>
      <c r="F60" s="29">
        <f t="shared" si="19"/>
        <v>360</v>
      </c>
      <c r="G60" s="188">
        <f t="shared" si="20"/>
        <v>18</v>
      </c>
      <c r="H60" s="189">
        <f t="shared" si="21"/>
        <v>36</v>
      </c>
      <c r="I60" s="261">
        <f t="shared" si="22"/>
        <v>48970.26</v>
      </c>
      <c r="J60" s="244"/>
      <c r="K60" s="241"/>
    </row>
    <row r="61" spans="1:11" ht="12" x14ac:dyDescent="0.2">
      <c r="A61" s="272" t="s">
        <v>269</v>
      </c>
      <c r="B61" s="42">
        <v>10</v>
      </c>
      <c r="C61" s="297">
        <v>12</v>
      </c>
      <c r="D61" s="31">
        <f t="shared" si="18"/>
        <v>120</v>
      </c>
      <c r="E61" s="47">
        <v>3</v>
      </c>
      <c r="F61" s="29">
        <f t="shared" si="19"/>
        <v>360</v>
      </c>
      <c r="G61" s="188">
        <f t="shared" si="20"/>
        <v>18</v>
      </c>
      <c r="H61" s="189">
        <f t="shared" si="21"/>
        <v>36</v>
      </c>
      <c r="I61" s="261">
        <f t="shared" si="22"/>
        <v>48970.26</v>
      </c>
      <c r="J61" s="244"/>
      <c r="K61" s="241"/>
    </row>
    <row r="62" spans="1:11" ht="12" x14ac:dyDescent="0.2">
      <c r="A62" s="273" t="s">
        <v>270</v>
      </c>
      <c r="B62" s="298">
        <v>10</v>
      </c>
      <c r="C62" s="295">
        <v>12</v>
      </c>
      <c r="D62" s="147">
        <f t="shared" si="18"/>
        <v>120</v>
      </c>
      <c r="E62" s="299">
        <v>3</v>
      </c>
      <c r="F62" s="148">
        <f t="shared" si="19"/>
        <v>360</v>
      </c>
      <c r="G62" s="190">
        <f t="shared" si="20"/>
        <v>18</v>
      </c>
      <c r="H62" s="191">
        <f t="shared" si="21"/>
        <v>36</v>
      </c>
      <c r="I62" s="261">
        <f t="shared" si="22"/>
        <v>48970.26</v>
      </c>
      <c r="J62" s="244"/>
      <c r="K62" s="241"/>
    </row>
    <row r="63" spans="1:11" x14ac:dyDescent="0.2">
      <c r="A63" s="274" t="s">
        <v>112</v>
      </c>
      <c r="B63" s="42">
        <v>10</v>
      </c>
      <c r="C63" s="295">
        <v>12</v>
      </c>
      <c r="D63" s="147">
        <f t="shared" si="18"/>
        <v>120</v>
      </c>
      <c r="E63" s="299">
        <v>3</v>
      </c>
      <c r="F63" s="148">
        <f t="shared" si="19"/>
        <v>360</v>
      </c>
      <c r="G63" s="190">
        <f t="shared" si="20"/>
        <v>18</v>
      </c>
      <c r="H63" s="191">
        <f t="shared" si="21"/>
        <v>36</v>
      </c>
      <c r="I63" s="261">
        <f t="shared" si="22"/>
        <v>48970.26</v>
      </c>
      <c r="J63" s="244"/>
      <c r="K63" s="241"/>
    </row>
    <row r="64" spans="1:11" x14ac:dyDescent="0.2">
      <c r="A64" s="275" t="s">
        <v>71</v>
      </c>
      <c r="B64" s="223" t="s">
        <v>242</v>
      </c>
      <c r="C64" s="41"/>
      <c r="D64" s="41"/>
      <c r="E64" s="41"/>
      <c r="F64" s="46"/>
      <c r="G64" s="46"/>
      <c r="H64" s="46" t="s">
        <v>15</v>
      </c>
      <c r="I64" s="261"/>
      <c r="J64" s="244"/>
      <c r="K64" s="241"/>
    </row>
    <row r="65" spans="1:12" x14ac:dyDescent="0.2">
      <c r="A65" s="276" t="s">
        <v>72</v>
      </c>
      <c r="B65" s="84" t="s">
        <v>41</v>
      </c>
      <c r="C65" s="84"/>
      <c r="D65" s="84"/>
      <c r="E65" s="84"/>
      <c r="F65" s="84"/>
      <c r="G65" s="84"/>
      <c r="H65" s="84"/>
      <c r="I65" s="277"/>
      <c r="J65" s="244"/>
      <c r="K65" s="241"/>
    </row>
    <row r="66" spans="1:12" s="185" customFormat="1" ht="10.5" thickBot="1" x14ac:dyDescent="0.25">
      <c r="A66" s="233" t="s">
        <v>38</v>
      </c>
      <c r="B66" s="228"/>
      <c r="C66" s="228"/>
      <c r="D66" s="228"/>
      <c r="E66" s="228"/>
      <c r="F66" s="329">
        <f>SUM(F52:H65)</f>
        <v>2898</v>
      </c>
      <c r="G66" s="330"/>
      <c r="H66" s="331"/>
      <c r="I66" s="278">
        <f>SUM(I52:I65)</f>
        <v>342791.82</v>
      </c>
      <c r="J66" s="246"/>
      <c r="K66" s="242"/>
    </row>
    <row r="67" spans="1:12" ht="12.5" x14ac:dyDescent="0.25">
      <c r="A67" s="300" t="s">
        <v>272</v>
      </c>
      <c r="B67" s="234"/>
      <c r="C67" s="234"/>
      <c r="D67" s="234"/>
      <c r="E67" s="234"/>
      <c r="F67" s="332">
        <f>(ROUND(F66+F51,-2))</f>
        <v>73300</v>
      </c>
      <c r="G67" s="332"/>
      <c r="H67" s="332"/>
      <c r="I67" s="239">
        <f>ROUND(I66+I51,-4)</f>
        <v>8670000</v>
      </c>
    </row>
    <row r="68" spans="1:12" ht="12.5" x14ac:dyDescent="0.25">
      <c r="A68" s="301" t="s">
        <v>273</v>
      </c>
      <c r="B68" s="229"/>
      <c r="C68" s="229"/>
      <c r="D68" s="230"/>
      <c r="E68" s="229"/>
      <c r="F68" s="231"/>
      <c r="G68" s="231"/>
      <c r="H68" s="232"/>
      <c r="I68" s="235">
        <f>'CAP&amp;O&amp;M'!H31+'CAP&amp;O&amp;M'!E31</f>
        <v>1000000</v>
      </c>
    </row>
    <row r="69" spans="1:12" ht="13" thickBot="1" x14ac:dyDescent="0.3">
      <c r="A69" s="302" t="s">
        <v>271</v>
      </c>
      <c r="B69" s="236"/>
      <c r="C69" s="236"/>
      <c r="D69" s="325"/>
      <c r="E69" s="325"/>
      <c r="F69" s="325"/>
      <c r="G69" s="325"/>
      <c r="H69" s="237"/>
      <c r="I69" s="238">
        <f>ROUND(SUM(I67:I68),-4)</f>
        <v>9670000</v>
      </c>
      <c r="K69" s="240">
        <f>ROUND(F67/9,0)</f>
        <v>8144</v>
      </c>
      <c r="L69" s="83" t="s">
        <v>285</v>
      </c>
    </row>
    <row r="70" spans="1:12" ht="13" customHeight="1" x14ac:dyDescent="0.3">
      <c r="A70" s="320" t="s">
        <v>313</v>
      </c>
      <c r="B70" s="320"/>
      <c r="C70" s="320"/>
      <c r="D70" s="320"/>
      <c r="E70" s="320"/>
      <c r="F70" s="320"/>
      <c r="G70" s="320"/>
      <c r="H70" s="320"/>
      <c r="I70" s="320"/>
      <c r="J70" s="34"/>
      <c r="K70" s="288"/>
      <c r="L70" s="199"/>
    </row>
    <row r="71" spans="1:12" ht="32.5" customHeight="1" x14ac:dyDescent="0.2">
      <c r="A71" s="314" t="s">
        <v>298</v>
      </c>
      <c r="B71" s="314"/>
      <c r="C71" s="314"/>
      <c r="D71" s="314"/>
      <c r="E71" s="314"/>
      <c r="F71" s="314"/>
      <c r="G71" s="314"/>
      <c r="H71" s="314"/>
      <c r="I71" s="314"/>
      <c r="J71" s="34"/>
      <c r="K71" s="34"/>
      <c r="L71" s="199"/>
    </row>
    <row r="72" spans="1:12" ht="13" x14ac:dyDescent="0.3">
      <c r="A72" s="279" t="s">
        <v>288</v>
      </c>
      <c r="B72" s="280"/>
      <c r="C72" s="280"/>
      <c r="D72" s="280"/>
      <c r="E72" s="280"/>
      <c r="F72" s="280"/>
      <c r="G72" s="280"/>
      <c r="H72" s="280"/>
      <c r="I72" s="280"/>
      <c r="J72" s="34"/>
      <c r="K72" s="34"/>
      <c r="L72" s="199"/>
    </row>
    <row r="73" spans="1:12" ht="12.75" customHeight="1" x14ac:dyDescent="0.2">
      <c r="A73" s="313" t="s">
        <v>304</v>
      </c>
      <c r="B73" s="313"/>
      <c r="C73" s="313"/>
      <c r="D73" s="313"/>
      <c r="E73" s="313"/>
      <c r="F73" s="313"/>
      <c r="G73" s="313"/>
      <c r="H73" s="313"/>
      <c r="I73" s="313"/>
      <c r="J73" s="34"/>
      <c r="K73" s="34"/>
      <c r="L73" s="199"/>
    </row>
    <row r="74" spans="1:12" ht="13" x14ac:dyDescent="0.3">
      <c r="A74" s="303" t="s">
        <v>314</v>
      </c>
      <c r="B74" s="288"/>
      <c r="C74" s="280"/>
      <c r="D74" s="280"/>
      <c r="E74" s="280"/>
      <c r="F74" s="280"/>
      <c r="G74" s="280"/>
      <c r="H74" s="280"/>
      <c r="I74" s="280"/>
      <c r="J74" s="34"/>
      <c r="K74" s="34"/>
      <c r="L74" s="199"/>
    </row>
    <row r="75" spans="1:12" ht="33" customHeight="1" x14ac:dyDescent="0.2">
      <c r="A75" s="321" t="s">
        <v>294</v>
      </c>
      <c r="B75" s="321"/>
      <c r="C75" s="321"/>
      <c r="D75" s="321"/>
      <c r="E75" s="321"/>
      <c r="F75" s="321"/>
      <c r="G75" s="321"/>
      <c r="H75" s="321"/>
      <c r="I75" s="321"/>
      <c r="J75" s="225"/>
      <c r="K75" s="225"/>
      <c r="L75" s="199"/>
    </row>
    <row r="76" spans="1:12" ht="22" customHeight="1" x14ac:dyDescent="0.2">
      <c r="A76" s="314" t="s">
        <v>299</v>
      </c>
      <c r="B76" s="314"/>
      <c r="C76" s="314"/>
      <c r="D76" s="314"/>
      <c r="E76" s="314"/>
      <c r="F76" s="314"/>
      <c r="G76" s="314"/>
      <c r="H76" s="314"/>
      <c r="I76" s="314"/>
      <c r="J76" s="225"/>
      <c r="K76" s="225"/>
      <c r="L76" s="199"/>
    </row>
    <row r="77" spans="1:12" ht="22.5" customHeight="1" x14ac:dyDescent="0.2">
      <c r="A77" s="314" t="s">
        <v>289</v>
      </c>
      <c r="B77" s="314"/>
      <c r="C77" s="314"/>
      <c r="D77" s="314"/>
      <c r="E77" s="314"/>
      <c r="F77" s="314"/>
      <c r="G77" s="314"/>
      <c r="H77" s="314"/>
      <c r="I77" s="314"/>
      <c r="J77" s="225"/>
      <c r="K77" s="225"/>
      <c r="L77" s="199"/>
    </row>
    <row r="78" spans="1:12" ht="13" x14ac:dyDescent="0.3">
      <c r="A78" s="316" t="s">
        <v>290</v>
      </c>
      <c r="B78" s="316"/>
      <c r="C78" s="316"/>
      <c r="D78" s="316"/>
      <c r="E78" s="316"/>
      <c r="F78" s="316"/>
      <c r="G78" s="316"/>
      <c r="H78" s="304"/>
      <c r="I78" s="304"/>
      <c r="J78" s="34"/>
      <c r="K78" s="34"/>
      <c r="L78" s="199"/>
    </row>
    <row r="79" spans="1:12" ht="31" customHeight="1" x14ac:dyDescent="0.2">
      <c r="A79" s="314" t="s">
        <v>291</v>
      </c>
      <c r="B79" s="314"/>
      <c r="C79" s="314"/>
      <c r="D79" s="314"/>
      <c r="E79" s="314"/>
      <c r="F79" s="314"/>
      <c r="G79" s="314"/>
      <c r="H79" s="314"/>
      <c r="I79" s="314"/>
      <c r="J79" s="226"/>
      <c r="K79" s="226"/>
      <c r="L79" s="226"/>
    </row>
    <row r="80" spans="1:12" ht="49.5" customHeight="1" x14ac:dyDescent="0.2">
      <c r="A80" s="314" t="s">
        <v>301</v>
      </c>
      <c r="B80" s="314"/>
      <c r="C80" s="314"/>
      <c r="D80" s="314"/>
      <c r="E80" s="314"/>
      <c r="F80" s="314"/>
      <c r="G80" s="314"/>
      <c r="H80" s="314"/>
      <c r="I80" s="314"/>
      <c r="J80" s="225"/>
      <c r="K80" s="225"/>
      <c r="L80" s="199"/>
    </row>
    <row r="81" spans="1:18" ht="35.25" customHeight="1" x14ac:dyDescent="0.2">
      <c r="A81" s="312" t="s">
        <v>315</v>
      </c>
      <c r="B81" s="312"/>
      <c r="C81" s="312"/>
      <c r="D81" s="312"/>
      <c r="E81" s="312"/>
      <c r="F81" s="312"/>
      <c r="G81" s="312"/>
      <c r="H81" s="312"/>
      <c r="I81" s="312"/>
      <c r="J81" s="34"/>
    </row>
    <row r="82" spans="1:18" ht="12.75" customHeight="1" x14ac:dyDescent="0.25">
      <c r="A82" s="312" t="s">
        <v>292</v>
      </c>
      <c r="B82" s="312"/>
      <c r="C82" s="312"/>
      <c r="D82" s="312"/>
      <c r="E82" s="312"/>
      <c r="F82" s="312"/>
      <c r="G82" s="312"/>
      <c r="H82" s="312"/>
      <c r="I82" s="312"/>
      <c r="J82" s="33"/>
      <c r="K82" s="310"/>
      <c r="L82" s="310"/>
      <c r="M82" s="310"/>
      <c r="N82" s="310"/>
      <c r="O82" s="310"/>
      <c r="P82" s="310"/>
      <c r="Q82" s="310"/>
      <c r="R82" s="310"/>
    </row>
    <row r="83" spans="1:18" ht="12.75" customHeight="1" x14ac:dyDescent="0.2">
      <c r="A83" s="334" t="s">
        <v>293</v>
      </c>
      <c r="B83" s="334"/>
      <c r="C83" s="334"/>
      <c r="D83" s="334"/>
      <c r="E83" s="334"/>
      <c r="F83" s="334"/>
      <c r="G83" s="334"/>
      <c r="H83" s="334"/>
      <c r="I83" s="334"/>
      <c r="K83" s="311"/>
      <c r="L83" s="311"/>
      <c r="M83" s="311"/>
      <c r="N83" s="311"/>
      <c r="O83" s="311"/>
      <c r="P83" s="311"/>
      <c r="Q83" s="311"/>
    </row>
    <row r="84" spans="1:18" ht="12" x14ac:dyDescent="0.2">
      <c r="A84" s="333" t="s">
        <v>302</v>
      </c>
      <c r="B84" s="333"/>
      <c r="C84" s="333"/>
      <c r="D84" s="333"/>
      <c r="E84" s="333"/>
      <c r="F84" s="333"/>
      <c r="G84" s="333"/>
      <c r="H84" s="333"/>
      <c r="I84" s="333"/>
    </row>
    <row r="85" spans="1:18" ht="36.75" customHeight="1" x14ac:dyDescent="0.2">
      <c r="A85" s="315" t="s">
        <v>316</v>
      </c>
      <c r="B85" s="315"/>
      <c r="C85" s="315"/>
      <c r="D85" s="315"/>
      <c r="E85" s="315"/>
      <c r="F85" s="315"/>
      <c r="G85" s="315"/>
      <c r="H85" s="315"/>
      <c r="I85" s="315"/>
    </row>
    <row r="86" spans="1:18" ht="26.25" customHeight="1" x14ac:dyDescent="0.2">
      <c r="A86" s="315" t="s">
        <v>319</v>
      </c>
      <c r="B86" s="315"/>
      <c r="C86" s="315"/>
      <c r="D86" s="315"/>
      <c r="E86" s="315"/>
      <c r="F86" s="315"/>
      <c r="G86" s="315"/>
      <c r="H86" s="315"/>
      <c r="I86" s="315"/>
    </row>
    <row r="87" spans="1:18" x14ac:dyDescent="0.2">
      <c r="C87" s="33"/>
    </row>
    <row r="88" spans="1:18" x14ac:dyDescent="0.2">
      <c r="C88" s="33"/>
    </row>
    <row r="89" spans="1:18" x14ac:dyDescent="0.2">
      <c r="C89" s="33"/>
    </row>
    <row r="90" spans="1:18" x14ac:dyDescent="0.2">
      <c r="C90" s="33"/>
    </row>
  </sheetData>
  <mergeCells count="21">
    <mergeCell ref="A85:I85"/>
    <mergeCell ref="A86:I86"/>
    <mergeCell ref="A71:I71"/>
    <mergeCell ref="A78:G78"/>
    <mergeCell ref="J3:J8"/>
    <mergeCell ref="A70:I70"/>
    <mergeCell ref="A75:I75"/>
    <mergeCell ref="A3:A8"/>
    <mergeCell ref="D69:G69"/>
    <mergeCell ref="F51:H51"/>
    <mergeCell ref="F66:H66"/>
    <mergeCell ref="F67:H67"/>
    <mergeCell ref="A76:I76"/>
    <mergeCell ref="A77:I77"/>
    <mergeCell ref="A84:I84"/>
    <mergeCell ref="A83:I83"/>
    <mergeCell ref="A82:I82"/>
    <mergeCell ref="A81:I81"/>
    <mergeCell ref="A73:I73"/>
    <mergeCell ref="A79:I79"/>
    <mergeCell ref="A80:I80"/>
  </mergeCells>
  <printOptions horizontalCentered="1" gridLinesSet="0"/>
  <pageMargins left="0.5" right="0.5" top="0.5" bottom="0.5" header="0.5" footer="0.19"/>
  <pageSetup scale="6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31"/>
  <sheetViews>
    <sheetView topLeftCell="A13" zoomScaleNormal="100" zoomScaleSheetLayoutView="100" workbookViewId="0">
      <selection activeCell="B1" sqref="B1:B2"/>
    </sheetView>
  </sheetViews>
  <sheetFormatPr defaultColWidth="9.33203125" defaultRowHeight="14.5" x14ac:dyDescent="0.35"/>
  <cols>
    <col min="1" max="1" width="9.33203125" style="156"/>
    <col min="2" max="2" width="25.77734375" style="156" bestFit="1" customWidth="1"/>
    <col min="3" max="3" width="14" style="156" bestFit="1" customWidth="1"/>
    <col min="4" max="4" width="29.77734375" style="156" customWidth="1"/>
    <col min="5" max="5" width="18.6640625" style="156" bestFit="1" customWidth="1"/>
    <col min="6" max="7" width="17.6640625" style="156" bestFit="1" customWidth="1"/>
    <col min="8" max="8" width="19.109375" style="156" customWidth="1"/>
    <col min="9" max="16384" width="9.33203125" style="156"/>
  </cols>
  <sheetData>
    <row r="1" spans="1:8" x14ac:dyDescent="0.35">
      <c r="B1" s="110"/>
    </row>
    <row r="2" spans="1:8" x14ac:dyDescent="0.35">
      <c r="B2" s="155"/>
    </row>
    <row r="3" spans="1:8" x14ac:dyDescent="0.35">
      <c r="B3" s="176"/>
    </row>
    <row r="4" spans="1:8" ht="18.5" x14ac:dyDescent="0.45">
      <c r="A4" s="169" t="s">
        <v>143</v>
      </c>
    </row>
    <row r="6" spans="1:8" x14ac:dyDescent="0.35">
      <c r="B6" s="156" t="s">
        <v>144</v>
      </c>
    </row>
    <row r="7" spans="1:8" x14ac:dyDescent="0.35">
      <c r="B7" s="156" t="s">
        <v>145</v>
      </c>
    </row>
    <row r="8" spans="1:8" x14ac:dyDescent="0.35">
      <c r="B8" s="156" t="s">
        <v>146</v>
      </c>
    </row>
    <row r="9" spans="1:8" x14ac:dyDescent="0.35">
      <c r="B9" s="156" t="s">
        <v>147</v>
      </c>
    </row>
    <row r="12" spans="1:8" x14ac:dyDescent="0.35">
      <c r="B12" s="335" t="s">
        <v>125</v>
      </c>
      <c r="C12" s="336"/>
      <c r="D12" s="336"/>
      <c r="E12" s="336"/>
      <c r="F12" s="336"/>
      <c r="G12" s="336"/>
      <c r="H12" s="337"/>
    </row>
    <row r="13" spans="1:8" ht="15" customHeight="1" x14ac:dyDescent="0.35">
      <c r="B13" s="338" t="s">
        <v>142</v>
      </c>
      <c r="C13" s="338" t="s">
        <v>126</v>
      </c>
      <c r="D13" s="338" t="s">
        <v>128</v>
      </c>
      <c r="E13" s="340" t="s">
        <v>127</v>
      </c>
      <c r="F13" s="341"/>
      <c r="G13" s="342"/>
      <c r="H13" s="338" t="s">
        <v>135</v>
      </c>
    </row>
    <row r="14" spans="1:8" x14ac:dyDescent="0.35">
      <c r="B14" s="339"/>
      <c r="C14" s="339"/>
      <c r="D14" s="339"/>
      <c r="E14" s="164" t="s">
        <v>124</v>
      </c>
      <c r="F14" s="164" t="s">
        <v>123</v>
      </c>
      <c r="G14" s="164" t="s">
        <v>122</v>
      </c>
      <c r="H14" s="339"/>
    </row>
    <row r="15" spans="1:8" x14ac:dyDescent="0.35">
      <c r="B15" s="158" t="s">
        <v>121</v>
      </c>
      <c r="C15" s="159" t="e">
        <f>SUM(#REF!)/7+#REF!+SUM(#REF!)/7</f>
        <v>#REF!</v>
      </c>
      <c r="D15" s="158" t="s">
        <v>134</v>
      </c>
      <c r="E15" s="159" t="e">
        <f>#REF!+#REF!</f>
        <v>#REF!</v>
      </c>
      <c r="F15" s="160" t="e">
        <f>#REF!+SUM(#REF!)/7+#REF!</f>
        <v>#REF!</v>
      </c>
      <c r="G15" s="160">
        <f>Industry!$I$25+SUM(Industry!$I$49:$I$50)/7+Industry!$I$58</f>
        <v>5372095.8199285716</v>
      </c>
      <c r="H15" s="158" t="s">
        <v>139</v>
      </c>
    </row>
    <row r="16" spans="1:8" x14ac:dyDescent="0.35">
      <c r="B16" s="158" t="s">
        <v>120</v>
      </c>
      <c r="C16" s="159" t="e">
        <f>SUM(#REF!)/7+#REF!+#REF!+SUM(#REF!)/7</f>
        <v>#REF!</v>
      </c>
      <c r="D16" s="160" t="s">
        <v>133</v>
      </c>
      <c r="E16" s="159" t="e">
        <f>#REF!+#REF!</f>
        <v>#REF!</v>
      </c>
      <c r="F16" s="160" t="e">
        <f>#REF!+SUM(#REF!)/7+#REF!</f>
        <v>#REF!</v>
      </c>
      <c r="G16" s="160">
        <f>Industry!$I$24+SUM(Industry!$I$49:$I$50)/7+Industry!$I$57</f>
        <v>2496317.3014285718</v>
      </c>
      <c r="H16" s="158" t="s">
        <v>139</v>
      </c>
    </row>
    <row r="17" spans="1:8" x14ac:dyDescent="0.35">
      <c r="B17" s="158" t="s">
        <v>119</v>
      </c>
      <c r="C17" s="159" t="e">
        <f>SUM(#REF!)/7+#REF!+SUM(#REF!)/7</f>
        <v>#REF!</v>
      </c>
      <c r="D17" s="160" t="s">
        <v>134</v>
      </c>
      <c r="E17" s="159" t="e">
        <f>#REF!+#REF!+#REF!</f>
        <v>#REF!</v>
      </c>
      <c r="F17" s="160" t="e">
        <f>#REF!+#REF!+SUM(#REF!)/7+#REF!</f>
        <v>#REF!</v>
      </c>
      <c r="G17" s="160">
        <f>Industry!$I$26+Industry!$I$27+SUM(Industry!$I$49:$I$50)/7+Industry!$I$59</f>
        <v>109425.21192857143</v>
      </c>
      <c r="H17" s="158" t="s">
        <v>139</v>
      </c>
    </row>
    <row r="18" spans="1:8" x14ac:dyDescent="0.35">
      <c r="B18" s="158" t="s">
        <v>118</v>
      </c>
      <c r="C18" s="159" t="e">
        <f>SUM(#REF!)/7+#REF!+SUM(#REF!)/7</f>
        <v>#REF!</v>
      </c>
      <c r="D18" s="160" t="s">
        <v>134</v>
      </c>
      <c r="E18" s="159" t="e">
        <f>#REF!+#REF!+#REF!</f>
        <v>#REF!</v>
      </c>
      <c r="F18" s="160" t="e">
        <f>#REF!+#REF!+SUM(#REF!)/7+#REF!</f>
        <v>#REF!</v>
      </c>
      <c r="G18" s="160">
        <f>Industry!$I$29+Industry!$I$34+SUM(Industry!$I$49:$I$50)/7+Industry!$I$61</f>
        <v>266130.04392857145</v>
      </c>
      <c r="H18" s="158" t="s">
        <v>140</v>
      </c>
    </row>
    <row r="19" spans="1:8" x14ac:dyDescent="0.35">
      <c r="B19" s="158" t="s">
        <v>117</v>
      </c>
      <c r="C19" s="159" t="e">
        <f>SUM(#REF!)/7+SUM(#REF!)/7</f>
        <v>#REF!</v>
      </c>
      <c r="D19" s="160" t="s">
        <v>40</v>
      </c>
      <c r="E19" s="159" t="e">
        <f>#REF!</f>
        <v>#REF!</v>
      </c>
      <c r="F19" s="160" t="e">
        <f>SUM(#REF!)/7+#REF!</f>
        <v>#REF!</v>
      </c>
      <c r="G19" s="160">
        <f>SUM(Industry!$I$49:$I$50)/7+Industry!$I$60</f>
        <v>53925.583928571432</v>
      </c>
      <c r="H19" s="158" t="s">
        <v>139</v>
      </c>
    </row>
    <row r="20" spans="1:8" x14ac:dyDescent="0.35">
      <c r="B20" s="158" t="s">
        <v>116</v>
      </c>
      <c r="C20" s="159" t="e">
        <f>SUM(#REF!)/7+#REF!+SUM(#REF!)/7</f>
        <v>#REF!</v>
      </c>
      <c r="D20" s="160" t="s">
        <v>134</v>
      </c>
      <c r="E20" s="159" t="e">
        <f>#REF!+#REF!</f>
        <v>#REF!</v>
      </c>
      <c r="F20" s="160" t="e">
        <f>#REF!+SUM(#REF!)/7+#REF!</f>
        <v>#REF!</v>
      </c>
      <c r="G20" s="160">
        <f>Industry!$I$28+SUM(Industry!$I$49:$I$50)/7+Industry!$I$62</f>
        <v>93101.791928571431</v>
      </c>
      <c r="H20" s="158" t="s">
        <v>139</v>
      </c>
    </row>
    <row r="21" spans="1:8" x14ac:dyDescent="0.35">
      <c r="B21" s="158" t="s">
        <v>115</v>
      </c>
      <c r="C21" s="159" t="e">
        <f>SUM(#REF!)/7+SUM(#REF!)/7</f>
        <v>#REF!</v>
      </c>
      <c r="D21" s="160" t="s">
        <v>40</v>
      </c>
      <c r="E21" s="159" t="e">
        <f>#REF!</f>
        <v>#REF!</v>
      </c>
      <c r="F21" s="160" t="e">
        <f>SUM(#REF!)/7+#REF!</f>
        <v>#REF!</v>
      </c>
      <c r="G21" s="160">
        <f>SUM(Industry!$I$49:$I$50)/7+Industry!$I$63</f>
        <v>53925.583928571432</v>
      </c>
      <c r="H21" s="158" t="s">
        <v>139</v>
      </c>
    </row>
    <row r="22" spans="1:8" x14ac:dyDescent="0.35">
      <c r="B22" s="161" t="s">
        <v>21</v>
      </c>
      <c r="C22" s="162" t="e">
        <f>SUM(C15:C21)</f>
        <v>#REF!</v>
      </c>
      <c r="D22" s="163"/>
      <c r="E22" s="163" t="e">
        <f>SUM(E15:E21)</f>
        <v>#REF!</v>
      </c>
      <c r="F22" s="163" t="e">
        <f>SUM(F15:F21)</f>
        <v>#REF!</v>
      </c>
      <c r="G22" s="163">
        <f>SUM(G15:G21)</f>
        <v>8444921.3369999994</v>
      </c>
      <c r="H22" s="158"/>
    </row>
    <row r="24" spans="1:8" x14ac:dyDescent="0.35">
      <c r="A24" s="156" t="s">
        <v>27</v>
      </c>
      <c r="B24" s="157" t="s">
        <v>129</v>
      </c>
    </row>
    <row r="25" spans="1:8" x14ac:dyDescent="0.35">
      <c r="A25" s="156" t="s">
        <v>28</v>
      </c>
      <c r="B25" s="156" t="s">
        <v>130</v>
      </c>
    </row>
    <row r="26" spans="1:8" x14ac:dyDescent="0.35">
      <c r="A26" s="156" t="s">
        <v>14</v>
      </c>
      <c r="B26" s="156" t="s">
        <v>131</v>
      </c>
    </row>
    <row r="27" spans="1:8" x14ac:dyDescent="0.35">
      <c r="A27" s="156" t="s">
        <v>26</v>
      </c>
      <c r="B27" s="156" t="s">
        <v>132</v>
      </c>
    </row>
    <row r="28" spans="1:8" x14ac:dyDescent="0.35">
      <c r="A28" s="156" t="s">
        <v>25</v>
      </c>
      <c r="B28" s="156" t="s">
        <v>136</v>
      </c>
    </row>
    <row r="29" spans="1:8" x14ac:dyDescent="0.35">
      <c r="A29" s="156" t="s">
        <v>16</v>
      </c>
      <c r="B29" s="156" t="s">
        <v>141</v>
      </c>
    </row>
    <row r="30" spans="1:8" x14ac:dyDescent="0.35">
      <c r="A30" s="156" t="s">
        <v>92</v>
      </c>
      <c r="B30" s="156" t="s">
        <v>137</v>
      </c>
    </row>
    <row r="31" spans="1:8" x14ac:dyDescent="0.35">
      <c r="A31" s="156" t="s">
        <v>113</v>
      </c>
      <c r="B31" s="156" t="s">
        <v>138</v>
      </c>
    </row>
  </sheetData>
  <mergeCells count="6">
    <mergeCell ref="B12:H12"/>
    <mergeCell ref="C13:C14"/>
    <mergeCell ref="E13:G13"/>
    <mergeCell ref="D13:D14"/>
    <mergeCell ref="H13:H14"/>
    <mergeCell ref="B13:B14"/>
  </mergeCells>
  <pageMargins left="0.7" right="0.7" top="0.75" bottom="0.75" header="0.3" footer="0.3"/>
  <pageSetup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2"/>
  <sheetViews>
    <sheetView showGridLines="0" zoomScaleNormal="100" zoomScaleSheetLayoutView="100" workbookViewId="0">
      <selection activeCell="E18" sqref="E18"/>
    </sheetView>
  </sheetViews>
  <sheetFormatPr defaultColWidth="9.109375" defaultRowHeight="12.5" x14ac:dyDescent="0.25"/>
  <cols>
    <col min="1" max="1" width="45.77734375" style="86" customWidth="1"/>
    <col min="2" max="2" width="12.77734375" style="86" customWidth="1"/>
    <col min="3" max="5" width="13.6640625" style="86" customWidth="1"/>
    <col min="6" max="6" width="16.44140625" style="86" customWidth="1"/>
    <col min="7" max="7" width="17.109375" style="86" customWidth="1"/>
    <col min="8" max="8" width="14.109375" style="86" customWidth="1"/>
    <col min="9" max="9" width="15.6640625" style="86" customWidth="1"/>
    <col min="10" max="16384" width="9.109375" style="86"/>
  </cols>
  <sheetData>
    <row r="1" spans="1:11" ht="14.5" x14ac:dyDescent="0.35">
      <c r="A1" s="176"/>
      <c r="E1" s="224">
        <v>2021</v>
      </c>
      <c r="F1" s="192">
        <v>51.23</v>
      </c>
      <c r="G1" s="192">
        <v>69.040000000000006</v>
      </c>
      <c r="H1" s="192">
        <v>27.73</v>
      </c>
      <c r="I1" s="192"/>
      <c r="J1" s="192" t="s">
        <v>169</v>
      </c>
    </row>
    <row r="2" spans="1:11" ht="42.75" customHeight="1" thickBot="1" x14ac:dyDescent="0.4">
      <c r="A2" s="204" t="s">
        <v>311</v>
      </c>
      <c r="B2" s="203"/>
      <c r="C2" s="203"/>
      <c r="D2" s="203"/>
      <c r="E2" s="203"/>
      <c r="F2" s="203"/>
      <c r="G2" s="203"/>
      <c r="H2" s="203"/>
      <c r="I2" s="203"/>
      <c r="J2" s="85"/>
      <c r="K2" s="85"/>
    </row>
    <row r="3" spans="1:11" s="93" customFormat="1" ht="69" x14ac:dyDescent="0.25">
      <c r="A3" s="214" t="s">
        <v>12</v>
      </c>
      <c r="B3" s="210" t="s">
        <v>231</v>
      </c>
      <c r="C3" s="211" t="s">
        <v>232</v>
      </c>
      <c r="D3" s="211" t="s">
        <v>233</v>
      </c>
      <c r="E3" s="211" t="s">
        <v>276</v>
      </c>
      <c r="F3" s="212" t="s">
        <v>234</v>
      </c>
      <c r="G3" s="212" t="s">
        <v>170</v>
      </c>
      <c r="H3" s="212" t="s">
        <v>235</v>
      </c>
      <c r="I3" s="213" t="s">
        <v>277</v>
      </c>
    </row>
    <row r="4" spans="1:11" s="93" customFormat="1" ht="11.5" x14ac:dyDescent="0.25">
      <c r="A4" s="94" t="s">
        <v>214</v>
      </c>
      <c r="B4" s="344" t="s">
        <v>13</v>
      </c>
      <c r="C4" s="344"/>
      <c r="D4" s="344"/>
      <c r="E4" s="344"/>
      <c r="F4" s="344"/>
      <c r="G4" s="344"/>
      <c r="H4" s="344"/>
      <c r="I4" s="345"/>
    </row>
    <row r="5" spans="1:11" s="97" customFormat="1" ht="15.75" customHeight="1" x14ac:dyDescent="0.25">
      <c r="A5" s="94" t="s">
        <v>237</v>
      </c>
      <c r="B5" s="96">
        <v>16</v>
      </c>
      <c r="C5" s="95">
        <v>0</v>
      </c>
      <c r="D5" s="96">
        <f>B5*C5</f>
        <v>0</v>
      </c>
      <c r="E5" s="96">
        <v>0</v>
      </c>
      <c r="F5" s="96">
        <f>D5*E5</f>
        <v>0</v>
      </c>
      <c r="G5" s="96">
        <f>F5*0.05</f>
        <v>0</v>
      </c>
      <c r="H5" s="96">
        <f>F5*0.1</f>
        <v>0</v>
      </c>
      <c r="I5" s="281">
        <f>F5*F$1+G5*G$1+H5*H$1</f>
        <v>0</v>
      </c>
    </row>
    <row r="6" spans="1:11" s="97" customFormat="1" ht="15.75" customHeight="1" x14ac:dyDescent="0.25">
      <c r="A6" s="98" t="s">
        <v>222</v>
      </c>
      <c r="B6" s="100"/>
      <c r="C6" s="99"/>
      <c r="D6" s="100"/>
      <c r="E6" s="100"/>
      <c r="F6" s="100"/>
      <c r="G6" s="100"/>
      <c r="H6" s="100"/>
      <c r="I6" s="282"/>
    </row>
    <row r="7" spans="1:11" s="93" customFormat="1" ht="15.75" customHeight="1" x14ac:dyDescent="0.25">
      <c r="A7" s="206" t="s">
        <v>278</v>
      </c>
      <c r="B7" s="102">
        <v>48</v>
      </c>
      <c r="C7" s="101">
        <v>0</v>
      </c>
      <c r="D7" s="96">
        <f>B7*C7</f>
        <v>0</v>
      </c>
      <c r="E7" s="102">
        <v>0</v>
      </c>
      <c r="F7" s="96">
        <f>D7*E7</f>
        <v>0</v>
      </c>
      <c r="G7" s="100">
        <f>F7*0.05</f>
        <v>0</v>
      </c>
      <c r="H7" s="100">
        <f>F7*0.1</f>
        <v>0</v>
      </c>
      <c r="I7" s="281">
        <f>F7*F$1+G7*G$1+H7*H$1</f>
        <v>0</v>
      </c>
    </row>
    <row r="8" spans="1:11" s="93" customFormat="1" ht="15.75" customHeight="1" x14ac:dyDescent="0.25">
      <c r="A8" s="207" t="s">
        <v>223</v>
      </c>
      <c r="B8" s="102">
        <v>24</v>
      </c>
      <c r="C8" s="103">
        <v>0</v>
      </c>
      <c r="D8" s="96">
        <f>B8*C8</f>
        <v>0</v>
      </c>
      <c r="E8" s="102">
        <v>0</v>
      </c>
      <c r="F8" s="96">
        <f>D8*E8</f>
        <v>0</v>
      </c>
      <c r="G8" s="104">
        <f>F8*0.05</f>
        <v>0</v>
      </c>
      <c r="H8" s="104">
        <f>F8*0.1</f>
        <v>0</v>
      </c>
      <c r="I8" s="281">
        <f>F8*F$1+G8*G$1+H8*H$1</f>
        <v>0</v>
      </c>
    </row>
    <row r="9" spans="1:11" s="93" customFormat="1" ht="15.75" customHeight="1" x14ac:dyDescent="0.25">
      <c r="A9" s="207" t="s">
        <v>218</v>
      </c>
      <c r="B9" s="349" t="s">
        <v>13</v>
      </c>
      <c r="C9" s="349"/>
      <c r="D9" s="349"/>
      <c r="E9" s="349"/>
      <c r="F9" s="349"/>
      <c r="G9" s="349"/>
      <c r="H9" s="349"/>
      <c r="I9" s="350"/>
    </row>
    <row r="10" spans="1:11" s="93" customFormat="1" ht="15.75" customHeight="1" x14ac:dyDescent="0.25">
      <c r="A10" s="207" t="s">
        <v>219</v>
      </c>
      <c r="B10" s="349" t="s">
        <v>13</v>
      </c>
      <c r="C10" s="349"/>
      <c r="D10" s="349"/>
      <c r="E10" s="349"/>
      <c r="F10" s="349"/>
      <c r="G10" s="349"/>
      <c r="H10" s="349"/>
      <c r="I10" s="350"/>
    </row>
    <row r="11" spans="1:11" s="93" customFormat="1" ht="15.75" customHeight="1" x14ac:dyDescent="0.25">
      <c r="A11" s="207" t="s">
        <v>224</v>
      </c>
      <c r="B11" s="102"/>
      <c r="C11" s="105"/>
      <c r="D11" s="102"/>
      <c r="E11" s="102"/>
      <c r="F11" s="104"/>
      <c r="G11" s="104"/>
      <c r="H11" s="104"/>
      <c r="I11" s="109"/>
    </row>
    <row r="12" spans="1:11" s="93" customFormat="1" ht="15.75" customHeight="1" x14ac:dyDescent="0.25">
      <c r="A12" s="209" t="s">
        <v>225</v>
      </c>
      <c r="B12" s="102">
        <v>3</v>
      </c>
      <c r="C12" s="101">
        <v>0</v>
      </c>
      <c r="D12" s="96">
        <f t="shared" ref="D12:D18" si="0">B12*C12</f>
        <v>0</v>
      </c>
      <c r="E12" s="101">
        <v>0</v>
      </c>
      <c r="F12" s="96">
        <f t="shared" ref="F12:F18" si="1">D12*E12</f>
        <v>0</v>
      </c>
      <c r="G12" s="104">
        <f t="shared" ref="G12:G18" si="2">F12*0.05</f>
        <v>0</v>
      </c>
      <c r="H12" s="104">
        <f t="shared" ref="H12:H18" si="3">F12*0.1</f>
        <v>0</v>
      </c>
      <c r="I12" s="281">
        <f t="shared" ref="I12:I18" si="4">F12*F$1+G12*G$1+H12*H$1</f>
        <v>0</v>
      </c>
    </row>
    <row r="13" spans="1:11" s="93" customFormat="1" ht="15.75" customHeight="1" x14ac:dyDescent="0.25">
      <c r="A13" s="209" t="s">
        <v>226</v>
      </c>
      <c r="B13" s="102">
        <v>5</v>
      </c>
      <c r="C13" s="101">
        <v>0</v>
      </c>
      <c r="D13" s="96">
        <f t="shared" si="0"/>
        <v>0</v>
      </c>
      <c r="E13" s="101">
        <v>0</v>
      </c>
      <c r="F13" s="96">
        <f t="shared" si="1"/>
        <v>0</v>
      </c>
      <c r="G13" s="104">
        <f t="shared" si="2"/>
        <v>0</v>
      </c>
      <c r="H13" s="104">
        <f t="shared" si="3"/>
        <v>0</v>
      </c>
      <c r="I13" s="281">
        <f t="shared" si="4"/>
        <v>0</v>
      </c>
    </row>
    <row r="14" spans="1:11" s="93" customFormat="1" ht="15.75" customHeight="1" x14ac:dyDescent="0.25">
      <c r="A14" s="209" t="s">
        <v>227</v>
      </c>
      <c r="B14" s="102">
        <v>10</v>
      </c>
      <c r="C14" s="101">
        <v>0</v>
      </c>
      <c r="D14" s="96">
        <f t="shared" si="0"/>
        <v>0</v>
      </c>
      <c r="E14" s="101">
        <v>0</v>
      </c>
      <c r="F14" s="96">
        <f t="shared" si="1"/>
        <v>0</v>
      </c>
      <c r="G14" s="104">
        <f t="shared" si="2"/>
        <v>0</v>
      </c>
      <c r="H14" s="104">
        <f t="shared" si="3"/>
        <v>0</v>
      </c>
      <c r="I14" s="281">
        <f t="shared" si="4"/>
        <v>0</v>
      </c>
    </row>
    <row r="15" spans="1:11" s="93" customFormat="1" ht="15.75" customHeight="1" x14ac:dyDescent="0.25">
      <c r="A15" s="209" t="s">
        <v>228</v>
      </c>
      <c r="B15" s="102">
        <v>40</v>
      </c>
      <c r="C15" s="101">
        <v>0</v>
      </c>
      <c r="D15" s="96">
        <f t="shared" si="0"/>
        <v>0</v>
      </c>
      <c r="E15" s="101">
        <v>0</v>
      </c>
      <c r="F15" s="96">
        <f t="shared" si="1"/>
        <v>0</v>
      </c>
      <c r="G15" s="104">
        <f t="shared" si="2"/>
        <v>0</v>
      </c>
      <c r="H15" s="104">
        <f t="shared" si="3"/>
        <v>0</v>
      </c>
      <c r="I15" s="281">
        <f t="shared" si="4"/>
        <v>0</v>
      </c>
    </row>
    <row r="16" spans="1:11" s="93" customFormat="1" ht="15.75" customHeight="1" x14ac:dyDescent="0.25">
      <c r="A16" s="209" t="s">
        <v>229</v>
      </c>
      <c r="B16" s="102">
        <v>20</v>
      </c>
      <c r="C16" s="101">
        <v>2</v>
      </c>
      <c r="D16" s="96">
        <f t="shared" si="0"/>
        <v>40</v>
      </c>
      <c r="E16" s="101">
        <v>3</v>
      </c>
      <c r="F16" s="194">
        <f t="shared" si="1"/>
        <v>120</v>
      </c>
      <c r="G16" s="195">
        <f t="shared" si="2"/>
        <v>6</v>
      </c>
      <c r="H16" s="195">
        <f t="shared" si="3"/>
        <v>12</v>
      </c>
      <c r="I16" s="283">
        <f t="shared" si="4"/>
        <v>6894.5999999999995</v>
      </c>
    </row>
    <row r="17" spans="1:11" s="93" customFormat="1" ht="15.75" customHeight="1" x14ac:dyDescent="0.25">
      <c r="A17" s="209" t="s">
        <v>230</v>
      </c>
      <c r="B17" s="102">
        <v>3</v>
      </c>
      <c r="C17" s="101">
        <v>1</v>
      </c>
      <c r="D17" s="96">
        <f t="shared" si="0"/>
        <v>3</v>
      </c>
      <c r="E17" s="101">
        <v>3</v>
      </c>
      <c r="F17" s="194">
        <f t="shared" si="1"/>
        <v>9</v>
      </c>
      <c r="G17" s="195">
        <f t="shared" si="2"/>
        <v>0.45</v>
      </c>
      <c r="H17" s="195">
        <f t="shared" si="3"/>
        <v>0.9</v>
      </c>
      <c r="I17" s="283">
        <f t="shared" si="4"/>
        <v>517.09500000000003</v>
      </c>
    </row>
    <row r="18" spans="1:11" s="97" customFormat="1" ht="15.75" customHeight="1" x14ac:dyDescent="0.25">
      <c r="A18" s="208" t="s">
        <v>280</v>
      </c>
      <c r="B18" s="305">
        <v>4</v>
      </c>
      <c r="C18" s="99">
        <v>1</v>
      </c>
      <c r="D18" s="100">
        <f t="shared" si="0"/>
        <v>4</v>
      </c>
      <c r="E18" s="99">
        <v>3</v>
      </c>
      <c r="F18" s="194">
        <f t="shared" si="1"/>
        <v>12</v>
      </c>
      <c r="G18" s="196">
        <f t="shared" si="2"/>
        <v>0.60000000000000009</v>
      </c>
      <c r="H18" s="196">
        <f t="shared" si="3"/>
        <v>1.2000000000000002</v>
      </c>
      <c r="I18" s="283">
        <f t="shared" si="4"/>
        <v>689.45999999999992</v>
      </c>
    </row>
    <row r="19" spans="1:11" s="97" customFormat="1" ht="15.75" customHeight="1" thickBot="1" x14ac:dyDescent="0.3">
      <c r="A19" s="205" t="s">
        <v>281</v>
      </c>
      <c r="B19" s="106"/>
      <c r="C19" s="107"/>
      <c r="D19" s="193"/>
      <c r="E19" s="193"/>
      <c r="F19" s="346">
        <f>SUM(F5:H8,F12:H18)</f>
        <v>162.14999999999998</v>
      </c>
      <c r="G19" s="347"/>
      <c r="H19" s="348"/>
      <c r="I19" s="284">
        <f>ROUND(SUM(I5:I18), -1)</f>
        <v>8100</v>
      </c>
      <c r="J19" s="108"/>
    </row>
    <row r="20" spans="1:11" s="91" customFormat="1" ht="15.75" customHeight="1" x14ac:dyDescent="0.2">
      <c r="A20" s="351" t="s">
        <v>305</v>
      </c>
      <c r="B20" s="351"/>
      <c r="C20" s="351"/>
      <c r="D20" s="351"/>
      <c r="E20" s="351"/>
      <c r="F20" s="351"/>
      <c r="G20" s="351"/>
      <c r="H20" s="351"/>
      <c r="I20" s="351"/>
      <c r="J20" s="90"/>
      <c r="K20" s="88"/>
    </row>
    <row r="21" spans="1:11" s="91" customFormat="1" ht="39" customHeight="1" x14ac:dyDescent="0.2">
      <c r="A21" s="343" t="s">
        <v>306</v>
      </c>
      <c r="B21" s="343"/>
      <c r="C21" s="343"/>
      <c r="D21" s="343"/>
      <c r="E21" s="343"/>
      <c r="F21" s="343"/>
      <c r="G21" s="343"/>
      <c r="H21" s="343"/>
      <c r="I21" s="343"/>
      <c r="J21" s="285"/>
      <c r="K21" s="88"/>
    </row>
    <row r="22" spans="1:11" s="91" customFormat="1" ht="15.75" customHeight="1" x14ac:dyDescent="0.2">
      <c r="A22" s="87" t="s">
        <v>279</v>
      </c>
      <c r="C22" s="88"/>
      <c r="D22" s="88"/>
      <c r="E22" s="88"/>
      <c r="F22" s="89"/>
      <c r="G22" s="89"/>
      <c r="H22" s="89"/>
      <c r="I22" s="89"/>
      <c r="J22" s="90"/>
      <c r="K22" s="88"/>
    </row>
    <row r="23" spans="1:11" s="91" customFormat="1" ht="15.75" customHeight="1" x14ac:dyDescent="0.2">
      <c r="A23" s="87" t="s">
        <v>282</v>
      </c>
      <c r="C23" s="88"/>
      <c r="D23" s="88"/>
      <c r="E23" s="88"/>
      <c r="F23" s="89"/>
      <c r="G23" s="89"/>
      <c r="H23" s="89"/>
      <c r="I23" s="89"/>
      <c r="J23" s="90"/>
      <c r="K23" s="88"/>
    </row>
    <row r="24" spans="1:11" s="91" customFormat="1" ht="15.75" customHeight="1" x14ac:dyDescent="0.2">
      <c r="A24" s="91" t="s">
        <v>283</v>
      </c>
      <c r="C24" s="88"/>
      <c r="D24" s="88"/>
      <c r="E24" s="88"/>
      <c r="F24" s="89"/>
      <c r="G24" s="89"/>
      <c r="H24" s="89"/>
      <c r="I24" s="89"/>
      <c r="J24" s="90"/>
      <c r="K24" s="88"/>
    </row>
    <row r="25" spans="1:11" ht="16" customHeight="1" x14ac:dyDescent="0.25">
      <c r="A25" s="83" t="s">
        <v>284</v>
      </c>
    </row>
    <row r="28" spans="1:11" x14ac:dyDescent="0.25">
      <c r="A28"/>
      <c r="B28"/>
    </row>
    <row r="29" spans="1:11" ht="13" x14ac:dyDescent="0.3">
      <c r="A29"/>
      <c r="B29"/>
      <c r="C29" s="91"/>
      <c r="D29" s="91"/>
      <c r="E29" s="91"/>
      <c r="G29" s="49"/>
      <c r="H29" s="87"/>
    </row>
    <row r="30" spans="1:11" x14ac:dyDescent="0.25">
      <c r="A30"/>
      <c r="B30"/>
      <c r="C30" s="91"/>
      <c r="D30" s="91"/>
      <c r="E30" s="91"/>
      <c r="G30" s="87"/>
      <c r="H30" s="87"/>
    </row>
    <row r="31" spans="1:11" x14ac:dyDescent="0.25">
      <c r="A31"/>
      <c r="B31"/>
      <c r="G31" s="87"/>
      <c r="H31" s="92"/>
    </row>
    <row r="32" spans="1:11" x14ac:dyDescent="0.25">
      <c r="A32"/>
      <c r="B32"/>
      <c r="G32" s="87"/>
      <c r="H32" s="92"/>
    </row>
    <row r="33" spans="1:8" x14ac:dyDescent="0.25">
      <c r="A33"/>
      <c r="B33"/>
      <c r="G33" s="87"/>
      <c r="H33" s="92"/>
    </row>
    <row r="34" spans="1:8" x14ac:dyDescent="0.25">
      <c r="A34"/>
      <c r="B34"/>
      <c r="G34" s="87"/>
      <c r="H34" s="87"/>
    </row>
    <row r="35" spans="1:8" x14ac:dyDescent="0.25">
      <c r="A35"/>
      <c r="B35"/>
    </row>
    <row r="36" spans="1:8" x14ac:dyDescent="0.25">
      <c r="A36"/>
      <c r="B36"/>
    </row>
    <row r="37" spans="1:8" x14ac:dyDescent="0.25">
      <c r="A37"/>
      <c r="B37"/>
    </row>
    <row r="38" spans="1:8" x14ac:dyDescent="0.25">
      <c r="A38"/>
      <c r="B38"/>
    </row>
    <row r="39" spans="1:8" x14ac:dyDescent="0.25">
      <c r="A39"/>
      <c r="B39"/>
    </row>
    <row r="40" spans="1:8" x14ac:dyDescent="0.25">
      <c r="A40"/>
      <c r="B40"/>
    </row>
    <row r="41" spans="1:8" x14ac:dyDescent="0.25">
      <c r="A41"/>
      <c r="B41"/>
    </row>
    <row r="42" spans="1:8" x14ac:dyDescent="0.25">
      <c r="A42"/>
      <c r="B42"/>
    </row>
  </sheetData>
  <mergeCells count="6">
    <mergeCell ref="A21:I21"/>
    <mergeCell ref="B4:I4"/>
    <mergeCell ref="F19:H19"/>
    <mergeCell ref="B9:I9"/>
    <mergeCell ref="B10:I10"/>
    <mergeCell ref="A20:I20"/>
  </mergeCells>
  <printOptions horizontalCentered="1"/>
  <pageMargins left="0.75" right="0.75" top="1" bottom="1" header="0.25" footer="0.25"/>
  <pageSetup scale="88"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H61"/>
  <sheetViews>
    <sheetView zoomScaleNormal="100" workbookViewId="0">
      <selection activeCell="C37" sqref="C37"/>
    </sheetView>
  </sheetViews>
  <sheetFormatPr defaultColWidth="10.6640625" defaultRowHeight="12.5" x14ac:dyDescent="0.25"/>
  <cols>
    <col min="1" max="1" width="3.109375" style="53" customWidth="1"/>
    <col min="2" max="2" width="60.109375" style="53" bestFit="1" customWidth="1"/>
    <col min="3" max="3" width="39.77734375" style="53" customWidth="1"/>
    <col min="4" max="4" width="14.109375" style="53" customWidth="1"/>
    <col min="5" max="5" width="15.6640625" style="53" customWidth="1"/>
    <col min="6" max="6" width="26.44140625" style="53" customWidth="1"/>
    <col min="7" max="7" width="39.44140625" style="53" bestFit="1" customWidth="1"/>
    <col min="8" max="8" width="16.77734375" style="53" bestFit="1" customWidth="1"/>
    <col min="9" max="9" width="13" style="36" bestFit="1" customWidth="1"/>
    <col min="10" max="10" width="11.77734375" style="36" bestFit="1" customWidth="1"/>
    <col min="11" max="16384" width="10.6640625" style="36"/>
  </cols>
  <sheetData>
    <row r="1" spans="1:8" ht="20" x14ac:dyDescent="0.4">
      <c r="A1" s="173" t="s">
        <v>79</v>
      </c>
    </row>
    <row r="2" spans="1:8" ht="13" x14ac:dyDescent="0.3">
      <c r="A2" s="55" t="s">
        <v>31</v>
      </c>
      <c r="B2" s="55"/>
      <c r="C2" s="56" t="s">
        <v>32</v>
      </c>
      <c r="D2" s="56" t="s">
        <v>35</v>
      </c>
      <c r="E2" s="56" t="s">
        <v>80</v>
      </c>
      <c r="F2" s="56" t="s">
        <v>81</v>
      </c>
      <c r="G2" s="56" t="s">
        <v>82</v>
      </c>
      <c r="H2" s="56" t="s">
        <v>83</v>
      </c>
    </row>
    <row r="3" spans="1:8" x14ac:dyDescent="0.25">
      <c r="A3" s="57"/>
      <c r="B3" s="57"/>
      <c r="C3" s="57"/>
      <c r="D3" s="58"/>
      <c r="E3" s="59"/>
      <c r="F3" s="59"/>
      <c r="G3" s="59"/>
      <c r="H3" s="59"/>
    </row>
    <row r="4" spans="1:8" x14ac:dyDescent="0.25">
      <c r="A4" s="60" t="s">
        <v>33</v>
      </c>
      <c r="B4" s="57"/>
      <c r="C4" s="57"/>
      <c r="D4" s="58"/>
      <c r="E4" s="59"/>
      <c r="F4" s="59"/>
      <c r="G4" s="59"/>
      <c r="H4" s="59"/>
    </row>
    <row r="5" spans="1:8" x14ac:dyDescent="0.25">
      <c r="A5" s="61"/>
      <c r="B5" s="61" t="s">
        <v>43</v>
      </c>
      <c r="C5" s="57"/>
      <c r="D5" s="58"/>
      <c r="E5" s="59"/>
      <c r="F5" s="59"/>
      <c r="G5" s="59"/>
      <c r="H5" s="59"/>
    </row>
    <row r="6" spans="1:8" x14ac:dyDescent="0.25">
      <c r="A6" s="61"/>
      <c r="B6" s="62" t="s">
        <v>44</v>
      </c>
      <c r="C6" s="62"/>
      <c r="D6" s="62">
        <v>539.1</v>
      </c>
      <c r="E6" s="59"/>
      <c r="F6" s="59"/>
      <c r="G6" s="59"/>
      <c r="H6" s="59"/>
    </row>
    <row r="7" spans="1:8" x14ac:dyDescent="0.25">
      <c r="A7" s="61"/>
      <c r="B7" s="63" t="s">
        <v>45</v>
      </c>
      <c r="C7" s="62"/>
      <c r="D7" s="62">
        <v>521.9</v>
      </c>
      <c r="E7" s="59"/>
      <c r="F7" s="59"/>
      <c r="G7" s="59"/>
      <c r="H7" s="59"/>
    </row>
    <row r="8" spans="1:8" x14ac:dyDescent="0.25">
      <c r="A8" s="57"/>
      <c r="B8" s="62" t="s">
        <v>46</v>
      </c>
      <c r="C8" s="62"/>
      <c r="D8" s="62">
        <v>358.2</v>
      </c>
      <c r="E8" s="59"/>
      <c r="F8" s="59"/>
      <c r="G8" s="59"/>
      <c r="H8" s="59"/>
    </row>
    <row r="9" spans="1:8" x14ac:dyDescent="0.25">
      <c r="A9" s="57"/>
      <c r="B9" s="57"/>
      <c r="C9" s="57"/>
      <c r="D9" s="58"/>
      <c r="E9" s="59"/>
      <c r="F9" s="59"/>
      <c r="G9" s="59"/>
      <c r="H9" s="59"/>
    </row>
    <row r="10" spans="1:8" x14ac:dyDescent="0.25">
      <c r="A10" s="61" t="s">
        <v>36</v>
      </c>
      <c r="B10" s="61"/>
      <c r="C10" s="61"/>
      <c r="D10" s="61"/>
      <c r="E10" s="59"/>
      <c r="F10" s="59"/>
      <c r="G10" s="59"/>
      <c r="H10" s="59"/>
    </row>
    <row r="11" spans="1:8" x14ac:dyDescent="0.25">
      <c r="A11" s="61"/>
      <c r="B11" s="61" t="s">
        <v>47</v>
      </c>
      <c r="C11" s="61" t="s">
        <v>48</v>
      </c>
      <c r="D11" s="64">
        <v>0</v>
      </c>
      <c r="E11" s="59">
        <v>1</v>
      </c>
      <c r="F11" s="65">
        <f>D11/E11</f>
        <v>0</v>
      </c>
      <c r="G11" s="66">
        <f>D11*$D$18</f>
        <v>0</v>
      </c>
      <c r="H11" s="66">
        <f>F11+G11</f>
        <v>0</v>
      </c>
    </row>
    <row r="12" spans="1:8" x14ac:dyDescent="0.25">
      <c r="A12" s="61"/>
      <c r="B12" s="61" t="s">
        <v>49</v>
      </c>
      <c r="C12" s="67" t="s">
        <v>50</v>
      </c>
      <c r="D12" s="68"/>
      <c r="E12" s="59">
        <v>1</v>
      </c>
      <c r="F12" s="69"/>
      <c r="G12" s="70">
        <f>D12*$D$18</f>
        <v>0</v>
      </c>
      <c r="H12" s="70">
        <f>F12+G12</f>
        <v>0</v>
      </c>
    </row>
    <row r="13" spans="1:8" x14ac:dyDescent="0.25">
      <c r="A13" s="61"/>
      <c r="B13" s="61" t="s">
        <v>51</v>
      </c>
      <c r="C13" s="67" t="s">
        <v>52</v>
      </c>
      <c r="D13" s="68">
        <f>ROUND(21000*D6/D8,-3)-5000</f>
        <v>27000</v>
      </c>
      <c r="E13" s="59">
        <v>1</v>
      </c>
      <c r="F13" s="69">
        <f>D13/E13</f>
        <v>27000</v>
      </c>
      <c r="G13" s="70"/>
      <c r="H13" s="70">
        <f>F13+G13</f>
        <v>27000</v>
      </c>
    </row>
    <row r="14" spans="1:8" x14ac:dyDescent="0.25">
      <c r="A14" s="61"/>
      <c r="B14" s="61" t="s">
        <v>84</v>
      </c>
      <c r="C14" s="71" t="s">
        <v>85</v>
      </c>
      <c r="D14" s="68">
        <f>6000*D6/D7</f>
        <v>6197.7390304656064</v>
      </c>
      <c r="E14" s="59">
        <v>1</v>
      </c>
      <c r="F14" s="69">
        <f>D14/E14</f>
        <v>6197.7390304656064</v>
      </c>
      <c r="G14" s="70"/>
      <c r="H14" s="70">
        <f>F14+G14</f>
        <v>6197.7390304656064</v>
      </c>
    </row>
    <row r="15" spans="1:8" x14ac:dyDescent="0.25">
      <c r="A15" s="61"/>
      <c r="B15" s="60" t="s">
        <v>94</v>
      </c>
      <c r="C15" s="67"/>
      <c r="D15" s="68">
        <v>10000</v>
      </c>
      <c r="E15" s="59">
        <v>1</v>
      </c>
      <c r="F15" s="69">
        <f>D15/E15</f>
        <v>10000</v>
      </c>
      <c r="G15" s="70"/>
      <c r="H15" s="70">
        <f>F15+G15</f>
        <v>10000</v>
      </c>
    </row>
    <row r="16" spans="1:8" s="116" customFormat="1" x14ac:dyDescent="0.25">
      <c r="A16" s="60"/>
      <c r="B16" s="117" t="s">
        <v>95</v>
      </c>
      <c r="C16" s="112"/>
      <c r="D16" s="112"/>
      <c r="E16" s="113"/>
      <c r="F16" s="114"/>
      <c r="G16" s="115"/>
      <c r="H16" s="115"/>
    </row>
    <row r="17" spans="1:8" x14ac:dyDescent="0.25">
      <c r="A17" s="59"/>
      <c r="B17" s="61"/>
      <c r="C17" s="61"/>
      <c r="D17" s="61"/>
      <c r="E17" s="59"/>
      <c r="F17" s="59"/>
      <c r="G17" s="59"/>
      <c r="H17" s="59"/>
    </row>
    <row r="18" spans="1:8" x14ac:dyDescent="0.25">
      <c r="A18" s="61" t="s">
        <v>86</v>
      </c>
      <c r="B18" s="61" t="s">
        <v>53</v>
      </c>
      <c r="C18" s="61" t="s">
        <v>54</v>
      </c>
      <c r="D18" s="72">
        <f>(0.07*(1+0.07)^20)/((1+0.07)^20-1)</f>
        <v>9.4392925743255696E-2</v>
      </c>
      <c r="E18" s="59"/>
      <c r="F18" s="59"/>
      <c r="G18" s="59"/>
      <c r="H18" s="59"/>
    </row>
    <row r="19" spans="1:8" x14ac:dyDescent="0.25">
      <c r="A19" s="61"/>
      <c r="B19" s="57"/>
      <c r="C19" s="61"/>
      <c r="D19" s="73"/>
      <c r="E19" s="59"/>
      <c r="F19" s="59"/>
      <c r="G19" s="59"/>
      <c r="H19" s="59"/>
    </row>
    <row r="20" spans="1:8" x14ac:dyDescent="0.25">
      <c r="A20" s="61" t="s">
        <v>87</v>
      </c>
      <c r="B20" s="57"/>
      <c r="C20" s="61"/>
      <c r="D20" s="73"/>
      <c r="E20" s="59"/>
      <c r="F20" s="59"/>
      <c r="G20" s="59"/>
      <c r="H20" s="59"/>
    </row>
    <row r="21" spans="1:8" ht="13" x14ac:dyDescent="0.3">
      <c r="A21" s="61"/>
      <c r="B21" s="61" t="s">
        <v>88</v>
      </c>
      <c r="C21" s="61"/>
      <c r="D21" s="73"/>
      <c r="E21" s="59"/>
      <c r="F21" s="59"/>
      <c r="G21" s="59"/>
      <c r="H21" s="74">
        <f>SUM(H11:H12,H14:H16)</f>
        <v>16197.739030465607</v>
      </c>
    </row>
    <row r="22" spans="1:8" ht="13" x14ac:dyDescent="0.3">
      <c r="A22" s="61"/>
      <c r="B22" s="61" t="s">
        <v>89</v>
      </c>
      <c r="C22" s="61"/>
      <c r="D22" s="73"/>
      <c r="E22" s="59"/>
      <c r="F22" s="59"/>
      <c r="G22" s="59"/>
      <c r="H22" s="74">
        <f>H13</f>
        <v>27000</v>
      </c>
    </row>
    <row r="23" spans="1:8" ht="13" x14ac:dyDescent="0.3">
      <c r="A23" s="61"/>
      <c r="B23" s="57" t="s">
        <v>90</v>
      </c>
      <c r="C23" s="61"/>
      <c r="D23" s="145">
        <f>SUM(D12:D15)</f>
        <v>43197.739030465607</v>
      </c>
      <c r="E23" s="59"/>
      <c r="F23" s="59"/>
      <c r="G23" s="59"/>
      <c r="H23" s="82">
        <f>ROUND(SUM(H21:H22),0)</f>
        <v>43198</v>
      </c>
    </row>
    <row r="24" spans="1:8" x14ac:dyDescent="0.25">
      <c r="A24" s="75" t="s">
        <v>91</v>
      </c>
      <c r="B24" s="75"/>
      <c r="C24" s="75"/>
      <c r="D24" s="75"/>
      <c r="F24" s="76"/>
    </row>
    <row r="25" spans="1:8" x14ac:dyDescent="0.25">
      <c r="A25" s="75"/>
      <c r="B25" s="75"/>
      <c r="C25" s="75"/>
      <c r="D25" s="75"/>
      <c r="F25" s="76"/>
    </row>
    <row r="26" spans="1:8" x14ac:dyDescent="0.25">
      <c r="A26" s="75"/>
      <c r="B26" s="75"/>
      <c r="C26" s="75"/>
      <c r="D26" s="75"/>
      <c r="F26" s="76"/>
    </row>
    <row r="27" spans="1:8" x14ac:dyDescent="0.25">
      <c r="A27" s="77" t="s">
        <v>37</v>
      </c>
      <c r="B27" s="78"/>
      <c r="C27" s="78"/>
    </row>
    <row r="28" spans="1:8" x14ac:dyDescent="0.25">
      <c r="A28" s="352" t="s">
        <v>148</v>
      </c>
      <c r="B28" s="352"/>
      <c r="C28" s="352"/>
      <c r="D28" s="352"/>
    </row>
    <row r="29" spans="1:8" x14ac:dyDescent="0.25">
      <c r="A29" s="352" t="s">
        <v>55</v>
      </c>
      <c r="B29" s="352"/>
      <c r="C29" s="352"/>
      <c r="D29" s="352"/>
    </row>
    <row r="30" spans="1:8" s="53" customFormat="1" x14ac:dyDescent="0.25">
      <c r="A30" s="353" t="s">
        <v>34</v>
      </c>
      <c r="B30" s="353"/>
      <c r="C30" s="353"/>
      <c r="D30" s="353"/>
      <c r="E30" s="79"/>
      <c r="F30" s="79"/>
      <c r="G30" s="79"/>
      <c r="H30" s="79"/>
    </row>
    <row r="31" spans="1:8" s="53" customFormat="1" ht="10.5" x14ac:dyDescent="0.25">
      <c r="A31" s="352" t="s">
        <v>56</v>
      </c>
      <c r="B31" s="352"/>
      <c r="C31" s="352"/>
      <c r="D31" s="352"/>
      <c r="E31" s="80"/>
    </row>
    <row r="32" spans="1:8" s="53" customFormat="1" ht="10.5" x14ac:dyDescent="0.25">
      <c r="A32" s="352" t="s">
        <v>57</v>
      </c>
      <c r="B32" s="352"/>
      <c r="C32" s="352"/>
      <c r="D32" s="352"/>
    </row>
    <row r="33" spans="1:4" s="53" customFormat="1" ht="10.5" x14ac:dyDescent="0.25">
      <c r="A33" s="352" t="s">
        <v>58</v>
      </c>
      <c r="B33" s="352"/>
      <c r="C33" s="352"/>
      <c r="D33" s="352"/>
    </row>
    <row r="34" spans="1:4" s="53" customFormat="1" ht="10.5" x14ac:dyDescent="0.25">
      <c r="A34" s="352" t="s">
        <v>59</v>
      </c>
      <c r="B34" s="352"/>
      <c r="C34" s="352"/>
      <c r="D34" s="352"/>
    </row>
    <row r="35" spans="1:4" s="53" customFormat="1" ht="10.5" x14ac:dyDescent="0.25">
      <c r="A35" s="352"/>
      <c r="B35" s="352"/>
      <c r="C35" s="352"/>
      <c r="D35" s="352"/>
    </row>
    <row r="36" spans="1:4" s="53" customFormat="1" ht="10.5" x14ac:dyDescent="0.25">
      <c r="A36" s="81"/>
      <c r="D36" s="80"/>
    </row>
    <row r="37" spans="1:4" s="53" customFormat="1" ht="10.5" x14ac:dyDescent="0.25">
      <c r="A37" s="81"/>
      <c r="D37" s="80"/>
    </row>
    <row r="38" spans="1:4" s="53" customFormat="1" ht="10.5" x14ac:dyDescent="0.25">
      <c r="A38" s="81"/>
      <c r="D38" s="80"/>
    </row>
    <row r="39" spans="1:4" s="53" customFormat="1" ht="10.5" x14ac:dyDescent="0.25">
      <c r="A39" s="81"/>
      <c r="D39" s="80"/>
    </row>
    <row r="40" spans="1:4" s="53" customFormat="1" ht="10.5" x14ac:dyDescent="0.25">
      <c r="A40" s="81"/>
      <c r="D40" s="80"/>
    </row>
    <row r="41" spans="1:4" s="53" customFormat="1" ht="10.5" x14ac:dyDescent="0.25">
      <c r="A41" s="81"/>
      <c r="D41" s="80"/>
    </row>
    <row r="42" spans="1:4" s="53" customFormat="1" ht="10.5" x14ac:dyDescent="0.25">
      <c r="A42" s="81"/>
      <c r="D42" s="80"/>
    </row>
    <row r="43" spans="1:4" s="53" customFormat="1" ht="10.5" x14ac:dyDescent="0.25">
      <c r="A43" s="81"/>
      <c r="D43" s="80"/>
    </row>
    <row r="44" spans="1:4" s="53" customFormat="1" ht="10.5" x14ac:dyDescent="0.25">
      <c r="A44" s="81"/>
      <c r="D44" s="80"/>
    </row>
    <row r="45" spans="1:4" s="53" customFormat="1" ht="10.5" x14ac:dyDescent="0.25">
      <c r="A45" s="81"/>
      <c r="D45" s="80"/>
    </row>
    <row r="46" spans="1:4" s="53" customFormat="1" ht="10.5" x14ac:dyDescent="0.25">
      <c r="A46" s="81"/>
      <c r="D46" s="80"/>
    </row>
    <row r="47" spans="1:4" s="53" customFormat="1" ht="10.5" x14ac:dyDescent="0.25">
      <c r="A47" s="81"/>
      <c r="D47" s="80"/>
    </row>
    <row r="48" spans="1:4" s="53" customFormat="1" ht="10.5" x14ac:dyDescent="0.25">
      <c r="A48" s="81"/>
      <c r="D48" s="80"/>
    </row>
    <row r="49" spans="1:8" s="53" customFormat="1" ht="10.5" x14ac:dyDescent="0.25">
      <c r="A49" s="81"/>
      <c r="D49" s="80"/>
    </row>
    <row r="50" spans="1:8" s="53" customFormat="1" ht="10.5" x14ac:dyDescent="0.25">
      <c r="A50" s="81"/>
      <c r="D50" s="80"/>
    </row>
    <row r="51" spans="1:8" s="53" customFormat="1" ht="10.5" x14ac:dyDescent="0.25">
      <c r="A51" s="81"/>
      <c r="D51" s="80"/>
    </row>
    <row r="52" spans="1:8" s="53" customFormat="1" ht="10.5" x14ac:dyDescent="0.25">
      <c r="A52" s="81"/>
      <c r="D52" s="80"/>
    </row>
    <row r="53" spans="1:8" s="53" customFormat="1" ht="10.5" x14ac:dyDescent="0.25">
      <c r="A53" s="81"/>
      <c r="D53" s="80"/>
    </row>
    <row r="54" spans="1:8" s="53" customFormat="1" ht="10.5" x14ac:dyDescent="0.25">
      <c r="A54" s="81"/>
      <c r="D54" s="80"/>
    </row>
    <row r="55" spans="1:8" s="53" customFormat="1" ht="11.25" customHeight="1" x14ac:dyDescent="0.25">
      <c r="A55" s="81"/>
      <c r="D55" s="80"/>
    </row>
    <row r="56" spans="1:8" s="53" customFormat="1" ht="22.5" customHeight="1" x14ac:dyDescent="0.25">
      <c r="A56" s="81"/>
      <c r="D56" s="80"/>
    </row>
    <row r="57" spans="1:8" s="79" customFormat="1" ht="12.75" customHeight="1" x14ac:dyDescent="0.25">
      <c r="A57" s="81"/>
      <c r="B57" s="53"/>
      <c r="C57" s="53"/>
      <c r="D57" s="80"/>
      <c r="E57" s="53"/>
      <c r="F57" s="53"/>
      <c r="G57" s="53"/>
      <c r="H57" s="53"/>
    </row>
    <row r="58" spans="1:8" s="53" customFormat="1" ht="22.5" customHeight="1" x14ac:dyDescent="0.25">
      <c r="A58" s="81"/>
      <c r="D58" s="80"/>
    </row>
    <row r="59" spans="1:8" s="53" customFormat="1" ht="22.5" customHeight="1" x14ac:dyDescent="0.25">
      <c r="A59" s="81"/>
      <c r="D59" s="80"/>
    </row>
    <row r="60" spans="1:8" s="53" customFormat="1" ht="22.5" customHeight="1" x14ac:dyDescent="0.25">
      <c r="A60" s="81"/>
      <c r="D60" s="80"/>
    </row>
    <row r="61" spans="1:8" s="53" customFormat="1" ht="11.25" customHeight="1" x14ac:dyDescent="0.25">
      <c r="A61" s="81"/>
      <c r="D61" s="80"/>
    </row>
  </sheetData>
  <mergeCells count="8">
    <mergeCell ref="A33:D33"/>
    <mergeCell ref="A34:D34"/>
    <mergeCell ref="A35:D35"/>
    <mergeCell ref="A28:D28"/>
    <mergeCell ref="A29:D29"/>
    <mergeCell ref="A30:D30"/>
    <mergeCell ref="A31:D31"/>
    <mergeCell ref="A32:D32"/>
  </mergeCells>
  <phoneticPr fontId="4" type="noConversion"/>
  <printOptions horizontalCentered="1"/>
  <pageMargins left="0.75" right="0.5" top="1" bottom="0.75" header="0.5" footer="0.5"/>
  <pageSetup scale="70" orientation="portrait" r:id="rId1"/>
  <headerFooter alignWithMargins="0">
    <oddHeader>&amp;C&amp;"Arial,Bold"Table 6d. Stack Testing Costs</oddHead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0000"/>
  </sheetPr>
  <dimension ref="A1:F34"/>
  <sheetViews>
    <sheetView workbookViewId="0">
      <selection activeCell="C37" sqref="C37"/>
    </sheetView>
  </sheetViews>
  <sheetFormatPr defaultColWidth="10.6640625" defaultRowHeight="12.5" x14ac:dyDescent="0.25"/>
  <cols>
    <col min="1" max="1" width="36.44140625" style="36" customWidth="1"/>
    <col min="2" max="2" width="10.6640625" style="36" customWidth="1"/>
    <col min="3" max="3" width="33.109375" style="36" customWidth="1"/>
    <col min="4" max="4" width="36.77734375" style="36" bestFit="1" customWidth="1"/>
    <col min="5" max="5" width="12.77734375" style="36" bestFit="1" customWidth="1"/>
    <col min="6" max="6" width="14" style="36" customWidth="1"/>
    <col min="7" max="16384" width="10.6640625" style="36"/>
  </cols>
  <sheetData>
    <row r="1" spans="1:6" ht="20" x14ac:dyDescent="0.4">
      <c r="A1" s="172" t="s">
        <v>154</v>
      </c>
      <c r="B1" s="121"/>
      <c r="C1" s="121"/>
      <c r="D1" s="121"/>
      <c r="E1" s="121"/>
      <c r="F1" s="121"/>
    </row>
    <row r="2" spans="1:6" ht="13" x14ac:dyDescent="0.3">
      <c r="A2" s="121"/>
      <c r="B2" s="121"/>
      <c r="C2" s="121"/>
      <c r="D2" s="121"/>
      <c r="E2" s="120"/>
      <c r="F2" s="121"/>
    </row>
    <row r="3" spans="1:6" ht="13" x14ac:dyDescent="0.3">
      <c r="A3" s="120"/>
      <c r="B3" s="122" t="s">
        <v>97</v>
      </c>
      <c r="C3" s="122" t="s">
        <v>98</v>
      </c>
      <c r="D3" s="122" t="s">
        <v>39</v>
      </c>
      <c r="E3" s="121"/>
      <c r="F3" s="121"/>
    </row>
    <row r="4" spans="1:6" ht="13" x14ac:dyDescent="0.3">
      <c r="A4" s="120" t="s">
        <v>99</v>
      </c>
      <c r="B4" s="123">
        <v>201</v>
      </c>
      <c r="C4" s="123">
        <v>400</v>
      </c>
      <c r="D4" s="123">
        <f>AVERAGE(B4:C4)</f>
        <v>300.5</v>
      </c>
      <c r="E4" s="121"/>
      <c r="F4" s="121"/>
    </row>
    <row r="5" spans="1:6" x14ac:dyDescent="0.25">
      <c r="A5" s="121"/>
      <c r="B5" s="121"/>
      <c r="C5" s="121"/>
      <c r="D5" s="121"/>
      <c r="E5" s="121"/>
      <c r="F5" s="121"/>
    </row>
    <row r="6" spans="1:6" ht="13" x14ac:dyDescent="0.3">
      <c r="A6" s="120" t="s">
        <v>60</v>
      </c>
      <c r="B6" s="121"/>
      <c r="C6" s="121"/>
      <c r="D6" s="121"/>
      <c r="E6" s="121"/>
      <c r="F6" s="121"/>
    </row>
    <row r="7" spans="1:6" x14ac:dyDescent="0.25">
      <c r="A7" s="121"/>
      <c r="B7" s="121"/>
      <c r="C7" s="121"/>
      <c r="D7" s="121"/>
      <c r="E7" s="121"/>
      <c r="F7" s="121"/>
    </row>
    <row r="8" spans="1:6" ht="14.5" x14ac:dyDescent="0.25">
      <c r="A8" s="121">
        <v>3</v>
      </c>
      <c r="B8" s="124" t="s">
        <v>78</v>
      </c>
      <c r="C8" s="121"/>
      <c r="D8" s="121"/>
      <c r="E8" s="125">
        <f>A8*D4*2</f>
        <v>1803</v>
      </c>
      <c r="F8" s="121"/>
    </row>
    <row r="9" spans="1:6" x14ac:dyDescent="0.25">
      <c r="A9" s="121"/>
      <c r="B9" s="121"/>
      <c r="C9" s="121"/>
      <c r="D9" s="121"/>
      <c r="E9" s="121"/>
      <c r="F9" s="121"/>
    </row>
    <row r="10" spans="1:6" ht="13" x14ac:dyDescent="0.3">
      <c r="A10" s="126" t="s">
        <v>61</v>
      </c>
      <c r="B10" s="127"/>
      <c r="C10" s="127"/>
      <c r="D10" s="127"/>
      <c r="E10" s="128">
        <f>SUM(E8:E8)</f>
        <v>1803</v>
      </c>
      <c r="F10" s="121"/>
    </row>
    <row r="11" spans="1:6" x14ac:dyDescent="0.25">
      <c r="A11" s="121"/>
      <c r="B11" s="121"/>
      <c r="C11" s="121"/>
      <c r="D11" s="121"/>
      <c r="E11" s="121"/>
      <c r="F11" s="121"/>
    </row>
    <row r="12" spans="1:6" x14ac:dyDescent="0.25">
      <c r="A12" s="129" t="s">
        <v>53</v>
      </c>
      <c r="B12" s="130" t="s">
        <v>54</v>
      </c>
      <c r="C12" s="121"/>
      <c r="D12" s="121"/>
      <c r="E12" s="131">
        <f>(0.07*(1+0.07)^20)/((1+0.07)^20-1)</f>
        <v>9.4392925743255696E-2</v>
      </c>
      <c r="F12" s="121"/>
    </row>
    <row r="13" spans="1:6" x14ac:dyDescent="0.25">
      <c r="A13" s="121"/>
      <c r="B13" s="121"/>
      <c r="C13" s="121"/>
      <c r="D13" s="121"/>
      <c r="E13" s="121"/>
      <c r="F13" s="121"/>
    </row>
    <row r="14" spans="1:6" ht="13" x14ac:dyDescent="0.3">
      <c r="A14" s="127" t="s">
        <v>62</v>
      </c>
      <c r="B14" s="132" t="s">
        <v>100</v>
      </c>
      <c r="C14" s="127"/>
      <c r="D14" s="127"/>
      <c r="E14" s="133">
        <f>E10*E12</f>
        <v>170.19044511509003</v>
      </c>
      <c r="F14" s="121"/>
    </row>
    <row r="15" spans="1:6" x14ac:dyDescent="0.25">
      <c r="A15" s="121"/>
      <c r="B15" s="121"/>
      <c r="C15" s="121"/>
      <c r="D15" s="121"/>
      <c r="E15" s="121"/>
      <c r="F15" s="121"/>
    </row>
    <row r="16" spans="1:6" x14ac:dyDescent="0.25">
      <c r="A16" s="121"/>
      <c r="B16" s="121"/>
      <c r="C16" s="121"/>
      <c r="D16" s="121"/>
      <c r="E16" s="121"/>
      <c r="F16" s="121"/>
    </row>
    <row r="17" spans="1:6" ht="13" x14ac:dyDescent="0.3">
      <c r="A17" s="120" t="s">
        <v>63</v>
      </c>
      <c r="B17" s="121"/>
      <c r="C17" s="121"/>
      <c r="D17" s="121"/>
      <c r="E17" s="121"/>
      <c r="F17" s="121"/>
    </row>
    <row r="18" spans="1:6" x14ac:dyDescent="0.25">
      <c r="A18" s="121"/>
      <c r="B18" s="121"/>
      <c r="C18" s="121"/>
      <c r="D18" s="121"/>
      <c r="E18" s="121"/>
      <c r="F18" s="121"/>
    </row>
    <row r="19" spans="1:6" ht="14.5" x14ac:dyDescent="0.25">
      <c r="A19" s="121">
        <v>1</v>
      </c>
      <c r="B19" s="124" t="s">
        <v>76</v>
      </c>
      <c r="C19" s="121"/>
      <c r="D19" s="121"/>
      <c r="E19" s="125">
        <f>A19*D4*2</f>
        <v>601</v>
      </c>
      <c r="F19" s="121"/>
    </row>
    <row r="20" spans="1:6" x14ac:dyDescent="0.25">
      <c r="A20" s="121"/>
      <c r="B20" s="121"/>
      <c r="C20" s="121"/>
      <c r="D20" s="121"/>
      <c r="E20" s="121"/>
      <c r="F20" s="121"/>
    </row>
    <row r="21" spans="1:6" x14ac:dyDescent="0.25">
      <c r="A21" s="121"/>
      <c r="B21" s="121"/>
      <c r="C21" s="121"/>
      <c r="D21" s="121"/>
      <c r="E21" s="121"/>
      <c r="F21" s="121"/>
    </row>
    <row r="22" spans="1:6" x14ac:dyDescent="0.25">
      <c r="A22" s="121"/>
      <c r="B22" s="121"/>
      <c r="C22" s="121"/>
      <c r="D22" s="121"/>
      <c r="E22" s="121"/>
      <c r="F22" s="121"/>
    </row>
    <row r="23" spans="1:6" x14ac:dyDescent="0.25">
      <c r="A23" s="121"/>
      <c r="B23" s="121"/>
      <c r="C23" s="121"/>
      <c r="D23" s="121"/>
      <c r="E23" s="121"/>
      <c r="F23" s="121"/>
    </row>
    <row r="24" spans="1:6" ht="39" x14ac:dyDescent="0.25">
      <c r="A24" s="134" t="s">
        <v>64</v>
      </c>
      <c r="B24" s="134" t="s">
        <v>151</v>
      </c>
      <c r="C24" s="134" t="s">
        <v>101</v>
      </c>
      <c r="D24" s="134" t="s">
        <v>102</v>
      </c>
      <c r="E24" s="134" t="s">
        <v>65</v>
      </c>
      <c r="F24" s="134" t="s">
        <v>65</v>
      </c>
    </row>
    <row r="25" spans="1:6" x14ac:dyDescent="0.25">
      <c r="A25" s="59" t="s">
        <v>149</v>
      </c>
      <c r="B25" s="135" t="s">
        <v>150</v>
      </c>
      <c r="C25" s="136">
        <f>E$10</f>
        <v>1803</v>
      </c>
      <c r="D25" s="136">
        <v>0</v>
      </c>
      <c r="E25" s="136">
        <f>E$19*12</f>
        <v>7212</v>
      </c>
      <c r="F25" s="137">
        <f>SUM(D25:E25)</f>
        <v>7212</v>
      </c>
    </row>
    <row r="26" spans="1:6" x14ac:dyDescent="0.25">
      <c r="A26" s="59" t="s">
        <v>165</v>
      </c>
      <c r="B26" s="135" t="s">
        <v>166</v>
      </c>
      <c r="C26" s="136">
        <f>E$10</f>
        <v>1803</v>
      </c>
      <c r="D26" s="136">
        <v>1</v>
      </c>
      <c r="E26" s="136">
        <f>E$19*12</f>
        <v>7212</v>
      </c>
      <c r="F26" s="137">
        <f>SUM(D26:E26)</f>
        <v>7213</v>
      </c>
    </row>
    <row r="27" spans="1:6" x14ac:dyDescent="0.25">
      <c r="A27" s="354" t="s">
        <v>103</v>
      </c>
      <c r="B27" s="354"/>
      <c r="C27" s="354"/>
      <c r="D27" s="354"/>
      <c r="E27" s="354"/>
      <c r="F27" s="121"/>
    </row>
    <row r="28" spans="1:6" x14ac:dyDescent="0.25">
      <c r="A28" s="121" t="s">
        <v>77</v>
      </c>
      <c r="B28" s="121"/>
      <c r="C28" s="121"/>
      <c r="D28" s="121"/>
      <c r="E28" s="121"/>
      <c r="F28" s="121"/>
    </row>
    <row r="29" spans="1:6" x14ac:dyDescent="0.25">
      <c r="A29" s="121"/>
      <c r="B29" s="121"/>
      <c r="C29" s="121"/>
      <c r="D29" s="121"/>
      <c r="E29" s="121"/>
      <c r="F29" s="121"/>
    </row>
    <row r="30" spans="1:6" x14ac:dyDescent="0.25">
      <c r="A30" s="121"/>
      <c r="B30" s="121"/>
      <c r="C30" s="121"/>
      <c r="D30" s="121"/>
      <c r="E30" s="121"/>
      <c r="F30" s="121"/>
    </row>
    <row r="31" spans="1:6" x14ac:dyDescent="0.25">
      <c r="A31" s="121"/>
      <c r="B31" s="121"/>
      <c r="C31" s="121"/>
      <c r="D31" s="121"/>
      <c r="E31" s="121"/>
      <c r="F31" s="121"/>
    </row>
    <row r="32" spans="1:6" x14ac:dyDescent="0.25">
      <c r="A32" s="121"/>
      <c r="B32" s="121"/>
      <c r="C32" s="121"/>
      <c r="D32" s="121"/>
      <c r="E32" s="121"/>
      <c r="F32" s="121"/>
    </row>
    <row r="33" spans="1:6" x14ac:dyDescent="0.25">
      <c r="A33" s="121"/>
      <c r="B33" s="121"/>
      <c r="C33" s="121"/>
      <c r="D33" s="121"/>
      <c r="E33" s="121"/>
      <c r="F33" s="121"/>
    </row>
    <row r="34" spans="1:6" x14ac:dyDescent="0.25">
      <c r="A34" s="121"/>
      <c r="B34" s="121"/>
      <c r="C34" s="121"/>
      <c r="D34" s="121"/>
      <c r="E34" s="121"/>
      <c r="F34" s="121"/>
    </row>
  </sheetData>
  <mergeCells count="1">
    <mergeCell ref="A27:E27"/>
  </mergeCells>
  <phoneticPr fontId="4"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0000"/>
  </sheetPr>
  <dimension ref="A1:O29"/>
  <sheetViews>
    <sheetView workbookViewId="0">
      <selection activeCell="D13" sqref="D13"/>
    </sheetView>
  </sheetViews>
  <sheetFormatPr defaultColWidth="10.6640625" defaultRowHeight="12.5" x14ac:dyDescent="0.25"/>
  <cols>
    <col min="1" max="1" width="33" style="36" customWidth="1"/>
    <col min="2" max="2" width="10.6640625" style="36" customWidth="1"/>
    <col min="3" max="3" width="35.44140625" style="36" customWidth="1"/>
    <col min="4" max="4" width="51.77734375" style="36" customWidth="1"/>
    <col min="5" max="5" width="11.33203125" style="36" bestFit="1" customWidth="1"/>
    <col min="6" max="6" width="15" style="36" customWidth="1"/>
    <col min="7" max="7" width="10.6640625" style="36" customWidth="1"/>
    <col min="8" max="8" width="11.33203125" style="36" bestFit="1" customWidth="1"/>
    <col min="9" max="12" width="10.6640625" style="36"/>
    <col min="13" max="13" width="15.33203125" style="36" customWidth="1"/>
    <col min="14" max="14" width="13.44140625" style="36" customWidth="1"/>
    <col min="15" max="16384" width="10.6640625" style="36"/>
  </cols>
  <sheetData>
    <row r="1" spans="1:15" ht="20.5" x14ac:dyDescent="0.45">
      <c r="A1" s="171" t="s">
        <v>153</v>
      </c>
      <c r="B1" s="53"/>
      <c r="C1" s="53"/>
      <c r="D1" s="53"/>
      <c r="E1" s="53"/>
      <c r="F1" s="53"/>
      <c r="G1" s="53"/>
      <c r="H1" s="53"/>
      <c r="I1" s="53"/>
      <c r="J1" s="53"/>
      <c r="K1" s="53"/>
      <c r="L1" s="53"/>
      <c r="M1" s="53"/>
      <c r="N1" s="53"/>
    </row>
    <row r="2" spans="1:15" x14ac:dyDescent="0.25">
      <c r="A2" s="53"/>
      <c r="B2" s="53"/>
      <c r="C2" s="53"/>
      <c r="D2" s="53"/>
      <c r="E2" s="53"/>
      <c r="F2" s="53"/>
      <c r="G2" s="53"/>
      <c r="H2" s="53"/>
      <c r="I2" s="53"/>
      <c r="J2" s="53"/>
      <c r="K2" s="53"/>
      <c r="L2" s="53"/>
      <c r="M2" s="53"/>
      <c r="N2" s="53"/>
    </row>
    <row r="3" spans="1:15" ht="13" x14ac:dyDescent="0.3">
      <c r="A3" s="177" t="s">
        <v>67</v>
      </c>
      <c r="B3" s="59" t="s">
        <v>97</v>
      </c>
      <c r="C3" s="59" t="s">
        <v>98</v>
      </c>
      <c r="D3" s="59" t="s">
        <v>39</v>
      </c>
      <c r="E3" s="59"/>
      <c r="F3" s="53"/>
      <c r="G3" s="53"/>
      <c r="H3" s="53"/>
      <c r="I3" s="53"/>
      <c r="J3" s="53"/>
      <c r="K3" s="53"/>
      <c r="L3" s="53"/>
      <c r="M3" s="53"/>
      <c r="N3" s="53"/>
    </row>
    <row r="4" spans="1:15" ht="13" x14ac:dyDescent="0.3">
      <c r="A4" s="177" t="s">
        <v>104</v>
      </c>
      <c r="B4" s="140">
        <v>201</v>
      </c>
      <c r="C4" s="140">
        <v>400</v>
      </c>
      <c r="D4" s="140">
        <f>AVERAGE(B4:C4)</f>
        <v>300.5</v>
      </c>
      <c r="E4" s="178" t="s">
        <v>66</v>
      </c>
      <c r="F4" s="139"/>
      <c r="G4" s="139"/>
      <c r="H4" s="53"/>
      <c r="I4" s="53"/>
      <c r="J4" s="53"/>
      <c r="K4" s="53"/>
      <c r="L4" s="53"/>
      <c r="M4" s="53"/>
      <c r="N4" s="53"/>
    </row>
    <row r="5" spans="1:15" ht="13" x14ac:dyDescent="0.3">
      <c r="A5" s="177" t="s">
        <v>105</v>
      </c>
      <c r="B5" s="140"/>
      <c r="C5" s="140"/>
      <c r="D5" s="140">
        <v>190</v>
      </c>
      <c r="E5" s="59" t="s">
        <v>106</v>
      </c>
      <c r="F5" s="139"/>
      <c r="G5" s="139"/>
      <c r="H5" s="53"/>
      <c r="I5" s="53"/>
      <c r="J5" s="53"/>
      <c r="K5" s="53"/>
      <c r="L5" s="53"/>
      <c r="M5" s="53"/>
      <c r="N5" s="53"/>
    </row>
    <row r="6" spans="1:15" ht="13" x14ac:dyDescent="0.3">
      <c r="A6" s="177" t="s">
        <v>107</v>
      </c>
      <c r="B6" s="141"/>
      <c r="C6" s="141"/>
      <c r="D6" s="141">
        <v>0</v>
      </c>
      <c r="E6" s="142" t="s">
        <v>108</v>
      </c>
      <c r="F6" s="52"/>
      <c r="G6" s="52"/>
      <c r="H6" s="52"/>
      <c r="I6" s="52"/>
      <c r="J6" s="52"/>
      <c r="K6" s="52"/>
      <c r="L6" s="52"/>
      <c r="M6" s="52"/>
      <c r="N6" s="52"/>
    </row>
    <row r="7" spans="1:15" ht="13" x14ac:dyDescent="0.3">
      <c r="A7" s="54"/>
      <c r="B7" s="138"/>
      <c r="C7" s="138"/>
      <c r="D7" s="138"/>
      <c r="E7" s="53"/>
      <c r="F7" s="53"/>
      <c r="G7" s="53"/>
      <c r="H7" s="53"/>
      <c r="I7" s="53"/>
      <c r="J7" s="53"/>
      <c r="K7" s="53"/>
      <c r="L7" s="53"/>
      <c r="M7" s="53"/>
      <c r="N7" s="53"/>
    </row>
    <row r="8" spans="1:15" ht="12.75" customHeight="1" x14ac:dyDescent="0.25">
      <c r="A8" s="53"/>
      <c r="B8" s="355" t="s">
        <v>109</v>
      </c>
      <c r="C8" s="355"/>
      <c r="D8"/>
      <c r="E8"/>
      <c r="F8"/>
      <c r="G8"/>
      <c r="H8"/>
      <c r="I8"/>
      <c r="J8"/>
      <c r="K8"/>
      <c r="L8"/>
      <c r="M8"/>
      <c r="N8"/>
      <c r="O8"/>
    </row>
    <row r="9" spans="1:15" x14ac:dyDescent="0.25">
      <c r="A9" s="53"/>
      <c r="B9" s="355"/>
      <c r="C9" s="355"/>
      <c r="D9"/>
      <c r="E9"/>
      <c r="F9"/>
      <c r="G9"/>
      <c r="H9"/>
      <c r="I9"/>
      <c r="J9"/>
      <c r="K9"/>
      <c r="L9"/>
      <c r="M9"/>
      <c r="N9"/>
      <c r="O9"/>
    </row>
    <row r="10" spans="1:15" ht="112.5" x14ac:dyDescent="0.25">
      <c r="A10" s="59"/>
      <c r="B10" s="143" t="s">
        <v>110</v>
      </c>
      <c r="C10" s="144" t="s">
        <v>111</v>
      </c>
      <c r="D10"/>
      <c r="E10"/>
      <c r="F10"/>
      <c r="G10"/>
      <c r="H10"/>
      <c r="I10"/>
      <c r="J10"/>
      <c r="K10"/>
      <c r="L10"/>
      <c r="M10"/>
      <c r="N10"/>
      <c r="O10"/>
    </row>
    <row r="11" spans="1:15" x14ac:dyDescent="0.25">
      <c r="A11" s="59" t="s">
        <v>149</v>
      </c>
      <c r="B11" s="59">
        <v>1</v>
      </c>
      <c r="C11" s="59">
        <v>1</v>
      </c>
      <c r="D11"/>
      <c r="E11"/>
      <c r="F11"/>
      <c r="G11"/>
      <c r="H11"/>
      <c r="I11"/>
      <c r="J11"/>
      <c r="K11"/>
      <c r="L11"/>
      <c r="M11"/>
      <c r="N11"/>
      <c r="O11"/>
    </row>
    <row r="12" spans="1:15" x14ac:dyDescent="0.25">
      <c r="A12" s="59" t="s">
        <v>165</v>
      </c>
      <c r="B12" s="59">
        <v>1</v>
      </c>
      <c r="C12" s="59">
        <v>1</v>
      </c>
      <c r="D12"/>
      <c r="E12"/>
      <c r="F12"/>
      <c r="G12"/>
      <c r="H12"/>
      <c r="I12"/>
      <c r="J12"/>
      <c r="K12"/>
      <c r="L12"/>
      <c r="M12"/>
      <c r="N12"/>
      <c r="O12"/>
    </row>
    <row r="13" spans="1:15" x14ac:dyDescent="0.25">
      <c r="A13" s="53"/>
      <c r="B13" s="53"/>
      <c r="C13" s="53"/>
      <c r="D13" s="53"/>
      <c r="E13" s="53"/>
      <c r="F13" s="53"/>
      <c r="G13" s="53"/>
      <c r="H13" s="53"/>
      <c r="I13" s="53"/>
      <c r="J13" s="53"/>
      <c r="K13" s="53"/>
      <c r="L13"/>
      <c r="M13"/>
      <c r="N13"/>
      <c r="O13"/>
    </row>
    <row r="14" spans="1:15" x14ac:dyDescent="0.25">
      <c r="A14" s="53"/>
      <c r="B14" s="53"/>
      <c r="C14" s="53"/>
      <c r="D14"/>
      <c r="E14" s="53"/>
      <c r="F14" s="53"/>
      <c r="G14" s="53"/>
      <c r="H14" s="53"/>
      <c r="I14" s="53"/>
      <c r="J14" s="53"/>
      <c r="K14" s="53"/>
      <c r="L14"/>
      <c r="M14"/>
      <c r="N14"/>
      <c r="O14"/>
    </row>
    <row r="15" spans="1:15" x14ac:dyDescent="0.25">
      <c r="A15"/>
      <c r="B15"/>
      <c r="C15" s="53"/>
      <c r="D15"/>
      <c r="E15" s="53"/>
      <c r="F15" s="53"/>
      <c r="G15" s="53"/>
      <c r="H15" s="53"/>
      <c r="I15" s="53"/>
      <c r="J15" s="53"/>
      <c r="K15" s="53"/>
      <c r="L15"/>
      <c r="M15"/>
      <c r="N15"/>
      <c r="O15"/>
    </row>
    <row r="16" spans="1:15" x14ac:dyDescent="0.25">
      <c r="A16"/>
      <c r="B16"/>
      <c r="C16" s="53"/>
      <c r="D16" s="53"/>
      <c r="E16" s="53"/>
      <c r="F16" s="53"/>
      <c r="G16" s="53"/>
      <c r="H16" s="53"/>
      <c r="I16" s="53"/>
      <c r="J16" s="53"/>
      <c r="K16" s="53"/>
      <c r="L16"/>
      <c r="M16"/>
      <c r="N16"/>
      <c r="O16"/>
    </row>
    <row r="17" spans="1:15" x14ac:dyDescent="0.25">
      <c r="A17"/>
      <c r="B17"/>
      <c r="C17" s="53"/>
      <c r="D17" s="53"/>
      <c r="E17" s="53"/>
      <c r="F17" s="53"/>
      <c r="G17" s="53"/>
      <c r="H17" s="53"/>
      <c r="I17" s="53"/>
      <c r="J17" s="53"/>
      <c r="K17" s="53"/>
      <c r="L17"/>
      <c r="M17"/>
      <c r="N17"/>
      <c r="O17"/>
    </row>
    <row r="18" spans="1:15" x14ac:dyDescent="0.25">
      <c r="A18"/>
      <c r="B18"/>
      <c r="C18" s="53"/>
      <c r="D18" s="53"/>
      <c r="E18" s="53"/>
      <c r="F18" s="53"/>
      <c r="G18" s="53"/>
      <c r="H18" s="53"/>
      <c r="I18" s="53"/>
      <c r="J18" s="53"/>
      <c r="K18" s="53"/>
      <c r="L18"/>
      <c r="M18"/>
      <c r="N18"/>
      <c r="O18"/>
    </row>
    <row r="19" spans="1:15" x14ac:dyDescent="0.25">
      <c r="A19"/>
      <c r="B19"/>
      <c r="C19" s="53"/>
      <c r="D19" s="53"/>
      <c r="E19" s="53"/>
      <c r="F19" s="53"/>
      <c r="G19" s="53"/>
      <c r="H19" s="53"/>
      <c r="I19" s="53"/>
      <c r="J19" s="53"/>
      <c r="K19" s="53"/>
      <c r="L19"/>
      <c r="M19" s="53"/>
      <c r="N19" s="53"/>
    </row>
    <row r="20" spans="1:15" x14ac:dyDescent="0.25">
      <c r="A20"/>
      <c r="B20"/>
      <c r="C20" s="53"/>
      <c r="D20" s="53"/>
      <c r="E20" s="53"/>
      <c r="F20" s="53"/>
      <c r="G20" s="53"/>
      <c r="H20" s="53"/>
      <c r="I20" s="53"/>
      <c r="J20" s="53"/>
      <c r="K20" s="53"/>
      <c r="L20"/>
      <c r="M20" s="53"/>
      <c r="N20" s="53"/>
    </row>
    <row r="21" spans="1:15" x14ac:dyDescent="0.25">
      <c r="A21"/>
      <c r="B21"/>
      <c r="C21" s="53"/>
      <c r="D21" s="53"/>
      <c r="E21" s="53"/>
      <c r="F21" s="53"/>
      <c r="G21" s="53"/>
      <c r="H21" s="53"/>
      <c r="I21" s="53"/>
      <c r="J21" s="53"/>
      <c r="K21" s="53"/>
      <c r="L21" s="53"/>
      <c r="M21" s="53"/>
      <c r="N21" s="53"/>
    </row>
    <row r="22" spans="1:15" x14ac:dyDescent="0.25">
      <c r="A22"/>
      <c r="B22"/>
      <c r="C22" s="53"/>
      <c r="D22" s="53"/>
      <c r="E22" s="53"/>
      <c r="F22" s="53"/>
      <c r="G22" s="53"/>
      <c r="H22" s="53"/>
      <c r="I22" s="53"/>
      <c r="J22" s="53"/>
      <c r="K22" s="53"/>
      <c r="L22" s="53"/>
      <c r="M22" s="53"/>
      <c r="N22" s="53"/>
    </row>
    <row r="23" spans="1:15" x14ac:dyDescent="0.25">
      <c r="A23"/>
      <c r="B23"/>
      <c r="C23" s="53"/>
      <c r="D23" s="53"/>
      <c r="E23" s="53"/>
      <c r="F23" s="53"/>
      <c r="G23" s="53"/>
      <c r="H23" s="53"/>
      <c r="I23" s="53"/>
      <c r="J23" s="53"/>
      <c r="K23" s="53"/>
      <c r="L23" s="53"/>
      <c r="M23" s="53"/>
      <c r="N23" s="53"/>
    </row>
    <row r="24" spans="1:15" x14ac:dyDescent="0.25">
      <c r="A24"/>
      <c r="B24"/>
      <c r="C24" s="53"/>
      <c r="D24" s="53"/>
      <c r="E24" s="53"/>
      <c r="F24" s="53"/>
      <c r="G24" s="53"/>
      <c r="H24" s="53"/>
      <c r="I24" s="53"/>
      <c r="J24" s="53"/>
      <c r="K24" s="53"/>
      <c r="L24" s="53"/>
      <c r="M24" s="53"/>
      <c r="N24" s="53"/>
    </row>
    <row r="25" spans="1:15" x14ac:dyDescent="0.25">
      <c r="A25"/>
      <c r="B25"/>
      <c r="C25" s="53"/>
      <c r="D25" s="53"/>
      <c r="E25" s="53"/>
      <c r="F25" s="53"/>
      <c r="G25" s="53"/>
      <c r="H25" s="53"/>
      <c r="I25" s="53"/>
      <c r="J25" s="53"/>
      <c r="K25" s="53"/>
      <c r="L25" s="53"/>
      <c r="M25" s="53"/>
      <c r="N25" s="53"/>
    </row>
    <row r="26" spans="1:15" x14ac:dyDescent="0.25">
      <c r="A26"/>
      <c r="B26"/>
      <c r="C26" s="53"/>
      <c r="D26" s="53"/>
      <c r="E26" s="53"/>
      <c r="F26" s="53"/>
      <c r="G26" s="53"/>
      <c r="H26" s="53"/>
      <c r="I26" s="53"/>
      <c r="J26" s="53"/>
      <c r="K26" s="53"/>
      <c r="L26" s="53"/>
      <c r="M26" s="53"/>
      <c r="N26" s="53"/>
    </row>
    <row r="27" spans="1:15" x14ac:dyDescent="0.25">
      <c r="A27"/>
      <c r="B27"/>
      <c r="C27" s="53"/>
      <c r="D27" s="53"/>
      <c r="E27" s="53"/>
      <c r="F27" s="53"/>
      <c r="G27" s="53"/>
      <c r="H27" s="53"/>
      <c r="I27" s="53"/>
      <c r="J27" s="53"/>
      <c r="K27" s="53"/>
      <c r="L27" s="53"/>
      <c r="M27" s="53"/>
      <c r="N27" s="53"/>
    </row>
    <row r="28" spans="1:15" x14ac:dyDescent="0.25">
      <c r="A28"/>
      <c r="B28"/>
      <c r="C28" s="53"/>
      <c r="D28" s="53"/>
      <c r="E28" s="53"/>
      <c r="F28" s="53"/>
      <c r="G28" s="53"/>
      <c r="H28" s="53"/>
      <c r="I28" s="53"/>
      <c r="J28" s="53"/>
      <c r="K28" s="53"/>
      <c r="L28" s="53"/>
      <c r="M28" s="53"/>
      <c r="N28" s="53"/>
    </row>
    <row r="29" spans="1:15" x14ac:dyDescent="0.25">
      <c r="A29"/>
      <c r="B29"/>
      <c r="C29" s="53"/>
      <c r="D29" s="53"/>
      <c r="E29" s="53"/>
      <c r="F29" s="53"/>
      <c r="G29" s="53"/>
      <c r="H29" s="53"/>
      <c r="I29" s="53"/>
      <c r="J29" s="53"/>
      <c r="K29" s="53"/>
      <c r="L29" s="53"/>
      <c r="M29" s="53"/>
      <c r="N29" s="53"/>
    </row>
  </sheetData>
  <mergeCells count="1">
    <mergeCell ref="B8:C9"/>
  </mergeCells>
  <phoneticPr fontId="4"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0000"/>
  </sheetPr>
  <dimension ref="A1:K6"/>
  <sheetViews>
    <sheetView workbookViewId="0">
      <selection activeCell="C37" sqref="C37"/>
    </sheetView>
  </sheetViews>
  <sheetFormatPr defaultRowHeight="10.5" x14ac:dyDescent="0.25"/>
  <cols>
    <col min="1" max="1" width="52.33203125" bestFit="1" customWidth="1"/>
    <col min="2" max="2" width="11.109375" bestFit="1" customWidth="1"/>
    <col min="3" max="3" width="15" bestFit="1" customWidth="1"/>
    <col min="4" max="4" width="15.77734375" bestFit="1" customWidth="1"/>
    <col min="5" max="5" width="11.44140625" bestFit="1" customWidth="1"/>
    <col min="6" max="6" width="15.44140625" bestFit="1" customWidth="1"/>
    <col min="7" max="7" width="11.6640625" bestFit="1" customWidth="1"/>
    <col min="8" max="8" width="15.44140625" bestFit="1" customWidth="1"/>
    <col min="9" max="9" width="16.44140625" bestFit="1" customWidth="1"/>
    <col min="10" max="10" width="18.44140625" customWidth="1"/>
    <col min="11" max="12" width="26.109375" customWidth="1"/>
  </cols>
  <sheetData>
    <row r="1" spans="1:11" ht="20.5" x14ac:dyDescent="0.45">
      <c r="A1" s="170" t="s">
        <v>152</v>
      </c>
    </row>
    <row r="2" spans="1:11" x14ac:dyDescent="0.25">
      <c r="A2" s="111"/>
    </row>
    <row r="3" spans="1:11" ht="78" x14ac:dyDescent="0.25">
      <c r="A3" s="175" t="s">
        <v>155</v>
      </c>
      <c r="B3" s="174" t="s">
        <v>156</v>
      </c>
      <c r="C3" s="175" t="s">
        <v>157</v>
      </c>
      <c r="D3" s="174" t="s">
        <v>158</v>
      </c>
      <c r="E3" s="174" t="s">
        <v>159</v>
      </c>
      <c r="F3" s="174" t="s">
        <v>160</v>
      </c>
      <c r="G3" s="174" t="s">
        <v>161</v>
      </c>
      <c r="H3" s="174" t="s">
        <v>162</v>
      </c>
      <c r="I3" s="174" t="s">
        <v>163</v>
      </c>
      <c r="J3" s="174" t="s">
        <v>164</v>
      </c>
      <c r="K3" s="174" t="s">
        <v>96</v>
      </c>
    </row>
    <row r="4" spans="1:11" ht="13" x14ac:dyDescent="0.3">
      <c r="A4" s="59" t="s">
        <v>93</v>
      </c>
      <c r="B4" s="165">
        <v>113116</v>
      </c>
      <c r="C4" s="166">
        <v>64244.059835040454</v>
      </c>
      <c r="D4" s="166">
        <v>177360.05983504045</v>
      </c>
      <c r="E4" s="167">
        <v>9170.5133030639354</v>
      </c>
      <c r="F4" s="167">
        <v>6496.4357744032541</v>
      </c>
      <c r="G4" s="167">
        <v>15666.94907746719</v>
      </c>
      <c r="H4" s="167">
        <v>16105</v>
      </c>
      <c r="I4" s="167">
        <v>31771.949077467187</v>
      </c>
      <c r="J4" s="167">
        <v>9.9954979138475988</v>
      </c>
      <c r="K4" s="168">
        <v>4.6447670503079994</v>
      </c>
    </row>
    <row r="6" spans="1:11" x14ac:dyDescent="0.25">
      <c r="B6" s="118"/>
      <c r="I6" s="11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J41"/>
  <sheetViews>
    <sheetView zoomScale="93" zoomScaleNormal="93" workbookViewId="0">
      <selection activeCell="B3" sqref="B3:H3"/>
    </sheetView>
  </sheetViews>
  <sheetFormatPr defaultColWidth="9.33203125" defaultRowHeight="10.5" x14ac:dyDescent="0.25"/>
  <cols>
    <col min="1" max="1" width="9.33203125" style="215"/>
    <col min="2" max="2" width="47.77734375" style="215" customWidth="1"/>
    <col min="3" max="8" width="24.33203125" style="215" customWidth="1"/>
    <col min="9" max="16384" width="9.33203125" style="215"/>
  </cols>
  <sheetData>
    <row r="2" spans="2:10" ht="11" thickBot="1" x14ac:dyDescent="0.3"/>
    <row r="3" spans="2:10" ht="15.5" x14ac:dyDescent="0.25">
      <c r="B3" s="358"/>
      <c r="C3" s="359"/>
      <c r="D3" s="359"/>
      <c r="E3" s="359"/>
      <c r="F3" s="359"/>
      <c r="G3" s="359"/>
      <c r="H3" s="360"/>
    </row>
    <row r="4" spans="2:10" ht="15" x14ac:dyDescent="0.25">
      <c r="B4" s="361" t="s">
        <v>171</v>
      </c>
      <c r="C4" s="361"/>
      <c r="D4" s="361"/>
      <c r="E4" s="361"/>
      <c r="F4" s="361"/>
      <c r="G4" s="361"/>
      <c r="H4" s="361"/>
    </row>
    <row r="5" spans="2:10" ht="15" x14ac:dyDescent="0.25">
      <c r="B5" s="216"/>
      <c r="C5" s="217"/>
      <c r="D5" s="217"/>
      <c r="E5" s="217"/>
      <c r="F5" s="217"/>
      <c r="G5" s="217"/>
      <c r="H5" s="217"/>
    </row>
    <row r="6" spans="2:10" ht="13" x14ac:dyDescent="0.25">
      <c r="B6" s="218" t="s">
        <v>17</v>
      </c>
      <c r="C6" s="218" t="s">
        <v>0</v>
      </c>
      <c r="D6" s="218" t="s">
        <v>1</v>
      </c>
      <c r="E6" s="218" t="s">
        <v>2</v>
      </c>
      <c r="F6" s="218" t="s">
        <v>3</v>
      </c>
      <c r="G6" s="218" t="s">
        <v>4</v>
      </c>
      <c r="H6" s="218" t="s">
        <v>18</v>
      </c>
    </row>
    <row r="7" spans="2:10" ht="26" x14ac:dyDescent="0.25">
      <c r="B7" s="217" t="s">
        <v>172</v>
      </c>
      <c r="C7" s="217" t="s">
        <v>173</v>
      </c>
      <c r="D7" s="217" t="s">
        <v>174</v>
      </c>
      <c r="E7" s="217" t="s">
        <v>175</v>
      </c>
      <c r="F7" s="217" t="s">
        <v>176</v>
      </c>
      <c r="G7" s="217" t="s">
        <v>177</v>
      </c>
      <c r="H7" s="217" t="s">
        <v>178</v>
      </c>
    </row>
    <row r="8" spans="2:10" ht="13" x14ac:dyDescent="0.25">
      <c r="B8" s="219"/>
      <c r="C8" s="219"/>
      <c r="D8" s="219"/>
      <c r="E8" s="219"/>
      <c r="F8" s="219"/>
      <c r="G8" s="219"/>
      <c r="H8" s="217" t="s">
        <v>179</v>
      </c>
    </row>
    <row r="9" spans="2:10" ht="13" x14ac:dyDescent="0.25">
      <c r="B9" s="362" t="s">
        <v>180</v>
      </c>
      <c r="C9" s="362"/>
      <c r="D9" s="362"/>
      <c r="E9" s="362"/>
      <c r="F9" s="362"/>
      <c r="G9" s="362"/>
      <c r="H9" s="362"/>
    </row>
    <row r="10" spans="2:10" ht="15.5" x14ac:dyDescent="0.25">
      <c r="B10" s="217" t="s">
        <v>185</v>
      </c>
      <c r="C10" s="220">
        <f>15000*25</f>
        <v>375000</v>
      </c>
      <c r="D10" s="217">
        <v>0</v>
      </c>
      <c r="E10" s="220">
        <f>C10*D10</f>
        <v>0</v>
      </c>
      <c r="F10" s="220">
        <v>31772</v>
      </c>
      <c r="G10" s="217">
        <v>3</v>
      </c>
      <c r="H10" s="220">
        <f>F10*G10</f>
        <v>95316</v>
      </c>
      <c r="J10" s="309"/>
    </row>
    <row r="11" spans="2:10" ht="15.5" x14ac:dyDescent="0.25">
      <c r="B11" s="217" t="s">
        <v>205</v>
      </c>
      <c r="C11" s="220"/>
      <c r="D11" s="217"/>
      <c r="E11" s="220"/>
      <c r="F11" s="220">
        <f>3*45000</f>
        <v>135000</v>
      </c>
      <c r="G11" s="217">
        <v>3</v>
      </c>
      <c r="H11" s="220">
        <f>F11*G11</f>
        <v>405000</v>
      </c>
    </row>
    <row r="12" spans="2:10" ht="13" x14ac:dyDescent="0.25">
      <c r="B12" s="217" t="s">
        <v>209</v>
      </c>
      <c r="C12" s="220">
        <v>5000</v>
      </c>
      <c r="D12" s="217">
        <v>0</v>
      </c>
      <c r="E12" s="220">
        <v>0</v>
      </c>
      <c r="F12" s="220"/>
      <c r="G12" s="217"/>
      <c r="H12" s="220"/>
    </row>
    <row r="13" spans="2:10" ht="13" x14ac:dyDescent="0.25">
      <c r="B13" s="362" t="s">
        <v>181</v>
      </c>
      <c r="C13" s="362"/>
      <c r="D13" s="362"/>
      <c r="E13" s="362"/>
      <c r="F13" s="362"/>
      <c r="G13" s="362"/>
      <c r="H13" s="362"/>
    </row>
    <row r="14" spans="2:10" ht="10.5" customHeight="1" x14ac:dyDescent="0.25">
      <c r="B14" s="363" t="s">
        <v>182</v>
      </c>
      <c r="C14" s="364">
        <v>43198</v>
      </c>
      <c r="D14" s="365">
        <v>0</v>
      </c>
      <c r="E14" s="366">
        <f>C14*D14</f>
        <v>0</v>
      </c>
      <c r="F14" s="364">
        <v>99080</v>
      </c>
      <c r="G14" s="365">
        <v>3</v>
      </c>
      <c r="H14" s="364">
        <f>F14*G14</f>
        <v>297240</v>
      </c>
    </row>
    <row r="15" spans="2:10" ht="10.5" customHeight="1" x14ac:dyDescent="0.25">
      <c r="B15" s="363"/>
      <c r="C15" s="364"/>
      <c r="D15" s="365"/>
      <c r="E15" s="367"/>
      <c r="F15" s="364"/>
      <c r="G15" s="365"/>
      <c r="H15" s="364"/>
    </row>
    <row r="16" spans="2:10" ht="10.5" customHeight="1" x14ac:dyDescent="0.25">
      <c r="B16" s="363" t="s">
        <v>187</v>
      </c>
      <c r="C16" s="364">
        <v>1803</v>
      </c>
      <c r="D16" s="365">
        <v>0</v>
      </c>
      <c r="E16" s="366">
        <f>C16*D16</f>
        <v>0</v>
      </c>
      <c r="F16" s="364">
        <f>600*12</f>
        <v>7200</v>
      </c>
      <c r="G16" s="365">
        <v>3</v>
      </c>
      <c r="H16" s="364">
        <f>F16*G16</f>
        <v>21600</v>
      </c>
    </row>
    <row r="17" spans="2:10" ht="18" customHeight="1" x14ac:dyDescent="0.25">
      <c r="B17" s="363"/>
      <c r="C17" s="364"/>
      <c r="D17" s="365"/>
      <c r="E17" s="367"/>
      <c r="F17" s="364"/>
      <c r="G17" s="365"/>
      <c r="H17" s="364"/>
    </row>
    <row r="18" spans="2:10" ht="16.5" customHeight="1" x14ac:dyDescent="0.25">
      <c r="B18" s="363" t="s">
        <v>186</v>
      </c>
      <c r="C18" s="364">
        <f>650*3</f>
        <v>1950</v>
      </c>
      <c r="D18" s="365">
        <v>0</v>
      </c>
      <c r="E18" s="366">
        <f>C18*D18</f>
        <v>0</v>
      </c>
      <c r="F18" s="364">
        <f>650*3*12</f>
        <v>23400</v>
      </c>
      <c r="G18" s="365">
        <v>3</v>
      </c>
      <c r="H18" s="364">
        <f>F18*G18</f>
        <v>70200</v>
      </c>
    </row>
    <row r="19" spans="2:10" ht="16.5" customHeight="1" x14ac:dyDescent="0.25">
      <c r="B19" s="363"/>
      <c r="C19" s="364"/>
      <c r="D19" s="365"/>
      <c r="E19" s="367"/>
      <c r="F19" s="364"/>
      <c r="G19" s="365"/>
      <c r="H19" s="364"/>
    </row>
    <row r="20" spans="2:10" ht="10.5" customHeight="1" x14ac:dyDescent="0.25">
      <c r="B20" s="363" t="s">
        <v>188</v>
      </c>
      <c r="C20" s="364">
        <v>491</v>
      </c>
      <c r="D20" s="365">
        <v>0</v>
      </c>
      <c r="E20" s="366">
        <f>C20*D20</f>
        <v>0</v>
      </c>
      <c r="F20" s="364">
        <f>491*12</f>
        <v>5892</v>
      </c>
      <c r="G20" s="365">
        <v>3</v>
      </c>
      <c r="H20" s="364">
        <f>F20*G20</f>
        <v>17676</v>
      </c>
    </row>
    <row r="21" spans="2:10" ht="10.5" customHeight="1" x14ac:dyDescent="0.25">
      <c r="B21" s="363"/>
      <c r="C21" s="364"/>
      <c r="D21" s="365"/>
      <c r="E21" s="367"/>
      <c r="F21" s="364"/>
      <c r="G21" s="365"/>
      <c r="H21" s="364"/>
    </row>
    <row r="22" spans="2:10" ht="10.5" customHeight="1" x14ac:dyDescent="0.25">
      <c r="B22" s="363" t="s">
        <v>184</v>
      </c>
      <c r="C22" s="364">
        <v>650</v>
      </c>
      <c r="D22" s="365">
        <v>0</v>
      </c>
      <c r="E22" s="366">
        <f>C22*D22</f>
        <v>0</v>
      </c>
      <c r="F22" s="364">
        <v>7800</v>
      </c>
      <c r="G22" s="365">
        <v>3</v>
      </c>
      <c r="H22" s="364">
        <f>F22*G22</f>
        <v>23400</v>
      </c>
    </row>
    <row r="23" spans="2:10" ht="17.25" customHeight="1" x14ac:dyDescent="0.25">
      <c r="B23" s="363"/>
      <c r="C23" s="364"/>
      <c r="D23" s="365"/>
      <c r="E23" s="367"/>
      <c r="F23" s="364"/>
      <c r="G23" s="365"/>
      <c r="H23" s="364"/>
    </row>
    <row r="24" spans="2:10" ht="10.5" customHeight="1" x14ac:dyDescent="0.25">
      <c r="B24" s="363" t="s">
        <v>308</v>
      </c>
      <c r="C24" s="364">
        <v>0</v>
      </c>
      <c r="D24" s="365">
        <v>0</v>
      </c>
      <c r="E24" s="366">
        <f>C24*D24</f>
        <v>0</v>
      </c>
      <c r="F24" s="364">
        <f>491*7</f>
        <v>3437</v>
      </c>
      <c r="G24" s="365">
        <v>3</v>
      </c>
      <c r="H24" s="364">
        <f>F24*G24</f>
        <v>10311</v>
      </c>
    </row>
    <row r="25" spans="2:10" ht="15" customHeight="1" x14ac:dyDescent="0.25">
      <c r="B25" s="363"/>
      <c r="C25" s="364"/>
      <c r="D25" s="365"/>
      <c r="E25" s="367"/>
      <c r="F25" s="364"/>
      <c r="G25" s="365"/>
      <c r="H25" s="364"/>
    </row>
    <row r="26" spans="2:10" ht="10.5" customHeight="1" x14ac:dyDescent="0.25">
      <c r="B26" s="363" t="s">
        <v>189</v>
      </c>
      <c r="C26" s="364">
        <f>650*5</f>
        <v>3250</v>
      </c>
      <c r="D26" s="365">
        <v>0</v>
      </c>
      <c r="E26" s="366">
        <f>C26*D26</f>
        <v>0</v>
      </c>
      <c r="F26" s="364">
        <f>650*7</f>
        <v>4550</v>
      </c>
      <c r="G26" s="365">
        <v>3</v>
      </c>
      <c r="H26" s="364">
        <f>F26*G26</f>
        <v>13650</v>
      </c>
    </row>
    <row r="27" spans="2:10" ht="30" customHeight="1" x14ac:dyDescent="0.25">
      <c r="B27" s="363"/>
      <c r="C27" s="364"/>
      <c r="D27" s="365"/>
      <c r="E27" s="367"/>
      <c r="F27" s="364"/>
      <c r="G27" s="365"/>
      <c r="H27" s="364"/>
    </row>
    <row r="28" spans="2:10" ht="10.5" customHeight="1" x14ac:dyDescent="0.25">
      <c r="B28" s="363" t="s">
        <v>183</v>
      </c>
      <c r="C28" s="364">
        <v>177360</v>
      </c>
      <c r="D28" s="365">
        <v>0</v>
      </c>
      <c r="E28" s="366">
        <f>C28*D28</f>
        <v>0</v>
      </c>
      <c r="F28" s="364">
        <v>16105</v>
      </c>
      <c r="G28" s="365">
        <v>3</v>
      </c>
      <c r="H28" s="364">
        <f>F28*G28</f>
        <v>48315</v>
      </c>
    </row>
    <row r="29" spans="2:10" ht="10.5" customHeight="1" x14ac:dyDescent="0.25">
      <c r="B29" s="363"/>
      <c r="C29" s="364"/>
      <c r="D29" s="365"/>
      <c r="E29" s="367"/>
      <c r="F29" s="364"/>
      <c r="G29" s="365"/>
      <c r="H29" s="364"/>
      <c r="J29" s="309"/>
    </row>
    <row r="30" spans="2:10" ht="18" customHeight="1" x14ac:dyDescent="0.25">
      <c r="B30" s="362" t="s">
        <v>323</v>
      </c>
      <c r="C30" s="362"/>
      <c r="D30" s="362"/>
      <c r="E30" s="362"/>
      <c r="F30" s="362"/>
      <c r="G30" s="362"/>
      <c r="H30" s="362"/>
    </row>
    <row r="31" spans="2:10" ht="13" x14ac:dyDescent="0.25">
      <c r="B31" s="217"/>
      <c r="C31" s="217"/>
      <c r="D31" s="217"/>
      <c r="E31" s="220">
        <v>0</v>
      </c>
      <c r="F31" s="217"/>
      <c r="G31" s="217"/>
      <c r="H31" s="220">
        <f>ROUND(SUM(H14:H29,H10:H11), -4)</f>
        <v>1000000</v>
      </c>
    </row>
    <row r="34" spans="2:8" ht="18.5" x14ac:dyDescent="0.35">
      <c r="B34" s="307" t="s">
        <v>321</v>
      </c>
    </row>
    <row r="35" spans="2:8" ht="14" x14ac:dyDescent="0.25">
      <c r="B35" s="306" t="s">
        <v>322</v>
      </c>
    </row>
    <row r="36" spans="2:8" ht="11.5" x14ac:dyDescent="0.25">
      <c r="B36" s="356" t="s">
        <v>320</v>
      </c>
      <c r="C36" s="356"/>
      <c r="D36" s="356"/>
      <c r="E36" s="356"/>
      <c r="F36" s="356"/>
      <c r="G36" s="356"/>
      <c r="H36" s="356"/>
    </row>
    <row r="37" spans="2:8" ht="14" x14ac:dyDescent="0.25">
      <c r="B37" s="221" t="s">
        <v>286</v>
      </c>
    </row>
    <row r="38" spans="2:8" ht="14" x14ac:dyDescent="0.25">
      <c r="B38" s="357" t="s">
        <v>310</v>
      </c>
      <c r="C38" s="357"/>
      <c r="D38" s="357"/>
      <c r="E38" s="357"/>
      <c r="F38" s="357"/>
      <c r="G38" s="357"/>
      <c r="H38" s="357"/>
    </row>
    <row r="39" spans="2:8" ht="14" x14ac:dyDescent="0.25">
      <c r="B39" s="357" t="s">
        <v>307</v>
      </c>
      <c r="C39" s="357"/>
      <c r="D39" s="357"/>
      <c r="E39" s="357"/>
      <c r="F39" s="357"/>
      <c r="G39" s="357"/>
      <c r="H39" s="357"/>
    </row>
    <row r="40" spans="2:8" ht="14" x14ac:dyDescent="0.25">
      <c r="B40" s="357" t="s">
        <v>309</v>
      </c>
      <c r="C40" s="357"/>
      <c r="D40" s="357"/>
      <c r="E40" s="357"/>
      <c r="F40" s="357"/>
      <c r="G40" s="357"/>
      <c r="H40" s="357"/>
    </row>
    <row r="41" spans="2:8" ht="14" x14ac:dyDescent="0.25">
      <c r="B41" s="221" t="s">
        <v>324</v>
      </c>
    </row>
  </sheetData>
  <mergeCells count="65">
    <mergeCell ref="G26:G27"/>
    <mergeCell ref="H26:H27"/>
    <mergeCell ref="B26:B27"/>
    <mergeCell ref="C26:C27"/>
    <mergeCell ref="D26:D27"/>
    <mergeCell ref="E26:E27"/>
    <mergeCell ref="F26:F27"/>
    <mergeCell ref="H18:H19"/>
    <mergeCell ref="B22:B23"/>
    <mergeCell ref="C22:C23"/>
    <mergeCell ref="D22:D23"/>
    <mergeCell ref="E22:E23"/>
    <mergeCell ref="F22:F23"/>
    <mergeCell ref="G22:G23"/>
    <mergeCell ref="H22:H23"/>
    <mergeCell ref="B18:B19"/>
    <mergeCell ref="C18:C19"/>
    <mergeCell ref="D18:D19"/>
    <mergeCell ref="E18:E19"/>
    <mergeCell ref="F18:F19"/>
    <mergeCell ref="H28:H29"/>
    <mergeCell ref="B30:H30"/>
    <mergeCell ref="B28:B29"/>
    <mergeCell ref="C28:C29"/>
    <mergeCell ref="D28:D29"/>
    <mergeCell ref="E28:E29"/>
    <mergeCell ref="F28:F29"/>
    <mergeCell ref="G28:G29"/>
    <mergeCell ref="H16:H17"/>
    <mergeCell ref="H20:H21"/>
    <mergeCell ref="B24:B25"/>
    <mergeCell ref="C24:C25"/>
    <mergeCell ref="D24:D25"/>
    <mergeCell ref="E24:E25"/>
    <mergeCell ref="F24:F25"/>
    <mergeCell ref="G24:G25"/>
    <mergeCell ref="H24:H25"/>
    <mergeCell ref="B20:B21"/>
    <mergeCell ref="C20:C21"/>
    <mergeCell ref="D20:D21"/>
    <mergeCell ref="E20:E21"/>
    <mergeCell ref="F20:F21"/>
    <mergeCell ref="G20:G21"/>
    <mergeCell ref="G18:G19"/>
    <mergeCell ref="C16:C17"/>
    <mergeCell ref="D16:D17"/>
    <mergeCell ref="E16:E17"/>
    <mergeCell ref="F16:F17"/>
    <mergeCell ref="G16:G17"/>
    <mergeCell ref="B36:H36"/>
    <mergeCell ref="B40:H40"/>
    <mergeCell ref="B38:H38"/>
    <mergeCell ref="B39:H39"/>
    <mergeCell ref="B3:H3"/>
    <mergeCell ref="B4:H4"/>
    <mergeCell ref="B9:H9"/>
    <mergeCell ref="B13:H13"/>
    <mergeCell ref="B14:B15"/>
    <mergeCell ref="C14:C15"/>
    <mergeCell ref="D14:D15"/>
    <mergeCell ref="E14:E15"/>
    <mergeCell ref="F14:F15"/>
    <mergeCell ref="G14:G15"/>
    <mergeCell ref="H14:H15"/>
    <mergeCell ref="B16:B17"/>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Industry</vt:lpstr>
      <vt:lpstr>Record&amp;Reporting Burden Only</vt:lpstr>
      <vt:lpstr>Agency</vt:lpstr>
      <vt:lpstr>Process Vent - T&amp;M Costs</vt:lpstr>
      <vt:lpstr>Resin T&amp;M Costs</vt:lpstr>
      <vt:lpstr>Wastewater T&amp;M Costs</vt:lpstr>
      <vt:lpstr>EquipmentLeaks - T&amp;M Costs</vt:lpstr>
      <vt:lpstr>CAP&amp;O&amp;M</vt:lpstr>
      <vt:lpstr>Agency!Print_Area</vt:lpstr>
      <vt:lpstr>Industry!Print_Area</vt:lpstr>
      <vt:lpstr>'Record&amp;Reporting Burden Only'!Print_Area</vt:lpstr>
      <vt:lpstr>Industry!Print_Titles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Eeastern Reseach Group, Inc.</dc:creator>
  <cp:lastModifiedBy>Wrigley, William</cp:lastModifiedBy>
  <cp:lastPrinted>2019-03-12T18:09:21Z</cp:lastPrinted>
  <dcterms:created xsi:type="dcterms:W3CDTF">1998-09-17T19:20:06Z</dcterms:created>
  <dcterms:modified xsi:type="dcterms:W3CDTF">2022-03-28T13:32:07Z</dcterms:modified>
</cp:coreProperties>
</file>