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schultz_eric_epa_gov/Documents/03 ICR materials/"/>
    </mc:Choice>
  </mc:AlternateContent>
  <xr:revisionPtr revIDLastSave="0" documentId="8_{F731FB08-18DF-4E8C-AAD5-259A73BAE3B5}" xr6:coauthVersionLast="47" xr6:coauthVersionMax="47" xr10:uidLastSave="{00000000-0000-0000-0000-000000000000}"/>
  <bookViews>
    <workbookView xWindow="-26925" yWindow="2520" windowWidth="27840" windowHeight="13470" tabRatio="877" activeTab="5" xr2:uid="{00000000-000D-0000-FFFF-FFFF00000000}"/>
  </bookViews>
  <sheets>
    <sheet name="Table A1 - Wages" sheetId="1" r:id="rId1"/>
    <sheet name="Table A2 - State" sheetId="9" r:id="rId2"/>
    <sheet name="Table A3 - Local" sheetId="4" r:id="rId3"/>
    <sheet name="Table A4 - Private fleet" sheetId="6" r:id="rId4"/>
    <sheet name="Table A5 All respondents" sheetId="7" r:id="rId5"/>
    <sheet name="Table A6 - Task breakdown" sheetId="10" r:id="rId6"/>
    <sheet name="Table A7 - EPA burden" sheetId="8" r:id="rId7"/>
    <sheet name="Table A8 - Consultations" sheetId="11" r:id="rId8"/>
  </sheets>
  <definedNames>
    <definedName name="_xlnm._FilterDatabase" localSheetId="7" hidden="1">'Table A8 - Consultations'!$A$1:$D$6</definedName>
    <definedName name="cler_private">'Table A1 - Wages'!$D$15</definedName>
    <definedName name="cler_state_local">'Table A1 - Wages'!$D$8</definedName>
    <definedName name="man_private">'Table A1 - Wages'!$D$13</definedName>
    <definedName name="man_state_local">'Table A1 - Wages'!$D$6</definedName>
    <definedName name="_xlnm.Print_Area" localSheetId="0">'Table A1 - Wages'!$A$1:$E$18</definedName>
    <definedName name="_xlnm.Print_Area" localSheetId="1">'Table A2 - State'!$A$1:$M$18</definedName>
    <definedName name="_xlnm.Print_Area" localSheetId="2">'Table A3 - Local'!$A$1:$M$18</definedName>
    <definedName name="_xlnm.Print_Area" localSheetId="3">'Table A4 - Private fleet'!$A$1:$M$18</definedName>
    <definedName name="_xlnm.Print_Area" localSheetId="4">'Table A5 All respondents'!$A$1:$F$14</definedName>
    <definedName name="_xlnm.Print_Area" localSheetId="6">'Table A7 - EPA burden'!$A$1:$K$19</definedName>
    <definedName name="task1_local">'Table A3 - Local'!$F$11</definedName>
    <definedName name="task1_local_hours">'Table A3 - Local'!$B$11</definedName>
    <definedName name="task1_private">'Table A4 - Private fleet'!$F$11</definedName>
    <definedName name="task1_private_hours">'Table A4 - Private fleet'!$B$11</definedName>
    <definedName name="task1_state">'Table A2 - State'!$F$11</definedName>
    <definedName name="task1_state_hours">'Table A2 - State'!$B$11</definedName>
    <definedName name="task2_local">'Table A3 - Local'!$F$18</definedName>
    <definedName name="task2_local_hours">'Table A3 - Local'!$B$18</definedName>
    <definedName name="task2_private">'Table A4 - Private fleet'!$F$18</definedName>
    <definedName name="task2_private_hours">'Table A4 - Private fleet'!$B$18</definedName>
    <definedName name="task2_state">'Table A2 - State'!$F$18</definedName>
    <definedName name="task2_state_hours">'Table A2 - State'!$B$18</definedName>
    <definedName name="tech_private">'Table A1 - Wages'!$D$14</definedName>
    <definedName name="tech_state_local">'Table A1 - Wages'!$D$7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7" l="1"/>
  <c r="D37" i="10"/>
  <c r="D19" i="10" l="1"/>
  <c r="D18" i="10"/>
  <c r="E19" i="10"/>
  <c r="E18" i="10"/>
  <c r="F31" i="10"/>
  <c r="F20" i="10"/>
  <c r="F9" i="10"/>
  <c r="B10" i="7" l="1"/>
  <c r="D40" i="7"/>
  <c r="B12" i="7"/>
  <c r="B11" i="7"/>
  <c r="C40" i="7"/>
  <c r="B40" i="7"/>
  <c r="B7" i="7"/>
  <c r="B5" i="7"/>
  <c r="B6" i="7"/>
  <c r="C29" i="7"/>
  <c r="D29" i="7"/>
  <c r="B29" i="7"/>
  <c r="D7" i="11" l="1"/>
  <c r="C7" i="11"/>
  <c r="D3" i="11"/>
  <c r="C3" i="11"/>
  <c r="B8" i="6"/>
  <c r="B11" i="6" s="1"/>
  <c r="E11" i="8" l="1"/>
  <c r="E12" i="8"/>
  <c r="E6" i="8"/>
  <c r="E7" i="8"/>
  <c r="B39" i="7"/>
  <c r="C39" i="7"/>
  <c r="D39" i="7"/>
  <c r="B28" i="7" l="1"/>
  <c r="C28" i="7"/>
  <c r="D28" i="7"/>
  <c r="C28" i="10" l="1"/>
  <c r="C26" i="10"/>
  <c r="C17" i="10"/>
  <c r="C15" i="10"/>
  <c r="C6" i="10"/>
  <c r="C4" i="10"/>
  <c r="C31" i="10" l="1"/>
  <c r="D8" i="1" l="1"/>
  <c r="D6" i="1" l="1"/>
  <c r="F9" i="4" l="1"/>
  <c r="F8" i="4"/>
  <c r="F7" i="4"/>
  <c r="F17" i="4"/>
  <c r="F16" i="4"/>
  <c r="F15" i="4"/>
  <c r="F14" i="4"/>
  <c r="F15" i="9"/>
  <c r="F14" i="9"/>
  <c r="F10" i="9"/>
  <c r="F9" i="9"/>
  <c r="F8" i="9"/>
  <c r="F6" i="4"/>
  <c r="F7" i="9"/>
  <c r="F17" i="9"/>
  <c r="F6" i="9"/>
  <c r="F16" i="9"/>
  <c r="F10" i="4"/>
  <c r="C20" i="10"/>
  <c r="C9" i="10"/>
  <c r="C15" i="8" l="1"/>
  <c r="D15" i="7"/>
  <c r="B13" i="7" l="1"/>
  <c r="B8" i="7"/>
  <c r="B14" i="7" l="1"/>
  <c r="B6" i="9" l="1"/>
  <c r="B7" i="9"/>
  <c r="B8" i="9"/>
  <c r="B9" i="9"/>
  <c r="B10" i="9"/>
  <c r="C11" i="9"/>
  <c r="D11" i="9"/>
  <c r="E11" i="9"/>
  <c r="B14" i="9"/>
  <c r="B15" i="9"/>
  <c r="B16" i="9"/>
  <c r="B17" i="9"/>
  <c r="C18" i="9"/>
  <c r="D18" i="9"/>
  <c r="E18" i="9"/>
  <c r="B18" i="9" l="1"/>
  <c r="C10" i="7" s="1"/>
  <c r="E10" i="7" s="1"/>
  <c r="D28" i="10" s="1"/>
  <c r="B11" i="9"/>
  <c r="C5" i="7" s="1"/>
  <c r="E5" i="7" s="1"/>
  <c r="D26" i="10" s="1"/>
  <c r="D31" i="10" l="1"/>
  <c r="D29" i="10"/>
  <c r="D30" i="10"/>
  <c r="B15" i="4"/>
  <c r="B16" i="4"/>
  <c r="B17" i="4"/>
  <c r="B7" i="4"/>
  <c r="B8" i="4"/>
  <c r="B9" i="4"/>
  <c r="B10" i="4"/>
  <c r="D12" i="8" l="1"/>
  <c r="D11" i="8"/>
  <c r="D7" i="8"/>
  <c r="D6" i="8"/>
  <c r="B13" i="8"/>
  <c r="B8" i="8"/>
  <c r="E11" i="6"/>
  <c r="D11" i="6"/>
  <c r="C11" i="6"/>
  <c r="E18" i="6"/>
  <c r="D18" i="6"/>
  <c r="C18" i="6"/>
  <c r="E18" i="4"/>
  <c r="D18" i="4"/>
  <c r="C18" i="4"/>
  <c r="E11" i="4"/>
  <c r="D11" i="4"/>
  <c r="C11" i="4"/>
  <c r="B17" i="6"/>
  <c r="B16" i="6"/>
  <c r="B15" i="6"/>
  <c r="B14" i="6"/>
  <c r="B10" i="6"/>
  <c r="B9" i="6"/>
  <c r="B7" i="6"/>
  <c r="B6" i="6"/>
  <c r="B14" i="4"/>
  <c r="B6" i="4"/>
  <c r="D13" i="1"/>
  <c r="D15" i="1"/>
  <c r="D14" i="1"/>
  <c r="D8" i="8" l="1"/>
  <c r="E13" i="8"/>
  <c r="F17" i="6"/>
  <c r="F14" i="6"/>
  <c r="F7" i="6"/>
  <c r="F15" i="6"/>
  <c r="F9" i="6"/>
  <c r="F16" i="6"/>
  <c r="F8" i="6"/>
  <c r="B11" i="4"/>
  <c r="C6" i="7" s="1"/>
  <c r="E6" i="7" s="1"/>
  <c r="D4" i="10" s="1"/>
  <c r="B18" i="4"/>
  <c r="C11" i="7" s="1"/>
  <c r="E11" i="7" s="1"/>
  <c r="D6" i="10" s="1"/>
  <c r="B18" i="6"/>
  <c r="C12" i="7" s="1"/>
  <c r="E12" i="7" s="1"/>
  <c r="D17" i="10" s="1"/>
  <c r="F6" i="6"/>
  <c r="F10" i="6"/>
  <c r="D13" i="8"/>
  <c r="C7" i="7"/>
  <c r="E7" i="7" s="1"/>
  <c r="D15" i="10" s="1"/>
  <c r="E8" i="8"/>
  <c r="D20" i="10" l="1"/>
  <c r="D9" i="10"/>
  <c r="D7" i="10"/>
  <c r="D8" i="10"/>
  <c r="D15" i="8"/>
  <c r="F18" i="4"/>
  <c r="D11" i="7" s="1"/>
  <c r="F11" i="7" s="1"/>
  <c r="E6" i="10" s="1"/>
  <c r="E13" i="7"/>
  <c r="E8" i="7"/>
  <c r="F11" i="6"/>
  <c r="D7" i="7" s="1"/>
  <c r="F7" i="7" s="1"/>
  <c r="E15" i="10" s="1"/>
  <c r="F18" i="6"/>
  <c r="D12" i="7" s="1"/>
  <c r="F12" i="7" s="1"/>
  <c r="E17" i="10" s="1"/>
  <c r="F11" i="4"/>
  <c r="E15" i="8"/>
  <c r="F17" i="10" l="1"/>
  <c r="F15" i="10"/>
  <c r="E20" i="10"/>
  <c r="E7" i="10"/>
  <c r="E8" i="10"/>
  <c r="F6" i="10"/>
  <c r="F18" i="9"/>
  <c r="D10" i="7" s="1"/>
  <c r="F10" i="7" s="1"/>
  <c r="E28" i="10" s="1"/>
  <c r="F11" i="9"/>
  <c r="D5" i="7" s="1"/>
  <c r="F5" i="7" s="1"/>
  <c r="E26" i="10" s="1"/>
  <c r="D6" i="7"/>
  <c r="F6" i="7" s="1"/>
  <c r="E4" i="10" s="1"/>
  <c r="E14" i="7"/>
  <c r="E16" i="7" s="1"/>
  <c r="F26" i="10" l="1"/>
  <c r="E31" i="10"/>
  <c r="E9" i="10"/>
  <c r="F4" i="10"/>
  <c r="E29" i="10"/>
  <c r="E30" i="10"/>
  <c r="F28" i="10"/>
  <c r="F13" i="7"/>
  <c r="F8" i="7"/>
  <c r="F14" i="7" l="1"/>
  <c r="F16" i="7" l="1"/>
  <c r="D1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tc={E252CBB0-4B96-42AD-B028-397332E14505}</author>
  </authors>
  <commentList>
    <comment ref="D4" authorId="0" shapeId="0" xr:uid="{E252CBB0-4B96-42AD-B028-397332E14505}">
      <text>
        <t>[Threaded comment]
Your version of Excel allows you to read this threaded comment; however, any edits to it will get removed if the file is opened in a newer version of Excel. Learn more: https://go.microsoft.com/fwlink/?linkid=870924
Comment:
    BLS no longer provides wage data on this category for state and local gov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tc={4E98FBD4-54FF-44F9-87F6-C710C9F0AF5C}</author>
  </authors>
  <commentList>
    <comment ref="D4" authorId="0" shapeId="0" xr:uid="{4E98FBD4-54FF-44F9-87F6-C710C9F0AF5C}">
      <text>
        <t>[Threaded comment]
Your version of Excel allows you to read this threaded comment; however, any edits to it will get removed if the file is opened in a newer version of Excel. Learn more: https://go.microsoft.com/fwlink/?linkid=870924
Comment:
    BLS no longer provides wage data on this category for state and local gov</t>
      </text>
    </comment>
  </commentList>
</comments>
</file>

<file path=xl/sharedStrings.xml><?xml version="1.0" encoding="utf-8"?>
<sst xmlns="http://schemas.openxmlformats.org/spreadsheetml/2006/main" count="416" uniqueCount="126">
  <si>
    <t>Table A1. Mean Hourly Wages, Benefits, and Total Compensation</t>
  </si>
  <si>
    <t>Eligible applicants</t>
  </si>
  <si>
    <t>Mean Hourly Wage</t>
  </si>
  <si>
    <t>Mean Hourly Benefits</t>
  </si>
  <si>
    <t>Total Compensation</t>
  </si>
  <si>
    <t>BLS Occupational Group</t>
  </si>
  <si>
    <t>State &amp; local governments (including schools)</t>
  </si>
  <si>
    <t>managerial</t>
  </si>
  <si>
    <t>Management, professional, and related</t>
  </si>
  <si>
    <t>technical</t>
  </si>
  <si>
    <t>N/A</t>
  </si>
  <si>
    <t>BLS no longer provides data for "Transportation and material moving" for State and local governments</t>
  </si>
  <si>
    <t>clerical</t>
  </si>
  <si>
    <t>Office and administrative support</t>
  </si>
  <si>
    <r>
      <t xml:space="preserve">Bureau of Labor Statistics Economic News Release </t>
    </r>
    <r>
      <rPr>
        <i/>
        <sz val="9"/>
        <color theme="1"/>
        <rFont val="Arial"/>
        <family val="2"/>
      </rPr>
      <t>Table 3. State and local government, by occupational and industry group</t>
    </r>
    <r>
      <rPr>
        <sz val="9"/>
        <color theme="1"/>
        <rFont val="Arial"/>
        <family val="2"/>
      </rPr>
      <t xml:space="preserve">, September 2021. http://www.bls.gov/news.release/ecec.t03.htm </t>
    </r>
  </si>
  <si>
    <t>Private fleets</t>
  </si>
  <si>
    <t>Transportation and material moving</t>
  </si>
  <si>
    <r>
      <t xml:space="preserve">Bureau of Labor Statistics Economic News Release </t>
    </r>
    <r>
      <rPr>
        <i/>
        <sz val="9"/>
        <color theme="1"/>
        <rFont val="Arial"/>
        <family val="2"/>
      </rPr>
      <t>Table 4. Private industry workers by occupational and industry group</t>
    </r>
    <r>
      <rPr>
        <sz val="9"/>
        <color theme="1"/>
        <rFont val="Arial"/>
        <family val="2"/>
      </rPr>
      <t>, September 2021. https://www.bls.gov/news.release/ecec.t04.htm</t>
    </r>
  </si>
  <si>
    <t>Table A2. State Government Burden Calculation (per Response)</t>
  </si>
  <si>
    <t>Task</t>
  </si>
  <si>
    <t>Estimated Time to Complete (hr)</t>
  </si>
  <si>
    <t>Contribution of Each Worker to the Task</t>
  </si>
  <si>
    <t>Weighted Average Cost</t>
  </si>
  <si>
    <t>Respondent Type</t>
  </si>
  <si>
    <t>Reporting Frequency</t>
  </si>
  <si>
    <t>No. Responses / Respondent / year</t>
  </si>
  <si>
    <t>Type of Activitity (OMB)</t>
  </si>
  <si>
    <t>Type of Activity (EPA classification)</t>
  </si>
  <si>
    <t>Obligation of Response (OMB)</t>
  </si>
  <si>
    <t>Affected Public (OMB)</t>
  </si>
  <si>
    <t>Management</t>
  </si>
  <si>
    <t>Technical</t>
  </si>
  <si>
    <t>Clerical</t>
  </si>
  <si>
    <t>Task 1: Rebate Application - Part I</t>
  </si>
  <si>
    <t>1a. Review instructions</t>
  </si>
  <si>
    <t>All applicants</t>
  </si>
  <si>
    <t>As needed</t>
  </si>
  <si>
    <t>Reporting</t>
  </si>
  <si>
    <t>Application</t>
  </si>
  <si>
    <t>Voluntary</t>
  </si>
  <si>
    <t>Government, non-profit, business</t>
  </si>
  <si>
    <t>1b. Gather information about existing vehicle(s) to replace or retrofit</t>
  </si>
  <si>
    <t>1c. Fill out Application to Reserve Funds</t>
  </si>
  <si>
    <t>1d. Sign and submit to EPA</t>
  </si>
  <si>
    <t>1e. Submit Purchase Order to EPA within 60 days of application approval</t>
  </si>
  <si>
    <t>Approved Applicants</t>
  </si>
  <si>
    <t>Task 1 Total</t>
  </si>
  <si>
    <t>Task 2: Rebate Application Form - Part II</t>
  </si>
  <si>
    <t>2a. Review instructions</t>
  </si>
  <si>
    <t>2b. Gather invoices and information for new vehicle(s) and/or equipment</t>
  </si>
  <si>
    <t>2c. Fill out Payment Request and Close Out forms, sign, submit to EPA</t>
  </si>
  <si>
    <t>2d. Record keeping</t>
  </si>
  <si>
    <t>Task 2 Total</t>
  </si>
  <si>
    <t>Table A3. Local Government Burden Calculation (per Response)</t>
  </si>
  <si>
    <t>2d. Recordkeeping</t>
  </si>
  <si>
    <t>Table A5. Private Fleet Burden Calculation (per Response)</t>
  </si>
  <si>
    <t>Table A6. Typical Rebate Program Respondent Burden</t>
  </si>
  <si>
    <t>Number of Responses</t>
  </si>
  <si>
    <t>Hours per Response</t>
  </si>
  <si>
    <t>Cost per Response</t>
  </si>
  <si>
    <t>Total Hours</t>
  </si>
  <si>
    <t>Total Cost</t>
  </si>
  <si>
    <t>Task 1 - Rebate Application</t>
  </si>
  <si>
    <t>State governments</t>
  </si>
  <si>
    <t>Local govts (incl school districts)</t>
  </si>
  <si>
    <t>Private Fleets</t>
  </si>
  <si>
    <t>Task 1 - Total</t>
  </si>
  <si>
    <t>Task 2 - Payment Request and Close Out</t>
  </si>
  <si>
    <t>Total Respondent Burden</t>
  </si>
  <si>
    <t>Previous Burden - 2018 ICR Renewal</t>
  </si>
  <si>
    <t>Increase</t>
  </si>
  <si>
    <t>Basis for Revised Estimates</t>
  </si>
  <si>
    <t>Rebate Application</t>
  </si>
  <si>
    <t>Local</t>
  </si>
  <si>
    <t>Private</t>
  </si>
  <si>
    <t>State</t>
  </si>
  <si>
    <t>DERA 2012</t>
  </si>
  <si>
    <t>DERA 2014</t>
  </si>
  <si>
    <t>DERA 2015</t>
  </si>
  <si>
    <t>DERA 2016</t>
  </si>
  <si>
    <t>DERA 2017</t>
  </si>
  <si>
    <t>DERA 2018</t>
  </si>
  <si>
    <t>DERA 2019</t>
  </si>
  <si>
    <t>Average</t>
  </si>
  <si>
    <t xml:space="preserve">Clean School Bus Program Estimate </t>
  </si>
  <si>
    <t>Payment Request</t>
  </si>
  <si>
    <t>Table A6. Task Breakdown</t>
  </si>
  <si>
    <t>Hours</t>
  </si>
  <si>
    <t>Cost</t>
  </si>
  <si>
    <t>Cost per Hour</t>
  </si>
  <si>
    <t>Task 1 - Local</t>
  </si>
  <si>
    <t>Task 2 - Local</t>
  </si>
  <si>
    <t>Record Keeping</t>
  </si>
  <si>
    <t>Local Total Task 1 &amp; 2</t>
  </si>
  <si>
    <t>Previous Local</t>
  </si>
  <si>
    <t>Task 1 - Private</t>
  </si>
  <si>
    <t>Task 2 - Private</t>
  </si>
  <si>
    <t>Private Task 1 &amp; 2 Total</t>
  </si>
  <si>
    <t>Previous Private</t>
  </si>
  <si>
    <t>Task 1 - State</t>
  </si>
  <si>
    <t>Task 2 - State</t>
  </si>
  <si>
    <t>State Task 1 &amp; 2 Total</t>
  </si>
  <si>
    <t>Previous State</t>
  </si>
  <si>
    <t>Table A7. EPA Burden Calculation</t>
  </si>
  <si>
    <t>Number of Responses / year</t>
  </si>
  <si>
    <r>
      <t>Total Labor Cost</t>
    </r>
    <r>
      <rPr>
        <b/>
        <vertAlign val="superscript"/>
        <sz val="9"/>
        <color theme="1"/>
        <rFont val="Arial"/>
        <family val="2"/>
      </rPr>
      <t>1</t>
    </r>
  </si>
  <si>
    <t>1a. Review Application for eligibility with program requirements</t>
  </si>
  <si>
    <t>EPA</t>
  </si>
  <si>
    <t>1b. Reserve funds and update applicant status in tracking database</t>
  </si>
  <si>
    <t>2a. Review Payment Request and Close Out form materials to confirm compliance with program guidance</t>
  </si>
  <si>
    <t>2b. Release funds to applicant and update applicant status in tracking database</t>
  </si>
  <si>
    <t>Total EPA Burden</t>
  </si>
  <si>
    <t>Previous EPA Burden in 2018 ICR Renewal</t>
  </si>
  <si>
    <t>Notes:</t>
  </si>
  <si>
    <t xml:space="preserve">1. 2021 Labor Rate for Federal is $49.50/hr. This figure is based on a GS-13 Step 10 employee.  Step 10 is assumed to account for overhead. </t>
  </si>
  <si>
    <t>Respondent Name</t>
  </si>
  <si>
    <t>Fleet Type</t>
  </si>
  <si>
    <t>Estimated Burden Hours for Rebate Application</t>
  </si>
  <si>
    <t>Estimated Burden Hours for Payment Request and Close Out form materials</t>
  </si>
  <si>
    <t>Kobussen Buses LTD</t>
  </si>
  <si>
    <t>Private Fleet Average</t>
  </si>
  <si>
    <t>Stephens County Board of Education</t>
  </si>
  <si>
    <t>Public - Local</t>
  </si>
  <si>
    <t>Unified School District 234</t>
  </si>
  <si>
    <t>Culpeper County Public Schools Division</t>
  </si>
  <si>
    <t>Public Fleet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</si>
</sst>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vertAlign val="superscript"/>
      <sz val="9"/>
      <color theme="1"/>
      <name val="Arial"/>
      <family val="2"/>
    </font>
    <font>
      <b/>
      <sz val="8"/>
      <color theme="1"/>
      <name val="Arial"/>
      <family val="2"/>
    </font>
    <font>
      <i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44" fontId="7" fillId="0" borderId="0" applyFont="0" applyFill="0" applyBorder="0" applyAlignment="0" applyProtection="0"/>
  </cellStyleXfs>
  <cellXfs count="182">
    <xf numFmtId="0" fontId="0" fillId="0" borderId="0" xfId="0"/>
    <xf numFmtId="164" fontId="5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3" fillId="0" borderId="0" xfId="0" applyFont="1"/>
    <xf numFmtId="0" fontId="1" fillId="0" borderId="0" xfId="0" applyFont="1"/>
    <xf numFmtId="0" fontId="2" fillId="4" borderId="1" xfId="0" applyFont="1" applyFill="1" applyBorder="1" applyAlignment="1"/>
    <xf numFmtId="0" fontId="2" fillId="4" borderId="1" xfId="0" applyFont="1" applyFill="1" applyBorder="1"/>
    <xf numFmtId="0" fontId="4" fillId="4" borderId="1" xfId="0" applyFont="1" applyFill="1" applyBorder="1"/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4" borderId="7" xfId="0" applyFont="1" applyFill="1" applyBorder="1" applyAlignment="1"/>
    <xf numFmtId="0" fontId="2" fillId="4" borderId="7" xfId="0" applyFont="1" applyFill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0" applyFont="1" applyAlignment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5" borderId="1" xfId="0" applyFont="1" applyFill="1" applyBorder="1"/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164" fontId="6" fillId="5" borderId="1" xfId="0" applyNumberFormat="1" applyFont="1" applyFill="1" applyBorder="1" applyAlignment="1">
      <alignment horizontal="center" wrapText="1"/>
    </xf>
    <xf numFmtId="0" fontId="3" fillId="0" borderId="0" xfId="1" applyFont="1"/>
    <xf numFmtId="0" fontId="2" fillId="4" borderId="1" xfId="1" applyFont="1" applyFill="1" applyBorder="1" applyAlignment="1"/>
    <xf numFmtId="2" fontId="2" fillId="0" borderId="7" xfId="1" applyNumberFormat="1" applyFont="1" applyBorder="1" applyAlignment="1">
      <alignment horizontal="center"/>
    </xf>
    <xf numFmtId="0" fontId="2" fillId="0" borderId="7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4" fillId="4" borderId="1" xfId="1" applyFont="1" applyFill="1" applyBorder="1"/>
    <xf numFmtId="2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/>
    <xf numFmtId="2" fontId="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/>
    <xf numFmtId="0" fontId="11" fillId="0" borderId="10" xfId="1" applyFont="1" applyBorder="1"/>
    <xf numFmtId="2" fontId="5" fillId="0" borderId="11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0" fontId="9" fillId="0" borderId="5" xfId="2" applyFont="1" applyFill="1" applyBorder="1"/>
    <xf numFmtId="2" fontId="5" fillId="0" borderId="4" xfId="1" applyNumberFormat="1" applyFont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quotePrefix="1" applyFont="1" applyBorder="1" applyAlignment="1">
      <alignment vertical="center" wrapText="1"/>
    </xf>
    <xf numFmtId="0" fontId="4" fillId="0" borderId="1" xfId="1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164" fontId="4" fillId="4" borderId="9" xfId="1" applyNumberFormat="1" applyFont="1" applyFill="1" applyBorder="1" applyAlignment="1"/>
    <xf numFmtId="164" fontId="4" fillId="4" borderId="1" xfId="1" applyNumberFormat="1" applyFont="1" applyFill="1" applyBorder="1" applyAlignment="1">
      <alignment horizontal="center"/>
    </xf>
    <xf numFmtId="0" fontId="4" fillId="4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3" fontId="4" fillId="4" borderId="1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indent="2"/>
    </xf>
    <xf numFmtId="0" fontId="4" fillId="2" borderId="1" xfId="0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/>
    <xf numFmtId="44" fontId="5" fillId="0" borderId="1" xfId="3" applyNumberFormat="1" applyFont="1" applyBorder="1" applyAlignment="1">
      <alignment horizontal="right"/>
    </xf>
    <xf numFmtId="0" fontId="5" fillId="0" borderId="1" xfId="0" applyFont="1" applyBorder="1" applyAlignment="1">
      <alignment horizontal="left" indent="2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4" fillId="7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/>
    <xf numFmtId="164" fontId="4" fillId="2" borderId="1" xfId="0" applyNumberFormat="1" applyFont="1" applyFill="1" applyBorder="1" applyAlignment="1">
      <alignment horizontal="center"/>
    </xf>
    <xf numFmtId="44" fontId="4" fillId="2" borderId="1" xfId="3" applyFont="1" applyFill="1" applyBorder="1" applyAlignment="1"/>
    <xf numFmtId="0" fontId="4" fillId="4" borderId="1" xfId="0" applyFont="1" applyFill="1" applyBorder="1" applyAlignment="1">
      <alignment horizontal="right" indent="2"/>
    </xf>
    <xf numFmtId="165" fontId="4" fillId="4" borderId="1" xfId="0" applyNumberFormat="1" applyFont="1" applyFill="1" applyBorder="1" applyAlignment="1">
      <alignment horizontal="right"/>
    </xf>
    <xf numFmtId="0" fontId="5" fillId="0" borderId="1" xfId="0" applyFont="1" applyBorder="1"/>
    <xf numFmtId="0" fontId="1" fillId="0" borderId="1" xfId="0" applyFont="1" applyBorder="1"/>
    <xf numFmtId="0" fontId="0" fillId="6" borderId="0" xfId="0" applyFill="1"/>
    <xf numFmtId="0" fontId="4" fillId="6" borderId="0" xfId="0" applyFont="1" applyFill="1"/>
    <xf numFmtId="0" fontId="5" fillId="6" borderId="0" xfId="0" applyFont="1" applyFill="1" applyAlignment="1">
      <alignment horizontal="center"/>
    </xf>
    <xf numFmtId="164" fontId="5" fillId="6" borderId="0" xfId="0" applyNumberFormat="1" applyFont="1" applyFill="1" applyAlignment="1">
      <alignment horizontal="center"/>
    </xf>
    <xf numFmtId="0" fontId="5" fillId="6" borderId="0" xfId="0" applyNumberFormat="1" applyFont="1" applyFill="1" applyAlignment="1">
      <alignment horizontal="center"/>
    </xf>
    <xf numFmtId="0" fontId="4" fillId="6" borderId="0" xfId="0" applyFont="1" applyFill="1" applyAlignment="1"/>
    <xf numFmtId="0" fontId="5" fillId="6" borderId="0" xfId="0" applyFont="1" applyFill="1"/>
    <xf numFmtId="3" fontId="5" fillId="6" borderId="0" xfId="0" applyNumberFormat="1" applyFont="1" applyFill="1" applyAlignment="1">
      <alignment horizontal="center"/>
    </xf>
    <xf numFmtId="0" fontId="4" fillId="2" borderId="1" xfId="0" applyFont="1" applyFill="1" applyBorder="1"/>
    <xf numFmtId="0" fontId="5" fillId="7" borderId="1" xfId="0" applyFont="1" applyFill="1" applyBorder="1" applyAlignment="1">
      <alignment horizontal="right"/>
    </xf>
    <xf numFmtId="0" fontId="5" fillId="7" borderId="9" xfId="0" applyFont="1" applyFill="1" applyBorder="1" applyAlignment="1"/>
    <xf numFmtId="44" fontId="5" fillId="7" borderId="1" xfId="3" applyFont="1" applyFill="1" applyBorder="1" applyAlignment="1"/>
    <xf numFmtId="3" fontId="5" fillId="7" borderId="1" xfId="0" applyNumberFormat="1" applyFont="1" applyFill="1" applyBorder="1" applyAlignment="1">
      <alignment horizontal="center"/>
    </xf>
    <xf numFmtId="44" fontId="5" fillId="7" borderId="1" xfId="3" applyFont="1" applyFill="1" applyBorder="1" applyAlignment="1">
      <alignment horizontal="right"/>
    </xf>
    <xf numFmtId="44" fontId="4" fillId="7" borderId="1" xfId="3" applyFont="1" applyFill="1" applyBorder="1" applyAlignment="1">
      <alignment horizontal="right"/>
    </xf>
    <xf numFmtId="0" fontId="4" fillId="4" borderId="1" xfId="1" applyNumberFormat="1" applyFont="1" applyFill="1" applyBorder="1" applyAlignment="1"/>
    <xf numFmtId="165" fontId="0" fillId="6" borderId="0" xfId="0" applyNumberFormat="1" applyFill="1"/>
    <xf numFmtId="0" fontId="5" fillId="6" borderId="0" xfId="0" applyFont="1" applyFill="1" applyAlignment="1">
      <alignment horizontal="right"/>
    </xf>
    <xf numFmtId="0" fontId="0" fillId="6" borderId="0" xfId="0" applyFill="1" applyAlignment="1">
      <alignment horizontal="right"/>
    </xf>
    <xf numFmtId="44" fontId="5" fillId="0" borderId="1" xfId="3" applyNumberFormat="1" applyFont="1" applyFill="1" applyBorder="1" applyAlignment="1">
      <alignment horizontal="right"/>
    </xf>
    <xf numFmtId="44" fontId="5" fillId="0" borderId="1" xfId="3" applyFont="1" applyFill="1" applyBorder="1" applyAlignment="1">
      <alignment horizontal="left"/>
    </xf>
    <xf numFmtId="44" fontId="5" fillId="0" borderId="1" xfId="0" applyNumberFormat="1" applyFont="1" applyFill="1" applyBorder="1" applyAlignment="1"/>
    <xf numFmtId="44" fontId="4" fillId="4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44" fontId="5" fillId="0" borderId="1" xfId="0" applyNumberFormat="1" applyFont="1" applyFill="1" applyBorder="1" applyAlignment="1">
      <alignment horizontal="right"/>
    </xf>
    <xf numFmtId="44" fontId="5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4" fontId="4" fillId="0" borderId="1" xfId="3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44" fontId="4" fillId="0" borderId="1" xfId="3" applyFont="1" applyFill="1" applyBorder="1" applyAlignment="1"/>
    <xf numFmtId="166" fontId="5" fillId="0" borderId="1" xfId="0" applyNumberFormat="1" applyFont="1" applyFill="1" applyBorder="1" applyAlignment="1">
      <alignment horizontal="right"/>
    </xf>
    <xf numFmtId="0" fontId="5" fillId="2" borderId="1" xfId="1" applyFont="1" applyFill="1" applyBorder="1"/>
    <xf numFmtId="164" fontId="5" fillId="4" borderId="9" xfId="1" applyNumberFormat="1" applyFont="1" applyFill="1" applyBorder="1" applyAlignment="1"/>
    <xf numFmtId="0" fontId="5" fillId="4" borderId="1" xfId="1" applyNumberFormat="1" applyFont="1" applyFill="1" applyBorder="1" applyAlignment="1"/>
    <xf numFmtId="0" fontId="5" fillId="4" borderId="1" xfId="1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66" fontId="1" fillId="0" borderId="0" xfId="0" applyNumberFormat="1" applyFont="1"/>
    <xf numFmtId="0" fontId="0" fillId="4" borderId="1" xfId="0" applyFill="1" applyBorder="1" applyAlignment="1">
      <alignment wrapText="1"/>
    </xf>
    <xf numFmtId="0" fontId="0" fillId="0" borderId="0" xfId="0" applyAlignment="1">
      <alignment wrapText="1"/>
    </xf>
    <xf numFmtId="166" fontId="5" fillId="0" borderId="1" xfId="0" applyNumberFormat="1" applyFont="1" applyBorder="1" applyAlignment="1">
      <alignment horizontal="right"/>
    </xf>
    <xf numFmtId="166" fontId="4" fillId="4" borderId="1" xfId="0" applyNumberFormat="1" applyFont="1" applyFill="1" applyBorder="1" applyAlignment="1">
      <alignment horizontal="right"/>
    </xf>
    <xf numFmtId="44" fontId="5" fillId="4" borderId="1" xfId="0" applyNumberFormat="1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7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 wrapText="1"/>
    </xf>
    <xf numFmtId="0" fontId="4" fillId="4" borderId="9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2" xfId="0" applyFont="1" applyFill="1" applyBorder="1" applyAlignment="1">
      <alignment horizontal="left" vertical="top" wrapText="1"/>
    </xf>
    <xf numFmtId="0" fontId="5" fillId="7" borderId="5" xfId="0" applyFont="1" applyFill="1" applyBorder="1" applyAlignment="1">
      <alignment horizontal="left" vertical="top" wrapText="1"/>
    </xf>
    <xf numFmtId="0" fontId="5" fillId="7" borderId="4" xfId="0" applyFont="1" applyFill="1" applyBorder="1" applyAlignment="1">
      <alignment horizontal="left" vertical="top" wrapText="1"/>
    </xf>
    <xf numFmtId="0" fontId="5" fillId="7" borderId="8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7" borderId="2" xfId="0" applyFont="1" applyFill="1" applyBorder="1" applyAlignment="1">
      <alignment horizontal="right"/>
    </xf>
    <xf numFmtId="0" fontId="4" fillId="7" borderId="9" xfId="0" applyFont="1" applyFill="1" applyBorder="1" applyAlignment="1">
      <alignment horizontal="right"/>
    </xf>
    <xf numFmtId="0" fontId="4" fillId="7" borderId="3" xfId="0" applyFont="1" applyFill="1" applyBorder="1" applyAlignment="1">
      <alignment horizontal="right"/>
    </xf>
    <xf numFmtId="164" fontId="6" fillId="5" borderId="5" xfId="0" applyNumberFormat="1" applyFont="1" applyFill="1" applyBorder="1" applyAlignment="1">
      <alignment horizontal="center" wrapText="1"/>
    </xf>
    <xf numFmtId="164" fontId="6" fillId="5" borderId="4" xfId="0" applyNumberFormat="1" applyFont="1" applyFill="1" applyBorder="1" applyAlignment="1">
      <alignment horizontal="center" wrapText="1"/>
    </xf>
    <xf numFmtId="0" fontId="4" fillId="6" borderId="0" xfId="0" applyFont="1" applyFill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4" fillId="2" borderId="1" xfId="1" applyFont="1" applyFill="1" applyBorder="1" applyAlignment="1"/>
    <xf numFmtId="2" fontId="4" fillId="2" borderId="1" xfId="1" applyNumberFormat="1" applyFont="1" applyFill="1" applyBorder="1" applyAlignment="1">
      <alignment horizontal="center" wrapText="1"/>
    </xf>
    <xf numFmtId="164" fontId="4" fillId="2" borderId="1" xfId="1" applyNumberFormat="1" applyFont="1" applyFill="1" applyBorder="1" applyAlignment="1">
      <alignment horizontal="center" wrapText="1"/>
    </xf>
    <xf numFmtId="166" fontId="0" fillId="6" borderId="0" xfId="0" applyNumberFormat="1" applyFill="1"/>
    <xf numFmtId="3" fontId="0" fillId="0" borderId="0" xfId="0" applyNumberFormat="1"/>
  </cellXfs>
  <cellStyles count="4">
    <cellStyle name="Currency" xfId="3" builtinId="4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lcox, Jason" id="{8D866511-C582-4838-9649-1928AE01E823}" userId="S::Wilcox.Jason@epa.gov::7a650432-c9a4-4b72-baa4-f6d784bdab7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" dT="2021-06-24T14:38:18.66" personId="{8D866511-C582-4838-9649-1928AE01E823}" id="{E252CBB0-4B96-42AD-B028-397332E14505}">
    <text>BLS no longer provides wage data on this category for state and local gov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4" dT="2021-06-24T14:41:31.65" personId="{8D866511-C582-4838-9649-1928AE01E823}" id="{4E98FBD4-54FF-44F9-87F6-C710C9F0AF5C}">
    <text>BLS no longer provides wage data on this category for state and local gov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showGridLines="0" workbookViewId="0">
      <selection activeCell="C35" sqref="C35"/>
    </sheetView>
  </sheetViews>
  <sheetFormatPr defaultRowHeight="15" x14ac:dyDescent="0.25"/>
  <cols>
    <col min="1" max="1" width="15.7109375" bestFit="1" customWidth="1"/>
    <col min="2" max="2" width="11.5703125" customWidth="1"/>
    <col min="3" max="3" width="11.42578125" customWidth="1"/>
    <col min="4" max="4" width="12.85546875" customWidth="1"/>
    <col min="5" max="5" width="47.42578125" customWidth="1"/>
  </cols>
  <sheetData>
    <row r="1" spans="1:5" x14ac:dyDescent="0.25">
      <c r="A1" s="148" t="s">
        <v>0</v>
      </c>
      <c r="B1" s="148"/>
      <c r="C1" s="148"/>
      <c r="D1" s="148"/>
      <c r="E1" s="148"/>
    </row>
    <row r="3" spans="1:5" ht="15" customHeight="1" x14ac:dyDescent="0.25">
      <c r="A3" s="155" t="s">
        <v>1</v>
      </c>
      <c r="B3" s="151" t="s">
        <v>2</v>
      </c>
      <c r="C3" s="151" t="s">
        <v>3</v>
      </c>
      <c r="D3" s="151" t="s">
        <v>4</v>
      </c>
      <c r="E3" s="149" t="s">
        <v>5</v>
      </c>
    </row>
    <row r="4" spans="1:5" x14ac:dyDescent="0.25">
      <c r="A4" s="156"/>
      <c r="B4" s="151"/>
      <c r="C4" s="151"/>
      <c r="D4" s="151"/>
      <c r="E4" s="150"/>
    </row>
    <row r="5" spans="1:5" x14ac:dyDescent="0.25">
      <c r="A5" s="152" t="s">
        <v>6</v>
      </c>
      <c r="B5" s="153"/>
      <c r="C5" s="153"/>
      <c r="D5" s="153"/>
      <c r="E5" s="154"/>
    </row>
    <row r="6" spans="1:5" x14ac:dyDescent="0.25">
      <c r="A6" s="52" t="s">
        <v>7</v>
      </c>
      <c r="B6" s="53">
        <v>41.84</v>
      </c>
      <c r="C6" s="53">
        <v>23.38</v>
      </c>
      <c r="D6" s="53">
        <f t="shared" ref="D6" si="0">B6+C6</f>
        <v>65.22</v>
      </c>
      <c r="E6" s="54" t="s">
        <v>8</v>
      </c>
    </row>
    <row r="7" spans="1:5" ht="24" x14ac:dyDescent="0.25">
      <c r="A7" s="52" t="s">
        <v>9</v>
      </c>
      <c r="B7" s="53" t="s">
        <v>10</v>
      </c>
      <c r="C7" s="53" t="s">
        <v>10</v>
      </c>
      <c r="D7" s="53" t="s">
        <v>10</v>
      </c>
      <c r="E7" s="54" t="s">
        <v>11</v>
      </c>
    </row>
    <row r="8" spans="1:5" x14ac:dyDescent="0.25">
      <c r="A8" s="52" t="s">
        <v>12</v>
      </c>
      <c r="B8" s="53">
        <v>21.78</v>
      </c>
      <c r="C8" s="53">
        <v>16.23</v>
      </c>
      <c r="D8" s="53">
        <f>B8+C8</f>
        <v>38.010000000000005</v>
      </c>
      <c r="E8" s="54" t="s">
        <v>13</v>
      </c>
    </row>
    <row r="9" spans="1:5" x14ac:dyDescent="0.25">
      <c r="A9" s="142" t="s">
        <v>14</v>
      </c>
      <c r="B9" s="143"/>
      <c r="C9" s="143"/>
      <c r="D9" s="143"/>
      <c r="E9" s="144"/>
    </row>
    <row r="10" spans="1:5" x14ac:dyDescent="0.25">
      <c r="A10" s="145"/>
      <c r="B10" s="146"/>
      <c r="C10" s="146"/>
      <c r="D10" s="146"/>
      <c r="E10" s="147"/>
    </row>
    <row r="11" spans="1:5" x14ac:dyDescent="0.25">
      <c r="A11" s="133"/>
      <c r="B11" s="134"/>
      <c r="C11" s="134"/>
      <c r="D11" s="134"/>
      <c r="E11" s="135"/>
    </row>
    <row r="12" spans="1:5" x14ac:dyDescent="0.25">
      <c r="A12" s="157" t="s">
        <v>15</v>
      </c>
      <c r="B12" s="158"/>
      <c r="C12" s="158"/>
      <c r="D12" s="158"/>
      <c r="E12" s="159"/>
    </row>
    <row r="13" spans="1:5" x14ac:dyDescent="0.25">
      <c r="A13" s="52" t="s">
        <v>7</v>
      </c>
      <c r="B13" s="53">
        <v>44.38</v>
      </c>
      <c r="C13" s="53">
        <v>19.170000000000002</v>
      </c>
      <c r="D13" s="53">
        <f t="shared" ref="D13:D15" si="1">B13+C13</f>
        <v>63.550000000000004</v>
      </c>
      <c r="E13" s="54" t="s">
        <v>8</v>
      </c>
    </row>
    <row r="14" spans="1:5" x14ac:dyDescent="0.25">
      <c r="A14" s="52" t="s">
        <v>9</v>
      </c>
      <c r="B14" s="53">
        <v>20.85</v>
      </c>
      <c r="C14" s="53">
        <v>10</v>
      </c>
      <c r="D14" s="53">
        <f t="shared" si="1"/>
        <v>30.85</v>
      </c>
      <c r="E14" s="54" t="s">
        <v>16</v>
      </c>
    </row>
    <row r="15" spans="1:5" x14ac:dyDescent="0.25">
      <c r="A15" s="52" t="s">
        <v>12</v>
      </c>
      <c r="B15" s="53">
        <v>19.87</v>
      </c>
      <c r="C15" s="53">
        <v>8.7100000000000009</v>
      </c>
      <c r="D15" s="53">
        <f t="shared" si="1"/>
        <v>28.580000000000002</v>
      </c>
      <c r="E15" s="54" t="s">
        <v>13</v>
      </c>
    </row>
    <row r="16" spans="1:5" x14ac:dyDescent="0.25">
      <c r="A16" s="136" t="s">
        <v>17</v>
      </c>
      <c r="B16" s="137"/>
      <c r="C16" s="137"/>
      <c r="D16" s="137"/>
      <c r="E16" s="138"/>
    </row>
    <row r="17" spans="1:5" x14ac:dyDescent="0.25">
      <c r="A17" s="139"/>
      <c r="B17" s="140"/>
      <c r="C17" s="140"/>
      <c r="D17" s="140"/>
      <c r="E17" s="141"/>
    </row>
    <row r="18" spans="1:5" x14ac:dyDescent="0.25">
      <c r="A18" s="133"/>
      <c r="B18" s="134"/>
      <c r="C18" s="134"/>
      <c r="D18" s="134"/>
      <c r="E18" s="135"/>
    </row>
  </sheetData>
  <mergeCells count="12">
    <mergeCell ref="A18:E18"/>
    <mergeCell ref="A11:E11"/>
    <mergeCell ref="A16:E17"/>
    <mergeCell ref="A9:E10"/>
    <mergeCell ref="A1:E1"/>
    <mergeCell ref="E3:E4"/>
    <mergeCell ref="C3:C4"/>
    <mergeCell ref="A5:E5"/>
    <mergeCell ref="D3:D4"/>
    <mergeCell ref="A3:A4"/>
    <mergeCell ref="B3:B4"/>
    <mergeCell ref="A12:E12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3"/>
  <sheetViews>
    <sheetView showGridLines="0" workbookViewId="0">
      <selection activeCell="A16" sqref="A16"/>
    </sheetView>
  </sheetViews>
  <sheetFormatPr defaultColWidth="9.140625" defaultRowHeight="15" customHeight="1" x14ac:dyDescent="0.2"/>
  <cols>
    <col min="1" max="1" width="52.5703125" style="10" bestFit="1" customWidth="1"/>
    <col min="2" max="2" width="12.140625" style="11" customWidth="1"/>
    <col min="3" max="5" width="12.85546875" style="11" customWidth="1"/>
    <col min="6" max="6" width="12.140625" style="12" customWidth="1"/>
    <col min="7" max="7" width="15.7109375" style="3" bestFit="1" customWidth="1"/>
    <col min="8" max="8" width="10.7109375" style="3" customWidth="1"/>
    <col min="9" max="9" width="12.85546875" style="3" customWidth="1"/>
    <col min="10" max="10" width="12.140625" style="3" customWidth="1"/>
    <col min="11" max="11" width="15.7109375" style="3" customWidth="1"/>
    <col min="12" max="12" width="12.140625" style="3" customWidth="1"/>
    <col min="13" max="13" width="24.28515625" style="3" customWidth="1"/>
    <col min="14" max="16384" width="9.140625" style="3"/>
  </cols>
  <sheetData>
    <row r="1" spans="1:13" ht="15" customHeight="1" x14ac:dyDescent="0.2">
      <c r="A1" s="148" t="s">
        <v>18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3" spans="1:13" ht="22.5" customHeight="1" x14ac:dyDescent="0.2">
      <c r="A3" s="166" t="s">
        <v>19</v>
      </c>
      <c r="B3" s="163" t="s">
        <v>20</v>
      </c>
      <c r="C3" s="165" t="s">
        <v>21</v>
      </c>
      <c r="D3" s="165"/>
      <c r="E3" s="165"/>
      <c r="F3" s="164" t="s">
        <v>22</v>
      </c>
      <c r="G3" s="164" t="s">
        <v>23</v>
      </c>
      <c r="H3" s="164" t="s">
        <v>24</v>
      </c>
      <c r="I3" s="164" t="s">
        <v>25</v>
      </c>
      <c r="J3" s="164" t="s">
        <v>26</v>
      </c>
      <c r="K3" s="164" t="s">
        <v>27</v>
      </c>
      <c r="L3" s="164" t="s">
        <v>28</v>
      </c>
      <c r="M3" s="164" t="s">
        <v>29</v>
      </c>
    </row>
    <row r="4" spans="1:13" ht="22.5" customHeight="1" x14ac:dyDescent="0.2">
      <c r="A4" s="166"/>
      <c r="B4" s="163"/>
      <c r="C4" s="130" t="s">
        <v>30</v>
      </c>
      <c r="D4" s="130" t="s">
        <v>31</v>
      </c>
      <c r="E4" s="130" t="s">
        <v>32</v>
      </c>
      <c r="F4" s="164"/>
      <c r="G4" s="164"/>
      <c r="H4" s="164"/>
      <c r="I4" s="164"/>
      <c r="J4" s="164"/>
      <c r="K4" s="164"/>
      <c r="L4" s="164"/>
      <c r="M4" s="164"/>
    </row>
    <row r="5" spans="1:13" ht="15" customHeight="1" x14ac:dyDescent="0.2">
      <c r="A5" s="160" t="s">
        <v>33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2"/>
    </row>
    <row r="6" spans="1:13" ht="15" customHeight="1" x14ac:dyDescent="0.2">
      <c r="A6" s="13" t="s">
        <v>34</v>
      </c>
      <c r="B6" s="17">
        <f>SUM(C6:E6)</f>
        <v>1</v>
      </c>
      <c r="C6" s="17">
        <v>0.25</v>
      </c>
      <c r="D6" s="17">
        <v>0</v>
      </c>
      <c r="E6" s="17">
        <v>0.75</v>
      </c>
      <c r="F6" s="18">
        <f>$C6*man_state_local+$E6*cler_state_local</f>
        <v>44.8125</v>
      </c>
      <c r="G6" s="16" t="s">
        <v>35</v>
      </c>
      <c r="H6" s="16" t="s">
        <v>36</v>
      </c>
      <c r="I6" s="16">
        <v>1</v>
      </c>
      <c r="J6" s="16" t="s">
        <v>37</v>
      </c>
      <c r="K6" s="16" t="s">
        <v>38</v>
      </c>
      <c r="L6" s="16" t="s">
        <v>39</v>
      </c>
      <c r="M6" s="16" t="s">
        <v>40</v>
      </c>
    </row>
    <row r="7" spans="1:13" ht="15" customHeight="1" x14ac:dyDescent="0.2">
      <c r="A7" s="5" t="s">
        <v>41</v>
      </c>
      <c r="B7" s="19">
        <f>SUM(C7:E7)</f>
        <v>1.5</v>
      </c>
      <c r="C7" s="19">
        <v>0</v>
      </c>
      <c r="D7" s="19">
        <v>0</v>
      </c>
      <c r="E7" s="19">
        <v>1.5</v>
      </c>
      <c r="F7" s="20">
        <f>$C7*man_state_local+$E7*cler_state_local</f>
        <v>57.015000000000008</v>
      </c>
      <c r="G7" s="16" t="s">
        <v>35</v>
      </c>
      <c r="H7" s="16" t="s">
        <v>36</v>
      </c>
      <c r="I7" s="16">
        <v>1</v>
      </c>
      <c r="J7" s="16" t="s">
        <v>37</v>
      </c>
      <c r="K7" s="16" t="s">
        <v>38</v>
      </c>
      <c r="L7" s="16" t="s">
        <v>39</v>
      </c>
      <c r="M7" s="16" t="s">
        <v>40</v>
      </c>
    </row>
    <row r="8" spans="1:13" ht="15" customHeight="1" x14ac:dyDescent="0.2">
      <c r="A8" s="5" t="s">
        <v>42</v>
      </c>
      <c r="B8" s="19">
        <f>SUM(C8:E8)</f>
        <v>0.4</v>
      </c>
      <c r="C8" s="19">
        <v>0</v>
      </c>
      <c r="D8" s="19">
        <v>0</v>
      </c>
      <c r="E8" s="19">
        <v>0.4</v>
      </c>
      <c r="F8" s="20">
        <f>$C8*man_state_local+$E8*cler_state_local</f>
        <v>15.204000000000002</v>
      </c>
      <c r="G8" s="16" t="s">
        <v>35</v>
      </c>
      <c r="H8" s="16" t="s">
        <v>36</v>
      </c>
      <c r="I8" s="16">
        <v>1</v>
      </c>
      <c r="J8" s="16" t="s">
        <v>37</v>
      </c>
      <c r="K8" s="16" t="s">
        <v>38</v>
      </c>
      <c r="L8" s="16" t="s">
        <v>39</v>
      </c>
      <c r="M8" s="16" t="s">
        <v>40</v>
      </c>
    </row>
    <row r="9" spans="1:13" ht="15" customHeight="1" x14ac:dyDescent="0.2">
      <c r="A9" s="5" t="s">
        <v>43</v>
      </c>
      <c r="B9" s="19">
        <f>SUM(C9:E9)</f>
        <v>0.1</v>
      </c>
      <c r="C9" s="19">
        <v>0.1</v>
      </c>
      <c r="D9" s="19">
        <v>0</v>
      </c>
      <c r="E9" s="19">
        <v>0</v>
      </c>
      <c r="F9" s="20">
        <f>$C9*man_state_local+$E9*cler_state_local</f>
        <v>6.5220000000000002</v>
      </c>
      <c r="G9" s="16" t="s">
        <v>35</v>
      </c>
      <c r="H9" s="16" t="s">
        <v>36</v>
      </c>
      <c r="I9" s="16">
        <v>1</v>
      </c>
      <c r="J9" s="16" t="s">
        <v>37</v>
      </c>
      <c r="K9" s="16" t="s">
        <v>38</v>
      </c>
      <c r="L9" s="16" t="s">
        <v>39</v>
      </c>
      <c r="M9" s="16" t="s">
        <v>40</v>
      </c>
    </row>
    <row r="10" spans="1:13" ht="15" customHeight="1" x14ac:dyDescent="0.2">
      <c r="A10" s="5" t="s">
        <v>44</v>
      </c>
      <c r="B10" s="19">
        <f>SUM(C10:E10)</f>
        <v>0.5</v>
      </c>
      <c r="C10" s="19">
        <v>0.1</v>
      </c>
      <c r="D10" s="19">
        <v>0</v>
      </c>
      <c r="E10" s="19">
        <v>0.4</v>
      </c>
      <c r="F10" s="20">
        <f>$C10*man_state_local+$E10*cler_state_local</f>
        <v>21.726000000000003</v>
      </c>
      <c r="G10" s="16" t="s">
        <v>45</v>
      </c>
      <c r="H10" s="16" t="s">
        <v>36</v>
      </c>
      <c r="I10" s="16">
        <v>1</v>
      </c>
      <c r="J10" s="16" t="s">
        <v>37</v>
      </c>
      <c r="K10" s="16" t="s">
        <v>38</v>
      </c>
      <c r="L10" s="16" t="s">
        <v>39</v>
      </c>
      <c r="M10" s="16" t="s">
        <v>40</v>
      </c>
    </row>
    <row r="11" spans="1:13" ht="15" customHeight="1" x14ac:dyDescent="0.2">
      <c r="A11" s="7" t="s">
        <v>46</v>
      </c>
      <c r="B11" s="8">
        <f>SUM(B6:B10)</f>
        <v>3.5</v>
      </c>
      <c r="C11" s="8">
        <f>SUM(C6:C10)</f>
        <v>0.44999999999999996</v>
      </c>
      <c r="D11" s="8">
        <f>SUM(D6:D10)</f>
        <v>0</v>
      </c>
      <c r="E11" s="8">
        <f>SUM(E6:E10)</f>
        <v>3.05</v>
      </c>
      <c r="F11" s="9">
        <f>SUM(F6:F10)</f>
        <v>145.27950000000004</v>
      </c>
      <c r="G11" s="16"/>
      <c r="H11" s="15"/>
      <c r="I11" s="15"/>
      <c r="J11" s="15"/>
      <c r="K11" s="15"/>
      <c r="L11" s="15"/>
      <c r="M11" s="15"/>
    </row>
    <row r="12" spans="1:13" ht="7.5" customHeight="1" x14ac:dyDescent="0.2"/>
    <row r="13" spans="1:13" ht="15" customHeight="1" x14ac:dyDescent="0.2">
      <c r="A13" s="160" t="s">
        <v>47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2"/>
    </row>
    <row r="14" spans="1:13" ht="15" customHeight="1" x14ac:dyDescent="0.2">
      <c r="A14" s="14" t="s">
        <v>48</v>
      </c>
      <c r="B14" s="17">
        <f>SUM(C14:E14)</f>
        <v>0.5</v>
      </c>
      <c r="C14" s="17">
        <v>0</v>
      </c>
      <c r="D14" s="17">
        <v>0</v>
      </c>
      <c r="E14" s="17">
        <v>0.5</v>
      </c>
      <c r="F14" s="18">
        <f>$C14*man_state_local+$E14*cler_state_local</f>
        <v>19.005000000000003</v>
      </c>
      <c r="G14" s="16" t="s">
        <v>45</v>
      </c>
      <c r="H14" s="16" t="s">
        <v>36</v>
      </c>
      <c r="I14" s="16">
        <v>1</v>
      </c>
      <c r="J14" s="16" t="s">
        <v>37</v>
      </c>
      <c r="K14" s="16" t="s">
        <v>38</v>
      </c>
      <c r="L14" s="16" t="s">
        <v>39</v>
      </c>
      <c r="M14" s="16" t="s">
        <v>40</v>
      </c>
    </row>
    <row r="15" spans="1:13" ht="15" customHeight="1" x14ac:dyDescent="0.2">
      <c r="A15" s="6" t="s">
        <v>49</v>
      </c>
      <c r="B15" s="19">
        <f>SUM(C15:E15)</f>
        <v>1</v>
      </c>
      <c r="C15" s="19">
        <v>0</v>
      </c>
      <c r="D15" s="19">
        <v>0</v>
      </c>
      <c r="E15" s="19">
        <v>1</v>
      </c>
      <c r="F15" s="20">
        <f>$C15*man_state_local+$E15*cler_state_local</f>
        <v>38.010000000000005</v>
      </c>
      <c r="G15" s="16" t="s">
        <v>45</v>
      </c>
      <c r="H15" s="16" t="s">
        <v>36</v>
      </c>
      <c r="I15" s="16">
        <v>1</v>
      </c>
      <c r="J15" s="16" t="s">
        <v>37</v>
      </c>
      <c r="K15" s="16" t="s">
        <v>38</v>
      </c>
      <c r="L15" s="16" t="s">
        <v>39</v>
      </c>
      <c r="M15" s="16" t="s">
        <v>40</v>
      </c>
    </row>
    <row r="16" spans="1:13" ht="15" customHeight="1" x14ac:dyDescent="0.2">
      <c r="A16" s="6" t="s">
        <v>50</v>
      </c>
      <c r="B16" s="19">
        <f>SUM(C16:E16)</f>
        <v>0.5</v>
      </c>
      <c r="C16" s="19">
        <v>0.1</v>
      </c>
      <c r="D16" s="19">
        <v>0</v>
      </c>
      <c r="E16" s="19">
        <v>0.4</v>
      </c>
      <c r="F16" s="20">
        <f>$C16*man_state_local+$E16*cler_state_local</f>
        <v>21.726000000000003</v>
      </c>
      <c r="G16" s="16" t="s">
        <v>45</v>
      </c>
      <c r="H16" s="16" t="s">
        <v>36</v>
      </c>
      <c r="I16" s="16">
        <v>1</v>
      </c>
      <c r="J16" s="16" t="s">
        <v>37</v>
      </c>
      <c r="K16" s="16" t="s">
        <v>38</v>
      </c>
      <c r="L16" s="16" t="s">
        <v>39</v>
      </c>
      <c r="M16" s="16" t="s">
        <v>40</v>
      </c>
    </row>
    <row r="17" spans="1:13" ht="15" customHeight="1" x14ac:dyDescent="0.2">
      <c r="A17" s="6" t="s">
        <v>51</v>
      </c>
      <c r="B17" s="19">
        <f>SUM(C17:E17)</f>
        <v>0.5</v>
      </c>
      <c r="C17" s="19">
        <v>0.1</v>
      </c>
      <c r="D17" s="19">
        <v>0</v>
      </c>
      <c r="E17" s="19">
        <v>0.4</v>
      </c>
      <c r="F17" s="20">
        <f>$C17*man_state_local+$E17*cler_state_local</f>
        <v>21.726000000000003</v>
      </c>
      <c r="G17" s="16" t="s">
        <v>45</v>
      </c>
      <c r="H17" s="16" t="s">
        <v>36</v>
      </c>
      <c r="I17" s="16">
        <v>1</v>
      </c>
      <c r="J17" s="16" t="s">
        <v>37</v>
      </c>
      <c r="K17" s="16" t="s">
        <v>38</v>
      </c>
      <c r="L17" s="16" t="s">
        <v>39</v>
      </c>
      <c r="M17" s="16" t="s">
        <v>40</v>
      </c>
    </row>
    <row r="18" spans="1:13" ht="15" customHeight="1" x14ac:dyDescent="0.2">
      <c r="A18" s="7" t="s">
        <v>52</v>
      </c>
      <c r="B18" s="8">
        <f>SUM(B14:B17)</f>
        <v>2.5</v>
      </c>
      <c r="C18" s="8">
        <f>SUM(C14:C17)</f>
        <v>0.2</v>
      </c>
      <c r="D18" s="8">
        <f>SUM(D14:D17)</f>
        <v>0</v>
      </c>
      <c r="E18" s="8">
        <f>SUM(E14:E17)</f>
        <v>2.2999999999999998</v>
      </c>
      <c r="F18" s="9">
        <f>SUM(F14:F17)</f>
        <v>100.46700000000001</v>
      </c>
      <c r="G18" s="16"/>
      <c r="H18" s="15"/>
      <c r="I18" s="15"/>
      <c r="J18" s="15"/>
      <c r="K18" s="15"/>
      <c r="L18" s="15"/>
      <c r="M18" s="15"/>
    </row>
    <row r="21" spans="1:13" ht="15" customHeight="1" x14ac:dyDescent="0.2">
      <c r="A21" s="60"/>
    </row>
    <row r="22" spans="1:13" ht="15" customHeight="1" x14ac:dyDescent="0.2">
      <c r="A22" s="60"/>
    </row>
    <row r="23" spans="1:13" ht="15" customHeight="1" x14ac:dyDescent="0.2">
      <c r="A23" s="60"/>
    </row>
  </sheetData>
  <mergeCells count="14">
    <mergeCell ref="A1:M1"/>
    <mergeCell ref="A13:M13"/>
    <mergeCell ref="B3:B4"/>
    <mergeCell ref="F3:F4"/>
    <mergeCell ref="C3:E3"/>
    <mergeCell ref="A3:A4"/>
    <mergeCell ref="J3:J4"/>
    <mergeCell ref="K3:K4"/>
    <mergeCell ref="L3:L4"/>
    <mergeCell ref="M3:M4"/>
    <mergeCell ref="A5:M5"/>
    <mergeCell ref="G3:G4"/>
    <mergeCell ref="H3:H4"/>
    <mergeCell ref="I3:I4"/>
  </mergeCells>
  <pageMargins left="0.7" right="0.7" top="0.75" bottom="0.75" header="0.3" footer="0.3"/>
  <pageSetup paperSize="5" scale="7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8"/>
  <sheetViews>
    <sheetView showGridLines="0" workbookViewId="0">
      <selection activeCell="A16" sqref="A16"/>
    </sheetView>
  </sheetViews>
  <sheetFormatPr defaultRowHeight="15" x14ac:dyDescent="0.25"/>
  <cols>
    <col min="1" max="1" width="52.5703125" bestFit="1" customWidth="1"/>
    <col min="2" max="2" width="12.140625" customWidth="1"/>
    <col min="3" max="5" width="12.85546875" customWidth="1"/>
    <col min="6" max="6" width="12.140625" customWidth="1"/>
    <col min="7" max="7" width="15.7109375" bestFit="1" customWidth="1"/>
    <col min="8" max="8" width="10.7109375" customWidth="1"/>
    <col min="9" max="9" width="12.85546875" customWidth="1"/>
    <col min="10" max="10" width="12.140625" customWidth="1"/>
    <col min="11" max="11" width="15.7109375" customWidth="1"/>
    <col min="12" max="12" width="12.140625" customWidth="1"/>
    <col min="13" max="13" width="24.28515625" customWidth="1"/>
  </cols>
  <sheetData>
    <row r="1" spans="1:13" x14ac:dyDescent="0.25">
      <c r="A1" s="148" t="s">
        <v>53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x14ac:dyDescent="0.25">
      <c r="A2" s="10"/>
      <c r="B2" s="11"/>
      <c r="C2" s="11"/>
      <c r="D2" s="11"/>
      <c r="E2" s="11"/>
      <c r="F2" s="12"/>
      <c r="G2" s="3"/>
      <c r="H2" s="3"/>
      <c r="I2" s="3"/>
      <c r="J2" s="3"/>
      <c r="K2" s="3"/>
      <c r="L2" s="3"/>
      <c r="M2" s="3"/>
    </row>
    <row r="3" spans="1:13" ht="22.5" customHeight="1" x14ac:dyDescent="0.25">
      <c r="A3" s="166" t="s">
        <v>19</v>
      </c>
      <c r="B3" s="163" t="s">
        <v>20</v>
      </c>
      <c r="C3" s="165" t="s">
        <v>21</v>
      </c>
      <c r="D3" s="165"/>
      <c r="E3" s="165"/>
      <c r="F3" s="164" t="s">
        <v>22</v>
      </c>
      <c r="G3" s="164" t="s">
        <v>23</v>
      </c>
      <c r="H3" s="164" t="s">
        <v>24</v>
      </c>
      <c r="I3" s="164" t="s">
        <v>25</v>
      </c>
      <c r="J3" s="164" t="s">
        <v>26</v>
      </c>
      <c r="K3" s="164" t="s">
        <v>27</v>
      </c>
      <c r="L3" s="164" t="s">
        <v>28</v>
      </c>
      <c r="M3" s="164" t="s">
        <v>29</v>
      </c>
    </row>
    <row r="4" spans="1:13" ht="22.5" customHeight="1" x14ac:dyDescent="0.25">
      <c r="A4" s="166"/>
      <c r="B4" s="163"/>
      <c r="C4" s="130" t="s">
        <v>30</v>
      </c>
      <c r="D4" s="130" t="s">
        <v>31</v>
      </c>
      <c r="E4" s="130" t="s">
        <v>32</v>
      </c>
      <c r="F4" s="164"/>
      <c r="G4" s="164"/>
      <c r="H4" s="164"/>
      <c r="I4" s="164"/>
      <c r="J4" s="164"/>
      <c r="K4" s="164"/>
      <c r="L4" s="164"/>
      <c r="M4" s="164"/>
    </row>
    <row r="5" spans="1:13" x14ac:dyDescent="0.25">
      <c r="A5" s="160" t="s">
        <v>33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2"/>
    </row>
    <row r="6" spans="1:13" x14ac:dyDescent="0.25">
      <c r="A6" s="13" t="s">
        <v>34</v>
      </c>
      <c r="B6" s="17">
        <f>SUM(C6:E6)</f>
        <v>1.2</v>
      </c>
      <c r="C6" s="17">
        <v>0.35</v>
      </c>
      <c r="D6" s="17">
        <v>0</v>
      </c>
      <c r="E6" s="17">
        <v>0.85</v>
      </c>
      <c r="F6" s="18">
        <f>$C6*man_state_local+$E6*cler_state_local</f>
        <v>55.1355</v>
      </c>
      <c r="G6" s="16" t="s">
        <v>35</v>
      </c>
      <c r="H6" s="16" t="s">
        <v>36</v>
      </c>
      <c r="I6" s="16">
        <v>1</v>
      </c>
      <c r="J6" s="16" t="s">
        <v>37</v>
      </c>
      <c r="K6" s="16" t="s">
        <v>38</v>
      </c>
      <c r="L6" s="16" t="s">
        <v>39</v>
      </c>
      <c r="M6" s="16" t="s">
        <v>40</v>
      </c>
    </row>
    <row r="7" spans="1:13" x14ac:dyDescent="0.25">
      <c r="A7" s="5" t="s">
        <v>41</v>
      </c>
      <c r="B7" s="17">
        <f t="shared" ref="B7:B10" si="0">SUM(C7:E7)</f>
        <v>1.9</v>
      </c>
      <c r="C7" s="19">
        <v>0</v>
      </c>
      <c r="D7" s="19">
        <v>0</v>
      </c>
      <c r="E7" s="19">
        <v>1.9</v>
      </c>
      <c r="F7" s="20">
        <f>$C7*man_state_local+$E7*cler_state_local</f>
        <v>72.219000000000008</v>
      </c>
      <c r="G7" s="16" t="s">
        <v>35</v>
      </c>
      <c r="H7" s="16" t="s">
        <v>36</v>
      </c>
      <c r="I7" s="16">
        <v>1</v>
      </c>
      <c r="J7" s="16" t="s">
        <v>37</v>
      </c>
      <c r="K7" s="16" t="s">
        <v>38</v>
      </c>
      <c r="L7" s="16" t="s">
        <v>39</v>
      </c>
      <c r="M7" s="16" t="s">
        <v>40</v>
      </c>
    </row>
    <row r="8" spans="1:13" x14ac:dyDescent="0.25">
      <c r="A8" s="5" t="s">
        <v>42</v>
      </c>
      <c r="B8" s="17">
        <f t="shared" si="0"/>
        <v>0.6</v>
      </c>
      <c r="C8" s="19">
        <v>0</v>
      </c>
      <c r="D8" s="19">
        <v>0</v>
      </c>
      <c r="E8" s="19">
        <v>0.6</v>
      </c>
      <c r="F8" s="20">
        <f>$C8*man_state_local+$E8*cler_state_local</f>
        <v>22.806000000000001</v>
      </c>
      <c r="G8" s="16" t="s">
        <v>35</v>
      </c>
      <c r="H8" s="16" t="s">
        <v>36</v>
      </c>
      <c r="I8" s="16">
        <v>1</v>
      </c>
      <c r="J8" s="16" t="s">
        <v>37</v>
      </c>
      <c r="K8" s="16" t="s">
        <v>38</v>
      </c>
      <c r="L8" s="16" t="s">
        <v>39</v>
      </c>
      <c r="M8" s="16" t="s">
        <v>40</v>
      </c>
    </row>
    <row r="9" spans="1:13" x14ac:dyDescent="0.25">
      <c r="A9" s="5" t="s">
        <v>43</v>
      </c>
      <c r="B9" s="17">
        <f t="shared" si="0"/>
        <v>0.3</v>
      </c>
      <c r="C9" s="19">
        <v>0.3</v>
      </c>
      <c r="D9" s="19">
        <v>0</v>
      </c>
      <c r="E9" s="19">
        <v>0</v>
      </c>
      <c r="F9" s="20">
        <f>$C9*man_state_local+$E9*cler_state_local</f>
        <v>19.565999999999999</v>
      </c>
      <c r="G9" s="16" t="s">
        <v>35</v>
      </c>
      <c r="H9" s="16" t="s">
        <v>36</v>
      </c>
      <c r="I9" s="16">
        <v>1</v>
      </c>
      <c r="J9" s="16" t="s">
        <v>37</v>
      </c>
      <c r="K9" s="16" t="s">
        <v>38</v>
      </c>
      <c r="L9" s="16" t="s">
        <v>39</v>
      </c>
      <c r="M9" s="16" t="s">
        <v>40</v>
      </c>
    </row>
    <row r="10" spans="1:13" x14ac:dyDescent="0.25">
      <c r="A10" s="5" t="s">
        <v>44</v>
      </c>
      <c r="B10" s="17">
        <f t="shared" si="0"/>
        <v>0.7</v>
      </c>
      <c r="C10" s="19">
        <v>0.2</v>
      </c>
      <c r="D10" s="19">
        <v>0</v>
      </c>
      <c r="E10" s="19">
        <v>0.5</v>
      </c>
      <c r="F10" s="20">
        <f>$C10*man_state_local+$E10*cler_state_local</f>
        <v>32.049000000000007</v>
      </c>
      <c r="G10" s="16" t="s">
        <v>45</v>
      </c>
      <c r="H10" s="16" t="s">
        <v>36</v>
      </c>
      <c r="I10" s="16">
        <v>1</v>
      </c>
      <c r="J10" s="16" t="s">
        <v>37</v>
      </c>
      <c r="K10" s="16" t="s">
        <v>38</v>
      </c>
      <c r="L10" s="16" t="s">
        <v>39</v>
      </c>
      <c r="M10" s="16" t="s">
        <v>40</v>
      </c>
    </row>
    <row r="11" spans="1:13" x14ac:dyDescent="0.25">
      <c r="A11" s="7" t="s">
        <v>46</v>
      </c>
      <c r="B11" s="8">
        <f>SUM(B6:B10)</f>
        <v>4.6999999999999993</v>
      </c>
      <c r="C11" s="8">
        <f t="shared" ref="C11:E11" si="1">SUM(C6:C10)</f>
        <v>0.84999999999999987</v>
      </c>
      <c r="D11" s="8">
        <f t="shared" si="1"/>
        <v>0</v>
      </c>
      <c r="E11" s="8">
        <f t="shared" si="1"/>
        <v>3.85</v>
      </c>
      <c r="F11" s="9">
        <f>SUM(F6:F10)</f>
        <v>201.77550000000002</v>
      </c>
      <c r="G11" s="16"/>
      <c r="H11" s="15"/>
      <c r="I11" s="15"/>
      <c r="J11" s="15"/>
      <c r="K11" s="15"/>
      <c r="L11" s="15"/>
      <c r="M11" s="15"/>
    </row>
    <row r="12" spans="1:13" ht="7.5" customHeight="1" x14ac:dyDescent="0.25">
      <c r="A12" s="10"/>
      <c r="B12" s="11"/>
      <c r="C12" s="11"/>
      <c r="D12" s="11"/>
      <c r="E12" s="11"/>
      <c r="F12" s="12"/>
      <c r="G12" s="3"/>
      <c r="H12" s="3"/>
      <c r="I12" s="3"/>
      <c r="J12" s="3"/>
      <c r="K12" s="3"/>
      <c r="L12" s="3"/>
      <c r="M12" s="3"/>
    </row>
    <row r="13" spans="1:13" x14ac:dyDescent="0.25">
      <c r="A13" s="160" t="s">
        <v>47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2"/>
    </row>
    <row r="14" spans="1:13" x14ac:dyDescent="0.25">
      <c r="A14" s="14" t="s">
        <v>48</v>
      </c>
      <c r="B14" s="17">
        <f t="shared" ref="B14:B17" si="2">SUM(C14:E14)</f>
        <v>0.6</v>
      </c>
      <c r="C14" s="17">
        <v>0</v>
      </c>
      <c r="D14" s="17">
        <v>0</v>
      </c>
      <c r="E14" s="17">
        <v>0.6</v>
      </c>
      <c r="F14" s="18">
        <f>$C14*man_state_local+$E14*cler_state_local</f>
        <v>22.806000000000001</v>
      </c>
      <c r="G14" s="16" t="s">
        <v>45</v>
      </c>
      <c r="H14" s="16" t="s">
        <v>36</v>
      </c>
      <c r="I14" s="16">
        <v>1</v>
      </c>
      <c r="J14" s="16" t="s">
        <v>37</v>
      </c>
      <c r="K14" s="16" t="s">
        <v>38</v>
      </c>
      <c r="L14" s="16" t="s">
        <v>39</v>
      </c>
      <c r="M14" s="16" t="s">
        <v>40</v>
      </c>
    </row>
    <row r="15" spans="1:13" x14ac:dyDescent="0.25">
      <c r="A15" s="6" t="s">
        <v>49</v>
      </c>
      <c r="B15" s="17">
        <f t="shared" si="2"/>
        <v>1.8499999999999999</v>
      </c>
      <c r="C15" s="19">
        <v>0.7</v>
      </c>
      <c r="D15" s="19">
        <v>0</v>
      </c>
      <c r="E15" s="19">
        <v>1.1499999999999999</v>
      </c>
      <c r="F15" s="20">
        <f>$C15*man_state_local+$E15*cler_state_local</f>
        <v>89.365499999999997</v>
      </c>
      <c r="G15" s="16" t="s">
        <v>45</v>
      </c>
      <c r="H15" s="16" t="s">
        <v>36</v>
      </c>
      <c r="I15" s="16">
        <v>1</v>
      </c>
      <c r="J15" s="16" t="s">
        <v>37</v>
      </c>
      <c r="K15" s="16" t="s">
        <v>38</v>
      </c>
      <c r="L15" s="16" t="s">
        <v>39</v>
      </c>
      <c r="M15" s="16" t="s">
        <v>40</v>
      </c>
    </row>
    <row r="16" spans="1:13" x14ac:dyDescent="0.25">
      <c r="A16" s="6" t="s">
        <v>50</v>
      </c>
      <c r="B16" s="17">
        <f t="shared" si="2"/>
        <v>0.65</v>
      </c>
      <c r="C16" s="19">
        <v>0.1</v>
      </c>
      <c r="D16" s="19">
        <v>0</v>
      </c>
      <c r="E16" s="19">
        <v>0.55000000000000004</v>
      </c>
      <c r="F16" s="20">
        <f>$C16*man_state_local+$E16*cler_state_local</f>
        <v>27.427500000000002</v>
      </c>
      <c r="G16" s="16" t="s">
        <v>45</v>
      </c>
      <c r="H16" s="16" t="s">
        <v>36</v>
      </c>
      <c r="I16" s="16">
        <v>1</v>
      </c>
      <c r="J16" s="16" t="s">
        <v>37</v>
      </c>
      <c r="K16" s="16" t="s">
        <v>38</v>
      </c>
      <c r="L16" s="16" t="s">
        <v>39</v>
      </c>
      <c r="M16" s="16" t="s">
        <v>40</v>
      </c>
    </row>
    <row r="17" spans="1:13" x14ac:dyDescent="0.25">
      <c r="A17" s="6" t="s">
        <v>54</v>
      </c>
      <c r="B17" s="17">
        <f t="shared" si="2"/>
        <v>0.6</v>
      </c>
      <c r="C17" s="19">
        <v>0.1</v>
      </c>
      <c r="D17" s="19">
        <v>0</v>
      </c>
      <c r="E17" s="19">
        <v>0.5</v>
      </c>
      <c r="F17" s="20">
        <f>$C17*man_state_local+$E17*cler_state_local</f>
        <v>25.527000000000001</v>
      </c>
      <c r="G17" s="16" t="s">
        <v>45</v>
      </c>
      <c r="H17" s="16" t="s">
        <v>36</v>
      </c>
      <c r="I17" s="16">
        <v>1</v>
      </c>
      <c r="J17" s="16" t="s">
        <v>37</v>
      </c>
      <c r="K17" s="16" t="s">
        <v>38</v>
      </c>
      <c r="L17" s="16" t="s">
        <v>39</v>
      </c>
      <c r="M17" s="16" t="s">
        <v>40</v>
      </c>
    </row>
    <row r="18" spans="1:13" x14ac:dyDescent="0.25">
      <c r="A18" s="7" t="s">
        <v>52</v>
      </c>
      <c r="B18" s="8">
        <f>SUM(B14:B17)</f>
        <v>3.6999999999999997</v>
      </c>
      <c r="C18" s="8">
        <f t="shared" ref="C18:E18" si="3">SUM(C14:C17)</f>
        <v>0.89999999999999991</v>
      </c>
      <c r="D18" s="8">
        <f t="shared" si="3"/>
        <v>0</v>
      </c>
      <c r="E18" s="8">
        <f t="shared" si="3"/>
        <v>2.8</v>
      </c>
      <c r="F18" s="9">
        <f>SUM(F14:F17)</f>
        <v>165.12599999999998</v>
      </c>
      <c r="G18" s="16"/>
      <c r="H18" s="15"/>
      <c r="I18" s="15"/>
      <c r="J18" s="15"/>
      <c r="K18" s="15"/>
      <c r="L18" s="15"/>
      <c r="M18" s="15"/>
    </row>
  </sheetData>
  <mergeCells count="14">
    <mergeCell ref="A5:M5"/>
    <mergeCell ref="A13:M13"/>
    <mergeCell ref="A1:M1"/>
    <mergeCell ref="A3:A4"/>
    <mergeCell ref="B3:B4"/>
    <mergeCell ref="C3:E3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5" scale="7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8"/>
  <sheetViews>
    <sheetView showGridLines="0" workbookViewId="0">
      <selection activeCell="A16" sqref="A16"/>
    </sheetView>
  </sheetViews>
  <sheetFormatPr defaultRowHeight="15" x14ac:dyDescent="0.25"/>
  <cols>
    <col min="1" max="1" width="52.5703125" bestFit="1" customWidth="1"/>
    <col min="2" max="2" width="12.140625" customWidth="1"/>
    <col min="3" max="5" width="12.85546875" customWidth="1"/>
    <col min="6" max="6" width="12.140625" customWidth="1"/>
    <col min="7" max="7" width="15.7109375" bestFit="1" customWidth="1"/>
    <col min="8" max="8" width="10.7109375" customWidth="1"/>
    <col min="9" max="9" width="12.85546875" customWidth="1"/>
    <col min="10" max="10" width="12.140625" customWidth="1"/>
    <col min="11" max="11" width="15.7109375" customWidth="1"/>
    <col min="12" max="12" width="12.140625" customWidth="1"/>
    <col min="13" max="13" width="24.28515625" customWidth="1"/>
  </cols>
  <sheetData>
    <row r="1" spans="1:13" x14ac:dyDescent="0.25">
      <c r="A1" s="148" t="s">
        <v>55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x14ac:dyDescent="0.25">
      <c r="A2" s="10"/>
      <c r="B2" s="11"/>
      <c r="C2" s="11"/>
      <c r="D2" s="11"/>
      <c r="E2" s="11"/>
      <c r="F2" s="12"/>
      <c r="G2" s="3"/>
      <c r="H2" s="3"/>
      <c r="I2" s="3"/>
      <c r="J2" s="3"/>
      <c r="K2" s="3"/>
      <c r="L2" s="3"/>
      <c r="M2" s="3"/>
    </row>
    <row r="3" spans="1:13" ht="22.5" customHeight="1" x14ac:dyDescent="0.25">
      <c r="A3" s="166" t="s">
        <v>19</v>
      </c>
      <c r="B3" s="163" t="s">
        <v>20</v>
      </c>
      <c r="C3" s="165" t="s">
        <v>21</v>
      </c>
      <c r="D3" s="165"/>
      <c r="E3" s="165"/>
      <c r="F3" s="164" t="s">
        <v>22</v>
      </c>
      <c r="G3" s="164" t="s">
        <v>23</v>
      </c>
      <c r="H3" s="164" t="s">
        <v>24</v>
      </c>
      <c r="I3" s="164" t="s">
        <v>25</v>
      </c>
      <c r="J3" s="164" t="s">
        <v>26</v>
      </c>
      <c r="K3" s="164" t="s">
        <v>27</v>
      </c>
      <c r="L3" s="164" t="s">
        <v>28</v>
      </c>
      <c r="M3" s="164" t="s">
        <v>29</v>
      </c>
    </row>
    <row r="4" spans="1:13" ht="22.5" customHeight="1" x14ac:dyDescent="0.25">
      <c r="A4" s="166"/>
      <c r="B4" s="163"/>
      <c r="C4" s="130" t="s">
        <v>30</v>
      </c>
      <c r="D4" s="130" t="s">
        <v>31</v>
      </c>
      <c r="E4" s="130" t="s">
        <v>32</v>
      </c>
      <c r="F4" s="164"/>
      <c r="G4" s="164"/>
      <c r="H4" s="164"/>
      <c r="I4" s="164"/>
      <c r="J4" s="164"/>
      <c r="K4" s="164"/>
      <c r="L4" s="164"/>
      <c r="M4" s="164"/>
    </row>
    <row r="5" spans="1:13" x14ac:dyDescent="0.25">
      <c r="A5" s="160" t="s">
        <v>33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2"/>
    </row>
    <row r="6" spans="1:13" x14ac:dyDescent="0.25">
      <c r="A6" s="13" t="s">
        <v>34</v>
      </c>
      <c r="B6" s="17">
        <f>SUM(C6:E6)</f>
        <v>1</v>
      </c>
      <c r="C6" s="17">
        <v>0.25</v>
      </c>
      <c r="D6" s="17">
        <v>0.75</v>
      </c>
      <c r="E6" s="17">
        <v>0</v>
      </c>
      <c r="F6" s="18">
        <f>$C6*man_private+$D6*tech_private+$E6*cler_private</f>
        <v>39.025000000000006</v>
      </c>
      <c r="G6" s="16" t="s">
        <v>35</v>
      </c>
      <c r="H6" s="16" t="s">
        <v>36</v>
      </c>
      <c r="I6" s="16">
        <v>1</v>
      </c>
      <c r="J6" s="16" t="s">
        <v>37</v>
      </c>
      <c r="K6" s="16" t="s">
        <v>38</v>
      </c>
      <c r="L6" s="16" t="s">
        <v>39</v>
      </c>
      <c r="M6" s="16" t="s">
        <v>40</v>
      </c>
    </row>
    <row r="7" spans="1:13" x14ac:dyDescent="0.25">
      <c r="A7" s="5" t="s">
        <v>41</v>
      </c>
      <c r="B7" s="19">
        <f>SUM(C7:E7)</f>
        <v>1.5</v>
      </c>
      <c r="C7" s="19">
        <v>0</v>
      </c>
      <c r="D7" s="19">
        <v>1.5</v>
      </c>
      <c r="E7" s="19">
        <v>0</v>
      </c>
      <c r="F7" s="20">
        <f>$C7*man_private+$D7*tech_private+$E7*cler_private</f>
        <v>46.275000000000006</v>
      </c>
      <c r="G7" s="16" t="s">
        <v>35</v>
      </c>
      <c r="H7" s="16" t="s">
        <v>36</v>
      </c>
      <c r="I7" s="16">
        <v>1</v>
      </c>
      <c r="J7" s="16" t="s">
        <v>37</v>
      </c>
      <c r="K7" s="16" t="s">
        <v>38</v>
      </c>
      <c r="L7" s="16" t="s">
        <v>39</v>
      </c>
      <c r="M7" s="16" t="s">
        <v>40</v>
      </c>
    </row>
    <row r="8" spans="1:13" x14ac:dyDescent="0.25">
      <c r="A8" s="5" t="s">
        <v>42</v>
      </c>
      <c r="B8" s="19">
        <f t="shared" ref="B8:B9" si="0">SUM(C8:E8)</f>
        <v>0.9</v>
      </c>
      <c r="C8" s="19">
        <v>0</v>
      </c>
      <c r="D8" s="19">
        <v>0.4</v>
      </c>
      <c r="E8" s="19">
        <v>0.5</v>
      </c>
      <c r="F8" s="20">
        <f>$C8*man_private+$D8*tech_private+$E8*cler_private</f>
        <v>26.630000000000003</v>
      </c>
      <c r="G8" s="16" t="s">
        <v>35</v>
      </c>
      <c r="H8" s="16" t="s">
        <v>36</v>
      </c>
      <c r="I8" s="16">
        <v>1</v>
      </c>
      <c r="J8" s="16" t="s">
        <v>37</v>
      </c>
      <c r="K8" s="16" t="s">
        <v>38</v>
      </c>
      <c r="L8" s="16" t="s">
        <v>39</v>
      </c>
      <c r="M8" s="16" t="s">
        <v>40</v>
      </c>
    </row>
    <row r="9" spans="1:13" x14ac:dyDescent="0.25">
      <c r="A9" s="5" t="s">
        <v>43</v>
      </c>
      <c r="B9" s="19">
        <f t="shared" si="0"/>
        <v>0.1</v>
      </c>
      <c r="C9" s="19">
        <v>0.1</v>
      </c>
      <c r="D9" s="19">
        <v>0</v>
      </c>
      <c r="E9" s="19">
        <v>0</v>
      </c>
      <c r="F9" s="20">
        <f>$C9*man_private+$D9*tech_private+$E9*cler_private</f>
        <v>6.3550000000000004</v>
      </c>
      <c r="G9" s="16" t="s">
        <v>35</v>
      </c>
      <c r="H9" s="16" t="s">
        <v>36</v>
      </c>
      <c r="I9" s="16">
        <v>1</v>
      </c>
      <c r="J9" s="16" t="s">
        <v>37</v>
      </c>
      <c r="K9" s="16" t="s">
        <v>38</v>
      </c>
      <c r="L9" s="16" t="s">
        <v>39</v>
      </c>
      <c r="M9" s="16" t="s">
        <v>40</v>
      </c>
    </row>
    <row r="10" spans="1:13" x14ac:dyDescent="0.25">
      <c r="A10" s="5" t="s">
        <v>44</v>
      </c>
      <c r="B10" s="19">
        <f>SUM(C10:E10)</f>
        <v>0.5</v>
      </c>
      <c r="C10" s="19">
        <v>0.1</v>
      </c>
      <c r="D10" s="19">
        <v>0.25</v>
      </c>
      <c r="E10" s="19">
        <v>0.15</v>
      </c>
      <c r="F10" s="20">
        <f>$C10*man_private+$D10*tech_private+$E10*cler_private</f>
        <v>18.354500000000002</v>
      </c>
      <c r="G10" s="16" t="s">
        <v>45</v>
      </c>
      <c r="H10" s="16" t="s">
        <v>36</v>
      </c>
      <c r="I10" s="16">
        <v>1</v>
      </c>
      <c r="J10" s="16" t="s">
        <v>37</v>
      </c>
      <c r="K10" s="16" t="s">
        <v>38</v>
      </c>
      <c r="L10" s="16" t="s">
        <v>39</v>
      </c>
      <c r="M10" s="16" t="s">
        <v>40</v>
      </c>
    </row>
    <row r="11" spans="1:13" x14ac:dyDescent="0.25">
      <c r="A11" s="7" t="s">
        <v>46</v>
      </c>
      <c r="B11" s="8">
        <f>SUM(B6:B10)</f>
        <v>4</v>
      </c>
      <c r="C11" s="8">
        <f t="shared" ref="C11:E11" si="1">SUM(C6:C10)</f>
        <v>0.44999999999999996</v>
      </c>
      <c r="D11" s="8">
        <f t="shared" si="1"/>
        <v>2.9</v>
      </c>
      <c r="E11" s="8">
        <f t="shared" si="1"/>
        <v>0.65</v>
      </c>
      <c r="F11" s="9">
        <f>SUM(F6:F10)</f>
        <v>136.6395</v>
      </c>
      <c r="G11" s="16"/>
      <c r="H11" s="15"/>
      <c r="I11" s="15"/>
      <c r="J11" s="15"/>
      <c r="K11" s="15"/>
      <c r="L11" s="15"/>
      <c r="M11" s="15"/>
    </row>
    <row r="12" spans="1:13" ht="7.5" customHeight="1" x14ac:dyDescent="0.25">
      <c r="A12" s="10"/>
      <c r="B12" s="11"/>
      <c r="C12" s="11"/>
      <c r="D12" s="11"/>
      <c r="E12" s="11"/>
      <c r="F12" s="12"/>
      <c r="G12" s="3"/>
      <c r="H12" s="3"/>
      <c r="I12" s="3"/>
      <c r="J12" s="3"/>
      <c r="K12" s="3"/>
      <c r="L12" s="3"/>
      <c r="M12" s="3"/>
    </row>
    <row r="13" spans="1:13" x14ac:dyDescent="0.25">
      <c r="A13" s="160" t="s">
        <v>47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2"/>
    </row>
    <row r="14" spans="1:13" x14ac:dyDescent="0.25">
      <c r="A14" s="14" t="s">
        <v>48</v>
      </c>
      <c r="B14" s="17">
        <f t="shared" ref="B14:B17" si="2">SUM(C14:E14)</f>
        <v>0.5</v>
      </c>
      <c r="C14" s="17">
        <v>0.5</v>
      </c>
      <c r="D14" s="17">
        <v>0</v>
      </c>
      <c r="E14" s="17">
        <v>0</v>
      </c>
      <c r="F14" s="18">
        <f>$C14*man_private+$D14*tech_private+$E14*cler_private</f>
        <v>31.775000000000002</v>
      </c>
      <c r="G14" s="16" t="s">
        <v>45</v>
      </c>
      <c r="H14" s="16" t="s">
        <v>36</v>
      </c>
      <c r="I14" s="16">
        <v>1</v>
      </c>
      <c r="J14" s="16" t="s">
        <v>37</v>
      </c>
      <c r="K14" s="16" t="s">
        <v>38</v>
      </c>
      <c r="L14" s="16" t="s">
        <v>39</v>
      </c>
      <c r="M14" s="16" t="s">
        <v>40</v>
      </c>
    </row>
    <row r="15" spans="1:13" x14ac:dyDescent="0.25">
      <c r="A15" s="6" t="s">
        <v>49</v>
      </c>
      <c r="B15" s="19">
        <f t="shared" si="2"/>
        <v>2.25</v>
      </c>
      <c r="C15" s="19">
        <v>1</v>
      </c>
      <c r="D15" s="19">
        <v>1</v>
      </c>
      <c r="E15" s="19">
        <v>0.25</v>
      </c>
      <c r="F15" s="20">
        <f>$C15*man_private+$D15*tech_private+$E15*cler_private</f>
        <v>101.545</v>
      </c>
      <c r="G15" s="16" t="s">
        <v>45</v>
      </c>
      <c r="H15" s="16" t="s">
        <v>36</v>
      </c>
      <c r="I15" s="16">
        <v>1</v>
      </c>
      <c r="J15" s="16" t="s">
        <v>37</v>
      </c>
      <c r="K15" s="16" t="s">
        <v>38</v>
      </c>
      <c r="L15" s="16" t="s">
        <v>39</v>
      </c>
      <c r="M15" s="16" t="s">
        <v>40</v>
      </c>
    </row>
    <row r="16" spans="1:13" x14ac:dyDescent="0.25">
      <c r="A16" s="6" t="s">
        <v>50</v>
      </c>
      <c r="B16" s="19">
        <f t="shared" si="2"/>
        <v>0.5</v>
      </c>
      <c r="C16" s="19">
        <v>0.1</v>
      </c>
      <c r="D16" s="19">
        <v>0.15</v>
      </c>
      <c r="E16" s="19">
        <v>0.25</v>
      </c>
      <c r="F16" s="20">
        <f>$C16*man_private+$D16*tech_private+$E16*cler_private</f>
        <v>18.127500000000001</v>
      </c>
      <c r="G16" s="16" t="s">
        <v>45</v>
      </c>
      <c r="H16" s="16" t="s">
        <v>36</v>
      </c>
      <c r="I16" s="16">
        <v>1</v>
      </c>
      <c r="J16" s="16" t="s">
        <v>37</v>
      </c>
      <c r="K16" s="16" t="s">
        <v>38</v>
      </c>
      <c r="L16" s="16" t="s">
        <v>39</v>
      </c>
      <c r="M16" s="16" t="s">
        <v>40</v>
      </c>
    </row>
    <row r="17" spans="1:13" x14ac:dyDescent="0.25">
      <c r="A17" s="6" t="s">
        <v>54</v>
      </c>
      <c r="B17" s="19">
        <f t="shared" si="2"/>
        <v>0.25</v>
      </c>
      <c r="C17" s="19">
        <v>0</v>
      </c>
      <c r="D17" s="19">
        <v>0</v>
      </c>
      <c r="E17" s="19">
        <v>0.25</v>
      </c>
      <c r="F17" s="20">
        <f>$C17*man_private+$D17*tech_private+$E17*cler_private</f>
        <v>7.1450000000000005</v>
      </c>
      <c r="G17" s="16" t="s">
        <v>45</v>
      </c>
      <c r="H17" s="16" t="s">
        <v>36</v>
      </c>
      <c r="I17" s="16">
        <v>1</v>
      </c>
      <c r="J17" s="16" t="s">
        <v>37</v>
      </c>
      <c r="K17" s="16" t="s">
        <v>38</v>
      </c>
      <c r="L17" s="16" t="s">
        <v>39</v>
      </c>
      <c r="M17" s="16" t="s">
        <v>40</v>
      </c>
    </row>
    <row r="18" spans="1:13" x14ac:dyDescent="0.25">
      <c r="A18" s="7" t="s">
        <v>52</v>
      </c>
      <c r="B18" s="8">
        <f>SUM(B14:B17)</f>
        <v>3.5</v>
      </c>
      <c r="C18" s="8">
        <f t="shared" ref="C18:E18" si="3">SUM(C14:C17)</f>
        <v>1.6</v>
      </c>
      <c r="D18" s="8">
        <f t="shared" si="3"/>
        <v>1.1499999999999999</v>
      </c>
      <c r="E18" s="8">
        <f t="shared" si="3"/>
        <v>0.75</v>
      </c>
      <c r="F18" s="9">
        <f>SUM(F14:F17)</f>
        <v>158.5925</v>
      </c>
      <c r="G18" s="16"/>
      <c r="H18" s="15"/>
      <c r="I18" s="15"/>
      <c r="J18" s="15"/>
      <c r="K18" s="15"/>
      <c r="L18" s="15"/>
      <c r="M18" s="15"/>
    </row>
  </sheetData>
  <mergeCells count="14">
    <mergeCell ref="A5:M5"/>
    <mergeCell ref="A13:M13"/>
    <mergeCell ref="A1:M1"/>
    <mergeCell ref="A3:A4"/>
    <mergeCell ref="B3:B4"/>
    <mergeCell ref="C3:E3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5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0"/>
  <sheetViews>
    <sheetView showGridLines="0" workbookViewId="0">
      <selection activeCell="B40" sqref="B40:D40"/>
    </sheetView>
  </sheetViews>
  <sheetFormatPr defaultRowHeight="15" x14ac:dyDescent="0.25"/>
  <cols>
    <col min="1" max="1" width="31.85546875" style="10" bestFit="1" customWidth="1"/>
    <col min="2" max="2" width="10.140625" style="23" bestFit="1" customWidth="1"/>
    <col min="3" max="3" width="14.28515625" style="23" customWidth="1"/>
    <col min="4" max="6" width="14.28515625" style="12" customWidth="1"/>
    <col min="7" max="7" width="13.140625" bestFit="1" customWidth="1"/>
    <col min="9" max="9" width="22.140625" customWidth="1"/>
    <col min="10" max="10" width="12" customWidth="1"/>
  </cols>
  <sheetData>
    <row r="1" spans="1:8" x14ac:dyDescent="0.25">
      <c r="A1" s="148" t="s">
        <v>56</v>
      </c>
      <c r="B1" s="148"/>
      <c r="C1" s="148"/>
      <c r="D1" s="148"/>
      <c r="E1" s="148"/>
      <c r="F1" s="148"/>
      <c r="G1" s="21"/>
      <c r="H1" s="21"/>
    </row>
    <row r="3" spans="1:8" ht="30" customHeight="1" x14ac:dyDescent="0.25">
      <c r="A3" s="24"/>
      <c r="B3" s="27" t="s">
        <v>57</v>
      </c>
      <c r="C3" s="27" t="s">
        <v>58</v>
      </c>
      <c r="D3" s="28" t="s">
        <v>59</v>
      </c>
      <c r="E3" s="28" t="s">
        <v>60</v>
      </c>
      <c r="F3" s="28" t="s">
        <v>61</v>
      </c>
    </row>
    <row r="4" spans="1:8" x14ac:dyDescent="0.25">
      <c r="A4" s="131" t="s">
        <v>62</v>
      </c>
      <c r="B4" s="131"/>
      <c r="C4" s="131"/>
      <c r="D4" s="131"/>
      <c r="E4" s="131"/>
      <c r="F4" s="131"/>
    </row>
    <row r="5" spans="1:8" x14ac:dyDescent="0.25">
      <c r="A5" s="22" t="s">
        <v>63</v>
      </c>
      <c r="B5" s="122">
        <f>D29</f>
        <v>124.49392712550606</v>
      </c>
      <c r="C5" s="15">
        <f>task1_state_hours</f>
        <v>3.5</v>
      </c>
      <c r="D5" s="1">
        <f>task1_state</f>
        <v>145.27950000000004</v>
      </c>
      <c r="E5" s="65">
        <f t="shared" ref="E5" si="0">B5*C5</f>
        <v>435.72874493927122</v>
      </c>
      <c r="F5" s="1">
        <f t="shared" ref="F5" si="1">B5*D5</f>
        <v>18086.415485829963</v>
      </c>
    </row>
    <row r="6" spans="1:8" x14ac:dyDescent="0.25">
      <c r="A6" s="22" t="s">
        <v>64</v>
      </c>
      <c r="B6" s="122">
        <f>B29</f>
        <v>2458.7550607287449</v>
      </c>
      <c r="C6" s="15">
        <f>task1_local_hours</f>
        <v>4.6999999999999993</v>
      </c>
      <c r="D6" s="1">
        <f>task1_local</f>
        <v>201.77550000000002</v>
      </c>
      <c r="E6" s="65">
        <f t="shared" ref="E6" si="2">B6*C6</f>
        <v>11556.148785425099</v>
      </c>
      <c r="F6" s="1">
        <f t="shared" ref="F6:F7" si="3">B6*D6</f>
        <v>496116.53175607289</v>
      </c>
    </row>
    <row r="7" spans="1:8" x14ac:dyDescent="0.25">
      <c r="A7" s="22" t="s">
        <v>65</v>
      </c>
      <c r="B7" s="122">
        <f>C29</f>
        <v>416.75101214574903</v>
      </c>
      <c r="C7" s="15">
        <f>task1_private_hours</f>
        <v>4</v>
      </c>
      <c r="D7" s="1">
        <f>task1_private</f>
        <v>136.6395</v>
      </c>
      <c r="E7" s="65">
        <f>B7*C7</f>
        <v>1667.0040485829961</v>
      </c>
      <c r="F7" s="1">
        <f t="shared" si="3"/>
        <v>56944.649924089077</v>
      </c>
    </row>
    <row r="8" spans="1:8" s="4" customFormat="1" x14ac:dyDescent="0.25">
      <c r="A8" s="2" t="s">
        <v>66</v>
      </c>
      <c r="B8" s="123">
        <f>SUM(B5:B7)</f>
        <v>3000</v>
      </c>
      <c r="C8" s="25"/>
      <c r="D8" s="26"/>
      <c r="E8" s="61">
        <f>SUM(E5:E7)</f>
        <v>13658.881578947367</v>
      </c>
      <c r="F8" s="26">
        <f>SUM(F5:F7)</f>
        <v>571147.5971659919</v>
      </c>
    </row>
    <row r="9" spans="1:8" x14ac:dyDescent="0.25">
      <c r="A9" s="131" t="s">
        <v>67</v>
      </c>
      <c r="B9" s="131"/>
      <c r="C9" s="131"/>
      <c r="D9" s="131"/>
      <c r="E9" s="131"/>
      <c r="F9" s="131"/>
    </row>
    <row r="10" spans="1:8" x14ac:dyDescent="0.25">
      <c r="A10" s="22" t="s">
        <v>63</v>
      </c>
      <c r="B10" s="122">
        <f>D40</f>
        <v>37.09428129829984</v>
      </c>
      <c r="C10" s="15">
        <f>task2_state_hours</f>
        <v>2.5</v>
      </c>
      <c r="D10" s="1">
        <f>task2_state</f>
        <v>100.46700000000001</v>
      </c>
      <c r="E10" s="65">
        <f t="shared" ref="E10" si="4">B10*C10</f>
        <v>92.735703245749605</v>
      </c>
      <c r="F10" s="1">
        <f t="shared" ref="F10" si="5">B10*D10</f>
        <v>3726.7511591962907</v>
      </c>
    </row>
    <row r="11" spans="1:8" x14ac:dyDescent="0.25">
      <c r="A11" s="22" t="s">
        <v>64</v>
      </c>
      <c r="B11" s="122">
        <f>B40</f>
        <v>828.43894899536315</v>
      </c>
      <c r="C11" s="15">
        <f>task2_local_hours</f>
        <v>3.6999999999999997</v>
      </c>
      <c r="D11" s="1">
        <f>task2_local</f>
        <v>165.12599999999998</v>
      </c>
      <c r="E11" s="65">
        <f t="shared" ref="E11:E12" si="6">B11*C11</f>
        <v>3065.2241112828433</v>
      </c>
      <c r="F11" s="1">
        <f t="shared" ref="F11:F12" si="7">B11*D11</f>
        <v>136796.80989180831</v>
      </c>
    </row>
    <row r="12" spans="1:8" x14ac:dyDescent="0.25">
      <c r="A12" s="22" t="s">
        <v>65</v>
      </c>
      <c r="B12" s="122">
        <f>C40</f>
        <v>134.46676970633695</v>
      </c>
      <c r="C12" s="15">
        <f>task2_private_hours</f>
        <v>3.5</v>
      </c>
      <c r="D12" s="1">
        <f>task2_private</f>
        <v>158.5925</v>
      </c>
      <c r="E12" s="65">
        <f t="shared" si="6"/>
        <v>470.63369397217934</v>
      </c>
      <c r="F12" s="1">
        <f t="shared" si="7"/>
        <v>21325.421174652241</v>
      </c>
    </row>
    <row r="13" spans="1:8" s="4" customFormat="1" x14ac:dyDescent="0.25">
      <c r="A13" s="2" t="s">
        <v>52</v>
      </c>
      <c r="B13" s="123">
        <f>SUM(B10:B12)</f>
        <v>1000</v>
      </c>
      <c r="C13" s="25"/>
      <c r="D13" s="26"/>
      <c r="E13" s="123">
        <f>SUM(E10:E12)</f>
        <v>3628.5935085007723</v>
      </c>
      <c r="F13" s="26">
        <f>SUM(F10:F12)</f>
        <v>161848.98222565683</v>
      </c>
    </row>
    <row r="14" spans="1:8" x14ac:dyDescent="0.25">
      <c r="A14" s="44" t="s">
        <v>68</v>
      </c>
      <c r="B14" s="76">
        <f>B8+B13</f>
        <v>4000</v>
      </c>
      <c r="C14" s="77"/>
      <c r="D14" s="79">
        <f>F14/B14</f>
        <v>183.24914484791219</v>
      </c>
      <c r="E14" s="76">
        <f>E8+E13</f>
        <v>17287.47508744814</v>
      </c>
      <c r="F14" s="78">
        <f>F8+F13</f>
        <v>732996.57939164876</v>
      </c>
      <c r="H14" s="181">
        <f>E14+E8</f>
        <v>30946.356666395506</v>
      </c>
    </row>
    <row r="15" spans="1:8" x14ac:dyDescent="0.25">
      <c r="A15" s="93" t="s">
        <v>69</v>
      </c>
      <c r="B15" s="75">
        <v>707</v>
      </c>
      <c r="C15" s="94"/>
      <c r="D15" s="95">
        <f>F15/B15</f>
        <v>145.96510608203678</v>
      </c>
      <c r="E15" s="96">
        <v>2945</v>
      </c>
      <c r="F15" s="97">
        <v>103197.33</v>
      </c>
    </row>
    <row r="16" spans="1:8" x14ac:dyDescent="0.25">
      <c r="A16" s="132" t="s">
        <v>70</v>
      </c>
      <c r="B16" s="167"/>
      <c r="C16" s="168"/>
      <c r="D16" s="169"/>
      <c r="E16" s="75">
        <f>E14-E15</f>
        <v>14342.47508744814</v>
      </c>
      <c r="F16" s="98">
        <f>F14-F15</f>
        <v>629799.2493916488</v>
      </c>
    </row>
    <row r="17" spans="1:6" x14ac:dyDescent="0.25">
      <c r="E17" s="62"/>
      <c r="F17" s="74"/>
    </row>
    <row r="18" spans="1:6" x14ac:dyDescent="0.25">
      <c r="A18" s="63"/>
      <c r="E18" s="62"/>
    </row>
    <row r="19" spans="1:6" ht="15" customHeight="1" x14ac:dyDescent="0.25">
      <c r="A19" s="28" t="s">
        <v>71</v>
      </c>
      <c r="B19" s="170" t="s">
        <v>57</v>
      </c>
      <c r="C19" s="171"/>
      <c r="D19" s="171"/>
    </row>
    <row r="20" spans="1:6" x14ac:dyDescent="0.25">
      <c r="A20" s="92" t="s">
        <v>72</v>
      </c>
      <c r="B20" s="64" t="s">
        <v>73</v>
      </c>
      <c r="C20" s="78" t="s">
        <v>74</v>
      </c>
      <c r="D20" s="78" t="s">
        <v>75</v>
      </c>
    </row>
    <row r="21" spans="1:6" x14ac:dyDescent="0.25">
      <c r="A21" s="22" t="s">
        <v>76</v>
      </c>
      <c r="B21" s="56">
        <v>873</v>
      </c>
      <c r="C21" s="56">
        <v>120</v>
      </c>
      <c r="D21" s="56">
        <v>1</v>
      </c>
    </row>
    <row r="22" spans="1:6" x14ac:dyDescent="0.25">
      <c r="A22" s="22" t="s">
        <v>77</v>
      </c>
      <c r="B22" s="56">
        <v>482</v>
      </c>
      <c r="C22" s="56">
        <v>59</v>
      </c>
      <c r="D22" s="56">
        <v>7</v>
      </c>
    </row>
    <row r="23" spans="1:6" x14ac:dyDescent="0.25">
      <c r="A23" s="22" t="s">
        <v>78</v>
      </c>
      <c r="B23" s="56">
        <v>413</v>
      </c>
      <c r="C23" s="56">
        <v>78</v>
      </c>
      <c r="D23" s="56">
        <v>46</v>
      </c>
    </row>
    <row r="24" spans="1:6" x14ac:dyDescent="0.25">
      <c r="A24" s="22" t="s">
        <v>79</v>
      </c>
      <c r="B24" s="56">
        <v>392</v>
      </c>
      <c r="C24" s="56">
        <v>69</v>
      </c>
      <c r="D24" s="56">
        <v>53</v>
      </c>
    </row>
    <row r="25" spans="1:6" x14ac:dyDescent="0.25">
      <c r="A25" s="22" t="s">
        <v>80</v>
      </c>
      <c r="B25" s="56">
        <v>433</v>
      </c>
      <c r="C25" s="56">
        <v>82</v>
      </c>
      <c r="D25" s="56">
        <v>31</v>
      </c>
    </row>
    <row r="26" spans="1:6" x14ac:dyDescent="0.25">
      <c r="A26" s="22" t="s">
        <v>81</v>
      </c>
      <c r="B26" s="56">
        <v>304</v>
      </c>
      <c r="C26" s="56">
        <v>66</v>
      </c>
      <c r="D26" s="56">
        <v>13</v>
      </c>
    </row>
    <row r="27" spans="1:6" x14ac:dyDescent="0.25">
      <c r="A27" s="22" t="s">
        <v>82</v>
      </c>
      <c r="B27" s="56">
        <v>342</v>
      </c>
      <c r="C27" s="56">
        <v>75</v>
      </c>
      <c r="D27" s="56">
        <v>13</v>
      </c>
    </row>
    <row r="28" spans="1:6" x14ac:dyDescent="0.25">
      <c r="A28" s="73" t="s">
        <v>83</v>
      </c>
      <c r="B28" s="121">
        <f>AVERAGE(B21:B27)</f>
        <v>462.71428571428572</v>
      </c>
      <c r="C28" s="121">
        <f>AVERAGE(C21:C27)</f>
        <v>78.428571428571431</v>
      </c>
      <c r="D28" s="121">
        <f>AVERAGE(D21:D27)</f>
        <v>23.428571428571427</v>
      </c>
    </row>
    <row r="29" spans="1:6" x14ac:dyDescent="0.25">
      <c r="A29" s="73" t="s">
        <v>84</v>
      </c>
      <c r="B29" s="121">
        <f>(B28/($B$28+$C$28+$D$28))*3000</f>
        <v>2458.7550607287449</v>
      </c>
      <c r="C29" s="121">
        <f t="shared" ref="C29:D29" si="8">(C28/($B$28+$C$28+$D$28))*3000</f>
        <v>416.75101214574903</v>
      </c>
      <c r="D29" s="121">
        <f t="shared" si="8"/>
        <v>124.49392712550606</v>
      </c>
    </row>
    <row r="30" spans="1:6" x14ac:dyDescent="0.25">
      <c r="A30" s="82"/>
      <c r="B30" s="83"/>
      <c r="C30" s="83"/>
      <c r="D30" s="83"/>
    </row>
    <row r="31" spans="1:6" x14ac:dyDescent="0.25">
      <c r="A31" s="92" t="s">
        <v>85</v>
      </c>
      <c r="B31" s="64" t="s">
        <v>73</v>
      </c>
      <c r="C31" s="78" t="s">
        <v>74</v>
      </c>
      <c r="D31" s="78" t="s">
        <v>75</v>
      </c>
    </row>
    <row r="32" spans="1:6" x14ac:dyDescent="0.25">
      <c r="A32" s="22" t="s">
        <v>76</v>
      </c>
      <c r="B32" s="56">
        <v>20</v>
      </c>
      <c r="C32" s="56">
        <v>8</v>
      </c>
      <c r="D32" s="56">
        <v>0</v>
      </c>
    </row>
    <row r="33" spans="1:4" x14ac:dyDescent="0.25">
      <c r="A33" s="22" t="s">
        <v>77</v>
      </c>
      <c r="B33" s="56">
        <v>65</v>
      </c>
      <c r="C33" s="56">
        <v>5</v>
      </c>
      <c r="D33" s="56">
        <v>1</v>
      </c>
    </row>
    <row r="34" spans="1:4" x14ac:dyDescent="0.25">
      <c r="A34" s="22" t="s">
        <v>78</v>
      </c>
      <c r="B34" s="56">
        <v>52</v>
      </c>
      <c r="C34" s="56">
        <v>19</v>
      </c>
      <c r="D34" s="56">
        <v>0</v>
      </c>
    </row>
    <row r="35" spans="1:4" x14ac:dyDescent="0.25">
      <c r="A35" s="22" t="s">
        <v>79</v>
      </c>
      <c r="B35" s="56">
        <v>62</v>
      </c>
      <c r="C35" s="56">
        <v>9</v>
      </c>
      <c r="D35" s="56">
        <v>11</v>
      </c>
    </row>
    <row r="36" spans="1:4" x14ac:dyDescent="0.25">
      <c r="A36" s="22" t="s">
        <v>80</v>
      </c>
      <c r="B36" s="56">
        <v>120</v>
      </c>
      <c r="C36" s="56">
        <v>11</v>
      </c>
      <c r="D36" s="56">
        <v>7</v>
      </c>
    </row>
    <row r="37" spans="1:4" x14ac:dyDescent="0.25">
      <c r="A37" s="22" t="s">
        <v>81</v>
      </c>
      <c r="B37" s="56">
        <v>90</v>
      </c>
      <c r="C37" s="56">
        <v>15</v>
      </c>
      <c r="D37" s="56">
        <v>2</v>
      </c>
    </row>
    <row r="38" spans="1:4" x14ac:dyDescent="0.25">
      <c r="A38" s="22" t="s">
        <v>82</v>
      </c>
      <c r="B38" s="56">
        <v>127</v>
      </c>
      <c r="C38" s="56">
        <v>20</v>
      </c>
      <c r="D38" s="56">
        <v>3</v>
      </c>
    </row>
    <row r="39" spans="1:4" x14ac:dyDescent="0.25">
      <c r="A39" s="73" t="s">
        <v>83</v>
      </c>
      <c r="B39" s="121">
        <f>AVERAGE(B32:B38)</f>
        <v>76.571428571428569</v>
      </c>
      <c r="C39" s="121">
        <f>AVERAGE(C32:C38)</f>
        <v>12.428571428571429</v>
      </c>
      <c r="D39" s="121">
        <f>AVERAGE(D32:D38)</f>
        <v>3.4285714285714284</v>
      </c>
    </row>
    <row r="40" spans="1:4" x14ac:dyDescent="0.25">
      <c r="A40" s="73" t="s">
        <v>84</v>
      </c>
      <c r="B40" s="122">
        <f>(B39/($B$39+$C$39+$D$39))*1000</f>
        <v>828.43894899536315</v>
      </c>
      <c r="C40" s="122">
        <f t="shared" ref="C40:D40" si="9">(C39/($B$39+$C$39+$D$39))*1000</f>
        <v>134.46676970633695</v>
      </c>
      <c r="D40" s="122">
        <f t="shared" si="9"/>
        <v>37.09428129829984</v>
      </c>
    </row>
  </sheetData>
  <mergeCells count="3">
    <mergeCell ref="B16:D16"/>
    <mergeCell ref="A1:F1"/>
    <mergeCell ref="B19:D19"/>
  </mergeCells>
  <pageMargins left="0.7" right="0.7" top="0.75" bottom="0.75" header="0.3" footer="0.3"/>
  <pageSetup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7"/>
  <sheetViews>
    <sheetView tabSelected="1" workbookViewId="0">
      <selection activeCell="D38" sqref="D38"/>
    </sheetView>
  </sheetViews>
  <sheetFormatPr defaultColWidth="9.140625" defaultRowHeight="15" x14ac:dyDescent="0.25"/>
  <cols>
    <col min="1" max="1" width="9.140625" style="84"/>
    <col min="2" max="2" width="28.42578125" style="84" bestFit="1" customWidth="1"/>
    <col min="3" max="3" width="19.28515625" style="84" bestFit="1" customWidth="1"/>
    <col min="4" max="4" width="9.140625" style="84" customWidth="1"/>
    <col min="5" max="5" width="14.28515625" style="84" customWidth="1"/>
    <col min="6" max="6" width="12.140625" style="84" bestFit="1" customWidth="1"/>
    <col min="7" max="7" width="14.28515625" style="84" customWidth="1"/>
    <col min="8" max="8" width="13.140625" style="84" bestFit="1" customWidth="1"/>
    <col min="9" max="16384" width="9.140625" style="84"/>
  </cols>
  <sheetData>
    <row r="1" spans="2:9" x14ac:dyDescent="0.25">
      <c r="B1" s="172" t="s">
        <v>86</v>
      </c>
      <c r="C1" s="172"/>
      <c r="D1" s="172"/>
      <c r="E1" s="172"/>
      <c r="F1" s="172"/>
      <c r="G1" s="89"/>
      <c r="H1" s="89"/>
      <c r="I1" s="89"/>
    </row>
    <row r="2" spans="2:9" x14ac:dyDescent="0.25">
      <c r="B2" s="85" t="s">
        <v>73</v>
      </c>
      <c r="C2" s="86"/>
      <c r="D2" s="86"/>
      <c r="E2" s="87"/>
      <c r="F2" s="88"/>
      <c r="G2" s="87"/>
    </row>
    <row r="3" spans="2:9" x14ac:dyDescent="0.25">
      <c r="B3" s="27"/>
      <c r="C3" s="27" t="s">
        <v>57</v>
      </c>
      <c r="D3" s="27" t="s">
        <v>87</v>
      </c>
      <c r="E3" s="27" t="s">
        <v>88</v>
      </c>
      <c r="F3" s="27" t="s">
        <v>89</v>
      </c>
    </row>
    <row r="4" spans="2:9" x14ac:dyDescent="0.25">
      <c r="B4" s="67" t="s">
        <v>90</v>
      </c>
      <c r="C4" s="127">
        <f>'Table A5 All respondents'!B6</f>
        <v>2458.7550607287449</v>
      </c>
      <c r="D4" s="68">
        <f>'Table A5 All respondents'!E6</f>
        <v>11556.148785425099</v>
      </c>
      <c r="E4" s="103">
        <f>'Table A5 All respondents'!F6</f>
        <v>496116.53175607289</v>
      </c>
      <c r="F4" s="104">
        <f t="shared" ref="F4" si="0">E4/D4</f>
        <v>42.93095744680852</v>
      </c>
    </row>
    <row r="5" spans="2:9" x14ac:dyDescent="0.25">
      <c r="B5" s="67"/>
      <c r="C5" s="22"/>
      <c r="D5" s="66"/>
      <c r="E5" s="103"/>
      <c r="F5" s="104"/>
    </row>
    <row r="6" spans="2:9" x14ac:dyDescent="0.25">
      <c r="B6" s="67" t="s">
        <v>91</v>
      </c>
      <c r="C6" s="127">
        <f>'Table A5 All respondents'!B11</f>
        <v>828.43894899536315</v>
      </c>
      <c r="D6" s="68">
        <f>'Table A5 All respondents'!E11</f>
        <v>3065.2241112828433</v>
      </c>
      <c r="E6" s="105">
        <f>'Table A5 All respondents'!F11</f>
        <v>136796.80989180831</v>
      </c>
      <c r="F6" s="104">
        <f>E6/D6</f>
        <v>44.62864864864865</v>
      </c>
    </row>
    <row r="7" spans="2:9" x14ac:dyDescent="0.25">
      <c r="B7" s="71" t="s">
        <v>37</v>
      </c>
      <c r="C7" s="67"/>
      <c r="D7" s="112">
        <f>0.8*D6</f>
        <v>2452.1792890262745</v>
      </c>
      <c r="E7" s="108">
        <f>0.8*E6</f>
        <v>109437.44791344665</v>
      </c>
      <c r="F7" s="107"/>
    </row>
    <row r="8" spans="2:9" x14ac:dyDescent="0.25">
      <c r="B8" s="71" t="s">
        <v>92</v>
      </c>
      <c r="C8" s="67"/>
      <c r="D8" s="112">
        <f>0.2*D6</f>
        <v>613.04482225656864</v>
      </c>
      <c r="E8" s="108">
        <f>0.2*E6</f>
        <v>27359.361978361663</v>
      </c>
      <c r="F8" s="107"/>
    </row>
    <row r="9" spans="2:9" x14ac:dyDescent="0.25">
      <c r="B9" s="80" t="s">
        <v>93</v>
      </c>
      <c r="C9" s="128">
        <f>SUM(C4:C6)</f>
        <v>3287.1940097241081</v>
      </c>
      <c r="D9" s="81">
        <f>SUM(D4:D6)</f>
        <v>14621.372896707942</v>
      </c>
      <c r="E9" s="106">
        <f>SUM(E4:E6)</f>
        <v>632913.3416478812</v>
      </c>
      <c r="F9" s="129">
        <f>E9/D9</f>
        <v>43.286861371984024</v>
      </c>
    </row>
    <row r="10" spans="2:9" x14ac:dyDescent="0.25">
      <c r="B10" s="67"/>
      <c r="C10" s="67"/>
      <c r="D10" s="68"/>
      <c r="E10" s="69"/>
      <c r="F10" s="67"/>
    </row>
    <row r="11" spans="2:9" x14ac:dyDescent="0.25">
      <c r="B11" s="72" t="s">
        <v>94</v>
      </c>
      <c r="C11" s="110">
        <v>583</v>
      </c>
      <c r="D11" s="113">
        <v>2527.5</v>
      </c>
      <c r="E11" s="114">
        <v>89017.076499999996</v>
      </c>
      <c r="F11" s="72"/>
    </row>
    <row r="12" spans="2:9" x14ac:dyDescent="0.25">
      <c r="B12" s="90"/>
      <c r="C12" s="101"/>
      <c r="D12" s="91"/>
      <c r="E12" s="87"/>
    </row>
    <row r="13" spans="2:9" x14ac:dyDescent="0.25">
      <c r="B13" s="85" t="s">
        <v>74</v>
      </c>
      <c r="C13" s="86"/>
      <c r="D13" s="91"/>
      <c r="E13" s="87"/>
    </row>
    <row r="14" spans="2:9" x14ac:dyDescent="0.25">
      <c r="B14" s="27"/>
      <c r="C14" s="27" t="s">
        <v>57</v>
      </c>
      <c r="D14" s="27" t="s">
        <v>87</v>
      </c>
      <c r="E14" s="27" t="s">
        <v>88</v>
      </c>
      <c r="F14" s="27" t="s">
        <v>89</v>
      </c>
    </row>
    <row r="15" spans="2:9" x14ac:dyDescent="0.25">
      <c r="B15" s="67" t="s">
        <v>95</v>
      </c>
      <c r="C15" s="127">
        <f>'Table A5 All respondents'!B7</f>
        <v>416.75101214574903</v>
      </c>
      <c r="D15" s="127">
        <f>'Table A5 All respondents'!E7</f>
        <v>1667.0040485829961</v>
      </c>
      <c r="E15" s="103">
        <f>'Table A5 All respondents'!F7</f>
        <v>56944.649924089077</v>
      </c>
      <c r="F15" s="104">
        <f t="shared" ref="F15" si="1">E15/D15</f>
        <v>34.159875</v>
      </c>
    </row>
    <row r="16" spans="2:9" x14ac:dyDescent="0.25">
      <c r="B16" s="67"/>
      <c r="C16" s="22"/>
      <c r="D16" s="22"/>
      <c r="E16" s="108"/>
      <c r="F16" s="104"/>
    </row>
    <row r="17" spans="2:6" x14ac:dyDescent="0.25">
      <c r="B17" s="67" t="s">
        <v>96</v>
      </c>
      <c r="C17" s="127">
        <f>'Table A5 All respondents'!B12</f>
        <v>134.46676970633695</v>
      </c>
      <c r="D17" s="127">
        <f>'Table A5 All respondents'!E12</f>
        <v>470.63369397217934</v>
      </c>
      <c r="E17" s="108">
        <f>'Table A5 All respondents'!F12</f>
        <v>21325.421174652241</v>
      </c>
      <c r="F17" s="104">
        <f>E17/D17</f>
        <v>45.312142857142852</v>
      </c>
    </row>
    <row r="18" spans="2:6" x14ac:dyDescent="0.25">
      <c r="B18" s="71" t="s">
        <v>37</v>
      </c>
      <c r="C18" s="22"/>
      <c r="D18" s="115">
        <f>0.8*D17</f>
        <v>376.50695517774352</v>
      </c>
      <c r="E18" s="108">
        <f>0.8*E17</f>
        <v>17060.336939721794</v>
      </c>
      <c r="F18" s="107"/>
    </row>
    <row r="19" spans="2:6" x14ac:dyDescent="0.25">
      <c r="B19" s="71" t="s">
        <v>92</v>
      </c>
      <c r="C19" s="22"/>
      <c r="D19" s="115">
        <f>0.2*D17</f>
        <v>94.12673879443588</v>
      </c>
      <c r="E19" s="108">
        <f>0.2*E17</f>
        <v>4265.0842349304485</v>
      </c>
      <c r="F19" s="107"/>
    </row>
    <row r="20" spans="2:6" x14ac:dyDescent="0.25">
      <c r="B20" s="80" t="s">
        <v>97</v>
      </c>
      <c r="C20" s="128">
        <f>SUM(C15:C17)</f>
        <v>551.21778185208598</v>
      </c>
      <c r="D20" s="128">
        <f>SUM(D15:D17)</f>
        <v>2137.6377425551755</v>
      </c>
      <c r="E20" s="106">
        <f>SUM(E15:E17)</f>
        <v>78270.071098741319</v>
      </c>
      <c r="F20" s="129">
        <f>E20/D20</f>
        <v>36.615217602390857</v>
      </c>
    </row>
    <row r="21" spans="2:6" x14ac:dyDescent="0.25">
      <c r="B21" s="67"/>
      <c r="C21" s="22"/>
      <c r="D21" s="22"/>
      <c r="E21" s="66"/>
      <c r="F21" s="67"/>
    </row>
    <row r="22" spans="2:6" x14ac:dyDescent="0.25">
      <c r="B22" s="72" t="s">
        <v>98</v>
      </c>
      <c r="C22" s="110">
        <v>92</v>
      </c>
      <c r="D22" s="110">
        <v>309.5</v>
      </c>
      <c r="E22" s="111">
        <v>10559.286</v>
      </c>
      <c r="F22" s="72"/>
    </row>
    <row r="23" spans="2:6" x14ac:dyDescent="0.25">
      <c r="C23" s="102"/>
      <c r="D23" s="100"/>
    </row>
    <row r="24" spans="2:6" x14ac:dyDescent="0.25">
      <c r="B24" s="85" t="s">
        <v>75</v>
      </c>
      <c r="C24" s="86"/>
      <c r="D24" s="91"/>
      <c r="E24" s="87"/>
    </row>
    <row r="25" spans="2:6" x14ac:dyDescent="0.25">
      <c r="B25" s="27"/>
      <c r="C25" s="27" t="s">
        <v>57</v>
      </c>
      <c r="D25" s="27" t="s">
        <v>87</v>
      </c>
      <c r="E25" s="27" t="s">
        <v>88</v>
      </c>
      <c r="F25" s="27" t="s">
        <v>89</v>
      </c>
    </row>
    <row r="26" spans="2:6" x14ac:dyDescent="0.25">
      <c r="B26" s="67" t="s">
        <v>99</v>
      </c>
      <c r="C26" s="127">
        <f>'Table A5 All respondents'!B5</f>
        <v>124.49392712550606</v>
      </c>
      <c r="D26" s="127">
        <f>'Table A5 All respondents'!E5</f>
        <v>435.72874493927122</v>
      </c>
      <c r="E26" s="70">
        <f>'Table A5 All respondents'!F5</f>
        <v>18086.415485829963</v>
      </c>
      <c r="F26" s="104">
        <f t="shared" ref="F26" si="2">E26/D26</f>
        <v>41.508428571428581</v>
      </c>
    </row>
    <row r="27" spans="2:6" x14ac:dyDescent="0.25">
      <c r="B27" s="67"/>
      <c r="C27" s="22"/>
      <c r="D27" s="22"/>
      <c r="E27" s="109"/>
      <c r="F27" s="104"/>
    </row>
    <row r="28" spans="2:6" x14ac:dyDescent="0.25">
      <c r="B28" s="67" t="s">
        <v>100</v>
      </c>
      <c r="C28" s="127">
        <f>'Table A5 All respondents'!B10</f>
        <v>37.09428129829984</v>
      </c>
      <c r="D28" s="127">
        <f>'Table A5 All respondents'!E10</f>
        <v>92.735703245749605</v>
      </c>
      <c r="E28" s="109">
        <f>'Table A5 All respondents'!F10</f>
        <v>3726.7511591962907</v>
      </c>
      <c r="F28" s="104">
        <f>E28/D28</f>
        <v>40.186800000000005</v>
      </c>
    </row>
    <row r="29" spans="2:6" x14ac:dyDescent="0.25">
      <c r="B29" s="71" t="s">
        <v>37</v>
      </c>
      <c r="C29" s="22"/>
      <c r="D29" s="115">
        <f>0.8*D28</f>
        <v>74.188562596599681</v>
      </c>
      <c r="E29" s="108">
        <f>0.8*E28</f>
        <v>2981.4009273570327</v>
      </c>
      <c r="F29" s="67"/>
    </row>
    <row r="30" spans="2:6" x14ac:dyDescent="0.25">
      <c r="B30" s="71" t="s">
        <v>92</v>
      </c>
      <c r="C30" s="22"/>
      <c r="D30" s="115">
        <f>0.2*D28</f>
        <v>18.54714064914992</v>
      </c>
      <c r="E30" s="108">
        <f>0.2*E28</f>
        <v>745.35023183925819</v>
      </c>
      <c r="F30" s="67"/>
    </row>
    <row r="31" spans="2:6" x14ac:dyDescent="0.25">
      <c r="B31" s="80" t="s">
        <v>101</v>
      </c>
      <c r="C31" s="128">
        <f>SUM(C26:C28)</f>
        <v>161.5882084238059</v>
      </c>
      <c r="D31" s="128">
        <f>SUM(D26:D28)</f>
        <v>528.46444818502084</v>
      </c>
      <c r="E31" s="106">
        <f>SUM(E26:E28)</f>
        <v>21813.166645026253</v>
      </c>
      <c r="F31" s="129">
        <f>E31/D31</f>
        <v>41.276507284344774</v>
      </c>
    </row>
    <row r="32" spans="2:6" x14ac:dyDescent="0.25">
      <c r="B32" s="67"/>
      <c r="C32" s="22"/>
      <c r="D32" s="22"/>
      <c r="E32" s="66"/>
      <c r="F32" s="67"/>
    </row>
    <row r="33" spans="2:6" x14ac:dyDescent="0.25">
      <c r="B33" s="72" t="s">
        <v>102</v>
      </c>
      <c r="C33" s="110">
        <v>32</v>
      </c>
      <c r="D33" s="110">
        <v>108</v>
      </c>
      <c r="E33" s="111">
        <v>3620.97</v>
      </c>
      <c r="F33" s="72"/>
    </row>
    <row r="37" spans="2:6" x14ac:dyDescent="0.25">
      <c r="D37" s="180">
        <f>D31+D20+D9</f>
        <v>17287.47508744814</v>
      </c>
    </row>
  </sheetData>
  <mergeCells count="1">
    <mergeCell ref="B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9"/>
  <sheetViews>
    <sheetView showGridLines="0" workbookViewId="0">
      <selection activeCell="A13" sqref="A13"/>
    </sheetView>
  </sheetViews>
  <sheetFormatPr defaultColWidth="9.140625" defaultRowHeight="15" customHeight="1" x14ac:dyDescent="0.2"/>
  <cols>
    <col min="1" max="1" width="65.28515625" style="41" bestFit="1" customWidth="1"/>
    <col min="2" max="4" width="12.140625" style="42" customWidth="1"/>
    <col min="5" max="5" width="12.140625" style="43" customWidth="1"/>
    <col min="6" max="6" width="15.7109375" style="29" bestFit="1" customWidth="1"/>
    <col min="7" max="7" width="10.7109375" style="29" customWidth="1"/>
    <col min="8" max="8" width="12.140625" style="29" customWidth="1"/>
    <col min="9" max="9" width="15.7109375" style="29" customWidth="1"/>
    <col min="10" max="10" width="12.140625" style="29" customWidth="1"/>
    <col min="11" max="11" width="20" style="29" customWidth="1"/>
    <col min="12" max="16384" width="9.140625" style="29"/>
  </cols>
  <sheetData>
    <row r="1" spans="1:11" ht="15" customHeight="1" x14ac:dyDescent="0.2">
      <c r="A1" s="176" t="s">
        <v>103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3" spans="1:11" ht="22.5" customHeight="1" x14ac:dyDescent="0.2">
      <c r="A3" s="177" t="s">
        <v>19</v>
      </c>
      <c r="B3" s="178" t="s">
        <v>20</v>
      </c>
      <c r="C3" s="178" t="s">
        <v>104</v>
      </c>
      <c r="D3" s="179" t="s">
        <v>60</v>
      </c>
      <c r="E3" s="179" t="s">
        <v>105</v>
      </c>
      <c r="F3" s="179" t="s">
        <v>23</v>
      </c>
      <c r="G3" s="179" t="s">
        <v>24</v>
      </c>
      <c r="H3" s="179" t="s">
        <v>26</v>
      </c>
      <c r="I3" s="179" t="s">
        <v>27</v>
      </c>
      <c r="J3" s="179" t="s">
        <v>28</v>
      </c>
      <c r="K3" s="179" t="s">
        <v>29</v>
      </c>
    </row>
    <row r="4" spans="1:11" ht="22.5" customHeight="1" x14ac:dyDescent="0.2">
      <c r="A4" s="177"/>
      <c r="B4" s="178"/>
      <c r="C4" s="178"/>
      <c r="D4" s="179"/>
      <c r="E4" s="179"/>
      <c r="F4" s="179"/>
      <c r="G4" s="179"/>
      <c r="H4" s="179"/>
      <c r="I4" s="179"/>
      <c r="J4" s="179"/>
      <c r="K4" s="179"/>
    </row>
    <row r="5" spans="1:11" ht="15" customHeight="1" x14ac:dyDescent="0.2">
      <c r="A5" s="173" t="s">
        <v>33</v>
      </c>
      <c r="B5" s="174"/>
      <c r="C5" s="174"/>
      <c r="D5" s="174"/>
      <c r="E5" s="174"/>
      <c r="F5" s="174"/>
      <c r="G5" s="174"/>
      <c r="H5" s="174"/>
      <c r="I5" s="174"/>
      <c r="J5" s="174"/>
      <c r="K5" s="175"/>
    </row>
    <row r="6" spans="1:11" ht="15" customHeight="1" x14ac:dyDescent="0.2">
      <c r="A6" s="30" t="s">
        <v>106</v>
      </c>
      <c r="B6" s="31">
        <v>0.5</v>
      </c>
      <c r="C6" s="32">
        <v>1000</v>
      </c>
      <c r="D6" s="32">
        <f>B6*C6</f>
        <v>500</v>
      </c>
      <c r="E6" s="33">
        <f>49.5*B6*C6</f>
        <v>24750</v>
      </c>
      <c r="F6" s="34" t="s">
        <v>107</v>
      </c>
      <c r="G6" s="34" t="s">
        <v>36</v>
      </c>
      <c r="H6" s="34" t="s">
        <v>37</v>
      </c>
      <c r="I6" s="34" t="s">
        <v>38</v>
      </c>
      <c r="J6" s="34" t="s">
        <v>39</v>
      </c>
      <c r="K6" s="34" t="s">
        <v>107</v>
      </c>
    </row>
    <row r="7" spans="1:11" ht="15" customHeight="1" x14ac:dyDescent="0.2">
      <c r="A7" s="30" t="s">
        <v>108</v>
      </c>
      <c r="B7" s="35">
        <v>0.5</v>
      </c>
      <c r="C7" s="36">
        <v>1000</v>
      </c>
      <c r="D7" s="32">
        <f>B7*C7</f>
        <v>500</v>
      </c>
      <c r="E7" s="33">
        <f>49.5*B7*C7</f>
        <v>24750</v>
      </c>
      <c r="F7" s="34" t="s">
        <v>107</v>
      </c>
      <c r="G7" s="34" t="s">
        <v>36</v>
      </c>
      <c r="H7" s="34" t="s">
        <v>37</v>
      </c>
      <c r="I7" s="34" t="s">
        <v>38</v>
      </c>
      <c r="J7" s="34" t="s">
        <v>39</v>
      </c>
      <c r="K7" s="34" t="s">
        <v>107</v>
      </c>
    </row>
    <row r="8" spans="1:11" ht="15" customHeight="1" x14ac:dyDescent="0.2">
      <c r="A8" s="37" t="s">
        <v>46</v>
      </c>
      <c r="B8" s="38">
        <f>SUM(B6:B7)</f>
        <v>1</v>
      </c>
      <c r="C8" s="55"/>
      <c r="D8" s="55">
        <f>SUM(D6:D7)</f>
        <v>1000</v>
      </c>
      <c r="E8" s="39">
        <f>SUM(E6:E7)</f>
        <v>49500</v>
      </c>
      <c r="F8" s="34"/>
      <c r="G8" s="40"/>
      <c r="H8" s="40"/>
      <c r="I8" s="40"/>
      <c r="J8" s="40"/>
      <c r="K8" s="40"/>
    </row>
    <row r="9" spans="1:11" ht="7.5" customHeight="1" x14ac:dyDescent="0.2"/>
    <row r="10" spans="1:11" ht="15" customHeight="1" x14ac:dyDescent="0.2">
      <c r="A10" s="173" t="s">
        <v>47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5"/>
    </row>
    <row r="11" spans="1:11" ht="15" customHeight="1" x14ac:dyDescent="0.2">
      <c r="A11" s="30" t="s">
        <v>109</v>
      </c>
      <c r="B11" s="31">
        <v>0.5</v>
      </c>
      <c r="C11" s="32">
        <v>1000</v>
      </c>
      <c r="D11" s="32">
        <f t="shared" ref="D11:D12" si="0">B11*C11</f>
        <v>500</v>
      </c>
      <c r="E11" s="33">
        <f>49.5*B11*C11</f>
        <v>24750</v>
      </c>
      <c r="F11" s="34" t="s">
        <v>107</v>
      </c>
      <c r="G11" s="34" t="s">
        <v>36</v>
      </c>
      <c r="H11" s="34" t="s">
        <v>37</v>
      </c>
      <c r="I11" s="34" t="s">
        <v>38</v>
      </c>
      <c r="J11" s="34" t="s">
        <v>39</v>
      </c>
      <c r="K11" s="34" t="s">
        <v>107</v>
      </c>
    </row>
    <row r="12" spans="1:11" ht="15" customHeight="1" x14ac:dyDescent="0.2">
      <c r="A12" s="30" t="s">
        <v>110</v>
      </c>
      <c r="B12" s="35">
        <v>0.5</v>
      </c>
      <c r="C12" s="36">
        <v>1000</v>
      </c>
      <c r="D12" s="32">
        <f t="shared" si="0"/>
        <v>500</v>
      </c>
      <c r="E12" s="33">
        <f>49.5*B12*C12</f>
        <v>24750</v>
      </c>
      <c r="F12" s="34" t="s">
        <v>107</v>
      </c>
      <c r="G12" s="34" t="s">
        <v>36</v>
      </c>
      <c r="H12" s="34" t="s">
        <v>37</v>
      </c>
      <c r="I12" s="34" t="s">
        <v>38</v>
      </c>
      <c r="J12" s="34" t="s">
        <v>39</v>
      </c>
      <c r="K12" s="34" t="s">
        <v>107</v>
      </c>
    </row>
    <row r="13" spans="1:11" ht="15" customHeight="1" x14ac:dyDescent="0.2">
      <c r="A13" s="37" t="s">
        <v>52</v>
      </c>
      <c r="B13" s="38">
        <f>SUM(B11:B12)</f>
        <v>1</v>
      </c>
      <c r="C13" s="55"/>
      <c r="D13" s="55">
        <f>SUM(D11:D12)</f>
        <v>1000</v>
      </c>
      <c r="E13" s="39">
        <f>SUM(E11:E12)</f>
        <v>49500</v>
      </c>
      <c r="F13" s="34"/>
      <c r="G13" s="40"/>
      <c r="H13" s="40"/>
      <c r="I13" s="40"/>
      <c r="J13" s="40"/>
      <c r="K13" s="40"/>
    </row>
    <row r="15" spans="1:11" ht="15" customHeight="1" x14ac:dyDescent="0.2">
      <c r="A15" s="45" t="s">
        <v>111</v>
      </c>
      <c r="B15" s="57"/>
      <c r="C15" s="99">
        <f>C6+C11</f>
        <v>2000</v>
      </c>
      <c r="D15" s="59">
        <f>D8+D13</f>
        <v>2000</v>
      </c>
      <c r="E15" s="58">
        <f>E8+E13</f>
        <v>99000</v>
      </c>
    </row>
    <row r="16" spans="1:11" ht="15" customHeight="1" x14ac:dyDescent="0.2">
      <c r="A16" s="116" t="s">
        <v>112</v>
      </c>
      <c r="B16" s="117"/>
      <c r="C16" s="118">
        <v>707</v>
      </c>
      <c r="D16" s="119">
        <v>746</v>
      </c>
      <c r="E16" s="120">
        <v>35158.980000000003</v>
      </c>
    </row>
    <row r="18" spans="1:5" ht="15" customHeight="1" x14ac:dyDescent="0.2">
      <c r="A18" s="46" t="s">
        <v>113</v>
      </c>
      <c r="B18" s="47"/>
      <c r="C18" s="47"/>
      <c r="D18" s="47"/>
      <c r="E18" s="48"/>
    </row>
    <row r="19" spans="1:5" ht="15" customHeight="1" x14ac:dyDescent="0.2">
      <c r="A19" s="49" t="s">
        <v>114</v>
      </c>
      <c r="B19" s="50"/>
      <c r="C19" s="50"/>
      <c r="D19" s="50"/>
      <c r="E19" s="51"/>
    </row>
  </sheetData>
  <mergeCells count="14">
    <mergeCell ref="A5:K5"/>
    <mergeCell ref="A10:K10"/>
    <mergeCell ref="A1:K1"/>
    <mergeCell ref="A3:A4"/>
    <mergeCell ref="B3:B4"/>
    <mergeCell ref="C3:C4"/>
    <mergeCell ref="E3:E4"/>
    <mergeCell ref="F3:F4"/>
    <mergeCell ref="G3:G4"/>
    <mergeCell ref="H3:H4"/>
    <mergeCell ref="I3:I4"/>
    <mergeCell ref="J3:J4"/>
    <mergeCell ref="D3:D4"/>
    <mergeCell ref="K3:K4"/>
  </mergeCells>
  <pageMargins left="0.7" right="0.7" top="0.75" bottom="0.75" header="0.3" footer="0.3"/>
  <pageSetup paperSize="5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7"/>
  <sheetViews>
    <sheetView workbookViewId="0">
      <selection activeCell="D12" sqref="D12"/>
    </sheetView>
  </sheetViews>
  <sheetFormatPr defaultRowHeight="15" x14ac:dyDescent="0.25"/>
  <cols>
    <col min="1" max="1" width="36.140625" customWidth="1"/>
    <col min="2" max="2" width="13.42578125" customWidth="1"/>
    <col min="3" max="3" width="21.5703125" customWidth="1"/>
    <col min="4" max="4" width="33.42578125" customWidth="1"/>
  </cols>
  <sheetData>
    <row r="1" spans="1:4" s="126" customFormat="1" ht="45" x14ac:dyDescent="0.25">
      <c r="A1" s="125" t="s">
        <v>115</v>
      </c>
      <c r="B1" s="125" t="s">
        <v>116</v>
      </c>
      <c r="C1" s="125" t="s">
        <v>117</v>
      </c>
      <c r="D1" s="125" t="s">
        <v>118</v>
      </c>
    </row>
    <row r="2" spans="1:4" x14ac:dyDescent="0.25">
      <c r="A2" t="s">
        <v>119</v>
      </c>
      <c r="B2" t="s">
        <v>74</v>
      </c>
      <c r="C2">
        <v>4</v>
      </c>
      <c r="D2">
        <v>3.5</v>
      </c>
    </row>
    <row r="3" spans="1:4" s="4" customFormat="1" x14ac:dyDescent="0.25">
      <c r="A3" s="4" t="s">
        <v>120</v>
      </c>
      <c r="B3" s="4" t="s">
        <v>74</v>
      </c>
      <c r="C3" s="4">
        <f>AVERAGE(C2)</f>
        <v>4</v>
      </c>
      <c r="D3" s="4">
        <f>AVERAGE(D2)</f>
        <v>3.5</v>
      </c>
    </row>
    <row r="4" spans="1:4" x14ac:dyDescent="0.25">
      <c r="A4" t="s">
        <v>121</v>
      </c>
      <c r="B4" t="s">
        <v>122</v>
      </c>
      <c r="C4">
        <v>4</v>
      </c>
      <c r="D4">
        <v>2</v>
      </c>
    </row>
    <row r="5" spans="1:4" x14ac:dyDescent="0.25">
      <c r="A5" t="s">
        <v>123</v>
      </c>
      <c r="B5" t="s">
        <v>122</v>
      </c>
      <c r="C5">
        <v>6</v>
      </c>
      <c r="D5">
        <v>5</v>
      </c>
    </row>
    <row r="6" spans="1:4" x14ac:dyDescent="0.25">
      <c r="A6" t="s">
        <v>124</v>
      </c>
      <c r="B6" t="s">
        <v>122</v>
      </c>
      <c r="C6">
        <v>4</v>
      </c>
      <c r="D6">
        <v>4</v>
      </c>
    </row>
    <row r="7" spans="1:4" s="4" customFormat="1" x14ac:dyDescent="0.25">
      <c r="A7" s="4" t="s">
        <v>125</v>
      </c>
      <c r="B7" s="4" t="s">
        <v>122</v>
      </c>
      <c r="C7" s="124">
        <f>AVERAGE(C4:C6)</f>
        <v>4.666666666666667</v>
      </c>
      <c r="D7" s="124">
        <f>AVERAGE(D4:D6)</f>
        <v>3.6666666666666665</v>
      </c>
    </row>
  </sheetData>
  <autoFilter ref="A1:D6" xr:uid="{B2798E63-EB8A-4783-9D40-3D71BB3E3F81}">
    <sortState xmlns:xlrd2="http://schemas.microsoft.com/office/spreadsheetml/2017/richdata2" ref="A2:D6">
      <sortCondition ref="B1:B6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9f62856-1543-49d4-a736-4569d363f533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 xmlns="4ffa91fb-a0ff-4ac5-b2db-65c790d184a4">Shared</Record>
    <Language xmlns="http://schemas.microsoft.com/sharepoint/v3">English</Language>
    <Document_x0020_Creation_x0020_Date xmlns="4ffa91fb-a0ff-4ac5-b2db-65c790d184a4">2021-12-27T11:24:16+00:00</Document_x0020_Creation_x0020_Date>
    <_Source xmlns="http://schemas.microsoft.com/sharepoint/v3/fields" xsi:nil="true"/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ights xmlns="4ffa91fb-a0ff-4ac5-b2db-65c790d184a4" xsi:nil="true"/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F6F5E0477126478E62287FA2D110D3" ma:contentTypeVersion="15" ma:contentTypeDescription="Create a new document." ma:contentTypeScope="" ma:versionID="227a6816f6581f408ea056b6575242b4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8faf114f-24f1-482f-9773-8f0d7d5925f2" xmlns:ns6="29a45733-a9b9-4c02-8fe0-94fe8fccf802" targetNamespace="http://schemas.microsoft.com/office/2006/metadata/properties" ma:root="true" ma:fieldsID="ca8834ffd250b662898604ec75f27a39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8faf114f-24f1-482f-9773-8f0d7d5925f2"/>
    <xsd:import namespace="29a45733-a9b9-4c02-8fe0-94fe8fccf802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3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81496ec5-003c-4747-86a2-890b1475f6bc}" ma:internalName="TaxCatchAllLabel" ma:readOnly="true" ma:showField="CatchAllDataLabel" ma:web="29a45733-a9b9-4c02-8fe0-94fe8fccf8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81496ec5-003c-4747-86a2-890b1475f6bc}" ma:internalName="TaxCatchAll" ma:showField="CatchAllData" ma:web="29a45733-a9b9-4c02-8fe0-94fe8fccf8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f114f-24f1-482f-9773-8f0d7d592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a45733-a9b9-4c02-8fe0-94fe8fcc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AB07D5-1FFA-4586-AB03-6FAE1409DB7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255DD58-939B-467E-B167-039ADD1EC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A76866-8EB1-41BE-84FF-55545276E8FC}">
  <ds:schemaRefs>
    <ds:schemaRef ds:uri="http://schemas.microsoft.com/office/2006/metadata/properties"/>
    <ds:schemaRef ds:uri="http://schemas.microsoft.com/office/infopath/2007/PartnerControls"/>
    <ds:schemaRef ds:uri="4ffa91fb-a0ff-4ac5-b2db-65c790d184a4"/>
    <ds:schemaRef ds:uri="http://schemas.microsoft.com/sharepoint/v3"/>
    <ds:schemaRef ds:uri="http://schemas.microsoft.com/sharepoint/v3/fields"/>
    <ds:schemaRef ds:uri="http://schemas.microsoft.com/sharepoint.v3"/>
  </ds:schemaRefs>
</ds:datastoreItem>
</file>

<file path=customXml/itemProps4.xml><?xml version="1.0" encoding="utf-8"?>
<ds:datastoreItem xmlns:ds="http://schemas.openxmlformats.org/officeDocument/2006/customXml" ds:itemID="{498CC36F-03CF-4F31-9E46-423F7EF618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8faf114f-24f1-482f-9773-8f0d7d5925f2"/>
    <ds:schemaRef ds:uri="29a45733-a9b9-4c02-8fe0-94fe8fcc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24</vt:i4>
      </vt:variant>
    </vt:vector>
  </HeadingPairs>
  <TitlesOfParts>
    <vt:vector size="32" baseType="lpstr">
      <vt:lpstr>Table A1 - Wages</vt:lpstr>
      <vt:lpstr>Table A2 - State</vt:lpstr>
      <vt:lpstr>Table A3 - Local</vt:lpstr>
      <vt:lpstr>Table A4 - Private fleet</vt:lpstr>
      <vt:lpstr>Table A5 All respondents</vt:lpstr>
      <vt:lpstr>Table A6 - Task breakdown</vt:lpstr>
      <vt:lpstr>Table A7 - EPA burden</vt:lpstr>
      <vt:lpstr>Table A8 - Consultations</vt:lpstr>
      <vt:lpstr>cler_private</vt:lpstr>
      <vt:lpstr>cler_state_local</vt:lpstr>
      <vt:lpstr>man_private</vt:lpstr>
      <vt:lpstr>man_state_local</vt:lpstr>
      <vt:lpstr>'Table A1 - Wages'!Print_Area</vt:lpstr>
      <vt:lpstr>'Table A2 - State'!Print_Area</vt:lpstr>
      <vt:lpstr>'Table A3 - Local'!Print_Area</vt:lpstr>
      <vt:lpstr>'Table A4 - Private fleet'!Print_Area</vt:lpstr>
      <vt:lpstr>'Table A5 All respondents'!Print_Area</vt:lpstr>
      <vt:lpstr>'Table A7 - EPA burden'!Print_Area</vt:lpstr>
      <vt:lpstr>task1_local</vt:lpstr>
      <vt:lpstr>task1_local_hours</vt:lpstr>
      <vt:lpstr>task1_private</vt:lpstr>
      <vt:lpstr>task1_private_hours</vt:lpstr>
      <vt:lpstr>task1_state</vt:lpstr>
      <vt:lpstr>task1_state_hours</vt:lpstr>
      <vt:lpstr>task2_local</vt:lpstr>
      <vt:lpstr>task2_local_hours</vt:lpstr>
      <vt:lpstr>task2_private</vt:lpstr>
      <vt:lpstr>task2_private_hours</vt:lpstr>
      <vt:lpstr>task2_state</vt:lpstr>
      <vt:lpstr>task2_state_hours</vt:lpstr>
      <vt:lpstr>tech_private</vt:lpstr>
      <vt:lpstr>tech_state_local</vt:lpstr>
    </vt:vector>
  </TitlesOfParts>
  <Manager/>
  <Company>US-EPA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OAR-OTAQ</dc:creator>
  <cp:keywords/>
  <dc:description/>
  <cp:lastModifiedBy>Schultz, Eric</cp:lastModifiedBy>
  <cp:revision/>
  <dcterms:created xsi:type="dcterms:W3CDTF">2012-01-12T14:29:35Z</dcterms:created>
  <dcterms:modified xsi:type="dcterms:W3CDTF">2022-06-29T18:28:49Z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0x010100B0F6F5E0477126478E62287FA2D110D3</vt:lpwstr>
  </property>
  <property fmtid="{D5CDD505-2E9C-101B-9397-08002B2CF9AE}" pid="3" name="TaxKeyword">
    <vt:lpwstr/>
  </property>
  <property fmtid="{D5CDD505-2E9C-101B-9397-08002B2CF9AE}" pid="4" name="e3f09c3df709400db2417a7161762d62">
    <vt:lpwstr/>
  </property>
  <property fmtid="{D5CDD505-2E9C-101B-9397-08002B2CF9AE}" pid="5" name="EPA_x0020_Subject">
    <vt:lpwstr/>
  </property>
  <property fmtid="{D5CDD505-2E9C-101B-9397-08002B2CF9AE}" pid="6" name="Document Type">
    <vt:lpwstr/>
  </property>
  <property fmtid="{D5CDD505-2E9C-101B-9397-08002B2CF9AE}" pid="7" name="EPA Subject">
    <vt:lpwstr/>
  </property>
</Properties>
</file>