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6.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7.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8.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9.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drawings/drawing10.xml" ContentType="application/vnd.openxmlformats-officedocument.drawing+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drawings/drawing11.xml" ContentType="application/vnd.openxmlformats-officedocument.drawing+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drawings/drawing12.xml" ContentType="application/vnd.openxmlformats-officedocument.drawing+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13.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codeName="ThisWorkbook"/>
  <mc:AlternateContent xmlns:mc="http://schemas.openxmlformats.org/markup-compatibility/2006">
    <mc:Choice Requires="x15">
      <x15ac:absPath xmlns:x15ac="http://schemas.microsoft.com/office/spreadsheetml/2010/11/ac" url="C:\Users\H52440\Documents\PIH\Flat Rent\Updated Notice and PRA\"/>
    </mc:Choice>
  </mc:AlternateContent>
  <xr:revisionPtr revIDLastSave="0" documentId="8_{E953D6F5-67F1-4414-8692-1165B1EB1BAE}" xr6:coauthVersionLast="47" xr6:coauthVersionMax="47" xr10:uidLastSave="{00000000-0000-0000-0000-000000000000}"/>
  <workbookProtection workbookAlgorithmName="SHA-512" workbookHashValue="x1OV3eCamcWWI4xxv0ownSryYDLsDJ5v9DHDiV6mZyIAXfiPOTOUkSfpEJJcOflzpFB+EZpHrBtBFLzyxkXnMw==" workbookSaltValue="AQJWlOo9PBW0+jy/7cPcfw==" workbookSpinCount="100000" lockStructure="1"/>
  <bookViews>
    <workbookView xWindow="-110" yWindow="-110" windowWidth="19420" windowHeight="10420" tabRatio="856" firstSheet="5" activeTab="14" xr2:uid="{00000000-000D-0000-FFFF-FFFF00000000}"/>
  </bookViews>
  <sheets>
    <sheet name="Instructions" sheetId="1" state="hidden" r:id="rId1"/>
    <sheet name="Rent Adjustment Guide" sheetId="15" r:id="rId2"/>
    <sheet name="Utilities Guide" sheetId="25" r:id="rId3"/>
    <sheet name="Old Market Rent Guide" sheetId="18" state="hidden" r:id="rId4"/>
    <sheet name="Old Guide" sheetId="14" state="hidden" r:id="rId5"/>
    <sheet name="Market Rent Guide" sheetId="28" r:id="rId6"/>
    <sheet name="Rent Adjustment Worksheet" sheetId="2" r:id="rId7"/>
    <sheet name="Utilities Worksheet" sheetId="23" r:id="rId8"/>
    <sheet name="Studio" sheetId="3" r:id="rId9"/>
    <sheet name="1 BR" sheetId="4" r:id="rId10"/>
    <sheet name="2 BR" sheetId="5" r:id="rId11"/>
    <sheet name="3 BR" sheetId="6" r:id="rId12"/>
    <sheet name="4 BR" sheetId="7" r:id="rId13"/>
    <sheet name="5 BR" sheetId="8" r:id="rId14"/>
    <sheet name="6 BR" sheetId="9" r:id="rId15"/>
    <sheet name="Laundry" sheetId="26" state="hidden" r:id="rId16"/>
    <sheet name="AC" sheetId="27" state="hidden" r:id="rId17"/>
    <sheet name="Justifications" sheetId="29" r:id="rId18"/>
    <sheet name="Summary Sheet" sheetId="17" r:id="rId19"/>
    <sheet name="Updates to Rent Adjust WorkSh" sheetId="21" state="hidden" r:id="rId20"/>
    <sheet name="Updates to Summary" sheetId="20" state="hidden" r:id="rId21"/>
    <sheet name="Updates to BR" sheetId="19" state="hidden" r:id="rId22"/>
    <sheet name="DropDown" sheetId="11" state="hidden" r:id="rId23"/>
    <sheet name="7 BR" sheetId="16" state="hidden" r:id="rId24"/>
    <sheet name="Test Rent Adjustment" sheetId="12" state="hidden" r:id="rId25"/>
  </sheets>
  <definedNames>
    <definedName name="_xlnm.Print_Area" localSheetId="1">'Rent Adjustment Guide'!$A$2:$K$52</definedName>
    <definedName name="_xlnm.Print_Area" localSheetId="6">'Rent Adjustment Worksheet'!$A$1:$E$42</definedName>
    <definedName name="_xlnm.Print_Area" localSheetId="18">'Summary Sheet'!$A$1:$I$78</definedName>
    <definedName name="_xlnm.Print_Area" localSheetId="19">'Updates to Rent Adjust WorkSh'!$A$1:$E$46</definedName>
    <definedName name="Z_A4B793CE_738E_4476_8B1F_D42BECFCF658_.wvu.Cols" localSheetId="6" hidden="1">'Rent Adjustment Worksheet'!$A:$A</definedName>
    <definedName name="Z_A4B793CE_738E_4476_8B1F_D42BECFCF658_.wvu.Cols" localSheetId="19" hidden="1">'Updates to Rent Adjust WorkSh'!$A:$A</definedName>
  </definedNames>
  <calcPr calcId="191028"/>
  <customWorkbookViews>
    <customWorkbookView name="HUD User - Personal View" guid="{A4B793CE-738E-4476-8B1F-D42BECFCF658}" mergeInterval="0" personalView="1" maximized="1" xWindow="-8" yWindow="-8" windowWidth="1696" windowHeight="1026" tabRatio="699" activeSheetId="5"/>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2" i="17" l="1"/>
  <c r="H32" i="17"/>
  <c r="G32" i="17"/>
  <c r="F32" i="17"/>
  <c r="E32" i="17"/>
  <c r="D32" i="17"/>
  <c r="I24" i="17"/>
  <c r="H24" i="17"/>
  <c r="G24" i="17"/>
  <c r="F24" i="17"/>
  <c r="E24" i="17"/>
  <c r="D24" i="17"/>
  <c r="L47" i="9"/>
  <c r="M46" i="9"/>
  <c r="O47" i="9" s="1"/>
  <c r="J46" i="9"/>
  <c r="K47" i="9" s="1"/>
  <c r="G46" i="9"/>
  <c r="G47" i="9" s="1"/>
  <c r="K44" i="9"/>
  <c r="D44" i="9"/>
  <c r="O44" i="9" s="1"/>
  <c r="O43" i="9"/>
  <c r="K43" i="9"/>
  <c r="I43" i="9"/>
  <c r="D43" i="9"/>
  <c r="N43" i="9" s="1"/>
  <c r="N42" i="9"/>
  <c r="H42" i="9"/>
  <c r="D42" i="9"/>
  <c r="L42" i="9" s="1"/>
  <c r="D41" i="9"/>
  <c r="K41" i="9" s="1"/>
  <c r="K40" i="9"/>
  <c r="D40" i="9"/>
  <c r="O40" i="9" s="1"/>
  <c r="O38" i="9"/>
  <c r="N38" i="9"/>
  <c r="L38" i="9"/>
  <c r="K38" i="9"/>
  <c r="I38" i="9"/>
  <c r="H38" i="9"/>
  <c r="O37" i="9"/>
  <c r="N37" i="9"/>
  <c r="L37" i="9"/>
  <c r="K37" i="9"/>
  <c r="I37" i="9"/>
  <c r="H37" i="9"/>
  <c r="O36" i="9"/>
  <c r="N36" i="9"/>
  <c r="L36" i="9"/>
  <c r="K36" i="9"/>
  <c r="I36" i="9"/>
  <c r="H36" i="9"/>
  <c r="O35" i="9"/>
  <c r="N35" i="9"/>
  <c r="L35" i="9"/>
  <c r="K35" i="9"/>
  <c r="I35" i="9"/>
  <c r="H35" i="9"/>
  <c r="O34" i="9"/>
  <c r="N34" i="9"/>
  <c r="L34" i="9"/>
  <c r="K34" i="9"/>
  <c r="I34" i="9"/>
  <c r="H34" i="9"/>
  <c r="O33" i="9"/>
  <c r="N33" i="9"/>
  <c r="L33" i="9"/>
  <c r="K33" i="9"/>
  <c r="I33" i="9"/>
  <c r="H33" i="9"/>
  <c r="O31" i="9"/>
  <c r="N31" i="9"/>
  <c r="L31" i="9"/>
  <c r="K31" i="9"/>
  <c r="I31" i="9"/>
  <c r="H31" i="9"/>
  <c r="O30" i="9"/>
  <c r="N30" i="9"/>
  <c r="L30" i="9"/>
  <c r="K30" i="9"/>
  <c r="I30" i="9"/>
  <c r="H30" i="9"/>
  <c r="O29" i="9"/>
  <c r="N29" i="9"/>
  <c r="L29" i="9"/>
  <c r="K29" i="9"/>
  <c r="I29" i="9"/>
  <c r="H29" i="9"/>
  <c r="O28" i="9"/>
  <c r="N28" i="9"/>
  <c r="L28" i="9"/>
  <c r="K28" i="9"/>
  <c r="I28" i="9"/>
  <c r="H28" i="9"/>
  <c r="O27" i="9"/>
  <c r="N27" i="9"/>
  <c r="L27" i="9"/>
  <c r="K27" i="9"/>
  <c r="I27" i="9"/>
  <c r="H27" i="9"/>
  <c r="O26" i="9"/>
  <c r="N26" i="9"/>
  <c r="L26" i="9"/>
  <c r="K26" i="9"/>
  <c r="I26" i="9"/>
  <c r="H26" i="9"/>
  <c r="O25" i="9"/>
  <c r="N25" i="9"/>
  <c r="L25" i="9"/>
  <c r="K25" i="9"/>
  <c r="I25" i="9"/>
  <c r="H25" i="9"/>
  <c r="O24" i="9"/>
  <c r="N24" i="9"/>
  <c r="L24" i="9"/>
  <c r="K24" i="9"/>
  <c r="I24" i="9"/>
  <c r="H24" i="9"/>
  <c r="O23" i="9"/>
  <c r="N23" i="9"/>
  <c r="L23" i="9"/>
  <c r="K23" i="9"/>
  <c r="I23" i="9"/>
  <c r="H23" i="9"/>
  <c r="O20" i="9"/>
  <c r="N20" i="9"/>
  <c r="L20" i="9"/>
  <c r="K20" i="9"/>
  <c r="I20" i="9"/>
  <c r="H20" i="9"/>
  <c r="O19" i="9"/>
  <c r="N19" i="9"/>
  <c r="L19" i="9"/>
  <c r="K19" i="9"/>
  <c r="I19" i="9"/>
  <c r="H19" i="9"/>
  <c r="O18" i="9"/>
  <c r="N18" i="9"/>
  <c r="L18" i="9"/>
  <c r="K18" i="9"/>
  <c r="I18" i="9"/>
  <c r="H18" i="9"/>
  <c r="O17" i="9"/>
  <c r="N17" i="9"/>
  <c r="L17" i="9"/>
  <c r="K17" i="9"/>
  <c r="I17" i="9"/>
  <c r="H17" i="9"/>
  <c r="O16" i="9"/>
  <c r="N16" i="9"/>
  <c r="L16" i="9"/>
  <c r="K16" i="9"/>
  <c r="I16" i="9"/>
  <c r="H16" i="9"/>
  <c r="M47" i="8"/>
  <c r="L47" i="8"/>
  <c r="M46" i="8"/>
  <c r="O47" i="8" s="1"/>
  <c r="J46" i="8"/>
  <c r="K47" i="8" s="1"/>
  <c r="G46" i="8"/>
  <c r="G47" i="8" s="1"/>
  <c r="K44" i="8"/>
  <c r="D44" i="8"/>
  <c r="O44" i="8" s="1"/>
  <c r="O43" i="8"/>
  <c r="K43" i="8"/>
  <c r="I43" i="8"/>
  <c r="D43" i="8"/>
  <c r="N43" i="8" s="1"/>
  <c r="O42" i="8"/>
  <c r="N42" i="8"/>
  <c r="K42" i="8"/>
  <c r="I42" i="8"/>
  <c r="H42" i="8"/>
  <c r="D42" i="8"/>
  <c r="L42" i="8" s="1"/>
  <c r="D41" i="8"/>
  <c r="K41" i="8" s="1"/>
  <c r="K40" i="8"/>
  <c r="D40" i="8"/>
  <c r="O40" i="8" s="1"/>
  <c r="O38" i="8"/>
  <c r="N38" i="8"/>
  <c r="L38" i="8"/>
  <c r="K38" i="8"/>
  <c r="I38" i="8"/>
  <c r="H38" i="8"/>
  <c r="O37" i="8"/>
  <c r="N37" i="8"/>
  <c r="L37" i="8"/>
  <c r="K37" i="8"/>
  <c r="I37" i="8"/>
  <c r="H37" i="8"/>
  <c r="O36" i="8"/>
  <c r="N36" i="8"/>
  <c r="L36" i="8"/>
  <c r="K36" i="8"/>
  <c r="I36" i="8"/>
  <c r="H36" i="8"/>
  <c r="O35" i="8"/>
  <c r="N35" i="8"/>
  <c r="L35" i="8"/>
  <c r="K35" i="8"/>
  <c r="I35" i="8"/>
  <c r="H35" i="8"/>
  <c r="O34" i="8"/>
  <c r="N34" i="8"/>
  <c r="L34" i="8"/>
  <c r="K34" i="8"/>
  <c r="I34" i="8"/>
  <c r="H34" i="8"/>
  <c r="O33" i="8"/>
  <c r="N33" i="8"/>
  <c r="L33" i="8"/>
  <c r="K33" i="8"/>
  <c r="I33" i="8"/>
  <c r="H33" i="8"/>
  <c r="O31" i="8"/>
  <c r="N31" i="8"/>
  <c r="L31" i="8"/>
  <c r="K31" i="8"/>
  <c r="I31" i="8"/>
  <c r="H31" i="8"/>
  <c r="O30" i="8"/>
  <c r="N30" i="8"/>
  <c r="L30" i="8"/>
  <c r="K30" i="8"/>
  <c r="I30" i="8"/>
  <c r="H30" i="8"/>
  <c r="O29" i="8"/>
  <c r="N29" i="8"/>
  <c r="L29" i="8"/>
  <c r="K29" i="8"/>
  <c r="I29" i="8"/>
  <c r="H29" i="8"/>
  <c r="O28" i="8"/>
  <c r="N28" i="8"/>
  <c r="L28" i="8"/>
  <c r="K28" i="8"/>
  <c r="I28" i="8"/>
  <c r="H28" i="8"/>
  <c r="O27" i="8"/>
  <c r="N27" i="8"/>
  <c r="L27" i="8"/>
  <c r="K27" i="8"/>
  <c r="I27" i="8"/>
  <c r="H27" i="8"/>
  <c r="O26" i="8"/>
  <c r="N26" i="8"/>
  <c r="L26" i="8"/>
  <c r="K26" i="8"/>
  <c r="I26" i="8"/>
  <c r="H26" i="8"/>
  <c r="O25" i="8"/>
  <c r="N25" i="8"/>
  <c r="L25" i="8"/>
  <c r="K25" i="8"/>
  <c r="I25" i="8"/>
  <c r="H25" i="8"/>
  <c r="O24" i="8"/>
  <c r="N24" i="8"/>
  <c r="L24" i="8"/>
  <c r="K24" i="8"/>
  <c r="I24" i="8"/>
  <c r="H24" i="8"/>
  <c r="O23" i="8"/>
  <c r="N23" i="8"/>
  <c r="L23" i="8"/>
  <c r="K23" i="8"/>
  <c r="I23" i="8"/>
  <c r="H23" i="8"/>
  <c r="O20" i="8"/>
  <c r="N20" i="8"/>
  <c r="L20" i="8"/>
  <c r="K20" i="8"/>
  <c r="I20" i="8"/>
  <c r="H20" i="8"/>
  <c r="O19" i="8"/>
  <c r="N19" i="8"/>
  <c r="L19" i="8"/>
  <c r="K19" i="8"/>
  <c r="I19" i="8"/>
  <c r="H19" i="8"/>
  <c r="O18" i="8"/>
  <c r="N18" i="8"/>
  <c r="L18" i="8"/>
  <c r="K18" i="8"/>
  <c r="I18" i="8"/>
  <c r="H18" i="8"/>
  <c r="O17" i="8"/>
  <c r="N17" i="8"/>
  <c r="L17" i="8"/>
  <c r="K17" i="8"/>
  <c r="I17" i="8"/>
  <c r="H17" i="8"/>
  <c r="O16" i="8"/>
  <c r="N16" i="8"/>
  <c r="L16" i="8"/>
  <c r="K16" i="8"/>
  <c r="I16" i="8"/>
  <c r="H16" i="8"/>
  <c r="M47" i="7"/>
  <c r="L47" i="7"/>
  <c r="M46" i="7"/>
  <c r="O47" i="7" s="1"/>
  <c r="J46" i="7"/>
  <c r="K47" i="7" s="1"/>
  <c r="G46" i="7"/>
  <c r="G47" i="7" s="1"/>
  <c r="K44" i="7"/>
  <c r="D44" i="7"/>
  <c r="O44" i="7" s="1"/>
  <c r="O43" i="7"/>
  <c r="K43" i="7"/>
  <c r="I43" i="7"/>
  <c r="D43" i="7"/>
  <c r="N43" i="7" s="1"/>
  <c r="O42" i="7"/>
  <c r="N42" i="7"/>
  <c r="I42" i="7"/>
  <c r="H42" i="7"/>
  <c r="D42" i="7"/>
  <c r="L42" i="7" s="1"/>
  <c r="D41" i="7"/>
  <c r="K41" i="7" s="1"/>
  <c r="K40" i="7"/>
  <c r="D40" i="7"/>
  <c r="O40" i="7" s="1"/>
  <c r="O38" i="7"/>
  <c r="N38" i="7"/>
  <c r="L38" i="7"/>
  <c r="K38" i="7"/>
  <c r="I38" i="7"/>
  <c r="H38" i="7"/>
  <c r="O37" i="7"/>
  <c r="N37" i="7"/>
  <c r="L37" i="7"/>
  <c r="K37" i="7"/>
  <c r="I37" i="7"/>
  <c r="H37" i="7"/>
  <c r="O36" i="7"/>
  <c r="N36" i="7"/>
  <c r="L36" i="7"/>
  <c r="K36" i="7"/>
  <c r="I36" i="7"/>
  <c r="H36" i="7"/>
  <c r="O35" i="7"/>
  <c r="N35" i="7"/>
  <c r="L35" i="7"/>
  <c r="K35" i="7"/>
  <c r="I35" i="7"/>
  <c r="H35" i="7"/>
  <c r="O34" i="7"/>
  <c r="N34" i="7"/>
  <c r="L34" i="7"/>
  <c r="K34" i="7"/>
  <c r="I34" i="7"/>
  <c r="H34" i="7"/>
  <c r="O33" i="7"/>
  <c r="N33" i="7"/>
  <c r="L33" i="7"/>
  <c r="K33" i="7"/>
  <c r="I33" i="7"/>
  <c r="H33" i="7"/>
  <c r="O31" i="7"/>
  <c r="N31" i="7"/>
  <c r="L31" i="7"/>
  <c r="K31" i="7"/>
  <c r="I31" i="7"/>
  <c r="H31" i="7"/>
  <c r="O30" i="7"/>
  <c r="N30" i="7"/>
  <c r="L30" i="7"/>
  <c r="K30" i="7"/>
  <c r="I30" i="7"/>
  <c r="H30" i="7"/>
  <c r="O29" i="7"/>
  <c r="N29" i="7"/>
  <c r="L29" i="7"/>
  <c r="K29" i="7"/>
  <c r="I29" i="7"/>
  <c r="H29" i="7"/>
  <c r="O28" i="7"/>
  <c r="N28" i="7"/>
  <c r="L28" i="7"/>
  <c r="K28" i="7"/>
  <c r="I28" i="7"/>
  <c r="H28" i="7"/>
  <c r="O27" i="7"/>
  <c r="N27" i="7"/>
  <c r="L27" i="7"/>
  <c r="K27" i="7"/>
  <c r="I27" i="7"/>
  <c r="H27" i="7"/>
  <c r="O26" i="7"/>
  <c r="N26" i="7"/>
  <c r="L26" i="7"/>
  <c r="K26" i="7"/>
  <c r="I26" i="7"/>
  <c r="H26" i="7"/>
  <c r="O25" i="7"/>
  <c r="N25" i="7"/>
  <c r="L25" i="7"/>
  <c r="K25" i="7"/>
  <c r="I25" i="7"/>
  <c r="H25" i="7"/>
  <c r="O24" i="7"/>
  <c r="N24" i="7"/>
  <c r="L24" i="7"/>
  <c r="K24" i="7"/>
  <c r="I24" i="7"/>
  <c r="H24" i="7"/>
  <c r="O23" i="7"/>
  <c r="N23" i="7"/>
  <c r="L23" i="7"/>
  <c r="K23" i="7"/>
  <c r="I23" i="7"/>
  <c r="H23" i="7"/>
  <c r="O20" i="7"/>
  <c r="N20" i="7"/>
  <c r="L20" i="7"/>
  <c r="K20" i="7"/>
  <c r="I20" i="7"/>
  <c r="H20" i="7"/>
  <c r="O19" i="7"/>
  <c r="N19" i="7"/>
  <c r="L19" i="7"/>
  <c r="K19" i="7"/>
  <c r="I19" i="7"/>
  <c r="H19" i="7"/>
  <c r="O18" i="7"/>
  <c r="N18" i="7"/>
  <c r="L18" i="7"/>
  <c r="K18" i="7"/>
  <c r="I18" i="7"/>
  <c r="H18" i="7"/>
  <c r="O17" i="7"/>
  <c r="N17" i="7"/>
  <c r="L17" i="7"/>
  <c r="K17" i="7"/>
  <c r="I17" i="7"/>
  <c r="H17" i="7"/>
  <c r="O16" i="7"/>
  <c r="N16" i="7"/>
  <c r="L16" i="7"/>
  <c r="K16" i="7"/>
  <c r="I16" i="7"/>
  <c r="H16" i="7"/>
  <c r="O47" i="6"/>
  <c r="L47" i="6"/>
  <c r="K47" i="6"/>
  <c r="M46" i="6"/>
  <c r="M48" i="6" s="1"/>
  <c r="J46" i="6"/>
  <c r="J47" i="6" s="1"/>
  <c r="G46" i="6"/>
  <c r="G47" i="6" s="1"/>
  <c r="O44" i="6"/>
  <c r="K44" i="6"/>
  <c r="I44" i="6"/>
  <c r="D44" i="6"/>
  <c r="N44" i="6" s="1"/>
  <c r="O43" i="6"/>
  <c r="N43" i="6"/>
  <c r="K43" i="6"/>
  <c r="I43" i="6"/>
  <c r="H43" i="6"/>
  <c r="D43" i="6"/>
  <c r="L43" i="6" s="1"/>
  <c r="N42" i="6"/>
  <c r="H42" i="6"/>
  <c r="D42" i="6"/>
  <c r="L42" i="6" s="1"/>
  <c r="D41" i="6"/>
  <c r="K41" i="6" s="1"/>
  <c r="O40" i="6"/>
  <c r="K40" i="6"/>
  <c r="I40" i="6"/>
  <c r="D40" i="6"/>
  <c r="N40" i="6" s="1"/>
  <c r="O38" i="6"/>
  <c r="N38" i="6"/>
  <c r="L38" i="6"/>
  <c r="K38" i="6"/>
  <c r="I38" i="6"/>
  <c r="H38" i="6"/>
  <c r="O37" i="6"/>
  <c r="N37" i="6"/>
  <c r="L37" i="6"/>
  <c r="K37" i="6"/>
  <c r="I37" i="6"/>
  <c r="H37" i="6"/>
  <c r="O36" i="6"/>
  <c r="N36" i="6"/>
  <c r="L36" i="6"/>
  <c r="K36" i="6"/>
  <c r="I36" i="6"/>
  <c r="H36" i="6"/>
  <c r="O35" i="6"/>
  <c r="N35" i="6"/>
  <c r="L35" i="6"/>
  <c r="K35" i="6"/>
  <c r="I35" i="6"/>
  <c r="H35" i="6"/>
  <c r="O34" i="6"/>
  <c r="N34" i="6"/>
  <c r="L34" i="6"/>
  <c r="K34" i="6"/>
  <c r="I34" i="6"/>
  <c r="H34" i="6"/>
  <c r="O33" i="6"/>
  <c r="N33" i="6"/>
  <c r="L33" i="6"/>
  <c r="K33" i="6"/>
  <c r="I33" i="6"/>
  <c r="H33" i="6"/>
  <c r="O31" i="6"/>
  <c r="N31" i="6"/>
  <c r="L31" i="6"/>
  <c r="K31" i="6"/>
  <c r="I31" i="6"/>
  <c r="H31" i="6"/>
  <c r="O30" i="6"/>
  <c r="N30" i="6"/>
  <c r="L30" i="6"/>
  <c r="K30" i="6"/>
  <c r="I30" i="6"/>
  <c r="H30" i="6"/>
  <c r="O29" i="6"/>
  <c r="N29" i="6"/>
  <c r="L29" i="6"/>
  <c r="K29" i="6"/>
  <c r="I29" i="6"/>
  <c r="H29" i="6"/>
  <c r="O28" i="6"/>
  <c r="N28" i="6"/>
  <c r="L28" i="6"/>
  <c r="K28" i="6"/>
  <c r="I28" i="6"/>
  <c r="H28" i="6"/>
  <c r="O27" i="6"/>
  <c r="N27" i="6"/>
  <c r="L27" i="6"/>
  <c r="K27" i="6"/>
  <c r="I27" i="6"/>
  <c r="H27" i="6"/>
  <c r="O26" i="6"/>
  <c r="N26" i="6"/>
  <c r="L26" i="6"/>
  <c r="K26" i="6"/>
  <c r="I26" i="6"/>
  <c r="H26" i="6"/>
  <c r="O25" i="6"/>
  <c r="N25" i="6"/>
  <c r="L25" i="6"/>
  <c r="K25" i="6"/>
  <c r="I25" i="6"/>
  <c r="H25" i="6"/>
  <c r="O24" i="6"/>
  <c r="N24" i="6"/>
  <c r="L24" i="6"/>
  <c r="K24" i="6"/>
  <c r="I24" i="6"/>
  <c r="H24" i="6"/>
  <c r="O23" i="6"/>
  <c r="N23" i="6"/>
  <c r="L23" i="6"/>
  <c r="K23" i="6"/>
  <c r="I23" i="6"/>
  <c r="H23" i="6"/>
  <c r="O20" i="6"/>
  <c r="N20" i="6"/>
  <c r="L20" i="6"/>
  <c r="K20" i="6"/>
  <c r="I20" i="6"/>
  <c r="H20" i="6"/>
  <c r="O19" i="6"/>
  <c r="N19" i="6"/>
  <c r="L19" i="6"/>
  <c r="K19" i="6"/>
  <c r="I19" i="6"/>
  <c r="H19" i="6"/>
  <c r="O18" i="6"/>
  <c r="N18" i="6"/>
  <c r="L18" i="6"/>
  <c r="K18" i="6"/>
  <c r="I18" i="6"/>
  <c r="H18" i="6"/>
  <c r="O17" i="6"/>
  <c r="N17" i="6"/>
  <c r="L17" i="6"/>
  <c r="K17" i="6"/>
  <c r="I17" i="6"/>
  <c r="H17" i="6"/>
  <c r="O16" i="6"/>
  <c r="N16" i="6"/>
  <c r="L16" i="6"/>
  <c r="K16" i="6"/>
  <c r="I16" i="6"/>
  <c r="H16" i="6"/>
  <c r="M47" i="5"/>
  <c r="L47" i="5"/>
  <c r="M46" i="5"/>
  <c r="O47" i="5" s="1"/>
  <c r="J46" i="5"/>
  <c r="K47" i="5" s="1"/>
  <c r="G46" i="5"/>
  <c r="G47" i="5" s="1"/>
  <c r="K44" i="5"/>
  <c r="D44" i="5"/>
  <c r="O44" i="5" s="1"/>
  <c r="O43" i="5"/>
  <c r="K43" i="5"/>
  <c r="I43" i="5"/>
  <c r="D43" i="5"/>
  <c r="N43" i="5" s="1"/>
  <c r="O42" i="5"/>
  <c r="N42" i="5"/>
  <c r="K42" i="5"/>
  <c r="I42" i="5"/>
  <c r="H42" i="5"/>
  <c r="D42" i="5"/>
  <c r="L42" i="5" s="1"/>
  <c r="D41" i="5"/>
  <c r="K41" i="5" s="1"/>
  <c r="K40" i="5"/>
  <c r="D40" i="5"/>
  <c r="O40" i="5" s="1"/>
  <c r="O38" i="5"/>
  <c r="N38" i="5"/>
  <c r="L38" i="5"/>
  <c r="K38" i="5"/>
  <c r="I38" i="5"/>
  <c r="H38" i="5"/>
  <c r="O37" i="5"/>
  <c r="N37" i="5"/>
  <c r="L37" i="5"/>
  <c r="K37" i="5"/>
  <c r="I37" i="5"/>
  <c r="H37" i="5"/>
  <c r="O36" i="5"/>
  <c r="N36" i="5"/>
  <c r="L36" i="5"/>
  <c r="K36" i="5"/>
  <c r="I36" i="5"/>
  <c r="H36" i="5"/>
  <c r="O35" i="5"/>
  <c r="N35" i="5"/>
  <c r="L35" i="5"/>
  <c r="K35" i="5"/>
  <c r="I35" i="5"/>
  <c r="H35" i="5"/>
  <c r="O34" i="5"/>
  <c r="N34" i="5"/>
  <c r="L34" i="5"/>
  <c r="K34" i="5"/>
  <c r="I34" i="5"/>
  <c r="H34" i="5"/>
  <c r="O33" i="5"/>
  <c r="N33" i="5"/>
  <c r="L33" i="5"/>
  <c r="K33" i="5"/>
  <c r="I33" i="5"/>
  <c r="H33" i="5"/>
  <c r="O31" i="5"/>
  <c r="N31" i="5"/>
  <c r="L31" i="5"/>
  <c r="K31" i="5"/>
  <c r="I31" i="5"/>
  <c r="H31" i="5"/>
  <c r="O30" i="5"/>
  <c r="N30" i="5"/>
  <c r="L30" i="5"/>
  <c r="K30" i="5"/>
  <c r="I30" i="5"/>
  <c r="H30" i="5"/>
  <c r="O29" i="5"/>
  <c r="N29" i="5"/>
  <c r="L29" i="5"/>
  <c r="K29" i="5"/>
  <c r="I29" i="5"/>
  <c r="H29" i="5"/>
  <c r="O28" i="5"/>
  <c r="N28" i="5"/>
  <c r="L28" i="5"/>
  <c r="K28" i="5"/>
  <c r="I28" i="5"/>
  <c r="H28" i="5"/>
  <c r="O27" i="5"/>
  <c r="N27" i="5"/>
  <c r="L27" i="5"/>
  <c r="K27" i="5"/>
  <c r="I27" i="5"/>
  <c r="H27" i="5"/>
  <c r="O26" i="5"/>
  <c r="N26" i="5"/>
  <c r="L26" i="5"/>
  <c r="K26" i="5"/>
  <c r="I26" i="5"/>
  <c r="H26" i="5"/>
  <c r="O25" i="5"/>
  <c r="N25" i="5"/>
  <c r="L25" i="5"/>
  <c r="K25" i="5"/>
  <c r="I25" i="5"/>
  <c r="H25" i="5"/>
  <c r="O24" i="5"/>
  <c r="N24" i="5"/>
  <c r="L24" i="5"/>
  <c r="K24" i="5"/>
  <c r="I24" i="5"/>
  <c r="H24" i="5"/>
  <c r="O23" i="5"/>
  <c r="N23" i="5"/>
  <c r="L23" i="5"/>
  <c r="K23" i="5"/>
  <c r="I23" i="5"/>
  <c r="H23" i="5"/>
  <c r="O20" i="5"/>
  <c r="N20" i="5"/>
  <c r="L20" i="5"/>
  <c r="K20" i="5"/>
  <c r="I20" i="5"/>
  <c r="H20" i="5"/>
  <c r="O19" i="5"/>
  <c r="N19" i="5"/>
  <c r="L19" i="5"/>
  <c r="K19" i="5"/>
  <c r="I19" i="5"/>
  <c r="H19" i="5"/>
  <c r="O18" i="5"/>
  <c r="N18" i="5"/>
  <c r="L18" i="5"/>
  <c r="K18" i="5"/>
  <c r="I18" i="5"/>
  <c r="H18" i="5"/>
  <c r="O17" i="5"/>
  <c r="N17" i="5"/>
  <c r="L17" i="5"/>
  <c r="K17" i="5"/>
  <c r="I17" i="5"/>
  <c r="H17" i="5"/>
  <c r="O16" i="5"/>
  <c r="N16" i="5"/>
  <c r="L16" i="5"/>
  <c r="K16" i="5"/>
  <c r="I16" i="5"/>
  <c r="H16" i="5"/>
  <c r="O47" i="4"/>
  <c r="L47" i="4"/>
  <c r="K47" i="4"/>
  <c r="M46" i="4"/>
  <c r="M48" i="4" s="1"/>
  <c r="J46" i="4"/>
  <c r="J47" i="4" s="1"/>
  <c r="G46" i="4"/>
  <c r="G47" i="4" s="1"/>
  <c r="O44" i="4"/>
  <c r="K44" i="4"/>
  <c r="I44" i="4"/>
  <c r="D44" i="4"/>
  <c r="N44" i="4" s="1"/>
  <c r="O43" i="4"/>
  <c r="N43" i="4"/>
  <c r="I43" i="4"/>
  <c r="H43" i="4"/>
  <c r="D43" i="4"/>
  <c r="L43" i="4" s="1"/>
  <c r="N42" i="4"/>
  <c r="H42" i="4"/>
  <c r="D42" i="4"/>
  <c r="L42" i="4" s="1"/>
  <c r="D41" i="4"/>
  <c r="K41" i="4" s="1"/>
  <c r="O40" i="4"/>
  <c r="K40" i="4"/>
  <c r="I40" i="4"/>
  <c r="D40" i="4"/>
  <c r="N40" i="4" s="1"/>
  <c r="O38" i="4"/>
  <c r="N38" i="4"/>
  <c r="L38" i="4"/>
  <c r="K38" i="4"/>
  <c r="I38" i="4"/>
  <c r="H38" i="4"/>
  <c r="O37" i="4"/>
  <c r="N37" i="4"/>
  <c r="L37" i="4"/>
  <c r="K37" i="4"/>
  <c r="I37" i="4"/>
  <c r="H37" i="4"/>
  <c r="O36" i="4"/>
  <c r="N36" i="4"/>
  <c r="L36" i="4"/>
  <c r="K36" i="4"/>
  <c r="I36" i="4"/>
  <c r="H36" i="4"/>
  <c r="O35" i="4"/>
  <c r="N35" i="4"/>
  <c r="L35" i="4"/>
  <c r="K35" i="4"/>
  <c r="I35" i="4"/>
  <c r="H35" i="4"/>
  <c r="O34" i="4"/>
  <c r="N34" i="4"/>
  <c r="L34" i="4"/>
  <c r="K34" i="4"/>
  <c r="I34" i="4"/>
  <c r="H34" i="4"/>
  <c r="O33" i="4"/>
  <c r="N33" i="4"/>
  <c r="L33" i="4"/>
  <c r="K33" i="4"/>
  <c r="I33" i="4"/>
  <c r="H33" i="4"/>
  <c r="O31" i="4"/>
  <c r="N31" i="4"/>
  <c r="L31" i="4"/>
  <c r="K31" i="4"/>
  <c r="I31" i="4"/>
  <c r="H31" i="4"/>
  <c r="O30" i="4"/>
  <c r="N30" i="4"/>
  <c r="L30" i="4"/>
  <c r="K30" i="4"/>
  <c r="I30" i="4"/>
  <c r="H30" i="4"/>
  <c r="O29" i="4"/>
  <c r="N29" i="4"/>
  <c r="L29" i="4"/>
  <c r="K29" i="4"/>
  <c r="I29" i="4"/>
  <c r="H29" i="4"/>
  <c r="O28" i="4"/>
  <c r="N28" i="4"/>
  <c r="L28" i="4"/>
  <c r="K28" i="4"/>
  <c r="I28" i="4"/>
  <c r="H28" i="4"/>
  <c r="O27" i="4"/>
  <c r="N27" i="4"/>
  <c r="L27" i="4"/>
  <c r="K27" i="4"/>
  <c r="I27" i="4"/>
  <c r="H27" i="4"/>
  <c r="O26" i="4"/>
  <c r="N26" i="4"/>
  <c r="L26" i="4"/>
  <c r="K26" i="4"/>
  <c r="I26" i="4"/>
  <c r="H26" i="4"/>
  <c r="O25" i="4"/>
  <c r="N25" i="4"/>
  <c r="L25" i="4"/>
  <c r="K25" i="4"/>
  <c r="I25" i="4"/>
  <c r="H25" i="4"/>
  <c r="O24" i="4"/>
  <c r="N24" i="4"/>
  <c r="L24" i="4"/>
  <c r="K24" i="4"/>
  <c r="I24" i="4"/>
  <c r="H24" i="4"/>
  <c r="O23" i="4"/>
  <c r="N23" i="4"/>
  <c r="L23" i="4"/>
  <c r="K23" i="4"/>
  <c r="I23" i="4"/>
  <c r="H23" i="4"/>
  <c r="O20" i="4"/>
  <c r="N20" i="4"/>
  <c r="L20" i="4"/>
  <c r="K20" i="4"/>
  <c r="I20" i="4"/>
  <c r="H20" i="4"/>
  <c r="O19" i="4"/>
  <c r="N19" i="4"/>
  <c r="L19" i="4"/>
  <c r="K19" i="4"/>
  <c r="I19" i="4"/>
  <c r="H19" i="4"/>
  <c r="O18" i="4"/>
  <c r="N18" i="4"/>
  <c r="L18" i="4"/>
  <c r="K18" i="4"/>
  <c r="I18" i="4"/>
  <c r="H18" i="4"/>
  <c r="O17" i="4"/>
  <c r="N17" i="4"/>
  <c r="L17" i="4"/>
  <c r="K17" i="4"/>
  <c r="I17" i="4"/>
  <c r="H17" i="4"/>
  <c r="O16" i="4"/>
  <c r="N16" i="4"/>
  <c r="L16" i="4"/>
  <c r="K16" i="4"/>
  <c r="I16" i="4"/>
  <c r="H16" i="4"/>
  <c r="M46" i="3"/>
  <c r="J46" i="3"/>
  <c r="G46" i="3"/>
  <c r="L17" i="3"/>
  <c r="H18" i="3"/>
  <c r="C4" i="26"/>
  <c r="P3" i="26"/>
  <c r="L15" i="26" s="1"/>
  <c r="G15" i="25"/>
  <c r="G16" i="25" s="1"/>
  <c r="G17" i="25" s="1"/>
  <c r="G18" i="25" s="1"/>
  <c r="G19" i="25" s="1"/>
  <c r="G20" i="25" s="1"/>
  <c r="D15" i="25"/>
  <c r="D16" i="25" s="1"/>
  <c r="F14" i="25"/>
  <c r="G48" i="9" l="1"/>
  <c r="L40" i="9"/>
  <c r="H41" i="9"/>
  <c r="N41" i="9"/>
  <c r="I42" i="9"/>
  <c r="O42" i="9"/>
  <c r="L44" i="9"/>
  <c r="I47" i="9"/>
  <c r="M47" i="9"/>
  <c r="J48" i="9"/>
  <c r="H40" i="9"/>
  <c r="N40" i="9"/>
  <c r="I41" i="9"/>
  <c r="O41" i="9"/>
  <c r="K42" i="9"/>
  <c r="L43" i="9"/>
  <c r="H44" i="9"/>
  <c r="N44" i="9"/>
  <c r="J47" i="9"/>
  <c r="N47" i="9"/>
  <c r="M48" i="9"/>
  <c r="L41" i="9"/>
  <c r="H47" i="9"/>
  <c r="I40" i="9"/>
  <c r="H43" i="9"/>
  <c r="I44" i="9"/>
  <c r="L41" i="8"/>
  <c r="H41" i="8"/>
  <c r="N41" i="8"/>
  <c r="L44" i="8"/>
  <c r="H40" i="8"/>
  <c r="N40" i="8"/>
  <c r="I41" i="8"/>
  <c r="O41" i="8"/>
  <c r="L43" i="8"/>
  <c r="H44" i="8"/>
  <c r="N44" i="8"/>
  <c r="J47" i="8"/>
  <c r="N47" i="8"/>
  <c r="M48" i="8"/>
  <c r="H47" i="8"/>
  <c r="G48" i="8"/>
  <c r="L40" i="8"/>
  <c r="I47" i="8"/>
  <c r="J48" i="8"/>
  <c r="I40" i="8"/>
  <c r="H43" i="8"/>
  <c r="I44" i="8"/>
  <c r="H47" i="7"/>
  <c r="G48" i="7"/>
  <c r="L40" i="7"/>
  <c r="L44" i="7"/>
  <c r="H40" i="7"/>
  <c r="N40" i="7"/>
  <c r="I41" i="7"/>
  <c r="O41" i="7"/>
  <c r="K42" i="7"/>
  <c r="L43" i="7"/>
  <c r="H44" i="7"/>
  <c r="N44" i="7"/>
  <c r="J47" i="7"/>
  <c r="N47" i="7"/>
  <c r="M48" i="7"/>
  <c r="L41" i="7"/>
  <c r="H41" i="7"/>
  <c r="N41" i="7"/>
  <c r="I47" i="7"/>
  <c r="J48" i="7"/>
  <c r="I40" i="7"/>
  <c r="H43" i="7"/>
  <c r="I44" i="7"/>
  <c r="G48" i="6"/>
  <c r="L40" i="6"/>
  <c r="H41" i="6"/>
  <c r="N41" i="6"/>
  <c r="I42" i="6"/>
  <c r="O42" i="6"/>
  <c r="L44" i="6"/>
  <c r="I47" i="6"/>
  <c r="M47" i="6"/>
  <c r="J48" i="6"/>
  <c r="H40" i="6"/>
  <c r="I41" i="6"/>
  <c r="O41" i="6"/>
  <c r="K42" i="6"/>
  <c r="H44" i="6"/>
  <c r="N47" i="6"/>
  <c r="L41" i="6"/>
  <c r="H47" i="6"/>
  <c r="L40" i="5"/>
  <c r="H41" i="5"/>
  <c r="N41" i="5"/>
  <c r="L44" i="5"/>
  <c r="H40" i="5"/>
  <c r="N40" i="5"/>
  <c r="I41" i="5"/>
  <c r="O41" i="5"/>
  <c r="L43" i="5"/>
  <c r="H44" i="5"/>
  <c r="N44" i="5"/>
  <c r="J47" i="5"/>
  <c r="N47" i="5"/>
  <c r="M48" i="5"/>
  <c r="L41" i="5"/>
  <c r="H47" i="5"/>
  <c r="G48" i="5"/>
  <c r="I47" i="5"/>
  <c r="J48" i="5"/>
  <c r="I40" i="5"/>
  <c r="H43" i="5"/>
  <c r="I44" i="5"/>
  <c r="G48" i="4"/>
  <c r="L40" i="4"/>
  <c r="H41" i="4"/>
  <c r="N41" i="4"/>
  <c r="I42" i="4"/>
  <c r="O42" i="4"/>
  <c r="K43" i="4"/>
  <c r="L44" i="4"/>
  <c r="I47" i="4"/>
  <c r="M47" i="4"/>
  <c r="J48" i="4"/>
  <c r="L41" i="4"/>
  <c r="H40" i="4"/>
  <c r="I41" i="4"/>
  <c r="O41" i="4"/>
  <c r="K42" i="4"/>
  <c r="H44" i="4"/>
  <c r="N47" i="4"/>
  <c r="H47" i="4"/>
  <c r="L20" i="26"/>
  <c r="E16" i="25"/>
  <c r="F16" i="25" s="1"/>
  <c r="D17" i="25"/>
  <c r="E15" i="25"/>
  <c r="F15" i="25" s="1"/>
  <c r="F49" i="9" l="1"/>
  <c r="I11" i="17" s="1"/>
  <c r="F49" i="8"/>
  <c r="H11" i="17" s="1"/>
  <c r="F49" i="7"/>
  <c r="G11" i="17" s="1"/>
  <c r="F49" i="5"/>
  <c r="E11" i="17" s="1"/>
  <c r="F49" i="6"/>
  <c r="F11" i="17" s="1"/>
  <c r="F49" i="4"/>
  <c r="D11" i="17" s="1"/>
  <c r="D18" i="25"/>
  <c r="E17" i="25"/>
  <c r="F17" i="25" s="1"/>
  <c r="D19" i="25" l="1"/>
  <c r="E18" i="25"/>
  <c r="F18" i="25" s="1"/>
  <c r="E19" i="25" l="1"/>
  <c r="F19" i="25" s="1"/>
  <c r="D20" i="25"/>
  <c r="E20" i="25" s="1"/>
  <c r="F20" i="25" s="1"/>
  <c r="E17" i="17" l="1"/>
  <c r="D17" i="17"/>
  <c r="C17" i="17"/>
  <c r="G16" i="17"/>
  <c r="H16" i="17"/>
  <c r="I16" i="17"/>
  <c r="I17" i="17"/>
  <c r="H17" i="17"/>
  <c r="G17" i="17"/>
  <c r="F17" i="17"/>
  <c r="F16" i="17"/>
  <c r="E16" i="17"/>
  <c r="D16" i="17"/>
  <c r="C16" i="17"/>
  <c r="I18" i="17"/>
  <c r="H18" i="17"/>
  <c r="G18" i="17"/>
  <c r="F18" i="17"/>
  <c r="E18" i="17"/>
  <c r="D18" i="17"/>
  <c r="C18" i="17"/>
  <c r="I15" i="17"/>
  <c r="H15" i="17"/>
  <c r="G15" i="17"/>
  <c r="F15" i="17"/>
  <c r="E15" i="17"/>
  <c r="D15" i="17"/>
  <c r="C15" i="17"/>
  <c r="I14" i="17"/>
  <c r="H14" i="17"/>
  <c r="G14" i="17"/>
  <c r="F14" i="17"/>
  <c r="E14" i="17"/>
  <c r="D14" i="17"/>
  <c r="C14" i="17"/>
  <c r="D44" i="3" l="1"/>
  <c r="N44" i="3" s="1"/>
  <c r="D43" i="3"/>
  <c r="L43" i="3" s="1"/>
  <c r="D42" i="3"/>
  <c r="K42" i="3" s="1"/>
  <c r="D41" i="3"/>
  <c r="L41" i="3" s="1"/>
  <c r="D40" i="3"/>
  <c r="N40" i="3" s="1"/>
  <c r="O38" i="3"/>
  <c r="N38" i="3"/>
  <c r="L38" i="3"/>
  <c r="K38" i="3"/>
  <c r="I38" i="3"/>
  <c r="H38" i="3"/>
  <c r="O37" i="3"/>
  <c r="N37" i="3"/>
  <c r="L37" i="3"/>
  <c r="K37" i="3"/>
  <c r="I37" i="3"/>
  <c r="H37" i="3"/>
  <c r="O36" i="3"/>
  <c r="N36" i="3"/>
  <c r="L36" i="3"/>
  <c r="K36" i="3"/>
  <c r="I36" i="3"/>
  <c r="H36" i="3"/>
  <c r="O35" i="3"/>
  <c r="N35" i="3"/>
  <c r="L35" i="3"/>
  <c r="K35" i="3"/>
  <c r="I35" i="3"/>
  <c r="H35" i="3"/>
  <c r="O34" i="3"/>
  <c r="N34" i="3"/>
  <c r="L34" i="3"/>
  <c r="K34" i="3"/>
  <c r="I34" i="3"/>
  <c r="H34" i="3"/>
  <c r="O33" i="3"/>
  <c r="N33" i="3"/>
  <c r="L33" i="3"/>
  <c r="K33" i="3"/>
  <c r="I33" i="3"/>
  <c r="H33" i="3"/>
  <c r="O31" i="3"/>
  <c r="N31" i="3"/>
  <c r="L31" i="3"/>
  <c r="K31" i="3"/>
  <c r="I31" i="3"/>
  <c r="H31" i="3"/>
  <c r="O30" i="3"/>
  <c r="N30" i="3"/>
  <c r="L30" i="3"/>
  <c r="K30" i="3"/>
  <c r="I30" i="3"/>
  <c r="H30" i="3"/>
  <c r="O29" i="3"/>
  <c r="N29" i="3"/>
  <c r="L29" i="3"/>
  <c r="K29" i="3"/>
  <c r="I29" i="3"/>
  <c r="H29" i="3"/>
  <c r="O28" i="3"/>
  <c r="N28" i="3"/>
  <c r="L28" i="3"/>
  <c r="K28" i="3"/>
  <c r="I28" i="3"/>
  <c r="H28" i="3"/>
  <c r="O27" i="3"/>
  <c r="N27" i="3"/>
  <c r="L27" i="3"/>
  <c r="K27" i="3"/>
  <c r="I27" i="3"/>
  <c r="H27" i="3"/>
  <c r="O26" i="3"/>
  <c r="N26" i="3"/>
  <c r="L26" i="3"/>
  <c r="K26" i="3"/>
  <c r="I26" i="3"/>
  <c r="H26" i="3"/>
  <c r="O25" i="3"/>
  <c r="N25" i="3"/>
  <c r="L25" i="3"/>
  <c r="K25" i="3"/>
  <c r="I25" i="3"/>
  <c r="H25" i="3"/>
  <c r="O24" i="3"/>
  <c r="N24" i="3"/>
  <c r="L24" i="3"/>
  <c r="K24" i="3"/>
  <c r="I24" i="3"/>
  <c r="H24" i="3"/>
  <c r="O23" i="3"/>
  <c r="N23" i="3"/>
  <c r="L23" i="3"/>
  <c r="K23" i="3"/>
  <c r="I23" i="3"/>
  <c r="H23" i="3"/>
  <c r="O20" i="3"/>
  <c r="N20" i="3"/>
  <c r="L20" i="3"/>
  <c r="K20" i="3"/>
  <c r="I20" i="3"/>
  <c r="H20" i="3"/>
  <c r="O19" i="3"/>
  <c r="N19" i="3"/>
  <c r="L19" i="3"/>
  <c r="K19" i="3"/>
  <c r="I19" i="3"/>
  <c r="H19" i="3"/>
  <c r="N18" i="3"/>
  <c r="K18" i="3"/>
  <c r="O17" i="3"/>
  <c r="N17" i="3"/>
  <c r="K17" i="3"/>
  <c r="I17" i="3"/>
  <c r="H17" i="3"/>
  <c r="O16" i="3"/>
  <c r="N16" i="3"/>
  <c r="L16" i="3"/>
  <c r="K16" i="3"/>
  <c r="I16" i="3"/>
  <c r="H16" i="3"/>
  <c r="C24" i="17"/>
  <c r="C39" i="26"/>
  <c r="C33" i="26"/>
  <c r="C27" i="26"/>
  <c r="C21" i="26"/>
  <c r="C15" i="26"/>
  <c r="C9" i="26"/>
  <c r="C3" i="27"/>
  <c r="C42" i="26"/>
  <c r="C41" i="26"/>
  <c r="D41" i="26" s="1"/>
  <c r="E41" i="26" s="1"/>
  <c r="C40" i="26"/>
  <c r="C36" i="26"/>
  <c r="C35" i="26"/>
  <c r="C34" i="26"/>
  <c r="C30" i="26"/>
  <c r="C29" i="26"/>
  <c r="C28" i="26"/>
  <c r="C24" i="26"/>
  <c r="C23" i="26"/>
  <c r="C22" i="26"/>
  <c r="C18" i="26"/>
  <c r="C17" i="26"/>
  <c r="C16" i="26"/>
  <c r="C12" i="26"/>
  <c r="C11" i="26"/>
  <c r="C10" i="26"/>
  <c r="C10" i="27"/>
  <c r="C6" i="27"/>
  <c r="C5" i="27"/>
  <c r="C4" i="27"/>
  <c r="C42" i="27"/>
  <c r="C41" i="27"/>
  <c r="C40" i="27"/>
  <c r="C39" i="27"/>
  <c r="C36" i="27"/>
  <c r="C35" i="27"/>
  <c r="C34" i="27"/>
  <c r="C33" i="27"/>
  <c r="C30" i="27"/>
  <c r="C29" i="27"/>
  <c r="C28" i="27"/>
  <c r="C27" i="27"/>
  <c r="C24" i="27"/>
  <c r="C23" i="27"/>
  <c r="C22" i="27"/>
  <c r="C21" i="27"/>
  <c r="C18" i="27"/>
  <c r="C17" i="27"/>
  <c r="C16" i="27"/>
  <c r="C15" i="27"/>
  <c r="C12" i="27"/>
  <c r="C11" i="27"/>
  <c r="C9" i="27"/>
  <c r="O3" i="27"/>
  <c r="N3" i="27"/>
  <c r="C3" i="26"/>
  <c r="C6" i="26"/>
  <c r="C5" i="26"/>
  <c r="O3" i="26"/>
  <c r="N3" i="26"/>
  <c r="L10" i="26" l="1"/>
  <c r="L12" i="26"/>
  <c r="L22" i="26"/>
  <c r="L14" i="26"/>
  <c r="L19" i="26"/>
  <c r="L21" i="26"/>
  <c r="D41" i="27"/>
  <c r="E41" i="27" s="1"/>
  <c r="G41" i="27" s="1"/>
  <c r="L22" i="9" s="1"/>
  <c r="O40" i="3"/>
  <c r="H43" i="3"/>
  <c r="D17" i="27"/>
  <c r="D10" i="26"/>
  <c r="E10" i="26" s="1"/>
  <c r="L14" i="27"/>
  <c r="L9" i="27"/>
  <c r="L10" i="27"/>
  <c r="L15" i="27"/>
  <c r="L11" i="27"/>
  <c r="L16" i="27"/>
  <c r="O44" i="3"/>
  <c r="I40" i="3"/>
  <c r="H41" i="3"/>
  <c r="O41" i="3"/>
  <c r="N43" i="3"/>
  <c r="N41" i="3"/>
  <c r="I41" i="3"/>
  <c r="K41" i="3"/>
  <c r="I44" i="3"/>
  <c r="D23" i="27"/>
  <c r="E23" i="27" s="1"/>
  <c r="G23" i="27" s="1"/>
  <c r="L22" i="6" s="1"/>
  <c r="D23" i="26"/>
  <c r="E23" i="26" s="1"/>
  <c r="G23" i="26" s="1"/>
  <c r="L21" i="6" s="1"/>
  <c r="K40" i="3"/>
  <c r="H42" i="3"/>
  <c r="N42" i="3"/>
  <c r="I43" i="3"/>
  <c r="O43" i="3"/>
  <c r="K44" i="3"/>
  <c r="L40" i="3"/>
  <c r="I42" i="3"/>
  <c r="O42" i="3"/>
  <c r="K43" i="3"/>
  <c r="L44" i="3"/>
  <c r="L42" i="3"/>
  <c r="H40" i="3"/>
  <c r="H44" i="3"/>
  <c r="D29" i="27"/>
  <c r="E29" i="27" s="1"/>
  <c r="G29" i="27" s="1"/>
  <c r="L22" i="7" s="1"/>
  <c r="D35" i="27"/>
  <c r="E35" i="27" s="1"/>
  <c r="G35" i="27" s="1"/>
  <c r="L22" i="8" s="1"/>
  <c r="D36" i="27"/>
  <c r="E36" i="27" s="1"/>
  <c r="F36" i="27" s="1"/>
  <c r="N22" i="8" s="1"/>
  <c r="D30" i="27"/>
  <c r="E30" i="27" s="1"/>
  <c r="G30" i="27" s="1"/>
  <c r="O22" i="7" s="1"/>
  <c r="D18" i="27"/>
  <c r="E18" i="27" s="1"/>
  <c r="F18" i="27" s="1"/>
  <c r="N22" i="5" s="1"/>
  <c r="D11" i="27"/>
  <c r="E11" i="27" s="1"/>
  <c r="F11" i="27" s="1"/>
  <c r="K22" i="4" s="1"/>
  <c r="D4" i="27"/>
  <c r="E4" i="27" s="1"/>
  <c r="G4" i="27" s="1"/>
  <c r="I22" i="3" s="1"/>
  <c r="D35" i="26"/>
  <c r="E35" i="26" s="1"/>
  <c r="G35" i="26" s="1"/>
  <c r="L21" i="8" s="1"/>
  <c r="D29" i="26"/>
  <c r="E29" i="26" s="1"/>
  <c r="G29" i="26" s="1"/>
  <c r="L21" i="7" s="1"/>
  <c r="D17" i="26"/>
  <c r="E17" i="26" s="1"/>
  <c r="G17" i="26" s="1"/>
  <c r="L21" i="5" s="1"/>
  <c r="D12" i="26"/>
  <c r="E12" i="26" s="1"/>
  <c r="F12" i="26" s="1"/>
  <c r="N21" i="4" s="1"/>
  <c r="D24" i="27"/>
  <c r="E24" i="27" s="1"/>
  <c r="D42" i="27"/>
  <c r="E42" i="27" s="1"/>
  <c r="D5" i="27"/>
  <c r="E5" i="27" s="1"/>
  <c r="D10" i="27"/>
  <c r="D12" i="27"/>
  <c r="D16" i="27"/>
  <c r="E16" i="27" s="1"/>
  <c r="D6" i="27"/>
  <c r="E6" i="27" s="1"/>
  <c r="D22" i="27"/>
  <c r="E22" i="27" s="1"/>
  <c r="D28" i="27"/>
  <c r="E28" i="27" s="1"/>
  <c r="D34" i="27"/>
  <c r="E34" i="27" s="1"/>
  <c r="D40" i="27"/>
  <c r="E40" i="27" s="1"/>
  <c r="D5" i="26"/>
  <c r="D4" i="26"/>
  <c r="D24" i="26"/>
  <c r="G41" i="26"/>
  <c r="L21" i="9" s="1"/>
  <c r="F41" i="26"/>
  <c r="K21" i="9" s="1"/>
  <c r="D36" i="26"/>
  <c r="E36" i="26" s="1"/>
  <c r="D42" i="26"/>
  <c r="E42" i="26" s="1"/>
  <c r="D6" i="26"/>
  <c r="E6" i="26" s="1"/>
  <c r="D11" i="26"/>
  <c r="E11" i="26" s="1"/>
  <c r="D16" i="26"/>
  <c r="E16" i="26" s="1"/>
  <c r="L11" i="26"/>
  <c r="D18" i="26"/>
  <c r="E18" i="26" s="1"/>
  <c r="L18" i="26"/>
  <c r="D22" i="26"/>
  <c r="E22" i="26" s="1"/>
  <c r="L23" i="26"/>
  <c r="D28" i="26"/>
  <c r="E28" i="26" s="1"/>
  <c r="D34" i="26"/>
  <c r="E34" i="26" s="1"/>
  <c r="D40" i="26"/>
  <c r="E40" i="26" s="1"/>
  <c r="D30" i="26"/>
  <c r="L13" i="26"/>
  <c r="E5" i="26" l="1"/>
  <c r="G5" i="26" s="1"/>
  <c r="L21" i="3" s="1"/>
  <c r="F41" i="27"/>
  <c r="K22" i="9" s="1"/>
  <c r="E4" i="26"/>
  <c r="F4" i="26" s="1"/>
  <c r="H21" i="3" s="1"/>
  <c r="E30" i="26"/>
  <c r="F30" i="26" s="1"/>
  <c r="N21" i="7" s="1"/>
  <c r="E24" i="26"/>
  <c r="G24" i="26" s="1"/>
  <c r="O21" i="6" s="1"/>
  <c r="E17" i="27"/>
  <c r="E12" i="27"/>
  <c r="G12" i="27" s="1"/>
  <c r="O22" i="4" s="1"/>
  <c r="E10" i="27"/>
  <c r="F10" i="27" s="1"/>
  <c r="H22" i="4" s="1"/>
  <c r="F35" i="27"/>
  <c r="K22" i="8" s="1"/>
  <c r="G11" i="27"/>
  <c r="L22" i="4" s="1"/>
  <c r="F23" i="27"/>
  <c r="K22" i="6" s="1"/>
  <c r="G36" i="27"/>
  <c r="O22" i="8" s="1"/>
  <c r="F30" i="27"/>
  <c r="N22" i="7" s="1"/>
  <c r="G18" i="27"/>
  <c r="O22" i="5" s="1"/>
  <c r="I26" i="17"/>
  <c r="F23" i="26"/>
  <c r="K21" i="6" s="1"/>
  <c r="F29" i="27"/>
  <c r="K22" i="7" s="1"/>
  <c r="F4" i="27"/>
  <c r="H22" i="3" s="1"/>
  <c r="F35" i="26"/>
  <c r="K21" i="8" s="1"/>
  <c r="F29" i="26"/>
  <c r="K21" i="7" s="1"/>
  <c r="F17" i="26"/>
  <c r="K21" i="5" s="1"/>
  <c r="G12" i="26"/>
  <c r="O21" i="4" s="1"/>
  <c r="G28" i="27"/>
  <c r="I22" i="7" s="1"/>
  <c r="F28" i="27"/>
  <c r="H22" i="7" s="1"/>
  <c r="F5" i="27"/>
  <c r="K22" i="3" s="1"/>
  <c r="G5" i="27"/>
  <c r="L22" i="3" s="1"/>
  <c r="G40" i="27"/>
  <c r="I22" i="9" s="1"/>
  <c r="F40" i="27"/>
  <c r="H22" i="9" s="1"/>
  <c r="G6" i="27"/>
  <c r="O22" i="3" s="1"/>
  <c r="F6" i="27"/>
  <c r="N22" i="3" s="1"/>
  <c r="G42" i="27"/>
  <c r="O22" i="9" s="1"/>
  <c r="F42" i="27"/>
  <c r="N22" i="9" s="1"/>
  <c r="F16" i="27"/>
  <c r="H22" i="5" s="1"/>
  <c r="G16" i="27"/>
  <c r="I22" i="5" s="1"/>
  <c r="G22" i="27"/>
  <c r="I22" i="6" s="1"/>
  <c r="F22" i="27"/>
  <c r="H22" i="6" s="1"/>
  <c r="G34" i="27"/>
  <c r="I22" i="8" s="1"/>
  <c r="F34" i="27"/>
  <c r="H22" i="8" s="1"/>
  <c r="G24" i="27"/>
  <c r="O22" i="6" s="1"/>
  <c r="F24" i="27"/>
  <c r="N22" i="6" s="1"/>
  <c r="F5" i="26"/>
  <c r="F28" i="26"/>
  <c r="H21" i="7" s="1"/>
  <c r="G28" i="26"/>
  <c r="I21" i="7" s="1"/>
  <c r="F11" i="26"/>
  <c r="K21" i="4" s="1"/>
  <c r="G11" i="26"/>
  <c r="L21" i="4" s="1"/>
  <c r="G10" i="26"/>
  <c r="I21" i="4" s="1"/>
  <c r="F10" i="26"/>
  <c r="H21" i="4" s="1"/>
  <c r="F18" i="26"/>
  <c r="N21" i="5" s="1"/>
  <c r="G18" i="26"/>
  <c r="O21" i="5" s="1"/>
  <c r="G6" i="26"/>
  <c r="O21" i="3" s="1"/>
  <c r="F6" i="26"/>
  <c r="N21" i="3" s="1"/>
  <c r="G40" i="26"/>
  <c r="I21" i="9" s="1"/>
  <c r="F40" i="26"/>
  <c r="H21" i="9" s="1"/>
  <c r="G42" i="26"/>
  <c r="O21" i="9" s="1"/>
  <c r="F42" i="26"/>
  <c r="N21" i="9" s="1"/>
  <c r="G34" i="26"/>
  <c r="I21" i="8" s="1"/>
  <c r="F34" i="26"/>
  <c r="H21" i="8" s="1"/>
  <c r="F22" i="26"/>
  <c r="H21" i="6" s="1"/>
  <c r="G22" i="26"/>
  <c r="I21" i="6" s="1"/>
  <c r="F16" i="26"/>
  <c r="H21" i="5" s="1"/>
  <c r="G16" i="26"/>
  <c r="I21" i="5" s="1"/>
  <c r="G36" i="26"/>
  <c r="O21" i="8" s="1"/>
  <c r="F36" i="26"/>
  <c r="N21" i="8" s="1"/>
  <c r="C25" i="17"/>
  <c r="D25" i="17"/>
  <c r="I33" i="17"/>
  <c r="H33" i="17"/>
  <c r="G33" i="17"/>
  <c r="F33" i="17"/>
  <c r="E33" i="17"/>
  <c r="D33" i="17"/>
  <c r="C32" i="17"/>
  <c r="C33" i="17" s="1"/>
  <c r="I25" i="17"/>
  <c r="H25" i="17"/>
  <c r="G25" i="17"/>
  <c r="F25" i="17"/>
  <c r="E25" i="17"/>
  <c r="G4" i="26" l="1"/>
  <c r="I21" i="3" s="1"/>
  <c r="K21" i="3"/>
  <c r="K47" i="3" s="1"/>
  <c r="N47" i="3"/>
  <c r="H47" i="3"/>
  <c r="F24" i="26"/>
  <c r="N21" i="6" s="1"/>
  <c r="F12" i="27"/>
  <c r="N22" i="4" s="1"/>
  <c r="G30" i="26"/>
  <c r="O21" i="7" s="1"/>
  <c r="G10" i="27"/>
  <c r="I22" i="4" s="1"/>
  <c r="F17" i="27"/>
  <c r="K22" i="5" s="1"/>
  <c r="G17" i="27"/>
  <c r="L22" i="5" s="1"/>
  <c r="B18" i="20"/>
  <c r="B22" i="20"/>
  <c r="B20" i="20"/>
  <c r="B21" i="20" s="1"/>
  <c r="B15" i="20"/>
  <c r="K4" i="21"/>
  <c r="J4" i="21"/>
  <c r="J5" i="21" s="1"/>
  <c r="K3" i="21"/>
  <c r="K2" i="21"/>
  <c r="B13" i="20"/>
  <c r="B14" i="20" s="1"/>
  <c r="B16" i="20" s="1"/>
  <c r="I34" i="20"/>
  <c r="H34" i="20"/>
  <c r="G34" i="20"/>
  <c r="F34" i="20"/>
  <c r="E34" i="20"/>
  <c r="D34" i="20"/>
  <c r="C34" i="20"/>
  <c r="I33" i="20"/>
  <c r="H33" i="20"/>
  <c r="G33" i="20"/>
  <c r="F33" i="20"/>
  <c r="E33" i="20"/>
  <c r="D33" i="20"/>
  <c r="C33" i="20"/>
  <c r="I32" i="20"/>
  <c r="H32" i="20"/>
  <c r="G32" i="20"/>
  <c r="F32" i="20"/>
  <c r="E32" i="20"/>
  <c r="D32" i="20"/>
  <c r="C32" i="20"/>
  <c r="B23" i="20" l="1"/>
  <c r="K5" i="21"/>
  <c r="K6" i="21" s="1"/>
  <c r="J6" i="21"/>
  <c r="J7" i="21" s="1"/>
  <c r="D26" i="17" l="1"/>
  <c r="K7" i="21"/>
  <c r="K8" i="21" s="1"/>
  <c r="J8" i="21"/>
  <c r="J9" i="21" s="1"/>
  <c r="M48" i="19"/>
  <c r="O49" i="19" s="1"/>
  <c r="J48" i="19"/>
  <c r="K49" i="19" s="1"/>
  <c r="G48" i="19"/>
  <c r="G49" i="19" s="1"/>
  <c r="D46" i="19"/>
  <c r="O46" i="19" s="1"/>
  <c r="D45" i="19"/>
  <c r="N45" i="19" s="1"/>
  <c r="D44" i="19"/>
  <c r="L44" i="19" s="1"/>
  <c r="D43" i="19"/>
  <c r="K43" i="19" s="1"/>
  <c r="D42" i="19"/>
  <c r="O42" i="19" s="1"/>
  <c r="O40" i="19"/>
  <c r="N40" i="19"/>
  <c r="L40" i="19"/>
  <c r="K40" i="19"/>
  <c r="I40" i="19"/>
  <c r="H40" i="19"/>
  <c r="O39" i="19"/>
  <c r="N39" i="19"/>
  <c r="L39" i="19"/>
  <c r="K39" i="19"/>
  <c r="I39" i="19"/>
  <c r="H39" i="19"/>
  <c r="O38" i="19"/>
  <c r="N38" i="19"/>
  <c r="L38" i="19"/>
  <c r="K38" i="19"/>
  <c r="I38" i="19"/>
  <c r="H38" i="19"/>
  <c r="O37" i="19"/>
  <c r="N37" i="19"/>
  <c r="L37" i="19"/>
  <c r="K37" i="19"/>
  <c r="I37" i="19"/>
  <c r="H37" i="19"/>
  <c r="O36" i="19"/>
  <c r="N36" i="19"/>
  <c r="L36" i="19"/>
  <c r="K36" i="19"/>
  <c r="I36" i="19"/>
  <c r="H36" i="19"/>
  <c r="O35" i="19"/>
  <c r="N35" i="19"/>
  <c r="L35" i="19"/>
  <c r="K35" i="19"/>
  <c r="I35" i="19"/>
  <c r="H35" i="19"/>
  <c r="O34" i="19"/>
  <c r="N34" i="19"/>
  <c r="L34" i="19"/>
  <c r="K34" i="19"/>
  <c r="I34" i="19"/>
  <c r="H34" i="19"/>
  <c r="B34" i="19"/>
  <c r="B35" i="19" s="1"/>
  <c r="B36" i="19" s="1"/>
  <c r="B37" i="19" s="1"/>
  <c r="B38" i="19" s="1"/>
  <c r="B39" i="19" s="1"/>
  <c r="B40" i="19" s="1"/>
  <c r="O32" i="19"/>
  <c r="N32" i="19"/>
  <c r="L32" i="19"/>
  <c r="K32" i="19"/>
  <c r="I32" i="19"/>
  <c r="H32" i="19"/>
  <c r="O31" i="19"/>
  <c r="N31" i="19"/>
  <c r="L31" i="19"/>
  <c r="K31" i="19"/>
  <c r="I31" i="19"/>
  <c r="H31" i="19"/>
  <c r="O30" i="19"/>
  <c r="N30" i="19"/>
  <c r="L30" i="19"/>
  <c r="K30" i="19"/>
  <c r="I30" i="19"/>
  <c r="H30" i="19"/>
  <c r="O29" i="19"/>
  <c r="N29" i="19"/>
  <c r="L29" i="19"/>
  <c r="K29" i="19"/>
  <c r="I29" i="19"/>
  <c r="H29" i="19"/>
  <c r="O28" i="19"/>
  <c r="N28" i="19"/>
  <c r="L28" i="19"/>
  <c r="K28" i="19"/>
  <c r="I28" i="19"/>
  <c r="H28" i="19"/>
  <c r="O27" i="19"/>
  <c r="N27" i="19"/>
  <c r="L27" i="19"/>
  <c r="K27" i="19"/>
  <c r="I27" i="19"/>
  <c r="H27" i="19"/>
  <c r="O26" i="19"/>
  <c r="N26" i="19"/>
  <c r="L26" i="19"/>
  <c r="K26" i="19"/>
  <c r="I26" i="19"/>
  <c r="H26" i="19"/>
  <c r="O25" i="19"/>
  <c r="N25" i="19"/>
  <c r="L25" i="19"/>
  <c r="K25" i="19"/>
  <c r="I25" i="19"/>
  <c r="H25" i="19"/>
  <c r="O24" i="19"/>
  <c r="N24" i="19"/>
  <c r="L24" i="19"/>
  <c r="K24" i="19"/>
  <c r="I24" i="19"/>
  <c r="H24" i="19"/>
  <c r="O22" i="19"/>
  <c r="N22" i="19"/>
  <c r="L22" i="19"/>
  <c r="K22" i="19"/>
  <c r="I22" i="19"/>
  <c r="H22" i="19"/>
  <c r="O21" i="19"/>
  <c r="N21" i="19"/>
  <c r="L21" i="19"/>
  <c r="K21" i="19"/>
  <c r="I21" i="19"/>
  <c r="H21" i="19"/>
  <c r="O20" i="19"/>
  <c r="N20" i="19"/>
  <c r="L20" i="19"/>
  <c r="K20" i="19"/>
  <c r="I20" i="19"/>
  <c r="H20" i="19"/>
  <c r="O19" i="19"/>
  <c r="N19" i="19"/>
  <c r="L19" i="19"/>
  <c r="K19" i="19"/>
  <c r="I19" i="19"/>
  <c r="H19" i="19"/>
  <c r="O18" i="19"/>
  <c r="N18" i="19"/>
  <c r="L18" i="19"/>
  <c r="K18" i="19"/>
  <c r="I18" i="19"/>
  <c r="H18" i="19"/>
  <c r="O17" i="19"/>
  <c r="N17" i="19"/>
  <c r="L17" i="19"/>
  <c r="K17" i="19"/>
  <c r="I17" i="19"/>
  <c r="H17" i="19"/>
  <c r="O16" i="19"/>
  <c r="N16" i="19"/>
  <c r="L16" i="19"/>
  <c r="K16" i="19"/>
  <c r="I16" i="19"/>
  <c r="H16" i="19"/>
  <c r="K9" i="21" l="1"/>
  <c r="K10" i="21" s="1"/>
  <c r="J10" i="21"/>
  <c r="J11" i="21" s="1"/>
  <c r="I44" i="19"/>
  <c r="O44" i="19"/>
  <c r="N43" i="19"/>
  <c r="H43" i="19"/>
  <c r="K45" i="19"/>
  <c r="K42" i="19"/>
  <c r="L43" i="19"/>
  <c r="H44" i="19"/>
  <c r="N44" i="19"/>
  <c r="I45" i="19"/>
  <c r="O45" i="19"/>
  <c r="K46" i="19"/>
  <c r="H49" i="19"/>
  <c r="L49" i="19"/>
  <c r="G50" i="19"/>
  <c r="L42" i="19"/>
  <c r="L46" i="19"/>
  <c r="I49" i="19"/>
  <c r="M49" i="19"/>
  <c r="J50" i="19"/>
  <c r="H42" i="19"/>
  <c r="N42" i="19"/>
  <c r="I43" i="19"/>
  <c r="O43" i="19"/>
  <c r="K44" i="19"/>
  <c r="L45" i="19"/>
  <c r="H46" i="19"/>
  <c r="N46" i="19"/>
  <c r="J49" i="19"/>
  <c r="N49" i="19"/>
  <c r="M50" i="19"/>
  <c r="I42" i="19"/>
  <c r="H45" i="19"/>
  <c r="I46" i="19"/>
  <c r="F51" i="19" l="1"/>
  <c r="K11" i="21"/>
  <c r="K12" i="21" s="1"/>
  <c r="J12" i="21"/>
  <c r="J13" i="21" s="1"/>
  <c r="K13" i="21" l="1"/>
  <c r="K14" i="21" s="1"/>
  <c r="J14" i="21"/>
  <c r="J15" i="21" s="1"/>
  <c r="K2" i="2"/>
  <c r="K4" i="2"/>
  <c r="K3" i="2"/>
  <c r="J4" i="2"/>
  <c r="K15" i="21" l="1"/>
  <c r="K16" i="21" s="1"/>
  <c r="J16" i="21"/>
  <c r="J17" i="21" s="1"/>
  <c r="J5" i="2"/>
  <c r="E26" i="17" l="1"/>
  <c r="H26" i="17"/>
  <c r="F26" i="17"/>
  <c r="K17" i="21"/>
  <c r="K18" i="21" s="1"/>
  <c r="J18" i="21"/>
  <c r="J19" i="21" s="1"/>
  <c r="J6" i="2"/>
  <c r="J7" i="2" s="1"/>
  <c r="K5" i="2"/>
  <c r="K6" i="2" l="1"/>
  <c r="G26" i="17"/>
  <c r="K19" i="21"/>
  <c r="K20" i="21" s="1"/>
  <c r="J20" i="21"/>
  <c r="J21" i="21" s="1"/>
  <c r="K21" i="21" s="1"/>
  <c r="J8" i="2"/>
  <c r="J9" i="2" s="1"/>
  <c r="K7" i="2"/>
  <c r="K8" i="2" l="1"/>
  <c r="O18" i="3"/>
  <c r="O47" i="3" s="1"/>
  <c r="M47" i="3" s="1"/>
  <c r="M48" i="3" s="1"/>
  <c r="L18" i="3"/>
  <c r="L47" i="3" s="1"/>
  <c r="J47" i="3" s="1"/>
  <c r="J48" i="3" s="1"/>
  <c r="J10" i="2"/>
  <c r="J12" i="2" s="1"/>
  <c r="K9" i="2"/>
  <c r="K10" i="2" l="1"/>
  <c r="I18" i="3"/>
  <c r="I47" i="3" s="1"/>
  <c r="G47" i="3" s="1"/>
  <c r="G48" i="3" s="1"/>
  <c r="F49" i="3" s="1"/>
  <c r="J13" i="2"/>
  <c r="J14" i="2" s="1"/>
  <c r="K12" i="2"/>
  <c r="K13" i="2" s="1"/>
  <c r="J15" i="2" l="1"/>
  <c r="J16" i="2" s="1"/>
  <c r="K14" i="2"/>
  <c r="K15" i="2" s="1"/>
  <c r="J17" i="2" l="1"/>
  <c r="J18" i="2" s="1"/>
  <c r="K16" i="2"/>
  <c r="K17" i="2" s="1"/>
  <c r="J19" i="2" l="1"/>
  <c r="J20" i="2" s="1"/>
  <c r="K18" i="2"/>
  <c r="K19" i="2" s="1"/>
  <c r="K20" i="2" l="1"/>
  <c r="K21" i="2" s="1"/>
  <c r="J21" i="2"/>
  <c r="J22" i="2" s="1"/>
  <c r="K22" i="2" s="1"/>
  <c r="B46" i="14" l="1"/>
  <c r="B47" i="14" s="1"/>
  <c r="B48" i="14" s="1"/>
  <c r="B39" i="14"/>
  <c r="B40" i="14" s="1"/>
  <c r="B41" i="14" s="1"/>
  <c r="B42" i="14" s="1"/>
  <c r="B43" i="14" s="1"/>
  <c r="B31" i="14"/>
  <c r="B32" i="14" s="1"/>
  <c r="B33" i="14" s="1"/>
  <c r="B34" i="14" s="1"/>
  <c r="B35" i="14" s="1"/>
  <c r="B36" i="14" s="1"/>
  <c r="B37" i="14" s="1"/>
  <c r="G28" i="20" l="1"/>
  <c r="F28" i="20"/>
  <c r="D28" i="20"/>
  <c r="C43" i="16"/>
  <c r="J43" i="16" s="1"/>
  <c r="C42" i="16"/>
  <c r="N42" i="16" s="1"/>
  <c r="C41" i="16"/>
  <c r="M41" i="16" s="1"/>
  <c r="C40" i="16"/>
  <c r="K40" i="16" s="1"/>
  <c r="C39" i="16"/>
  <c r="J39" i="16" s="1"/>
  <c r="N37" i="16"/>
  <c r="M37" i="16"/>
  <c r="K37" i="16"/>
  <c r="J37" i="16"/>
  <c r="H37" i="16"/>
  <c r="G37" i="16"/>
  <c r="N36" i="16"/>
  <c r="M36" i="16"/>
  <c r="K36" i="16"/>
  <c r="J36" i="16"/>
  <c r="H36" i="16"/>
  <c r="G36" i="16"/>
  <c r="N35" i="16"/>
  <c r="M35" i="16"/>
  <c r="K35" i="16"/>
  <c r="J35" i="16"/>
  <c r="H35" i="16"/>
  <c r="G35" i="16"/>
  <c r="N34" i="16"/>
  <c r="M34" i="16"/>
  <c r="K34" i="16"/>
  <c r="J34" i="16"/>
  <c r="H34" i="16"/>
  <c r="G34" i="16"/>
  <c r="N33" i="16"/>
  <c r="M33" i="16"/>
  <c r="K33" i="16"/>
  <c r="J33" i="16"/>
  <c r="H33" i="16"/>
  <c r="G33" i="16"/>
  <c r="N32" i="16"/>
  <c r="M32" i="16"/>
  <c r="K32" i="16"/>
  <c r="J32" i="16"/>
  <c r="H32" i="16"/>
  <c r="G32" i="16"/>
  <c r="N31" i="16"/>
  <c r="M31" i="16"/>
  <c r="K31" i="16"/>
  <c r="J31" i="16"/>
  <c r="H31" i="16"/>
  <c r="G31" i="16"/>
  <c r="A31" i="16"/>
  <c r="N29" i="16"/>
  <c r="M29" i="16"/>
  <c r="K29" i="16"/>
  <c r="J29" i="16"/>
  <c r="H29" i="16"/>
  <c r="G29" i="16"/>
  <c r="N28" i="16"/>
  <c r="M28" i="16"/>
  <c r="K28" i="16"/>
  <c r="J28" i="16"/>
  <c r="H28" i="16"/>
  <c r="G28" i="16"/>
  <c r="N27" i="16"/>
  <c r="M27" i="16"/>
  <c r="K27" i="16"/>
  <c r="J27" i="16"/>
  <c r="H27" i="16"/>
  <c r="G27" i="16"/>
  <c r="N26" i="16"/>
  <c r="M26" i="16"/>
  <c r="K26" i="16"/>
  <c r="J26" i="16"/>
  <c r="H26" i="16"/>
  <c r="G26" i="16"/>
  <c r="N25" i="16"/>
  <c r="M25" i="16"/>
  <c r="K25" i="16"/>
  <c r="J25" i="16"/>
  <c r="H25" i="16"/>
  <c r="G25" i="16"/>
  <c r="N24" i="16"/>
  <c r="M24" i="16"/>
  <c r="K24" i="16"/>
  <c r="J24" i="16"/>
  <c r="H24" i="16"/>
  <c r="G24" i="16"/>
  <c r="N23" i="16"/>
  <c r="M23" i="16"/>
  <c r="K23" i="16"/>
  <c r="J23" i="16"/>
  <c r="H23" i="16"/>
  <c r="G23" i="16"/>
  <c r="N22" i="16"/>
  <c r="M22" i="16"/>
  <c r="K22" i="16"/>
  <c r="J22" i="16"/>
  <c r="H22" i="16"/>
  <c r="G22" i="16"/>
  <c r="N21" i="16"/>
  <c r="M21" i="16"/>
  <c r="K21" i="16"/>
  <c r="J21" i="16"/>
  <c r="H21" i="16"/>
  <c r="G21" i="16"/>
  <c r="N20" i="16"/>
  <c r="M20" i="16"/>
  <c r="K20" i="16"/>
  <c r="J20" i="16"/>
  <c r="H20" i="16"/>
  <c r="G20" i="16"/>
  <c r="N18" i="16"/>
  <c r="M18" i="16"/>
  <c r="K18" i="16"/>
  <c r="J18" i="16"/>
  <c r="H18" i="16"/>
  <c r="G18" i="16"/>
  <c r="N17" i="16"/>
  <c r="M17" i="16"/>
  <c r="K17" i="16"/>
  <c r="J17" i="16"/>
  <c r="H17" i="16"/>
  <c r="G17" i="16"/>
  <c r="N16" i="16"/>
  <c r="M16" i="16"/>
  <c r="K16" i="16"/>
  <c r="J16" i="16"/>
  <c r="H16" i="16"/>
  <c r="G16" i="16"/>
  <c r="N15" i="16"/>
  <c r="M15" i="16"/>
  <c r="K15" i="16"/>
  <c r="J15" i="16"/>
  <c r="H15" i="16"/>
  <c r="G15" i="16"/>
  <c r="N14" i="16"/>
  <c r="M14" i="16"/>
  <c r="K14" i="16"/>
  <c r="J14" i="16"/>
  <c r="H14" i="16"/>
  <c r="G14" i="16"/>
  <c r="N13" i="16"/>
  <c r="M13" i="16"/>
  <c r="K13" i="16"/>
  <c r="J13" i="16"/>
  <c r="H13" i="16"/>
  <c r="G13" i="16"/>
  <c r="N12" i="16"/>
  <c r="M12" i="16"/>
  <c r="K12" i="16"/>
  <c r="J12" i="16"/>
  <c r="H12" i="16"/>
  <c r="G12" i="16"/>
  <c r="G34" i="17" l="1"/>
  <c r="G35" i="17" s="1"/>
  <c r="G27" i="17"/>
  <c r="E34" i="17"/>
  <c r="E35" i="17" s="1"/>
  <c r="E27" i="17"/>
  <c r="H27" i="17"/>
  <c r="H34" i="17"/>
  <c r="H35" i="17" s="1"/>
  <c r="G42" i="16"/>
  <c r="M42" i="16"/>
  <c r="J42" i="16"/>
  <c r="H41" i="16"/>
  <c r="N41" i="16"/>
  <c r="M40" i="16"/>
  <c r="G40" i="16"/>
  <c r="N40" i="16"/>
  <c r="H40" i="16"/>
  <c r="J40" i="16"/>
  <c r="K39" i="16"/>
  <c r="K43" i="16"/>
  <c r="G39" i="16"/>
  <c r="M39" i="16"/>
  <c r="J41" i="16"/>
  <c r="K42" i="16"/>
  <c r="G43" i="16"/>
  <c r="M43" i="16"/>
  <c r="H39" i="16"/>
  <c r="N39" i="16"/>
  <c r="K41" i="16"/>
  <c r="H43" i="16"/>
  <c r="N43" i="16"/>
  <c r="G41" i="16"/>
  <c r="H42" i="16"/>
  <c r="C4" i="12"/>
  <c r="D3" i="11" l="1"/>
  <c r="D4" i="11"/>
  <c r="D5" i="11"/>
  <c r="D6" i="11"/>
  <c r="N23" i="19" l="1"/>
  <c r="D2" i="11"/>
  <c r="O23" i="19" l="1"/>
  <c r="H23" i="19" l="1"/>
  <c r="I23" i="19"/>
  <c r="M19" i="16" l="1"/>
  <c r="M46" i="16" s="1"/>
  <c r="N19" i="16"/>
  <c r="N46" i="16" s="1"/>
  <c r="L23" i="19"/>
  <c r="K23" i="19"/>
  <c r="J19" i="16"/>
  <c r="J46" i="16" s="1"/>
  <c r="K19" i="16"/>
  <c r="K46" i="16" s="1"/>
  <c r="L46" i="16" l="1"/>
  <c r="L47" i="16" s="1"/>
  <c r="I46" i="16"/>
  <c r="I47" i="16" s="1"/>
  <c r="G19" i="16"/>
  <c r="G46" i="16" s="1"/>
  <c r="H19" i="16"/>
  <c r="H46" i="16" s="1"/>
  <c r="H28" i="20" l="1"/>
  <c r="E28" i="20"/>
  <c r="C28" i="20"/>
  <c r="F46" i="16"/>
  <c r="F47" i="16" s="1"/>
  <c r="E48" i="16" s="1"/>
  <c r="F34" i="17" l="1"/>
  <c r="F35" i="17" s="1"/>
  <c r="F27" i="17"/>
  <c r="D34" i="17"/>
  <c r="D35" i="17" s="1"/>
  <c r="D27" i="17"/>
  <c r="I27" i="17"/>
  <c r="I34" i="17"/>
  <c r="I35" i="17" s="1"/>
  <c r="C11" i="17"/>
  <c r="B28" i="20"/>
  <c r="C6" i="17" l="1"/>
  <c r="C4" i="17"/>
  <c r="C5" i="17"/>
  <c r="C3" i="17"/>
  <c r="C30" i="17"/>
  <c r="C34" i="17"/>
  <c r="C35" i="17" s="1"/>
  <c r="C26" i="17"/>
  <c r="C27" i="17" s="1"/>
  <c r="B32" i="17"/>
  <c r="B4" i="20"/>
  <c r="B6" i="20"/>
  <c r="B3" i="20"/>
  <c r="B5" i="20"/>
</calcChain>
</file>

<file path=xl/sharedStrings.xml><?xml version="1.0" encoding="utf-8"?>
<sst xmlns="http://schemas.openxmlformats.org/spreadsheetml/2006/main" count="2858" uniqueCount="285">
  <si>
    <t xml:space="preserve">To be inserted once format is finalized - will include reference to individual cells (not just 'fill in blue cells') for accomodation purposes. </t>
  </si>
  <si>
    <t>Will include explanations/definitions as needed for each line (as provided on the HUD-92273)</t>
  </si>
  <si>
    <t>Idea is that PHA will just fill out the blue shaded cells (w/ references for color-blind/visually impaired individuals) and the rest will calculate</t>
  </si>
  <si>
    <t>Category</t>
  </si>
  <si>
    <t>Adjustment in Dollars</t>
  </si>
  <si>
    <t>Year Built/Renovated (dollar per year)</t>
  </si>
  <si>
    <t>AL</t>
  </si>
  <si>
    <t>Difference in Area (per 10 SF)</t>
  </si>
  <si>
    <t xml:space="preserve">Input </t>
  </si>
  <si>
    <t>AK</t>
  </si>
  <si>
    <t>Per Half Bath</t>
  </si>
  <si>
    <t>AR</t>
  </si>
  <si>
    <t>Per Full Bath</t>
  </si>
  <si>
    <t xml:space="preserve">In each applicable category, input desired adjustments amount. </t>
  </si>
  <si>
    <t>AS</t>
  </si>
  <si>
    <t>Dishwasher</t>
  </si>
  <si>
    <t>AZ</t>
  </si>
  <si>
    <t>Disposal</t>
  </si>
  <si>
    <t>CA</t>
  </si>
  <si>
    <t>Washer/Dryer in Unit</t>
  </si>
  <si>
    <t>CO</t>
  </si>
  <si>
    <t>On Site Laundry Room</t>
  </si>
  <si>
    <t>CT</t>
  </si>
  <si>
    <t>Washer/Dryer Hook-up</t>
  </si>
  <si>
    <t>A/C Central</t>
  </si>
  <si>
    <t>DE</t>
  </si>
  <si>
    <t>A/C Thru Wall/Window</t>
  </si>
  <si>
    <t>FL</t>
  </si>
  <si>
    <t>Carpet</t>
  </si>
  <si>
    <t>GA</t>
  </si>
  <si>
    <t>Window Coverings (Drapes or Blinds)</t>
  </si>
  <si>
    <t>GU</t>
  </si>
  <si>
    <t>Extra Storage</t>
  </si>
  <si>
    <t>HI</t>
  </si>
  <si>
    <t>Fireplace</t>
  </si>
  <si>
    <t>ID</t>
  </si>
  <si>
    <t>Parking</t>
  </si>
  <si>
    <t>IL</t>
  </si>
  <si>
    <t>Pool</t>
  </si>
  <si>
    <t>Recreation Area or Fitness Facility</t>
  </si>
  <si>
    <t>IN</t>
  </si>
  <si>
    <t>Club House or Common Area</t>
  </si>
  <si>
    <t>IA</t>
  </si>
  <si>
    <t>Balcony, Terrace, or Patio</t>
  </si>
  <si>
    <t>KS</t>
  </si>
  <si>
    <t>Internet (included in Rent)</t>
  </si>
  <si>
    <t>LA</t>
  </si>
  <si>
    <t>Pest Control in Rent</t>
  </si>
  <si>
    <t>MN</t>
  </si>
  <si>
    <t>Additional Bedroom</t>
  </si>
  <si>
    <t>MS</t>
  </si>
  <si>
    <t>Proximity to Public Transportation</t>
  </si>
  <si>
    <t>MO</t>
  </si>
  <si>
    <t>PHA write-in (if applicable)</t>
  </si>
  <si>
    <t>NE</t>
  </si>
  <si>
    <t>NV</t>
  </si>
  <si>
    <t>NH</t>
  </si>
  <si>
    <t>NJ</t>
  </si>
  <si>
    <t>NM</t>
  </si>
  <si>
    <t xml:space="preserve">All applicable adjustments must be set before the Market Comparison Analysis can begin. These Categories and Adjustments will be used to populate rest of the Flat Rent Market Analysis Tool. </t>
  </si>
  <si>
    <r>
      <rPr>
        <b/>
        <u/>
        <sz val="11"/>
        <color theme="1"/>
        <rFont val="Calibri"/>
        <family val="2"/>
        <scheme val="minor"/>
      </rPr>
      <t>Step One:</t>
    </r>
    <r>
      <rPr>
        <sz val="11"/>
        <color theme="1"/>
        <rFont val="Calibri"/>
        <family val="2"/>
        <scheme val="minor"/>
      </rPr>
      <t xml:space="preserve"> Users must assess  how much each category of real estate amenity is worth in terms of  monthly rent for their particular community.</t>
    </r>
  </si>
  <si>
    <r>
      <rPr>
        <b/>
        <u/>
        <sz val="11"/>
        <color theme="1"/>
        <rFont val="Calibri"/>
        <family val="2"/>
        <scheme val="minor"/>
      </rPr>
      <t>Step Two:</t>
    </r>
    <r>
      <rPr>
        <sz val="11"/>
        <color theme="1"/>
        <rFont val="Calibri"/>
        <family val="2"/>
        <scheme val="minor"/>
      </rPr>
      <t xml:space="preserve">  For each applicable category, input how much each amenity would adjust the monthly rent.</t>
    </r>
  </si>
  <si>
    <r>
      <rPr>
        <b/>
        <u/>
        <sz val="11"/>
        <color theme="1"/>
        <rFont val="Calibri"/>
        <family val="2"/>
        <scheme val="minor"/>
      </rPr>
      <t>Step Two Example:</t>
    </r>
    <r>
      <rPr>
        <sz val="11"/>
        <color theme="1"/>
        <rFont val="Calibri"/>
        <family val="2"/>
        <scheme val="minor"/>
      </rPr>
      <t xml:space="preserve"> How much more should one expect to pay for an apartment with an in-unit Washer/Dryer than an identical apartment without this amenity? </t>
    </r>
  </si>
  <si>
    <r>
      <rPr>
        <b/>
        <u/>
        <sz val="11"/>
        <color theme="1"/>
        <rFont val="Calibri"/>
        <family val="2"/>
        <scheme val="minor"/>
      </rPr>
      <t>Step Two Example:</t>
    </r>
    <r>
      <rPr>
        <sz val="11"/>
        <color theme="1"/>
        <rFont val="Calibri"/>
        <family val="2"/>
        <scheme val="minor"/>
      </rPr>
      <t xml:space="preserve"> All adjustments are made in terms of monthly rent. For example, monthly rent for an apartment that includes a parking space might cost $20 more per months than an identical apartment with street parking.</t>
    </r>
  </si>
  <si>
    <r>
      <rPr>
        <b/>
        <u/>
        <sz val="11"/>
        <color theme="1"/>
        <rFont val="Calibri"/>
        <family val="2"/>
        <scheme val="minor"/>
      </rPr>
      <t>Step Three:</t>
    </r>
    <r>
      <rPr>
        <sz val="11"/>
        <color theme="1"/>
        <rFont val="Calibri"/>
        <family val="2"/>
        <scheme val="minor"/>
      </rPr>
      <t xml:space="preserve"> Users cannot select adjustment levels for the categories of "Year Built" or "Difference in Area". These categories  are preset by HUD.</t>
    </r>
  </si>
  <si>
    <r>
      <rPr>
        <b/>
        <u/>
        <sz val="11"/>
        <color theme="1"/>
        <rFont val="Calibri"/>
        <family val="2"/>
        <scheme val="minor"/>
      </rPr>
      <t>Step Four:</t>
    </r>
    <r>
      <rPr>
        <sz val="11"/>
        <color theme="1"/>
        <rFont val="Calibri"/>
        <family val="2"/>
        <scheme val="minor"/>
      </rPr>
      <t xml:space="preserve"> Users cannot select adjustment amount for half bath because it is set at .5 of the extra full bath.</t>
    </r>
  </si>
  <si>
    <r>
      <rPr>
        <b/>
        <u/>
        <sz val="11"/>
        <color theme="1"/>
        <rFont val="Calibri"/>
        <family val="2"/>
        <scheme val="minor"/>
      </rPr>
      <t>Step Five:</t>
    </r>
    <r>
      <rPr>
        <sz val="11"/>
        <color theme="1"/>
        <rFont val="Calibri"/>
        <family val="2"/>
        <scheme val="minor"/>
      </rPr>
      <t xml:space="preserve"> We have created five slots available for PHs to write in their own categories.  PHAs must include a description of the category and the adjustment amount. </t>
    </r>
  </si>
  <si>
    <t>Utilities included in Rent</t>
  </si>
  <si>
    <t>Electric in Rent</t>
  </si>
  <si>
    <t>Gas in Rent</t>
  </si>
  <si>
    <t>Water/Sewer in Rent</t>
  </si>
  <si>
    <t>Garbage in Rent</t>
  </si>
  <si>
    <t>Studio Market Analysis</t>
  </si>
  <si>
    <t>Studio</t>
  </si>
  <si>
    <t>1-Bedroom Market Analysis</t>
  </si>
  <si>
    <t>1 Bedroom</t>
  </si>
  <si>
    <t>2-Bedroom Market Analysis</t>
  </si>
  <si>
    <t>2 Bedroom</t>
  </si>
  <si>
    <t>3-Bedroom Market Analysis</t>
  </si>
  <si>
    <t>3 Bedroom</t>
  </si>
  <si>
    <t>4-Bedroom Market Analysis</t>
  </si>
  <si>
    <t>4 Bedroom</t>
  </si>
  <si>
    <t>5-Bedroom Market Analysis</t>
  </si>
  <si>
    <t>5 Bedroom</t>
  </si>
  <si>
    <t>6-Bedroom Market Analysis</t>
  </si>
  <si>
    <t>6 Bedroom</t>
  </si>
  <si>
    <t>Total Utility Allowance</t>
  </si>
  <si>
    <t>Dollars</t>
  </si>
  <si>
    <t xml:space="preserve">Estimates of Market Rent by Comparison         </t>
  </si>
  <si>
    <t>U.S. Department of Housing and Urban Development</t>
  </si>
  <si>
    <t>Office of Public and Indian Housing</t>
  </si>
  <si>
    <t>Date of Analysis</t>
  </si>
  <si>
    <t>mm/dd/yyyy</t>
  </si>
  <si>
    <t>PHA Subject Property</t>
  </si>
  <si>
    <t>Comparable #1</t>
  </si>
  <si>
    <t>Comparable #2</t>
  </si>
  <si>
    <t>Comparable #3</t>
  </si>
  <si>
    <t>Property Name</t>
  </si>
  <si>
    <t xml:space="preserve">PIC AMP No. </t>
  </si>
  <si>
    <t>Street Address</t>
  </si>
  <si>
    <t>City</t>
  </si>
  <si>
    <t>County</t>
  </si>
  <si>
    <t>State</t>
  </si>
  <si>
    <t>City,State</t>
  </si>
  <si>
    <t>Actual Rent for Comparable Units ($)</t>
  </si>
  <si>
    <t>Monthly Rent ($)</t>
  </si>
  <si>
    <t>Data</t>
  </si>
  <si>
    <t>Adjustments ($)</t>
  </si>
  <si>
    <t>-</t>
  </si>
  <si>
    <t>+</t>
  </si>
  <si>
    <t>A. Unit Information</t>
  </si>
  <si>
    <t>Year Built/Renovated</t>
  </si>
  <si>
    <t/>
  </si>
  <si>
    <t>SF Area</t>
  </si>
  <si>
    <t>Number of Bathrooms</t>
  </si>
  <si>
    <t>N</t>
  </si>
  <si>
    <t>Laundry Room</t>
  </si>
  <si>
    <t>A/C Type</t>
  </si>
  <si>
    <t>None</t>
  </si>
  <si>
    <t>Drapes or Blinds</t>
  </si>
  <si>
    <t>B. Services and Utilities</t>
  </si>
  <si>
    <t>Cable in Rent</t>
  </si>
  <si>
    <t>Internet in Rent</t>
  </si>
  <si>
    <t>C. Other Adjustments</t>
  </si>
  <si>
    <t>D. Adjustment Calculation and Rent (Per Month)</t>
  </si>
  <si>
    <t>Actual Rent</t>
  </si>
  <si>
    <t>Total Adjustments</t>
  </si>
  <si>
    <t>Adjusted Rent</t>
  </si>
  <si>
    <t>Proposed Flat Rent</t>
  </si>
  <si>
    <t>FMR</t>
  </si>
  <si>
    <t>Small Area Fair Market Rent</t>
  </si>
  <si>
    <r>
      <rPr>
        <b/>
        <sz val="8"/>
        <color theme="1"/>
        <rFont val="Calibri"/>
        <family val="2"/>
        <scheme val="minor"/>
      </rPr>
      <t xml:space="preserve">Note: </t>
    </r>
    <r>
      <rPr>
        <sz val="8"/>
        <color theme="1"/>
        <rFont val="Calibri"/>
        <family val="2"/>
        <scheme val="minor"/>
      </rPr>
      <t xml:space="preserve">The adjustment columns (+ and -) will populate with the dollar amounts or calculation criteria entered in the Typical Rent Adjustments tab, corresponding with how the subject property varies from comparable properties. If the subject compares favorably, the form will populate a positive amount, and if the subject is inferior to the comparable, the form will populate a negative amount. Provide additional narrative if necessary to explain the adjustment. </t>
    </r>
  </si>
  <si>
    <t>Community Name</t>
  </si>
  <si>
    <t>Y</t>
  </si>
  <si>
    <t>Central</t>
  </si>
  <si>
    <t>Window</t>
  </si>
  <si>
    <t>Bounce House</t>
  </si>
  <si>
    <t>Formal Dining Room</t>
  </si>
  <si>
    <t>Haunted</t>
  </si>
  <si>
    <t>Rent Type</t>
  </si>
  <si>
    <t xml:space="preserve">Note: The adjustment columns (+ and -) will populate with the dollar amounts or calculation criteria entered in the Typical Rent Adjustments tab, corresponding with how the subject property varies from comparable properties. If the subject compares favorably, the form will populate a positive amount, and if the subject is inferior to the comparable, the form will populate a negative amount. Provide additional narrative if necessary to explain the adjustment. </t>
  </si>
  <si>
    <t>HUD Form 5880</t>
  </si>
  <si>
    <t>OMB Approval No. 2577-0290</t>
  </si>
  <si>
    <t>(exp. 6/30/2022)</t>
  </si>
  <si>
    <t>Sample Housing Authority</t>
  </si>
  <si>
    <t>Sample Property</t>
  </si>
  <si>
    <t>SA000001</t>
  </si>
  <si>
    <t>123 A Street</t>
  </si>
  <si>
    <t>456 B Street</t>
  </si>
  <si>
    <t>789 C Street</t>
  </si>
  <si>
    <t>Sample City</t>
  </si>
  <si>
    <t>Sample County</t>
  </si>
  <si>
    <t>SA</t>
  </si>
  <si>
    <t>Sample City, SA</t>
  </si>
  <si>
    <t xml:space="preserve">Unit Type </t>
  </si>
  <si>
    <t>Select Unit Type</t>
  </si>
  <si>
    <t>Apartment</t>
  </si>
  <si>
    <t>Duplex</t>
  </si>
  <si>
    <t>Check to confirm unit is unsubsidized</t>
  </si>
  <si>
    <t>Laundry</t>
  </si>
  <si>
    <t>On Site</t>
  </si>
  <si>
    <t>In Unit</t>
  </si>
  <si>
    <t>Select Other Applicable FMR</t>
  </si>
  <si>
    <t>Public Reporting burden for this collection is estimated to average 760 hours per response, including the time for reviewing instructions, searching existing data sources, gathering and maintaining the data needed, and completing and reviewing the collection of information. This information is required to obtain a flat rent exception approval. HUD may not collect this information and you are not required to complete this form, unless it displays a currently valid OMB number. This information is being collected under Public Law 24 CFR § 960.253(b)(3) which requires the Department of Housing and Urban Development to allow exceptions to FMR-based flat rents when authorized by the Secretary. The information will be used by HUD to approve public housing flat rent exceptions. Confidentiality to respondents is ensured if it would result in competitive harm in accordance with the Freedom of Information Act (FOIA) provisions, or if it could impact the Department's mission to provide housing units under the various Sections of the Housing legislation.</t>
  </si>
  <si>
    <t>Last Updated (07/2019)</t>
  </si>
  <si>
    <r>
      <t xml:space="preserve">Bathroom Adjustments - </t>
    </r>
    <r>
      <rPr>
        <sz val="11"/>
        <color rgb="FFFF0000"/>
        <rFont val="Calibri"/>
        <family val="2"/>
        <scheme val="minor"/>
      </rPr>
      <t>Do not Delete</t>
    </r>
  </si>
  <si>
    <t>Label</t>
  </si>
  <si>
    <t>Year Built/RenovateD</t>
  </si>
  <si>
    <t>Year Built/Renovated ($ per year)</t>
  </si>
  <si>
    <t>Extra Half Bath</t>
  </si>
  <si>
    <t>Extra Full Bath</t>
  </si>
  <si>
    <t>Laundry Room on Site</t>
  </si>
  <si>
    <t>Utilities included in Rent - Adjustments in Dollars</t>
  </si>
  <si>
    <t xml:space="preserve"> </t>
  </si>
  <si>
    <t>Utility Allowance</t>
  </si>
  <si>
    <t>Housing Authority Name</t>
  </si>
  <si>
    <t>Comparison</t>
  </si>
  <si>
    <t>Public Housing Unit</t>
  </si>
  <si>
    <t>Market Unit</t>
  </si>
  <si>
    <t>Adj.</t>
  </si>
  <si>
    <t>Laundry Room On Site</t>
  </si>
  <si>
    <t>HUD Unit</t>
  </si>
  <si>
    <t>None None</t>
  </si>
  <si>
    <t>In Unit In Unit</t>
  </si>
  <si>
    <t>On Site On Site</t>
  </si>
  <si>
    <t xml:space="preserve">Positive </t>
  </si>
  <si>
    <t>In Unit None</t>
  </si>
  <si>
    <t>In Unit On Site</t>
  </si>
  <si>
    <t>On Site None</t>
  </si>
  <si>
    <t xml:space="preserve">Negative </t>
  </si>
  <si>
    <t>None In Unit</t>
  </si>
  <si>
    <t>None On Site</t>
  </si>
  <si>
    <t>On Site In Unit</t>
  </si>
  <si>
    <t>Central Central</t>
  </si>
  <si>
    <t>Window Window</t>
  </si>
  <si>
    <t>Central None</t>
  </si>
  <si>
    <t>Central Window</t>
  </si>
  <si>
    <t>Window None</t>
  </si>
  <si>
    <t>None Central</t>
  </si>
  <si>
    <t>None Window</t>
  </si>
  <si>
    <t>Window Central</t>
  </si>
  <si>
    <t>Flat Rent Market Analysis Summary</t>
  </si>
  <si>
    <t>PIC AMP Number</t>
  </si>
  <si>
    <t>Proposed Flat Rent (Monthly)</t>
  </si>
  <si>
    <t>Flat Rent</t>
  </si>
  <si>
    <t>FMR Calculation</t>
  </si>
  <si>
    <t>FMR × 80%</t>
  </si>
  <si>
    <t xml:space="preserve"> Utility Allowance</t>
  </si>
  <si>
    <t>(FMR × 80%) - Utility Allowance</t>
  </si>
  <si>
    <t>Justifications</t>
  </si>
  <si>
    <t>Comparing units with a different number of bedrooms</t>
  </si>
  <si>
    <t>Comparable units must use market comparables with the same number of bedrooms. If there are no comparable unsubsidized units with the same number of bedrooms as the public housing development, a justification must be included explaining why there are no comparable units for a specific number of bedrooms in a local market.</t>
  </si>
  <si>
    <t>A single amenity adjustment is greater than 25% of the total actual rent</t>
  </si>
  <si>
    <t>PHAs with any single amenity adjustment that is more than 25% of the comparable unit’s actual rent must include a justification that is based on local market conditions.The justifications must include market specific explanations of how the adjustment was made using local data.</t>
  </si>
  <si>
    <t>Joint submissions for PHAs with the same executive director</t>
  </si>
  <si>
    <t>PHAs from neighboring cities or within the same county with a shared executive director can submit a joint flat rent exception request. The justification must include information that explains how there is no substantive difference between the PHA’s rental and employment markets.</t>
  </si>
  <si>
    <t>Bathrooms</t>
  </si>
  <si>
    <t>YN</t>
  </si>
  <si>
    <t>AC</t>
  </si>
  <si>
    <t>Confirm</t>
  </si>
  <si>
    <t>Single Family</t>
  </si>
  <si>
    <t>Non-Subsidized</t>
  </si>
  <si>
    <t>Unadjusted Rent</t>
  </si>
  <si>
    <t>Subsidized (Not Eligible)</t>
  </si>
  <si>
    <t>Townhouse</t>
  </si>
  <si>
    <t>Mobile Home</t>
  </si>
  <si>
    <r>
      <t xml:space="preserve">OMB Approval No. </t>
    </r>
    <r>
      <rPr>
        <sz val="11"/>
        <color rgb="FFFF0000"/>
        <rFont val="Calibri"/>
        <family val="2"/>
        <scheme val="minor"/>
      </rPr>
      <t>[insert]</t>
    </r>
  </si>
  <si>
    <r>
      <t xml:space="preserve">(exp. </t>
    </r>
    <r>
      <rPr>
        <sz val="11"/>
        <color rgb="FFFF0000"/>
        <rFont val="Calibri"/>
        <family val="2"/>
        <scheme val="minor"/>
      </rPr>
      <t>[insert]</t>
    </r>
    <r>
      <rPr>
        <sz val="11"/>
        <color theme="1"/>
        <rFont val="Calibri"/>
        <family val="2"/>
        <scheme val="minor"/>
      </rPr>
      <t>)</t>
    </r>
  </si>
  <si>
    <r>
      <t xml:space="preserve">Public Reporting burden for this collection is estimated to average </t>
    </r>
    <r>
      <rPr>
        <sz val="8"/>
        <color rgb="FFFF0000"/>
        <rFont val="Calibri"/>
        <family val="2"/>
        <scheme val="minor"/>
      </rPr>
      <t>[insert]</t>
    </r>
    <r>
      <rPr>
        <sz val="8"/>
        <color theme="1"/>
        <rFont val="Calibri"/>
        <family val="2"/>
        <scheme val="minor"/>
      </rPr>
      <t xml:space="preserve"> hours per response, including the time for reviewing instructions, searching existing data sources, gathering and maintaining the data needed, and completing and reviewing the collection of information. This information is required to obtain a flat rent exception approval. HUD may not collect this information and you are not required to complete this form, unless it displays a currently valid OMB number. This information is being collected under Public Law </t>
    </r>
    <r>
      <rPr>
        <sz val="8"/>
        <color rgb="FFFF0000"/>
        <rFont val="Calibri"/>
        <family val="2"/>
        <scheme val="minor"/>
      </rPr>
      <t>[insert]</t>
    </r>
    <r>
      <rPr>
        <sz val="8"/>
        <color theme="1"/>
        <rFont val="Calibri"/>
        <family val="2"/>
        <scheme val="minor"/>
      </rPr>
      <t xml:space="preserve"> which requires the Department of Housing and Urban Development to allow exceptions to FMR-based flat rents when authorized by the Secretary. The information will be used by HUD to approve public housing flat rent exceptions. Confidentiality to respondents is ensured if it would result in competitive harm in accordance with the Freedom of Information Act (FOIA) provisions, or if it could impact the Department's mission to provide housing units under the various Sections of the Housing legislation.</t>
    </r>
  </si>
  <si>
    <t>7-Bedroom Market Analysis</t>
  </si>
  <si>
    <t>Year Built (or Renovated, if applicable)</t>
  </si>
  <si>
    <t>Central Heat</t>
  </si>
  <si>
    <t>D. Adjustment Calculation</t>
  </si>
  <si>
    <t>Unit Rent per Month</t>
  </si>
  <si>
    <t>Total Adjustment Calculated</t>
  </si>
  <si>
    <t>Indicated Rent</t>
  </si>
  <si>
    <t>Market Analysis Correlated Subject Rent</t>
  </si>
  <si>
    <t>80% FMR</t>
  </si>
  <si>
    <t>80% SAFMR</t>
  </si>
  <si>
    <t xml:space="preserve">Statewide Minimum Rent </t>
  </si>
  <si>
    <r>
      <rPr>
        <b/>
        <sz val="8"/>
        <color theme="1"/>
        <rFont val="Calibri"/>
        <family val="2"/>
        <scheme val="minor"/>
      </rPr>
      <t xml:space="preserve">Appraiser/Staff Preparer's Certification: </t>
    </r>
    <r>
      <rPr>
        <sz val="8"/>
        <color theme="1"/>
        <rFont val="Calibri"/>
        <family val="2"/>
        <scheme val="minor"/>
      </rPr>
      <t xml:space="preserve">I certify to the following. All information reported on this form is truthfully represented. The comparables provided are the most similar units available to those of the subject property within the subject locality (e.g., those requiring the least adjustment). If reasonably accurate comparables were not available in the subject locality, comparables were utilized from similar units in a location that could reasonably be considered part of the local market (e.g., a neighboring town or county). This analysis does not include any subsidized units in the comparables (e.g., tax credit, USDA assisted housing, other public housing, etc.). </t>
    </r>
  </si>
  <si>
    <t>Appraiser/Staff Signature</t>
  </si>
  <si>
    <t>Date (mm/dd/yyyy)</t>
  </si>
  <si>
    <r>
      <rPr>
        <b/>
        <sz val="8"/>
        <color theme="1"/>
        <rFont val="Calibri"/>
        <family val="2"/>
        <scheme val="minor"/>
      </rPr>
      <t xml:space="preserve">Executive Director's Certification: </t>
    </r>
    <r>
      <rPr>
        <sz val="8"/>
        <color theme="1"/>
        <rFont val="Calibri"/>
        <family val="2"/>
        <scheme val="minor"/>
      </rPr>
      <t xml:space="preserve">I certify to the following. All information reported on this form is truthfully represented. The comparables provided are the most similar units available to those of the subject property within the subject locality (e.g., those requiring the least adjustment). If reasonably accurate comparables were not available in the subject locality, comparables were utilized from similar units in a location that could reasonably be considered part of the local market (e.g., a neighboring town or county). This analysis does not include any subsidized units in the comparables (e.g., tax credit, USDA assisted housing, other public housing, etc.). </t>
    </r>
  </si>
  <si>
    <t>Executive Director Signature</t>
  </si>
  <si>
    <r>
      <t>form HUD-</t>
    </r>
    <r>
      <rPr>
        <sz val="8"/>
        <color rgb="FFFF0000"/>
        <rFont val="Calibri"/>
        <family val="2"/>
        <scheme val="minor"/>
      </rPr>
      <t>[insert]</t>
    </r>
  </si>
  <si>
    <t>Adjustment ($ or %)</t>
  </si>
  <si>
    <t>KY</t>
  </si>
  <si>
    <t>ME</t>
  </si>
  <si>
    <t>MD</t>
  </si>
  <si>
    <t>MA</t>
  </si>
  <si>
    <t>MI</t>
  </si>
  <si>
    <t>MT</t>
  </si>
  <si>
    <t>Sink Hole in Living Room</t>
  </si>
  <si>
    <t>NY</t>
  </si>
  <si>
    <t>NC</t>
  </si>
  <si>
    <t>ND</t>
  </si>
  <si>
    <t>OH</t>
  </si>
  <si>
    <t>OK</t>
  </si>
  <si>
    <t>PA</t>
  </si>
  <si>
    <t>PR</t>
  </si>
  <si>
    <t>RI</t>
  </si>
  <si>
    <t>SC</t>
  </si>
  <si>
    <t>SD</t>
  </si>
  <si>
    <t>TN</t>
  </si>
  <si>
    <t>TX</t>
  </si>
  <si>
    <t>UT</t>
  </si>
  <si>
    <t>VT</t>
  </si>
  <si>
    <t>VA</t>
  </si>
  <si>
    <t>WA</t>
  </si>
  <si>
    <t>WV</t>
  </si>
  <si>
    <t>WI</t>
  </si>
  <si>
    <t>WY</t>
  </si>
  <si>
    <t>VI</t>
  </si>
  <si>
    <t>Hookup Hookup</t>
  </si>
  <si>
    <t>Hookup</t>
  </si>
  <si>
    <t>None Hookup</t>
  </si>
  <si>
    <t>Hookup On Site</t>
  </si>
  <si>
    <t>Hookup In Unit</t>
  </si>
  <si>
    <t>In Unit Hookup</t>
  </si>
  <si>
    <t>Hookup None</t>
  </si>
  <si>
    <t>On Site Hookup</t>
  </si>
  <si>
    <t>Housing Agency Name</t>
  </si>
  <si>
    <t>Per Notice PIH 2021-27 and subsequent updates, a PHA must provide a local market-related justification in three instances. Those are 1) different bedroom sizes; 2) amenity adjustments greater than 25%; and 3) joint submissions. PHAs are required to submit any applicable justification using the tab within the HUD Form 5880. Please refer to the Notice for examples.
Different Bedroom Sizes
•	Comparable units should use market comparables of the same bedroom size. 
•	The justification must include why there are no market rate comparable units for a specific bedroom size in a local market.
Amenity Adjustments Greater than 25%
•	PHAs with any single amenity adjustment that is more than 25% of the comparable unit’s actual rent must include a justification that is based on local market conditions.
•	The justifications must include market specific explanations of how the adjustment was made using local data.
Joint Submissions for Two PHAs
•	PHAs from neighboring cities or within the same county with a shared executive director can submit a joint flat rent exception request. 
•	The justification must include information that explains how there is no substantive difference between the PHA’s rental and employment markets.</t>
  </si>
  <si>
    <t>Public reporting burden for this collection of information is estimated to average 8 hours per response, including the time for reviewing instructions, searching existing data sources, gathering and maintaining the data needed, and completing and reviewing the collection of information.  Comments regarding the accuracy of this burden estimate and any suggestions for reducing this burden can be sent to the Reports Management Officer, QDAM, Department of Housing and Urban Development, 451 7th St SW, Room 4176, Washington, DC 20410-5000.  Do not send completed forms to this address.  This agency may not conduct or sponsor, and a person is not required to respond to, a collection of information unless the collection displays a valid OMB control number.
The Department of Housing and Urban Development is collecting this information under Public Law 24 CFR § 960.253(b)(3) which requires HUD to allow exceptions to Fair Market Rent-based flat rents when authorized by the Secretary. The information will be used by HUD to approve public housing flat rent exceptions. This information is required to obtain a flat rent exception approval. No assurances of confidentiality are provided for this information collection.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</si>
</sst>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6" formatCode="&quot;$&quot;#,##0_);[Red]\(&quot;$&quot;#,##0\)"/>
    <numFmt numFmtId="8" formatCode="&quot;$&quot;#,##0.00_);[Red]\(&quot;$&quot;#,##0.00\)"/>
    <numFmt numFmtId="43" formatCode="_(* #,##0.00_);_(* \(#,##0.00\);_(* &quot;-&quot;??_);_(@_)"/>
    <numFmt numFmtId="164" formatCode="&quot;$&quot;#,##0"/>
    <numFmt numFmtId="165" formatCode="&quot;$&quot;#,##0.00"/>
    <numFmt numFmtId="166" formatCode="_(* #,##0_);_(* \(#,##0\);_(* &quot;-&quot;??_);_(@_)"/>
  </numFmts>
  <fonts count="27"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1"/>
      <color rgb="FFFF0000"/>
      <name val="Calibri"/>
      <family val="2"/>
      <scheme val="minor"/>
    </font>
    <font>
      <sz val="8"/>
      <color theme="1"/>
      <name val="Calibri"/>
      <family val="2"/>
      <scheme val="minor"/>
    </font>
    <font>
      <sz val="8"/>
      <color rgb="FFFF0000"/>
      <name val="Calibri"/>
      <family val="2"/>
      <scheme val="minor"/>
    </font>
    <font>
      <i/>
      <sz val="11"/>
      <color theme="2" tint="-0.499984740745262"/>
      <name val="Calibri"/>
      <family val="2"/>
      <scheme val="minor"/>
    </font>
    <font>
      <b/>
      <sz val="8"/>
      <color theme="1"/>
      <name val="Calibri"/>
      <family val="2"/>
      <scheme val="minor"/>
    </font>
    <font>
      <b/>
      <sz val="12"/>
      <color theme="1"/>
      <name val="Calibri"/>
      <family val="2"/>
      <scheme val="minor"/>
    </font>
    <font>
      <sz val="11"/>
      <color theme="1"/>
      <name val="Calibri"/>
      <family val="2"/>
      <scheme val="minor"/>
    </font>
    <font>
      <b/>
      <sz val="11"/>
      <color rgb="FFFF0000"/>
      <name val="Calibri"/>
      <family val="2"/>
      <scheme val="minor"/>
    </font>
    <font>
      <sz val="11"/>
      <name val="Calibri"/>
      <family val="2"/>
      <scheme val="minor"/>
    </font>
    <font>
      <i/>
      <sz val="11"/>
      <name val="Calibri"/>
      <family val="2"/>
      <scheme val="minor"/>
    </font>
    <font>
      <b/>
      <u/>
      <sz val="11"/>
      <color theme="1"/>
      <name val="Calibri"/>
      <family val="2"/>
      <scheme val="minor"/>
    </font>
    <font>
      <b/>
      <sz val="14"/>
      <color theme="1"/>
      <name val="Calibri"/>
      <family val="2"/>
      <scheme val="minor"/>
    </font>
    <font>
      <b/>
      <sz val="16"/>
      <color theme="1"/>
      <name val="Calibri"/>
      <family val="2"/>
      <scheme val="minor"/>
    </font>
    <font>
      <b/>
      <i/>
      <sz val="11"/>
      <color theme="1"/>
      <name val="Calibri"/>
      <family val="2"/>
      <scheme val="minor"/>
    </font>
    <font>
      <i/>
      <sz val="11"/>
      <color theme="1"/>
      <name val="Calibri"/>
      <family val="2"/>
      <scheme val="minor"/>
    </font>
    <font>
      <sz val="11"/>
      <color rgb="FF000000"/>
      <name val="Calibri"/>
      <family val="2"/>
    </font>
    <font>
      <sz val="8"/>
      <name val="Calibri"/>
      <family val="2"/>
      <scheme val="minor"/>
    </font>
    <font>
      <sz val="10"/>
      <color theme="1"/>
      <name val="Calibri"/>
      <family val="2"/>
      <scheme val="minor"/>
    </font>
    <font>
      <b/>
      <i/>
      <sz val="12"/>
      <color theme="1"/>
      <name val="Calibri"/>
      <family val="2"/>
      <scheme val="minor"/>
    </font>
    <font>
      <b/>
      <sz val="10"/>
      <name val="Calibri"/>
      <family val="2"/>
      <scheme val="minor"/>
    </font>
    <font>
      <i/>
      <sz val="10"/>
      <name val="Calibri"/>
      <family val="2"/>
      <scheme val="minor"/>
    </font>
    <font>
      <sz val="11"/>
      <color rgb="FFC00000"/>
      <name val="Calibri"/>
      <family val="2"/>
      <scheme val="minor"/>
    </font>
    <font>
      <b/>
      <sz val="11"/>
      <name val="Calibri"/>
      <family val="2"/>
      <scheme val="minor"/>
    </font>
  </fonts>
  <fills count="13">
    <fill>
      <patternFill patternType="none"/>
    </fill>
    <fill>
      <patternFill patternType="gray125"/>
    </fill>
    <fill>
      <patternFill patternType="solid">
        <fgColor theme="4" tint="0.59999389629810485"/>
        <bgColor indexed="64"/>
      </patternFill>
    </fill>
    <fill>
      <patternFill patternType="solid">
        <fgColor theme="1"/>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rgb="FFBDD7EE"/>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rgb="FFFF9999"/>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n">
        <color indexed="64"/>
      </right>
      <top/>
      <bottom/>
      <diagonal/>
    </border>
    <border>
      <left style="thick">
        <color indexed="64"/>
      </left>
      <right style="thin">
        <color indexed="64"/>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ck">
        <color indexed="64"/>
      </right>
      <top style="thin">
        <color indexed="64"/>
      </top>
      <bottom/>
      <diagonal/>
    </border>
    <border>
      <left/>
      <right style="thick">
        <color indexed="64"/>
      </right>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ck">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ck">
        <color indexed="64"/>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hair">
        <color indexed="64"/>
      </bottom>
      <diagonal/>
    </border>
    <border>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s>
  <cellStyleXfs count="3">
    <xf numFmtId="0" fontId="0" fillId="0" borderId="0"/>
    <xf numFmtId="9" fontId="10" fillId="0" borderId="0" applyFont="0" applyFill="0" applyBorder="0" applyAlignment="0" applyProtection="0"/>
    <xf numFmtId="43" fontId="10" fillId="0" borderId="0" applyFont="0" applyFill="0" applyBorder="0" applyAlignment="0" applyProtection="0"/>
  </cellStyleXfs>
  <cellXfs count="380">
    <xf numFmtId="0" fontId="0" fillId="0" borderId="0" xfId="0"/>
    <xf numFmtId="0" fontId="0" fillId="0" borderId="0" xfId="0" applyAlignment="1">
      <alignment horizontal="center"/>
    </xf>
    <xf numFmtId="0" fontId="0" fillId="0" borderId="1" xfId="0" applyBorder="1"/>
    <xf numFmtId="0" fontId="2" fillId="0" borderId="0" xfId="0" applyFont="1"/>
    <xf numFmtId="0" fontId="2" fillId="0" borderId="1" xfId="0" applyFont="1" applyBorder="1"/>
    <xf numFmtId="0" fontId="2" fillId="0" borderId="1" xfId="0" applyFont="1" applyBorder="1" applyAlignment="1">
      <alignment horizontal="center"/>
    </xf>
    <xf numFmtId="0" fontId="0" fillId="0" borderId="1" xfId="0" applyBorder="1" applyAlignment="1">
      <alignment horizontal="left"/>
    </xf>
    <xf numFmtId="0" fontId="0" fillId="2" borderId="9" xfId="0" applyFill="1" applyBorder="1" applyAlignment="1">
      <alignment horizontal="center"/>
    </xf>
    <xf numFmtId="0" fontId="3" fillId="0" borderId="0" xfId="0" applyFont="1"/>
    <xf numFmtId="0" fontId="0" fillId="2" borderId="7" xfId="0" applyFill="1" applyBorder="1" applyAlignment="1">
      <alignment horizontal="center"/>
    </xf>
    <xf numFmtId="0" fontId="1" fillId="0" borderId="0" xfId="0" applyFont="1"/>
    <xf numFmtId="1" fontId="0" fillId="0" borderId="1" xfId="0" applyNumberFormat="1" applyBorder="1"/>
    <xf numFmtId="0" fontId="0" fillId="0" borderId="1" xfId="0" applyBorder="1" applyAlignment="1">
      <alignment horizontal="center"/>
    </xf>
    <xf numFmtId="0" fontId="0" fillId="2" borderId="1" xfId="0" applyFill="1" applyBorder="1" applyAlignment="1">
      <alignment horizontal="center"/>
    </xf>
    <xf numFmtId="0" fontId="0" fillId="4" borderId="0" xfId="0" applyFill="1"/>
    <xf numFmtId="0" fontId="0" fillId="4" borderId="0" xfId="0" applyFill="1" applyAlignment="1">
      <alignment horizontal="center"/>
    </xf>
    <xf numFmtId="0" fontId="0" fillId="4" borderId="1" xfId="0" applyFill="1" applyBorder="1" applyAlignment="1">
      <alignment horizontal="center"/>
    </xf>
    <xf numFmtId="0" fontId="0" fillId="4" borderId="7" xfId="0" applyFill="1" applyBorder="1" applyAlignment="1">
      <alignment horizontal="center"/>
    </xf>
    <xf numFmtId="0" fontId="0" fillId="0" borderId="0" xfId="0" applyAlignment="1">
      <alignment horizontal="left"/>
    </xf>
    <xf numFmtId="0" fontId="5" fillId="4" borderId="0" xfId="0" applyFont="1" applyFill="1"/>
    <xf numFmtId="0" fontId="5" fillId="4" borderId="0" xfId="0" applyFont="1" applyFill="1" applyAlignment="1">
      <alignment horizontal="right"/>
    </xf>
    <xf numFmtId="0" fontId="0" fillId="0" borderId="0" xfId="0" applyAlignment="1">
      <alignment vertical="top"/>
    </xf>
    <xf numFmtId="10" fontId="0" fillId="0" borderId="1" xfId="1" applyNumberFormat="1" applyFont="1" applyBorder="1" applyAlignment="1">
      <alignment horizontal="center"/>
    </xf>
    <xf numFmtId="0" fontId="2" fillId="0" borderId="27" xfId="0" applyFont="1" applyBorder="1"/>
    <xf numFmtId="0" fontId="0" fillId="0" borderId="30" xfId="0" applyBorder="1"/>
    <xf numFmtId="0" fontId="0" fillId="0" borderId="32" xfId="0" applyBorder="1"/>
    <xf numFmtId="0" fontId="2" fillId="0" borderId="35"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37" xfId="0" applyFont="1" applyBorder="1" applyAlignment="1">
      <alignment horizontal="center" vertical="center" wrapText="1"/>
    </xf>
    <xf numFmtId="164" fontId="0" fillId="0" borderId="31" xfId="0" applyNumberFormat="1" applyBorder="1"/>
    <xf numFmtId="164" fontId="0" fillId="0" borderId="34" xfId="0" applyNumberFormat="1" applyBorder="1"/>
    <xf numFmtId="0" fontId="0" fillId="0" borderId="31" xfId="0" applyBorder="1"/>
    <xf numFmtId="0" fontId="0" fillId="0" borderId="33" xfId="0" applyBorder="1"/>
    <xf numFmtId="0" fontId="0" fillId="0" borderId="34" xfId="0" applyBorder="1"/>
    <xf numFmtId="0" fontId="2" fillId="0" borderId="35" xfId="0" applyFont="1" applyBorder="1"/>
    <xf numFmtId="0" fontId="2" fillId="0" borderId="36" xfId="0" applyFont="1" applyBorder="1"/>
    <xf numFmtId="0" fontId="2" fillId="0" borderId="36" xfId="0" quotePrefix="1" applyFont="1" applyBorder="1" applyAlignment="1">
      <alignment horizontal="center" vertical="center"/>
    </xf>
    <xf numFmtId="0" fontId="2" fillId="0" borderId="37" xfId="0" applyFont="1" applyBorder="1" applyAlignment="1">
      <alignment horizontal="center"/>
    </xf>
    <xf numFmtId="0" fontId="2" fillId="0" borderId="26" xfId="0" applyFont="1" applyBorder="1"/>
    <xf numFmtId="0" fontId="0" fillId="0" borderId="38" xfId="0" applyBorder="1"/>
    <xf numFmtId="0" fontId="0" fillId="0" borderId="39" xfId="0" applyBorder="1"/>
    <xf numFmtId="0" fontId="2" fillId="0" borderId="41"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3" xfId="0" applyFont="1" applyBorder="1" applyAlignment="1">
      <alignment horizontal="center" vertical="center" wrapText="1"/>
    </xf>
    <xf numFmtId="0" fontId="0" fillId="0" borderId="32" xfId="0" applyBorder="1" applyAlignment="1">
      <alignment horizontal="center"/>
    </xf>
    <xf numFmtId="0" fontId="0" fillId="0" borderId="44" xfId="0" applyBorder="1" applyAlignment="1">
      <alignment horizontal="center"/>
    </xf>
    <xf numFmtId="0" fontId="0" fillId="0" borderId="34" xfId="0" applyBorder="1" applyAlignment="1">
      <alignment horizontal="center"/>
    </xf>
    <xf numFmtId="3" fontId="2" fillId="6" borderId="7" xfId="0" applyNumberFormat="1" applyFont="1" applyFill="1" applyBorder="1" applyAlignment="1">
      <alignment horizontal="center"/>
    </xf>
    <xf numFmtId="0" fontId="0" fillId="2" borderId="1" xfId="0" applyFill="1" applyBorder="1" applyAlignment="1">
      <alignment horizontal="left"/>
    </xf>
    <xf numFmtId="0" fontId="0" fillId="4" borderId="21" xfId="0" applyFill="1" applyBorder="1" applyAlignment="1">
      <alignment horizontal="center" vertical="center"/>
    </xf>
    <xf numFmtId="0" fontId="0" fillId="4" borderId="53" xfId="0" applyFill="1" applyBorder="1" applyAlignment="1">
      <alignment horizontal="center"/>
    </xf>
    <xf numFmtId="0" fontId="0" fillId="0" borderId="53" xfId="0" applyBorder="1"/>
    <xf numFmtId="3" fontId="0" fillId="3" borderId="7" xfId="0" applyNumberFormat="1" applyFill="1" applyBorder="1" applyAlignment="1">
      <alignment horizontal="center"/>
    </xf>
    <xf numFmtId="3" fontId="0" fillId="2" borderId="9" xfId="0" applyNumberFormat="1" applyFill="1" applyBorder="1" applyAlignment="1">
      <alignment horizontal="center"/>
    </xf>
    <xf numFmtId="3" fontId="0" fillId="0" borderId="1" xfId="0" applyNumberFormat="1" applyBorder="1"/>
    <xf numFmtId="3" fontId="0" fillId="0" borderId="7" xfId="0" applyNumberFormat="1" applyBorder="1"/>
    <xf numFmtId="3" fontId="0" fillId="0" borderId="53" xfId="0" applyNumberFormat="1" applyBorder="1"/>
    <xf numFmtId="3" fontId="0" fillId="4" borderId="9" xfId="0" applyNumberFormat="1" applyFill="1" applyBorder="1" applyAlignment="1">
      <alignment horizontal="center"/>
    </xf>
    <xf numFmtId="3" fontId="0" fillId="4" borderId="1" xfId="0" applyNumberFormat="1" applyFill="1" applyBorder="1"/>
    <xf numFmtId="3" fontId="0" fillId="4" borderId="7" xfId="0" applyNumberFormat="1" applyFill="1" applyBorder="1"/>
    <xf numFmtId="3" fontId="0" fillId="4" borderId="53" xfId="0" applyNumberFormat="1" applyFill="1" applyBorder="1"/>
    <xf numFmtId="3" fontId="0" fillId="3" borderId="1" xfId="0" applyNumberFormat="1" applyFill="1" applyBorder="1"/>
    <xf numFmtId="3" fontId="0" fillId="3" borderId="7" xfId="0" applyNumberFormat="1" applyFill="1" applyBorder="1"/>
    <xf numFmtId="3" fontId="0" fillId="3" borderId="53" xfId="0" applyNumberFormat="1" applyFill="1" applyBorder="1"/>
    <xf numFmtId="3" fontId="0" fillId="3" borderId="19" xfId="0" applyNumberFormat="1" applyFill="1" applyBorder="1" applyAlignment="1">
      <alignment horizontal="center"/>
    </xf>
    <xf numFmtId="3" fontId="0" fillId="3" borderId="21" xfId="0" applyNumberFormat="1" applyFill="1" applyBorder="1"/>
    <xf numFmtId="3" fontId="0" fillId="3" borderId="25" xfId="0" applyNumberFormat="1" applyFill="1" applyBorder="1"/>
    <xf numFmtId="3" fontId="0" fillId="3" borderId="55" xfId="0" applyNumberFormat="1" applyFill="1" applyBorder="1"/>
    <xf numFmtId="3" fontId="2" fillId="4" borderId="7" xfId="0" applyNumberFormat="1" applyFont="1" applyFill="1" applyBorder="1" applyAlignment="1">
      <alignment horizontal="center"/>
    </xf>
    <xf numFmtId="3" fontId="2" fillId="4" borderId="56" xfId="0" applyNumberFormat="1" applyFont="1" applyFill="1" applyBorder="1" applyAlignment="1">
      <alignment horizontal="center"/>
    </xf>
    <xf numFmtId="3" fontId="0" fillId="3" borderId="57" xfId="0" applyNumberFormat="1" applyFill="1" applyBorder="1" applyAlignment="1">
      <alignment horizontal="center"/>
    </xf>
    <xf numFmtId="3" fontId="0" fillId="3" borderId="22" xfId="0" applyNumberFormat="1" applyFill="1" applyBorder="1"/>
    <xf numFmtId="3" fontId="0" fillId="3" borderId="56" xfId="0" applyNumberFormat="1" applyFill="1" applyBorder="1"/>
    <xf numFmtId="3" fontId="0" fillId="3" borderId="58" xfId="0" applyNumberFormat="1" applyFill="1" applyBorder="1"/>
    <xf numFmtId="3" fontId="0" fillId="2" borderId="7" xfId="0" applyNumberFormat="1" applyFill="1" applyBorder="1" applyAlignment="1">
      <alignment horizontal="center"/>
    </xf>
    <xf numFmtId="0" fontId="0" fillId="0" borderId="0" xfId="0" applyAlignment="1">
      <alignment vertical="center"/>
    </xf>
    <xf numFmtId="0" fontId="2" fillId="0" borderId="0" xfId="0" applyFont="1" applyAlignment="1">
      <alignment vertical="center" wrapText="1"/>
    </xf>
    <xf numFmtId="0" fontId="0" fillId="0" borderId="0" xfId="0" applyAlignment="1">
      <alignment vertical="center" wrapText="1"/>
    </xf>
    <xf numFmtId="0" fontId="0" fillId="0" borderId="60" xfId="0" applyBorder="1" applyAlignment="1">
      <alignment horizontal="left" vertical="center" wrapText="1"/>
    </xf>
    <xf numFmtId="0" fontId="0" fillId="0" borderId="61" xfId="0" applyBorder="1" applyAlignment="1">
      <alignment horizontal="left" vertical="center" wrapText="1"/>
    </xf>
    <xf numFmtId="0" fontId="2" fillId="0" borderId="62" xfId="0" applyFont="1" applyBorder="1" applyAlignment="1">
      <alignment horizontal="center" vertical="center" wrapText="1"/>
    </xf>
    <xf numFmtId="0" fontId="0" fillId="0" borderId="63" xfId="0" applyBorder="1" applyAlignment="1">
      <alignment horizontal="left" vertical="center" wrapText="1"/>
    </xf>
    <xf numFmtId="0" fontId="0" fillId="0" borderId="60" xfId="0" applyBorder="1" applyAlignment="1">
      <alignment horizontal="left" vertical="center" wrapText="1" indent="2"/>
    </xf>
    <xf numFmtId="0" fontId="0" fillId="2" borderId="1" xfId="0" applyFill="1" applyBorder="1" applyAlignment="1" applyProtection="1">
      <alignment horizontal="left"/>
      <protection locked="0"/>
    </xf>
    <xf numFmtId="0" fontId="0" fillId="2" borderId="7" xfId="0" applyFill="1" applyBorder="1" applyAlignment="1" applyProtection="1">
      <alignment horizontal="center"/>
      <protection locked="0"/>
    </xf>
    <xf numFmtId="0" fontId="0" fillId="2" borderId="9" xfId="0" applyFill="1" applyBorder="1" applyAlignment="1" applyProtection="1">
      <alignment horizontal="center"/>
      <protection locked="0"/>
    </xf>
    <xf numFmtId="3" fontId="0" fillId="2" borderId="7" xfId="0" applyNumberFormat="1" applyFill="1" applyBorder="1" applyAlignment="1" applyProtection="1">
      <alignment horizontal="center"/>
      <protection locked="0"/>
    </xf>
    <xf numFmtId="3" fontId="0" fillId="2" borderId="9" xfId="0" applyNumberFormat="1" applyFill="1" applyBorder="1" applyAlignment="1" applyProtection="1">
      <alignment horizontal="center"/>
      <protection locked="0"/>
    </xf>
    <xf numFmtId="165" fontId="0" fillId="2" borderId="1" xfId="0" applyNumberFormat="1" applyFill="1" applyBorder="1" applyAlignment="1">
      <alignment horizontal="right"/>
    </xf>
    <xf numFmtId="164" fontId="0" fillId="0" borderId="0" xfId="0" applyNumberFormat="1"/>
    <xf numFmtId="1" fontId="0" fillId="0" borderId="53" xfId="0" applyNumberFormat="1" applyBorder="1"/>
    <xf numFmtId="3" fontId="0" fillId="3" borderId="16" xfId="0" applyNumberFormat="1" applyFill="1" applyBorder="1" applyAlignment="1">
      <alignment horizontal="center"/>
    </xf>
    <xf numFmtId="3" fontId="0" fillId="3" borderId="16" xfId="0" applyNumberFormat="1" applyFill="1" applyBorder="1"/>
    <xf numFmtId="3" fontId="2" fillId="0" borderId="12" xfId="0" applyNumberFormat="1" applyFont="1" applyBorder="1" applyAlignment="1">
      <alignment horizontal="center"/>
    </xf>
    <xf numFmtId="0" fontId="16" fillId="0" borderId="0" xfId="0" applyFont="1"/>
    <xf numFmtId="0" fontId="17" fillId="7" borderId="1" xfId="0" applyFont="1" applyFill="1" applyBorder="1" applyAlignment="1">
      <alignment horizontal="center" vertical="center" wrapText="1"/>
    </xf>
    <xf numFmtId="164" fontId="0" fillId="0" borderId="0" xfId="0" applyNumberFormat="1" applyAlignment="1">
      <alignment horizontal="center"/>
    </xf>
    <xf numFmtId="14" fontId="0" fillId="0" borderId="0" xfId="0" applyNumberFormat="1"/>
    <xf numFmtId="8" fontId="0" fillId="0" borderId="0" xfId="0" applyNumberFormat="1"/>
    <xf numFmtId="6" fontId="0" fillId="0" borderId="0" xfId="0" applyNumberFormat="1"/>
    <xf numFmtId="3" fontId="0" fillId="0" borderId="9" xfId="0" applyNumberFormat="1" applyBorder="1" applyAlignment="1" applyProtection="1">
      <alignment horizontal="center"/>
      <protection locked="0"/>
    </xf>
    <xf numFmtId="3" fontId="0" fillId="3" borderId="13" xfId="0" applyNumberFormat="1" applyFill="1" applyBorder="1" applyAlignment="1">
      <alignment horizontal="center"/>
    </xf>
    <xf numFmtId="3" fontId="2" fillId="6" borderId="53" xfId="0" applyNumberFormat="1" applyFont="1" applyFill="1" applyBorder="1" applyAlignment="1">
      <alignment horizontal="center"/>
    </xf>
    <xf numFmtId="3" fontId="2" fillId="0" borderId="55" xfId="0" applyNumberFormat="1" applyFont="1" applyBorder="1" applyAlignment="1">
      <alignment horizontal="center"/>
    </xf>
    <xf numFmtId="3" fontId="2" fillId="0" borderId="58" xfId="0" applyNumberFormat="1" applyFont="1" applyBorder="1" applyAlignment="1">
      <alignment horizontal="center"/>
    </xf>
    <xf numFmtId="3" fontId="2" fillId="6" borderId="26" xfId="0" applyNumberFormat="1" applyFont="1" applyFill="1" applyBorder="1"/>
    <xf numFmtId="3" fontId="0" fillId="0" borderId="0" xfId="0" applyNumberFormat="1"/>
    <xf numFmtId="3" fontId="0" fillId="0" borderId="33" xfId="0" applyNumberFormat="1" applyBorder="1"/>
    <xf numFmtId="3" fontId="2" fillId="8" borderId="55" xfId="0" applyNumberFormat="1" applyFont="1" applyFill="1" applyBorder="1" applyAlignment="1" applyProtection="1">
      <alignment horizontal="center"/>
      <protection locked="0"/>
    </xf>
    <xf numFmtId="3" fontId="2" fillId="8" borderId="58" xfId="0" applyNumberFormat="1" applyFont="1" applyFill="1" applyBorder="1" applyAlignment="1" applyProtection="1">
      <alignment horizontal="center"/>
      <protection locked="0"/>
    </xf>
    <xf numFmtId="0" fontId="3" fillId="0" borderId="8" xfId="0" applyFont="1" applyBorder="1" applyAlignment="1">
      <alignment horizontal="left"/>
    </xf>
    <xf numFmtId="0" fontId="3" fillId="0" borderId="0" xfId="0" applyFont="1" applyAlignment="1">
      <alignment horizontal="left"/>
    </xf>
    <xf numFmtId="0" fontId="3" fillId="0" borderId="8" xfId="0" applyFont="1" applyBorder="1"/>
    <xf numFmtId="0" fontId="0" fillId="0" borderId="0" xfId="0" quotePrefix="1"/>
    <xf numFmtId="164" fontId="19" fillId="9" borderId="1" xfId="0" applyNumberFormat="1" applyFont="1" applyFill="1" applyBorder="1" applyAlignment="1" applyProtection="1">
      <alignment horizontal="center" vertical="center"/>
      <protection locked="0"/>
    </xf>
    <xf numFmtId="8" fontId="19" fillId="9" borderId="1" xfId="0" applyNumberFormat="1" applyFont="1" applyFill="1" applyBorder="1" applyAlignment="1" applyProtection="1">
      <alignment horizontal="center" vertical="center"/>
      <protection locked="0"/>
    </xf>
    <xf numFmtId="164" fontId="0" fillId="0" borderId="29" xfId="0" applyNumberFormat="1" applyBorder="1"/>
    <xf numFmtId="0" fontId="0" fillId="4" borderId="0" xfId="0" applyFill="1" applyAlignment="1"/>
    <xf numFmtId="0" fontId="2" fillId="0" borderId="0" xfId="0" applyFont="1" applyAlignment="1"/>
    <xf numFmtId="0" fontId="18" fillId="0" borderId="12" xfId="0" applyFont="1" applyBorder="1" applyAlignment="1">
      <alignment horizontal="right"/>
    </xf>
    <xf numFmtId="0" fontId="18" fillId="0" borderId="16" xfId="0" applyFont="1" applyBorder="1" applyAlignment="1">
      <alignment horizontal="right"/>
    </xf>
    <xf numFmtId="0" fontId="17" fillId="8" borderId="1" xfId="0" applyFont="1" applyFill="1" applyBorder="1" applyAlignment="1">
      <alignment horizontal="right" vertical="center" wrapText="1"/>
    </xf>
    <xf numFmtId="0" fontId="5" fillId="4" borderId="0" xfId="0" applyFont="1" applyFill="1" applyAlignment="1"/>
    <xf numFmtId="164" fontId="7" fillId="2" borderId="16" xfId="0" applyNumberFormat="1" applyFont="1" applyFill="1" applyBorder="1" applyAlignment="1" applyProtection="1">
      <alignment horizontal="center"/>
      <protection locked="0"/>
    </xf>
    <xf numFmtId="0" fontId="18" fillId="0" borderId="65" xfId="0" applyFont="1" applyBorder="1" applyAlignment="1">
      <alignment horizontal="right"/>
    </xf>
    <xf numFmtId="0" fontId="0" fillId="4" borderId="21" xfId="0" applyFill="1" applyBorder="1" applyAlignment="1">
      <alignment horizontal="center"/>
    </xf>
    <xf numFmtId="0" fontId="0" fillId="4" borderId="22" xfId="0" applyFill="1" applyBorder="1" applyAlignment="1">
      <alignment horizontal="center" vertical="center"/>
    </xf>
    <xf numFmtId="1" fontId="0" fillId="0" borderId="4" xfId="0" applyNumberFormat="1" applyBorder="1"/>
    <xf numFmtId="3" fontId="0" fillId="0" borderId="4" xfId="0" applyNumberFormat="1" applyBorder="1"/>
    <xf numFmtId="0" fontId="0" fillId="2" borderId="6" xfId="0" applyFill="1" applyBorder="1" applyAlignment="1" applyProtection="1">
      <alignment horizontal="center"/>
      <protection locked="0"/>
    </xf>
    <xf numFmtId="3" fontId="0" fillId="2" borderId="6" xfId="0" applyNumberFormat="1" applyFill="1" applyBorder="1" applyAlignment="1" applyProtection="1">
      <alignment horizontal="center"/>
      <protection locked="0"/>
    </xf>
    <xf numFmtId="0" fontId="0" fillId="2" borderId="68" xfId="0" applyFill="1" applyBorder="1" applyAlignment="1" applyProtection="1">
      <alignment horizontal="center"/>
      <protection locked="0"/>
    </xf>
    <xf numFmtId="3" fontId="0" fillId="2" borderId="68" xfId="0" applyNumberFormat="1" applyFill="1" applyBorder="1" applyAlignment="1" applyProtection="1">
      <alignment horizontal="center"/>
      <protection locked="0"/>
    </xf>
    <xf numFmtId="0" fontId="0" fillId="2" borderId="4" xfId="0" applyFill="1" applyBorder="1" applyAlignment="1" applyProtection="1">
      <alignment horizontal="center"/>
      <protection locked="0"/>
    </xf>
    <xf numFmtId="3" fontId="0" fillId="2" borderId="4" xfId="0" applyNumberFormat="1" applyFill="1" applyBorder="1" applyAlignment="1" applyProtection="1">
      <alignment horizontal="center"/>
      <protection locked="0"/>
    </xf>
    <xf numFmtId="164" fontId="7" fillId="2" borderId="70" xfId="0" applyNumberFormat="1" applyFont="1" applyFill="1" applyBorder="1" applyAlignment="1" applyProtection="1">
      <alignment horizontal="center"/>
      <protection locked="0"/>
    </xf>
    <xf numFmtId="0" fontId="0" fillId="4" borderId="12" xfId="0" applyFill="1" applyBorder="1" applyAlignment="1">
      <alignment horizontal="center"/>
    </xf>
    <xf numFmtId="3" fontId="0" fillId="4" borderId="4" xfId="0" applyNumberFormat="1" applyFill="1" applyBorder="1"/>
    <xf numFmtId="3" fontId="0" fillId="3" borderId="4" xfId="0" applyNumberFormat="1" applyFill="1" applyBorder="1"/>
    <xf numFmtId="3" fontId="0" fillId="0" borderId="68" xfId="0" applyNumberFormat="1" applyBorder="1" applyAlignment="1" applyProtection="1">
      <alignment horizontal="center"/>
      <protection locked="0"/>
    </xf>
    <xf numFmtId="3" fontId="0" fillId="4" borderId="68" xfId="0" applyNumberFormat="1" applyFill="1" applyBorder="1" applyAlignment="1">
      <alignment horizontal="center"/>
    </xf>
    <xf numFmtId="164" fontId="7" fillId="2" borderId="5" xfId="0" applyNumberFormat="1" applyFont="1" applyFill="1" applyBorder="1" applyAlignment="1" applyProtection="1">
      <alignment horizontal="center" vertical="center"/>
      <protection locked="0"/>
    </xf>
    <xf numFmtId="0" fontId="21" fillId="4" borderId="22" xfId="0" applyFont="1" applyFill="1" applyBorder="1" applyAlignment="1">
      <alignment horizontal="center" vertical="center"/>
    </xf>
    <xf numFmtId="3" fontId="2" fillId="2" borderId="55" xfId="0" applyNumberFormat="1" applyFont="1" applyFill="1" applyBorder="1" applyAlignment="1" applyProtection="1">
      <alignment horizontal="center"/>
      <protection locked="0"/>
    </xf>
    <xf numFmtId="3" fontId="2" fillId="2" borderId="58" xfId="0" applyNumberFormat="1" applyFont="1" applyFill="1" applyBorder="1" applyAlignment="1" applyProtection="1">
      <alignment horizontal="center"/>
      <protection locked="0"/>
    </xf>
    <xf numFmtId="0" fontId="16" fillId="0" borderId="0" xfId="0" applyFont="1" applyAlignment="1"/>
    <xf numFmtId="0" fontId="0" fillId="0" borderId="0" xfId="0" applyAlignment="1"/>
    <xf numFmtId="0" fontId="0" fillId="0" borderId="1" xfId="0" applyBorder="1" applyAlignment="1">
      <alignment horizontal="right" indent="1"/>
    </xf>
    <xf numFmtId="0" fontId="17" fillId="8" borderId="1" xfId="0" applyFont="1" applyFill="1" applyBorder="1" applyAlignment="1">
      <alignment horizontal="right" vertical="center"/>
    </xf>
    <xf numFmtId="0" fontId="17" fillId="0" borderId="8" xfId="0" applyFont="1" applyFill="1" applyBorder="1" applyAlignment="1">
      <alignment horizontal="right" vertical="center"/>
    </xf>
    <xf numFmtId="0" fontId="17" fillId="0" borderId="2" xfId="0" applyFont="1" applyFill="1" applyBorder="1" applyAlignment="1">
      <alignment horizontal="right" vertical="center"/>
    </xf>
    <xf numFmtId="8" fontId="17" fillId="2" borderId="1" xfId="0" applyNumberFormat="1" applyFont="1" applyFill="1" applyBorder="1" applyAlignment="1">
      <alignment horizontal="right"/>
    </xf>
    <xf numFmtId="0" fontId="0" fillId="0" borderId="0" xfId="0" applyFill="1"/>
    <xf numFmtId="8" fontId="17" fillId="0" borderId="0" xfId="0" applyNumberFormat="1" applyFont="1" applyFill="1" applyBorder="1"/>
    <xf numFmtId="164" fontId="0" fillId="0" borderId="0" xfId="0" applyNumberFormat="1" applyFill="1" applyBorder="1"/>
    <xf numFmtId="165" fontId="19" fillId="9" borderId="1" xfId="0" applyNumberFormat="1" applyFont="1" applyFill="1" applyBorder="1" applyAlignment="1" applyProtection="1">
      <alignment horizontal="center" vertical="center"/>
      <protection locked="0"/>
    </xf>
    <xf numFmtId="166" fontId="0" fillId="0" borderId="0" xfId="2" applyNumberFormat="1" applyFont="1"/>
    <xf numFmtId="166" fontId="0" fillId="0" borderId="0" xfId="0" applyNumberFormat="1"/>
    <xf numFmtId="164" fontId="0" fillId="0" borderId="73" xfId="0" applyNumberFormat="1" applyBorder="1" applyAlignment="1">
      <alignment horizontal="right" vertical="center"/>
    </xf>
    <xf numFmtId="164" fontId="2" fillId="0" borderId="1" xfId="0" applyNumberFormat="1" applyFont="1" applyBorder="1" applyAlignment="1">
      <alignment horizontal="right"/>
    </xf>
    <xf numFmtId="0" fontId="0" fillId="0" borderId="0" xfId="0" applyAlignment="1">
      <alignment wrapText="1"/>
    </xf>
    <xf numFmtId="0" fontId="17" fillId="7" borderId="1" xfId="0" applyFont="1" applyFill="1" applyBorder="1" applyAlignment="1">
      <alignment horizontal="left" vertical="center" wrapText="1"/>
    </xf>
    <xf numFmtId="0" fontId="15" fillId="0" borderId="0" xfId="0" applyFont="1"/>
    <xf numFmtId="0" fontId="2" fillId="0" borderId="40" xfId="0" applyFont="1" applyBorder="1" applyAlignment="1">
      <alignment horizontal="center" wrapText="1"/>
    </xf>
    <xf numFmtId="0" fontId="2" fillId="0" borderId="40" xfId="0" applyFont="1" applyBorder="1" applyAlignment="1">
      <alignment horizontal="left" wrapText="1"/>
    </xf>
    <xf numFmtId="0" fontId="0" fillId="0" borderId="0" xfId="0" applyBorder="1"/>
    <xf numFmtId="0" fontId="2" fillId="0" borderId="27" xfId="0" applyFont="1" applyBorder="1" applyAlignment="1">
      <alignment horizontal="center" vertical="center"/>
    </xf>
    <xf numFmtId="0" fontId="11" fillId="0" borderId="28" xfId="0" applyFont="1" applyBorder="1" applyAlignment="1">
      <alignment horizontal="center" vertical="center"/>
    </xf>
    <xf numFmtId="164" fontId="2" fillId="0" borderId="29" xfId="0" applyNumberFormat="1" applyFont="1" applyBorder="1" applyAlignment="1">
      <alignment horizontal="center" vertical="center"/>
    </xf>
    <xf numFmtId="0" fontId="0" fillId="0" borderId="30" xfId="0" applyBorder="1" applyAlignment="1">
      <alignment horizontal="center" vertical="center"/>
    </xf>
    <xf numFmtId="0" fontId="12" fillId="0" borderId="0" xfId="0" applyFont="1" applyBorder="1" applyAlignment="1">
      <alignment horizontal="center" vertical="center"/>
    </xf>
    <xf numFmtId="164" fontId="0" fillId="0" borderId="31" xfId="0" applyNumberFormat="1" applyBorder="1" applyAlignment="1">
      <alignment horizontal="center" vertical="center"/>
    </xf>
    <xf numFmtId="0" fontId="0" fillId="0" borderId="0" xfId="0" applyBorder="1" applyAlignment="1">
      <alignment horizontal="center" vertical="center"/>
    </xf>
    <xf numFmtId="0" fontId="2" fillId="0" borderId="30" xfId="0" applyFont="1"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164" fontId="0" fillId="0" borderId="34" xfId="0" applyNumberFormat="1" applyBorder="1" applyAlignment="1">
      <alignment horizontal="center" vertical="center"/>
    </xf>
    <xf numFmtId="0" fontId="17" fillId="11" borderId="1" xfId="0" applyFont="1" applyFill="1" applyBorder="1" applyAlignment="1">
      <alignment horizontal="center" vertical="center" wrapText="1"/>
    </xf>
    <xf numFmtId="8" fontId="17" fillId="10" borderId="1" xfId="0" applyNumberFormat="1" applyFont="1" applyFill="1" applyBorder="1"/>
    <xf numFmtId="164" fontId="2" fillId="10" borderId="1" xfId="0" applyNumberFormat="1" applyFont="1" applyFill="1" applyBorder="1" applyAlignment="1">
      <alignment horizontal="right" vertical="center"/>
    </xf>
    <xf numFmtId="165" fontId="19" fillId="0" borderId="1" xfId="0" applyNumberFormat="1" applyFont="1" applyFill="1" applyBorder="1" applyAlignment="1" applyProtection="1">
      <alignment horizontal="right" vertical="center"/>
    </xf>
    <xf numFmtId="3" fontId="0" fillId="0" borderId="0" xfId="0" applyNumberFormat="1" applyBorder="1"/>
    <xf numFmtId="3" fontId="0" fillId="2" borderId="5" xfId="0" applyNumberFormat="1" applyFill="1" applyBorder="1" applyAlignment="1" applyProtection="1">
      <alignment horizontal="center"/>
      <protection locked="0"/>
    </xf>
    <xf numFmtId="0" fontId="18" fillId="2" borderId="1" xfId="0" applyFont="1" applyFill="1" applyBorder="1" applyAlignment="1" applyProtection="1">
      <alignment horizontal="right" indent="1"/>
      <protection locked="0"/>
    </xf>
    <xf numFmtId="164" fontId="2" fillId="0" borderId="0" xfId="0" applyNumberFormat="1" applyFont="1" applyBorder="1" applyAlignment="1">
      <alignment horizontal="right"/>
    </xf>
    <xf numFmtId="164" fontId="2" fillId="0" borderId="0" xfId="0" applyNumberFormat="1" applyFont="1" applyBorder="1" applyAlignment="1">
      <alignment horizontal="right" wrapText="1"/>
    </xf>
    <xf numFmtId="0" fontId="18" fillId="0" borderId="16" xfId="0" applyFont="1" applyBorder="1" applyAlignment="1">
      <alignment horizontal="center"/>
    </xf>
    <xf numFmtId="0" fontId="0" fillId="0" borderId="0" xfId="0" applyFont="1"/>
    <xf numFmtId="0" fontId="0" fillId="0" borderId="0" xfId="0" applyFont="1" applyBorder="1"/>
    <xf numFmtId="0" fontId="22" fillId="0" borderId="0" xfId="0" applyFont="1"/>
    <xf numFmtId="3" fontId="21" fillId="2" borderId="6" xfId="0" applyNumberFormat="1" applyFont="1" applyFill="1" applyBorder="1" applyAlignment="1" applyProtection="1">
      <alignment horizontal="center"/>
      <protection locked="0"/>
    </xf>
    <xf numFmtId="0" fontId="7" fillId="2" borderId="1" xfId="0" applyFont="1" applyFill="1" applyBorder="1" applyAlignment="1" applyProtection="1">
      <alignment horizontal="center"/>
      <protection locked="0"/>
    </xf>
    <xf numFmtId="0" fontId="7" fillId="2" borderId="4" xfId="0" applyFont="1" applyFill="1" applyBorder="1" applyAlignment="1" applyProtection="1">
      <alignment horizontal="center"/>
      <protection locked="0"/>
    </xf>
    <xf numFmtId="164" fontId="7" fillId="2" borderId="5" xfId="0" applyNumberFormat="1" applyFont="1" applyFill="1" applyBorder="1" applyAlignment="1" applyProtection="1">
      <alignment horizontal="center"/>
      <protection locked="0"/>
    </xf>
    <xf numFmtId="164" fontId="7" fillId="2" borderId="51" xfId="0" applyNumberFormat="1" applyFont="1" applyFill="1" applyBorder="1" applyAlignment="1" applyProtection="1">
      <alignment horizontal="center"/>
      <protection locked="0"/>
    </xf>
    <xf numFmtId="0" fontId="0" fillId="4" borderId="0" xfId="0" applyFill="1" applyAlignment="1">
      <alignment horizontal="right"/>
    </xf>
    <xf numFmtId="0" fontId="0" fillId="4" borderId="0" xfId="0" applyFill="1" applyAlignment="1">
      <alignment horizontal="left"/>
    </xf>
    <xf numFmtId="0" fontId="7" fillId="2" borderId="1" xfId="0" applyFont="1" applyFill="1" applyBorder="1" applyAlignment="1">
      <alignment horizontal="center"/>
    </xf>
    <xf numFmtId="0" fontId="7" fillId="2" borderId="4" xfId="0" applyFont="1" applyFill="1" applyBorder="1" applyAlignment="1">
      <alignment horizontal="center"/>
    </xf>
    <xf numFmtId="0" fontId="7" fillId="2" borderId="53" xfId="0" applyFont="1" applyFill="1" applyBorder="1" applyAlignment="1" applyProtection="1">
      <alignment horizontal="center"/>
      <protection locked="0"/>
    </xf>
    <xf numFmtId="0" fontId="7" fillId="2" borderId="1" xfId="0" applyFont="1" applyFill="1" applyBorder="1" applyAlignment="1" applyProtection="1">
      <alignment horizontal="center"/>
      <protection locked="0"/>
    </xf>
    <xf numFmtId="164" fontId="7" fillId="2" borderId="5" xfId="0" applyNumberFormat="1" applyFont="1" applyFill="1" applyBorder="1" applyAlignment="1" applyProtection="1">
      <alignment horizontal="center"/>
      <protection locked="0"/>
    </xf>
    <xf numFmtId="164" fontId="7" fillId="2" borderId="51" xfId="0" applyNumberFormat="1" applyFont="1" applyFill="1" applyBorder="1" applyAlignment="1" applyProtection="1">
      <alignment horizontal="center"/>
      <protection locked="0"/>
    </xf>
    <xf numFmtId="0" fontId="0" fillId="4" borderId="0" xfId="0" applyFill="1" applyAlignment="1">
      <alignment horizontal="right"/>
    </xf>
    <xf numFmtId="0" fontId="7" fillId="2" borderId="53" xfId="0" applyFont="1" applyFill="1" applyBorder="1" applyAlignment="1" applyProtection="1">
      <alignment horizontal="center"/>
      <protection locked="0"/>
    </xf>
    <xf numFmtId="0" fontId="0" fillId="0" borderId="30" xfId="0" applyFill="1" applyBorder="1" applyAlignment="1">
      <alignment horizontal="center" vertical="center"/>
    </xf>
    <xf numFmtId="164" fontId="0" fillId="0" borderId="31" xfId="0" applyNumberFormat="1" applyFill="1" applyBorder="1" applyAlignment="1">
      <alignment horizontal="center" vertical="center"/>
    </xf>
    <xf numFmtId="0" fontId="0" fillId="0" borderId="0" xfId="0" applyFill="1" applyBorder="1" applyAlignment="1">
      <alignment horizontal="center" vertical="center"/>
    </xf>
    <xf numFmtId="0" fontId="12" fillId="0" borderId="0" xfId="0" applyFont="1" applyFill="1" applyBorder="1" applyAlignment="1">
      <alignment horizontal="center" vertical="center"/>
    </xf>
    <xf numFmtId="0" fontId="0" fillId="0" borderId="31" xfId="0" applyBorder="1" applyAlignment="1">
      <alignment horizontal="center"/>
    </xf>
    <xf numFmtId="1" fontId="25" fillId="12" borderId="53" xfId="0" applyNumberFormat="1" applyFont="1" applyFill="1" applyBorder="1"/>
    <xf numFmtId="0" fontId="2" fillId="4" borderId="0" xfId="0" applyFont="1" applyFill="1" applyAlignment="1">
      <alignment horizontal="left"/>
    </xf>
    <xf numFmtId="0" fontId="0" fillId="4" borderId="0" xfId="0" applyFill="1" applyAlignment="1">
      <alignment horizontal="right"/>
    </xf>
    <xf numFmtId="0" fontId="0" fillId="4" borderId="0" xfId="0" applyFill="1" applyAlignment="1">
      <alignment horizontal="left"/>
    </xf>
    <xf numFmtId="0" fontId="5" fillId="4" borderId="0" xfId="0" applyFont="1" applyFill="1" applyAlignment="1">
      <alignment horizontal="left" wrapText="1"/>
    </xf>
    <xf numFmtId="0" fontId="0" fillId="4" borderId="21" xfId="0" applyFill="1" applyBorder="1" applyAlignment="1">
      <alignment horizontal="left" vertical="center"/>
    </xf>
    <xf numFmtId="14" fontId="0" fillId="2" borderId="12" xfId="0" applyNumberFormat="1" applyFill="1" applyBorder="1" applyAlignment="1" applyProtection="1">
      <alignment horizontal="center"/>
      <protection locked="0"/>
    </xf>
    <xf numFmtId="14" fontId="0" fillId="2" borderId="13" xfId="0" applyNumberFormat="1" applyFill="1" applyBorder="1" applyAlignment="1" applyProtection="1">
      <alignment horizontal="center"/>
      <protection locked="0"/>
    </xf>
    <xf numFmtId="0" fontId="9" fillId="4" borderId="3" xfId="0" applyFont="1" applyFill="1" applyBorder="1" applyAlignment="1">
      <alignment horizontal="center" vertical="center"/>
    </xf>
    <xf numFmtId="0" fontId="9" fillId="4" borderId="0" xfId="0" applyFont="1" applyFill="1" applyAlignment="1">
      <alignment horizontal="center" vertical="center"/>
    </xf>
    <xf numFmtId="0" fontId="7" fillId="2" borderId="1" xfId="0" applyFont="1" applyFill="1" applyBorder="1" applyAlignment="1" applyProtection="1">
      <alignment horizontal="center"/>
      <protection locked="0"/>
    </xf>
    <xf numFmtId="0" fontId="7" fillId="2" borderId="4" xfId="0" applyFont="1" applyFill="1" applyBorder="1" applyAlignment="1" applyProtection="1">
      <alignment horizontal="center"/>
      <protection locked="0"/>
    </xf>
    <xf numFmtId="0" fontId="7" fillId="2" borderId="10" xfId="0" applyFont="1" applyFill="1" applyBorder="1" applyAlignment="1" applyProtection="1">
      <alignment horizontal="center"/>
      <protection locked="0"/>
    </xf>
    <xf numFmtId="0" fontId="7" fillId="2" borderId="5" xfId="0" applyFont="1" applyFill="1" applyBorder="1" applyAlignment="1" applyProtection="1">
      <alignment horizontal="center"/>
      <protection locked="0"/>
    </xf>
    <xf numFmtId="0" fontId="7" fillId="2" borderId="51" xfId="0" applyFont="1" applyFill="1" applyBorder="1" applyAlignment="1" applyProtection="1">
      <alignment horizontal="center"/>
      <protection locked="0"/>
    </xf>
    <xf numFmtId="0" fontId="2" fillId="0" borderId="4" xfId="0" applyFont="1" applyBorder="1" applyAlignment="1">
      <alignment horizontal="right"/>
    </xf>
    <xf numFmtId="0" fontId="2" fillId="0" borderId="5" xfId="0" applyFont="1" applyBorder="1" applyAlignment="1">
      <alignment horizontal="right"/>
    </xf>
    <xf numFmtId="0" fontId="2" fillId="0" borderId="11" xfId="0" applyFont="1" applyBorder="1" applyAlignment="1">
      <alignment horizontal="right"/>
    </xf>
    <xf numFmtId="164" fontId="7" fillId="2" borderId="10" xfId="0" applyNumberFormat="1" applyFont="1" applyFill="1" applyBorder="1" applyAlignment="1" applyProtection="1">
      <alignment horizontal="center"/>
      <protection locked="0"/>
    </xf>
    <xf numFmtId="164" fontId="7" fillId="2" borderId="5" xfId="0" applyNumberFormat="1" applyFont="1" applyFill="1" applyBorder="1" applyAlignment="1" applyProtection="1">
      <alignment horizontal="center"/>
      <protection locked="0"/>
    </xf>
    <xf numFmtId="164" fontId="7" fillId="2" borderId="51" xfId="0" applyNumberFormat="1" applyFont="1" applyFill="1" applyBorder="1" applyAlignment="1" applyProtection="1">
      <alignment horizontal="center"/>
      <protection locked="0"/>
    </xf>
    <xf numFmtId="0" fontId="0" fillId="0" borderId="54" xfId="0" applyBorder="1" applyAlignment="1">
      <alignment horizontal="left"/>
    </xf>
    <xf numFmtId="0" fontId="0" fillId="0" borderId="6" xfId="0" applyBorder="1" applyAlignment="1">
      <alignment horizontal="left"/>
    </xf>
    <xf numFmtId="0" fontId="0" fillId="0" borderId="4" xfId="0" applyBorder="1" applyAlignment="1">
      <alignment horizontal="left"/>
    </xf>
    <xf numFmtId="0" fontId="0" fillId="4" borderId="19" xfId="0" applyFill="1" applyBorder="1" applyAlignment="1">
      <alignment horizontal="center" vertical="center"/>
    </xf>
    <xf numFmtId="0" fontId="0" fillId="4" borderId="20" xfId="0" applyFill="1" applyBorder="1" applyAlignment="1">
      <alignment horizontal="center" vertical="center"/>
    </xf>
    <xf numFmtId="0" fontId="0" fillId="4" borderId="4" xfId="0" applyFill="1" applyBorder="1" applyAlignment="1">
      <alignment horizontal="center"/>
    </xf>
    <xf numFmtId="0" fontId="0" fillId="4" borderId="51" xfId="0" applyFill="1" applyBorder="1" applyAlignment="1">
      <alignment horizontal="center"/>
    </xf>
    <xf numFmtId="0" fontId="0" fillId="5" borderId="54" xfId="0" applyFill="1" applyBorder="1" applyAlignment="1">
      <alignment horizontal="left"/>
    </xf>
    <xf numFmtId="0" fontId="0" fillId="5" borderId="5" xfId="0" applyFill="1" applyBorder="1" applyAlignment="1">
      <alignment horizontal="left"/>
    </xf>
    <xf numFmtId="0" fontId="0" fillId="5" borderId="51" xfId="0" applyFill="1" applyBorder="1" applyAlignment="1">
      <alignment horizontal="left"/>
    </xf>
    <xf numFmtId="0" fontId="0" fillId="4" borderId="12" xfId="0" applyFill="1" applyBorder="1" applyAlignment="1">
      <alignment horizontal="center" vertical="center"/>
    </xf>
    <xf numFmtId="0" fontId="0" fillId="4" borderId="16" xfId="0" applyFill="1" applyBorder="1" applyAlignment="1">
      <alignment horizontal="center" vertical="center"/>
    </xf>
    <xf numFmtId="0" fontId="0" fillId="4" borderId="14" xfId="0" applyFill="1" applyBorder="1" applyAlignment="1">
      <alignment horizontal="center" vertical="center"/>
    </xf>
    <xf numFmtId="0" fontId="0" fillId="4" borderId="15" xfId="0" applyFill="1" applyBorder="1" applyAlignment="1">
      <alignment horizontal="center" vertical="center"/>
    </xf>
    <xf numFmtId="0" fontId="0" fillId="4" borderId="17" xfId="0" applyFill="1" applyBorder="1" applyAlignment="1">
      <alignment horizontal="center" vertical="center"/>
    </xf>
    <xf numFmtId="0" fontId="0" fillId="4" borderId="18" xfId="0" applyFill="1" applyBorder="1" applyAlignment="1">
      <alignment horizontal="center" vertical="center"/>
    </xf>
    <xf numFmtId="0" fontId="0" fillId="4" borderId="11" xfId="0" applyFill="1" applyBorder="1" applyAlignment="1">
      <alignment horizontal="center"/>
    </xf>
    <xf numFmtId="0" fontId="0" fillId="0" borderId="27" xfId="0" applyBorder="1" applyAlignment="1">
      <alignment horizontal="left" vertical="center"/>
    </xf>
    <xf numFmtId="0" fontId="0" fillId="0" borderId="45" xfId="0" applyBorder="1" applyAlignment="1">
      <alignment horizontal="left" vertical="center"/>
    </xf>
    <xf numFmtId="0" fontId="0" fillId="0" borderId="30" xfId="0" applyBorder="1" applyAlignment="1">
      <alignment horizontal="left" vertical="center"/>
    </xf>
    <xf numFmtId="0" fontId="0" fillId="0" borderId="8" xfId="0" applyBorder="1" applyAlignment="1">
      <alignment horizontal="left" vertical="center"/>
    </xf>
    <xf numFmtId="0" fontId="0" fillId="0" borderId="52" xfId="0" applyBorder="1" applyAlignment="1">
      <alignment horizontal="left" vertical="center"/>
    </xf>
    <xf numFmtId="0" fontId="0" fillId="0" borderId="2" xfId="0" applyBorder="1" applyAlignment="1">
      <alignment horizontal="left" vertical="center"/>
    </xf>
    <xf numFmtId="0" fontId="2" fillId="4" borderId="46" xfId="0" applyFont="1" applyFill="1" applyBorder="1" applyAlignment="1">
      <alignment horizontal="center"/>
    </xf>
    <xf numFmtId="0" fontId="2" fillId="4" borderId="47" xfId="0" applyFont="1" applyFill="1" applyBorder="1" applyAlignment="1">
      <alignment horizontal="center"/>
    </xf>
    <xf numFmtId="0" fontId="2" fillId="4" borderId="48" xfId="0" applyFont="1" applyFill="1" applyBorder="1" applyAlignment="1">
      <alignment horizontal="center"/>
    </xf>
    <xf numFmtId="0" fontId="2" fillId="0" borderId="49" xfId="0" applyFont="1" applyBorder="1" applyAlignment="1">
      <alignment horizontal="center"/>
    </xf>
    <xf numFmtId="0" fontId="2" fillId="0" borderId="47" xfId="0" applyFont="1" applyBorder="1" applyAlignment="1">
      <alignment horizontal="center"/>
    </xf>
    <xf numFmtId="0" fontId="2" fillId="0" borderId="48" xfId="0" applyFont="1" applyBorder="1" applyAlignment="1">
      <alignment horizontal="center"/>
    </xf>
    <xf numFmtId="0" fontId="2" fillId="0" borderId="50" xfId="0" applyFont="1" applyBorder="1" applyAlignment="1">
      <alignment horizontal="center"/>
    </xf>
    <xf numFmtId="0" fontId="13" fillId="0" borderId="4" xfId="0" applyFont="1" applyBorder="1" applyAlignment="1">
      <alignment horizontal="left"/>
    </xf>
    <xf numFmtId="0" fontId="13" fillId="0" borderId="6" xfId="0" applyFont="1" applyBorder="1" applyAlignment="1">
      <alignment horizontal="left"/>
    </xf>
    <xf numFmtId="0" fontId="5" fillId="4" borderId="46" xfId="0" applyFont="1" applyFill="1" applyBorder="1" applyAlignment="1">
      <alignment horizontal="left" vertical="top" wrapText="1"/>
    </xf>
    <xf numFmtId="0" fontId="5" fillId="4" borderId="47" xfId="0" applyFont="1" applyFill="1" applyBorder="1" applyAlignment="1">
      <alignment horizontal="left" vertical="top" wrapText="1"/>
    </xf>
    <xf numFmtId="0" fontId="5" fillId="4" borderId="59" xfId="0" applyFont="1" applyFill="1" applyBorder="1" applyAlignment="1">
      <alignment horizontal="left" vertical="top" wrapText="1"/>
    </xf>
    <xf numFmtId="0" fontId="0" fillId="8" borderId="4" xfId="0" applyFill="1" applyBorder="1" applyAlignment="1">
      <alignment horizontal="left"/>
    </xf>
    <xf numFmtId="0" fontId="0" fillId="8" borderId="6" xfId="0" applyFill="1" applyBorder="1" applyAlignment="1">
      <alignment horizontal="left"/>
    </xf>
    <xf numFmtId="14" fontId="0" fillId="2" borderId="12" xfId="0" applyNumberFormat="1" applyFill="1" applyBorder="1" applyAlignment="1">
      <alignment horizontal="center"/>
    </xf>
    <xf numFmtId="14" fontId="0" fillId="2" borderId="13" xfId="0" applyNumberFormat="1" applyFill="1" applyBorder="1" applyAlignment="1">
      <alignment horizontal="center"/>
    </xf>
    <xf numFmtId="0" fontId="7" fillId="2" borderId="10" xfId="0" applyFont="1" applyFill="1" applyBorder="1" applyAlignment="1">
      <alignment horizontal="center"/>
    </xf>
    <xf numFmtId="0" fontId="7" fillId="2" borderId="5" xfId="0" applyFont="1" applyFill="1" applyBorder="1" applyAlignment="1">
      <alignment horizontal="center"/>
    </xf>
    <xf numFmtId="0" fontId="7" fillId="2" borderId="51" xfId="0" applyFont="1" applyFill="1" applyBorder="1" applyAlignment="1">
      <alignment horizontal="center"/>
    </xf>
    <xf numFmtId="0" fontId="7" fillId="2" borderId="1" xfId="0" applyFont="1" applyFill="1" applyBorder="1" applyAlignment="1">
      <alignment horizontal="center"/>
    </xf>
    <xf numFmtId="0" fontId="7" fillId="2" borderId="4" xfId="0" applyFont="1" applyFill="1" applyBorder="1" applyAlignment="1">
      <alignment horizontal="center"/>
    </xf>
    <xf numFmtId="0" fontId="0" fillId="0" borderId="0" xfId="0" applyAlignment="1">
      <alignment horizontal="right"/>
    </xf>
    <xf numFmtId="0" fontId="0" fillId="0" borderId="74" xfId="0" applyBorder="1" applyAlignment="1">
      <alignment horizontal="left"/>
    </xf>
    <xf numFmtId="0" fontId="0" fillId="0" borderId="24" xfId="0" applyBorder="1" applyAlignment="1">
      <alignment horizontal="left"/>
    </xf>
    <xf numFmtId="0" fontId="0" fillId="2" borderId="4" xfId="0" applyFill="1" applyBorder="1" applyAlignment="1" applyProtection="1">
      <alignment horizontal="left"/>
      <protection locked="0"/>
    </xf>
    <xf numFmtId="0" fontId="0" fillId="2" borderId="6" xfId="0" applyFill="1" applyBorder="1" applyAlignment="1" applyProtection="1">
      <alignment horizontal="left"/>
      <protection locked="0"/>
    </xf>
    <xf numFmtId="0" fontId="5" fillId="4" borderId="46" xfId="0" applyFont="1" applyFill="1" applyBorder="1" applyAlignment="1">
      <alignment horizontal="left" vertical="center" wrapText="1"/>
    </xf>
    <xf numFmtId="0" fontId="5" fillId="4" borderId="47" xfId="0" applyFont="1" applyFill="1" applyBorder="1" applyAlignment="1">
      <alignment horizontal="left" vertical="center" wrapText="1"/>
    </xf>
    <xf numFmtId="0" fontId="5" fillId="4" borderId="59" xfId="0" applyFont="1" applyFill="1" applyBorder="1" applyAlignment="1">
      <alignment horizontal="left" vertical="center" wrapText="1"/>
    </xf>
    <xf numFmtId="0" fontId="5" fillId="0" borderId="1" xfId="0" applyFont="1" applyBorder="1" applyAlignment="1">
      <alignment horizontal="left" vertical="center" wrapText="1"/>
    </xf>
    <xf numFmtId="0" fontId="2" fillId="4" borderId="14" xfId="0" applyFont="1" applyFill="1" applyBorder="1" applyAlignment="1">
      <alignment horizontal="center"/>
    </xf>
    <xf numFmtId="0" fontId="2" fillId="4" borderId="15" xfId="0" applyFont="1" applyFill="1" applyBorder="1" applyAlignment="1">
      <alignment horizontal="center"/>
    </xf>
    <xf numFmtId="0" fontId="2" fillId="4" borderId="66" xfId="0" applyFont="1" applyFill="1" applyBorder="1" applyAlignment="1">
      <alignment horizontal="center"/>
    </xf>
    <xf numFmtId="0" fontId="2" fillId="0" borderId="69" xfId="0" applyFont="1" applyBorder="1" applyAlignment="1">
      <alignment horizontal="center"/>
    </xf>
    <xf numFmtId="0" fontId="7" fillId="2" borderId="54" xfId="0" applyFont="1" applyFill="1" applyBorder="1" applyAlignment="1" applyProtection="1">
      <alignment horizontal="center"/>
      <protection locked="0"/>
    </xf>
    <xf numFmtId="164" fontId="7" fillId="2" borderId="54" xfId="0" applyNumberFormat="1" applyFont="1" applyFill="1" applyBorder="1" applyAlignment="1" applyProtection="1">
      <alignment horizontal="center"/>
      <protection locked="0"/>
    </xf>
    <xf numFmtId="0" fontId="0" fillId="4" borderId="3" xfId="0" applyFill="1" applyBorder="1" applyAlignment="1">
      <alignment horizontal="center" vertical="center"/>
    </xf>
    <xf numFmtId="0" fontId="0" fillId="4" borderId="0" xfId="0" applyFill="1" applyBorder="1" applyAlignment="1">
      <alignment horizontal="center" vertical="center"/>
    </xf>
    <xf numFmtId="0" fontId="0" fillId="4" borderId="65" xfId="0" applyFill="1" applyBorder="1" applyAlignment="1">
      <alignment horizontal="center" vertical="center"/>
    </xf>
    <xf numFmtId="0" fontId="0" fillId="4" borderId="31" xfId="0" applyFill="1" applyBorder="1" applyAlignment="1">
      <alignment horizontal="center" vertical="center"/>
    </xf>
    <xf numFmtId="0" fontId="0" fillId="4" borderId="71" xfId="0" applyFill="1" applyBorder="1" applyAlignment="1">
      <alignment horizontal="center" vertical="center"/>
    </xf>
    <xf numFmtId="0" fontId="0" fillId="4" borderId="72" xfId="0" applyFill="1" applyBorder="1" applyAlignment="1">
      <alignment horizontal="center" vertical="center"/>
    </xf>
    <xf numFmtId="0" fontId="0" fillId="4" borderId="13" xfId="0" applyFill="1" applyBorder="1" applyAlignment="1">
      <alignment horizontal="center" vertical="center"/>
    </xf>
    <xf numFmtId="0" fontId="0" fillId="4" borderId="8" xfId="0" applyFill="1" applyBorder="1" applyAlignment="1">
      <alignment horizontal="center" vertical="center"/>
    </xf>
    <xf numFmtId="0" fontId="0" fillId="4" borderId="5" xfId="0" applyFill="1" applyBorder="1" applyAlignment="1">
      <alignment horizontal="center"/>
    </xf>
    <xf numFmtId="0" fontId="18" fillId="0" borderId="4" xfId="0" applyFont="1" applyBorder="1" applyAlignment="1">
      <alignment horizontal="right"/>
    </xf>
    <xf numFmtId="0" fontId="18" fillId="0" borderId="5" xfId="0" applyFont="1" applyBorder="1" applyAlignment="1">
      <alignment horizontal="right"/>
    </xf>
    <xf numFmtId="0" fontId="18" fillId="0" borderId="51" xfId="0" applyFont="1" applyBorder="1" applyAlignment="1">
      <alignment horizontal="right"/>
    </xf>
    <xf numFmtId="0" fontId="7" fillId="2" borderId="53" xfId="0" applyFont="1" applyFill="1" applyBorder="1" applyAlignment="1" applyProtection="1">
      <alignment horizontal="center"/>
      <protection locked="0"/>
    </xf>
    <xf numFmtId="0" fontId="12" fillId="4" borderId="0" xfId="0" applyFont="1" applyFill="1" applyAlignment="1">
      <alignment horizontal="right"/>
    </xf>
    <xf numFmtId="0" fontId="0" fillId="4" borderId="27" xfId="0" applyFill="1" applyBorder="1" applyAlignment="1">
      <alignment horizontal="center" vertical="center"/>
    </xf>
    <xf numFmtId="0" fontId="0" fillId="4" borderId="45" xfId="0" applyFill="1" applyBorder="1" applyAlignment="1">
      <alignment horizontal="center" vertical="center"/>
    </xf>
    <xf numFmtId="0" fontId="0" fillId="4" borderId="32" xfId="0" applyFill="1" applyBorder="1" applyAlignment="1">
      <alignment horizontal="center" vertical="center"/>
    </xf>
    <xf numFmtId="0" fontId="0" fillId="4" borderId="64" xfId="0" applyFill="1" applyBorder="1" applyAlignment="1">
      <alignment horizontal="center" vertical="center"/>
    </xf>
    <xf numFmtId="14" fontId="7" fillId="2" borderId="46" xfId="0" applyNumberFormat="1" applyFont="1" applyFill="1" applyBorder="1" applyAlignment="1" applyProtection="1">
      <alignment horizontal="center"/>
      <protection locked="0"/>
    </xf>
    <xf numFmtId="14" fontId="7" fillId="2" borderId="47" xfId="0" applyNumberFormat="1" applyFont="1" applyFill="1" applyBorder="1" applyAlignment="1" applyProtection="1">
      <alignment horizontal="center"/>
      <protection locked="0"/>
    </xf>
    <xf numFmtId="14" fontId="7" fillId="2" borderId="50" xfId="0" applyNumberFormat="1" applyFont="1" applyFill="1" applyBorder="1" applyAlignment="1" applyProtection="1">
      <alignment horizontal="center"/>
      <protection locked="0"/>
    </xf>
    <xf numFmtId="14" fontId="7" fillId="2" borderId="23" xfId="0" applyNumberFormat="1" applyFont="1" applyFill="1" applyBorder="1" applyAlignment="1" applyProtection="1">
      <alignment horizontal="center"/>
      <protection locked="0"/>
    </xf>
    <xf numFmtId="14" fontId="7" fillId="2" borderId="67" xfId="0" applyNumberFormat="1" applyFont="1" applyFill="1" applyBorder="1" applyAlignment="1" applyProtection="1">
      <alignment horizontal="center"/>
      <protection locked="0"/>
    </xf>
    <xf numFmtId="0" fontId="9" fillId="4" borderId="0" xfId="0" applyFont="1" applyFill="1" applyBorder="1" applyAlignment="1">
      <alignment horizontal="center" vertical="center"/>
    </xf>
    <xf numFmtId="0" fontId="12" fillId="0" borderId="12" xfId="0" applyFont="1" applyFill="1" applyBorder="1" applyAlignment="1" applyProtection="1">
      <alignment horizontal="left" vertical="top" wrapText="1"/>
    </xf>
    <xf numFmtId="0" fontId="12" fillId="0" borderId="16" xfId="0" applyFont="1" applyFill="1" applyBorder="1" applyAlignment="1" applyProtection="1">
      <alignment horizontal="left" vertical="top" wrapText="1"/>
    </xf>
    <xf numFmtId="0" fontId="12" fillId="0" borderId="13" xfId="0" applyFont="1" applyFill="1" applyBorder="1" applyAlignment="1" applyProtection="1">
      <alignment horizontal="left" vertical="top" wrapText="1"/>
    </xf>
    <xf numFmtId="0" fontId="12" fillId="0" borderId="3" xfId="0" applyFont="1" applyFill="1" applyBorder="1" applyAlignment="1" applyProtection="1">
      <alignment horizontal="left" vertical="top" wrapText="1"/>
    </xf>
    <xf numFmtId="0" fontId="12" fillId="0" borderId="0" xfId="0" applyFont="1" applyFill="1" applyBorder="1" applyAlignment="1" applyProtection="1">
      <alignment horizontal="left" vertical="top" wrapText="1"/>
    </xf>
    <xf numFmtId="0" fontId="12" fillId="0" borderId="8" xfId="0" applyFont="1" applyFill="1" applyBorder="1" applyAlignment="1" applyProtection="1">
      <alignment horizontal="left" vertical="top" wrapText="1"/>
    </xf>
    <xf numFmtId="0" fontId="12" fillId="0" borderId="14" xfId="0" applyFont="1" applyFill="1" applyBorder="1" applyAlignment="1" applyProtection="1">
      <alignment horizontal="left" vertical="top" wrapText="1"/>
    </xf>
    <xf numFmtId="0" fontId="12" fillId="0" borderId="15" xfId="0" applyFont="1" applyFill="1" applyBorder="1" applyAlignment="1" applyProtection="1">
      <alignment horizontal="left" vertical="top" wrapText="1"/>
    </xf>
    <xf numFmtId="0" fontId="12" fillId="0" borderId="2" xfId="0" applyFont="1" applyFill="1" applyBorder="1" applyAlignment="1" applyProtection="1">
      <alignment horizontal="left" vertical="top" wrapText="1"/>
    </xf>
    <xf numFmtId="0" fontId="26" fillId="7" borderId="4" xfId="0" applyFont="1" applyFill="1" applyBorder="1" applyAlignment="1">
      <alignment horizontal="left" vertical="center" wrapText="1"/>
    </xf>
    <xf numFmtId="0" fontId="26" fillId="7" borderId="5" xfId="0" applyFont="1" applyFill="1" applyBorder="1" applyAlignment="1">
      <alignment horizontal="left" vertical="center" wrapText="1"/>
    </xf>
    <xf numFmtId="0" fontId="26" fillId="7" borderId="6" xfId="0" applyFont="1" applyFill="1" applyBorder="1" applyAlignment="1">
      <alignment horizontal="left" vertical="center" wrapText="1"/>
    </xf>
    <xf numFmtId="0" fontId="23" fillId="7" borderId="4" xfId="0" applyFont="1" applyFill="1" applyBorder="1" applyAlignment="1">
      <alignment horizontal="left" vertical="center" wrapText="1"/>
    </xf>
    <xf numFmtId="0" fontId="23" fillId="7" borderId="5" xfId="0" applyFont="1" applyFill="1" applyBorder="1" applyAlignment="1">
      <alignment horizontal="left" vertical="center" wrapText="1"/>
    </xf>
    <xf numFmtId="0" fontId="23" fillId="7" borderId="6" xfId="0" applyFont="1" applyFill="1" applyBorder="1" applyAlignment="1">
      <alignment horizontal="left" vertical="center" wrapText="1"/>
    </xf>
    <xf numFmtId="0" fontId="9" fillId="0" borderId="35" xfId="0" applyFont="1" applyBorder="1" applyAlignment="1">
      <alignment horizontal="left" vertical="center" wrapText="1"/>
    </xf>
    <xf numFmtId="0" fontId="9" fillId="0" borderId="36" xfId="0" applyFont="1" applyBorder="1" applyAlignment="1">
      <alignment horizontal="left" vertical="center" wrapText="1"/>
    </xf>
    <xf numFmtId="0" fontId="9" fillId="0" borderId="37" xfId="0" applyFont="1" applyBorder="1" applyAlignment="1">
      <alignment horizontal="left" vertical="center" wrapText="1"/>
    </xf>
    <xf numFmtId="0" fontId="24" fillId="0" borderId="16" xfId="0" applyFont="1" applyFill="1" applyBorder="1" applyAlignment="1" applyProtection="1">
      <alignment horizontal="left" vertical="top" wrapText="1"/>
    </xf>
    <xf numFmtId="0" fontId="24" fillId="0" borderId="13" xfId="0" applyFont="1" applyFill="1" applyBorder="1" applyAlignment="1" applyProtection="1">
      <alignment horizontal="left" vertical="top" wrapText="1"/>
    </xf>
    <xf numFmtId="0" fontId="24" fillId="0" borderId="3" xfId="0" applyFont="1" applyFill="1" applyBorder="1" applyAlignment="1" applyProtection="1">
      <alignment horizontal="left" vertical="top" wrapText="1"/>
    </xf>
    <xf numFmtId="0" fontId="24" fillId="0" borderId="0" xfId="0" applyFont="1" applyFill="1" applyBorder="1" applyAlignment="1" applyProtection="1">
      <alignment horizontal="left" vertical="top" wrapText="1"/>
    </xf>
    <xf numFmtId="0" fontId="24" fillId="0" borderId="8" xfId="0" applyFont="1" applyFill="1" applyBorder="1" applyAlignment="1" applyProtection="1">
      <alignment horizontal="left" vertical="top" wrapText="1"/>
    </xf>
    <xf numFmtId="0" fontId="24" fillId="0" borderId="14" xfId="0" applyFont="1" applyFill="1" applyBorder="1" applyAlignment="1" applyProtection="1">
      <alignment horizontal="left" vertical="top" wrapText="1"/>
    </xf>
    <xf numFmtId="0" fontId="24" fillId="0" borderId="15" xfId="0" applyFont="1" applyFill="1" applyBorder="1" applyAlignment="1" applyProtection="1">
      <alignment horizontal="left" vertical="top" wrapText="1"/>
    </xf>
    <xf numFmtId="0" fontId="24" fillId="0" borderId="2" xfId="0" applyFont="1" applyFill="1" applyBorder="1" applyAlignment="1" applyProtection="1">
      <alignment horizontal="left" vertical="top" wrapText="1"/>
    </xf>
    <xf numFmtId="0" fontId="15" fillId="8" borderId="1" xfId="0" applyFont="1" applyFill="1" applyBorder="1" applyAlignment="1">
      <alignment horizontal="center"/>
    </xf>
    <xf numFmtId="0" fontId="15" fillId="10" borderId="4" xfId="0" applyFont="1" applyFill="1" applyBorder="1" applyAlignment="1">
      <alignment horizontal="center"/>
    </xf>
    <xf numFmtId="0" fontId="15" fillId="10" borderId="5" xfId="0" applyFont="1" applyFill="1" applyBorder="1" applyAlignment="1">
      <alignment horizontal="center"/>
    </xf>
    <xf numFmtId="0" fontId="15" fillId="10" borderId="6" xfId="0" applyFont="1" applyFill="1" applyBorder="1" applyAlignment="1">
      <alignment horizontal="center"/>
    </xf>
    <xf numFmtId="164" fontId="0" fillId="7" borderId="4" xfId="0" applyNumberFormat="1" applyFill="1" applyBorder="1" applyAlignment="1">
      <alignment horizontal="left" indent="1"/>
    </xf>
    <xf numFmtId="164" fontId="0" fillId="7" borderId="5" xfId="0" applyNumberFormat="1" applyFill="1" applyBorder="1" applyAlignment="1">
      <alignment horizontal="left" indent="1"/>
    </xf>
    <xf numFmtId="164" fontId="0" fillId="7" borderId="6" xfId="0" applyNumberFormat="1" applyFill="1" applyBorder="1" applyAlignment="1">
      <alignment horizontal="left" indent="1"/>
    </xf>
    <xf numFmtId="14" fontId="0" fillId="7" borderId="4" xfId="0" applyNumberFormat="1" applyFill="1" applyBorder="1" applyAlignment="1">
      <alignment horizontal="left" indent="1"/>
    </xf>
    <xf numFmtId="14" fontId="0" fillId="7" borderId="5" xfId="0" applyNumberFormat="1" applyFill="1" applyBorder="1" applyAlignment="1">
      <alignment horizontal="left" indent="1"/>
    </xf>
    <xf numFmtId="14" fontId="0" fillId="7" borderId="6" xfId="0" applyNumberFormat="1" applyFill="1" applyBorder="1" applyAlignment="1">
      <alignment horizontal="left" indent="1"/>
    </xf>
    <xf numFmtId="14" fontId="0" fillId="7" borderId="4" xfId="0" applyNumberFormat="1" applyFill="1" applyBorder="1" applyAlignment="1">
      <alignment horizontal="center"/>
    </xf>
    <xf numFmtId="14" fontId="0" fillId="7" borderId="6" xfId="0" applyNumberFormat="1" applyFill="1" applyBorder="1" applyAlignment="1">
      <alignment horizontal="center"/>
    </xf>
    <xf numFmtId="0" fontId="0" fillId="7" borderId="4" xfId="0" applyFill="1" applyBorder="1" applyAlignment="1">
      <alignment horizontal="center"/>
    </xf>
    <xf numFmtId="0" fontId="0" fillId="7" borderId="6" xfId="0" applyFill="1" applyBorder="1" applyAlignment="1">
      <alignment horizontal="center"/>
    </xf>
    <xf numFmtId="164" fontId="0" fillId="7" borderId="4" xfId="0" applyNumberFormat="1" applyFill="1" applyBorder="1" applyAlignment="1">
      <alignment horizontal="center"/>
    </xf>
    <xf numFmtId="164" fontId="0" fillId="7" borderId="6" xfId="0" applyNumberFormat="1" applyFill="1" applyBorder="1" applyAlignment="1">
      <alignment horizontal="center"/>
    </xf>
    <xf numFmtId="0" fontId="15" fillId="8" borderId="4" xfId="0" applyFont="1" applyFill="1" applyBorder="1" applyAlignment="1">
      <alignment horizontal="center"/>
    </xf>
    <xf numFmtId="0" fontId="15" fillId="8" borderId="5" xfId="0" applyFont="1" applyFill="1" applyBorder="1" applyAlignment="1">
      <alignment horizontal="center"/>
    </xf>
    <xf numFmtId="0" fontId="15" fillId="8" borderId="6" xfId="0" applyFont="1" applyFill="1" applyBorder="1" applyAlignment="1">
      <alignment horizontal="center"/>
    </xf>
    <xf numFmtId="3" fontId="15" fillId="8" borderId="4" xfId="0" applyNumberFormat="1" applyFont="1" applyFill="1" applyBorder="1" applyAlignment="1">
      <alignment horizontal="center"/>
    </xf>
    <xf numFmtId="0" fontId="0" fillId="8" borderId="4" xfId="0" applyFill="1" applyBorder="1" applyAlignment="1" applyProtection="1">
      <alignment horizontal="left"/>
      <protection locked="0"/>
    </xf>
    <xf numFmtId="0" fontId="0" fillId="8" borderId="6" xfId="0" applyFill="1" applyBorder="1" applyAlignment="1" applyProtection="1">
      <alignment horizontal="left"/>
      <protection locked="0"/>
    </xf>
    <xf numFmtId="14" fontId="7" fillId="2" borderId="46" xfId="0" applyNumberFormat="1" applyFont="1" applyFill="1" applyBorder="1" applyAlignment="1" applyProtection="1">
      <alignment horizontal="left"/>
      <protection locked="0"/>
    </xf>
    <xf numFmtId="14" fontId="7" fillId="2" borderId="47" xfId="0" applyNumberFormat="1" applyFont="1" applyFill="1" applyBorder="1" applyAlignment="1" applyProtection="1">
      <alignment horizontal="left"/>
      <protection locked="0"/>
    </xf>
    <xf numFmtId="14" fontId="7" fillId="2" borderId="50" xfId="0" applyNumberFormat="1" applyFont="1" applyFill="1" applyBorder="1" applyAlignment="1" applyProtection="1">
      <alignment horizontal="left"/>
      <protection locked="0"/>
    </xf>
    <xf numFmtId="0" fontId="0" fillId="4" borderId="14" xfId="0" applyFill="1" applyBorder="1" applyAlignment="1">
      <alignment horizontal="center"/>
    </xf>
    <xf numFmtId="0" fontId="0" fillId="4" borderId="15" xfId="0" applyFill="1" applyBorder="1" applyAlignment="1">
      <alignment horizontal="center"/>
    </xf>
    <xf numFmtId="0" fontId="0" fillId="4" borderId="2" xfId="0" applyFill="1" applyBorder="1" applyAlignment="1">
      <alignment horizontal="center"/>
    </xf>
    <xf numFmtId="0" fontId="5" fillId="4" borderId="3" xfId="0" applyFont="1" applyFill="1" applyBorder="1" applyAlignment="1">
      <alignment horizontal="left" vertical="top" wrapText="1"/>
    </xf>
    <xf numFmtId="0" fontId="5" fillId="4" borderId="0" xfId="0" applyFont="1" applyFill="1" applyAlignment="1">
      <alignment horizontal="left" vertical="top" wrapText="1"/>
    </xf>
    <xf numFmtId="0" fontId="5" fillId="4" borderId="8" xfId="0" applyFont="1" applyFill="1" applyBorder="1" applyAlignment="1">
      <alignment horizontal="left" vertical="top" wrapText="1"/>
    </xf>
    <xf numFmtId="0" fontId="2" fillId="4" borderId="3" xfId="0" applyFont="1" applyFill="1" applyBorder="1" applyAlignment="1">
      <alignment horizontal="left"/>
    </xf>
    <xf numFmtId="0" fontId="2" fillId="4" borderId="8" xfId="0" applyFont="1" applyFill="1" applyBorder="1" applyAlignment="1">
      <alignment horizontal="left"/>
    </xf>
    <xf numFmtId="0" fontId="0" fillId="0" borderId="23" xfId="0" applyBorder="1" applyAlignment="1">
      <alignment horizontal="left"/>
    </xf>
    <xf numFmtId="0" fontId="5" fillId="4" borderId="12" xfId="0" applyFont="1" applyFill="1" applyBorder="1" applyAlignment="1">
      <alignment horizontal="left" vertical="top" wrapText="1"/>
    </xf>
    <xf numFmtId="0" fontId="5" fillId="4" borderId="16" xfId="0" applyFont="1" applyFill="1" applyBorder="1" applyAlignment="1">
      <alignment horizontal="left" vertical="top" wrapText="1"/>
    </xf>
    <xf numFmtId="0" fontId="5" fillId="4" borderId="13" xfId="0" applyFont="1" applyFill="1" applyBorder="1" applyAlignment="1">
      <alignment horizontal="left" vertical="top" wrapText="1"/>
    </xf>
    <xf numFmtId="0" fontId="2" fillId="4" borderId="3" xfId="0" applyFont="1" applyFill="1" applyBorder="1" applyAlignment="1"/>
    <xf numFmtId="0" fontId="2" fillId="4" borderId="0" xfId="0" applyFont="1" applyFill="1" applyAlignment="1"/>
    <xf numFmtId="0" fontId="2" fillId="4" borderId="8" xfId="0" applyFont="1" applyFill="1" applyBorder="1" applyAlignment="1"/>
  </cellXfs>
  <cellStyles count="3">
    <cellStyle name="Comma" xfId="2" builtinId="3"/>
    <cellStyle name="Normal" xfId="0" builtinId="0"/>
    <cellStyle name="Percent" xfId="1" builtinId="5"/>
  </cellStyles>
  <dxfs count="4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7A934559-C9DC-47B5-8706-144F295778BC}"/>
  </tableStyles>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xdr:twoCellAnchor>
    <xdr:from>
      <xdr:col>1</xdr:col>
      <xdr:colOff>324971</xdr:colOff>
      <xdr:row>5</xdr:row>
      <xdr:rowOff>156883</xdr:rowOff>
    </xdr:from>
    <xdr:to>
      <xdr:col>2</xdr:col>
      <xdr:colOff>1865219</xdr:colOff>
      <xdr:row>11</xdr:row>
      <xdr:rowOff>0</xdr:rowOff>
    </xdr:to>
    <xdr:sp macro="" textlink="">
      <xdr:nvSpPr>
        <xdr:cNvPr id="2" name="Speech Bubble: Rectangle with Corners Rounded 1">
          <a:extLst>
            <a:ext uri="{FF2B5EF4-FFF2-40B4-BE49-F238E27FC236}">
              <a16:creationId xmlns:a16="http://schemas.microsoft.com/office/drawing/2014/main" id="{00000000-0008-0000-0100-000002000000}"/>
            </a:ext>
          </a:extLst>
        </xdr:cNvPr>
        <xdr:cNvSpPr/>
      </xdr:nvSpPr>
      <xdr:spPr>
        <a:xfrm>
          <a:off x="358589" y="1120589"/>
          <a:ext cx="2974601" cy="986117"/>
        </a:xfrm>
        <a:prstGeom prst="wedgeRoundRectCallout">
          <a:avLst>
            <a:gd name="adj1" fmla="val 62774"/>
            <a:gd name="adj2" fmla="val 4928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a:t>Step Three</a:t>
          </a:r>
          <a:r>
            <a:rPr lang="en-US" sz="1100" b="1" u="none"/>
            <a:t>:</a:t>
          </a:r>
          <a:r>
            <a:rPr lang="en-US" sz="1100" b="0" u="none" baseline="0"/>
            <a:t> </a:t>
          </a:r>
          <a:r>
            <a:rPr lang="en-US" sz="1100" baseline="0"/>
            <a:t>For</a:t>
          </a:r>
          <a:r>
            <a:rPr lang="en-US" sz="1100"/>
            <a:t> each applicable category, input how much each amenity</a:t>
          </a:r>
          <a:r>
            <a:rPr lang="en-US" sz="1100" baseline="0"/>
            <a:t> would adjust the monthly rent. If the category does not apply, leave blank.</a:t>
          </a:r>
          <a:endParaRPr lang="en-US" sz="1100"/>
        </a:p>
      </xdr:txBody>
    </xdr:sp>
    <xdr:clientData/>
  </xdr:twoCellAnchor>
  <xdr:twoCellAnchor>
    <xdr:from>
      <xdr:col>3</xdr:col>
      <xdr:colOff>201893</xdr:colOff>
      <xdr:row>5</xdr:row>
      <xdr:rowOff>14943</xdr:rowOff>
    </xdr:from>
    <xdr:to>
      <xdr:col>5</xdr:col>
      <xdr:colOff>85913</xdr:colOff>
      <xdr:row>8</xdr:row>
      <xdr:rowOff>127001</xdr:rowOff>
    </xdr:to>
    <xdr:sp macro="" textlink="">
      <xdr:nvSpPr>
        <xdr:cNvPr id="5" name="Speech Bubble: Rectangle with Corners Rounded 4">
          <a:extLst>
            <a:ext uri="{FF2B5EF4-FFF2-40B4-BE49-F238E27FC236}">
              <a16:creationId xmlns:a16="http://schemas.microsoft.com/office/drawing/2014/main" id="{00000000-0008-0000-0100-000005000000}"/>
            </a:ext>
          </a:extLst>
        </xdr:cNvPr>
        <xdr:cNvSpPr/>
      </xdr:nvSpPr>
      <xdr:spPr>
        <a:xfrm>
          <a:off x="4086599" y="956237"/>
          <a:ext cx="3865843" cy="672352"/>
        </a:xfrm>
        <a:prstGeom prst="wedgeRoundRectCallout">
          <a:avLst>
            <a:gd name="adj1" fmla="val 31777"/>
            <a:gd name="adj2" fmla="val 10771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Step One</a:t>
          </a:r>
          <a:r>
            <a:rPr lang="en-US" sz="1100" b="1" u="none" baseline="0"/>
            <a:t>:</a:t>
          </a:r>
          <a:r>
            <a:rPr lang="en-US" sz="1100" b="0" u="none" baseline="0"/>
            <a:t> </a:t>
          </a:r>
          <a:r>
            <a:rPr lang="en-US" sz="1100" baseline="0"/>
            <a:t>Users must assess how much each category of real estate amenity is worth in terms of monthly rent for their particular community.</a:t>
          </a:r>
        </a:p>
      </xdr:txBody>
    </xdr:sp>
    <xdr:clientData/>
  </xdr:twoCellAnchor>
  <xdr:twoCellAnchor>
    <xdr:from>
      <xdr:col>1</xdr:col>
      <xdr:colOff>22412</xdr:colOff>
      <xdr:row>16</xdr:row>
      <xdr:rowOff>65553</xdr:rowOff>
    </xdr:from>
    <xdr:to>
      <xdr:col>2</xdr:col>
      <xdr:colOff>1601695</xdr:colOff>
      <xdr:row>22</xdr:row>
      <xdr:rowOff>179294</xdr:rowOff>
    </xdr:to>
    <xdr:sp macro="" textlink="">
      <xdr:nvSpPr>
        <xdr:cNvPr id="6" name="Speech Bubble: Rectangle with Corners Rounded 5">
          <a:extLst>
            <a:ext uri="{FF2B5EF4-FFF2-40B4-BE49-F238E27FC236}">
              <a16:creationId xmlns:a16="http://schemas.microsoft.com/office/drawing/2014/main" id="{00000000-0008-0000-0100-000006000000}"/>
            </a:ext>
          </a:extLst>
        </xdr:cNvPr>
        <xdr:cNvSpPr/>
      </xdr:nvSpPr>
      <xdr:spPr>
        <a:xfrm>
          <a:off x="56030" y="3124759"/>
          <a:ext cx="3013636" cy="1066241"/>
        </a:xfrm>
        <a:prstGeom prst="wedgeRoundRectCallout">
          <a:avLst>
            <a:gd name="adj1" fmla="val 70224"/>
            <a:gd name="adj2" fmla="val -11432"/>
            <a:gd name="adj3" fmla="val 16667"/>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solidFill>
                <a:schemeClr val="tx2">
                  <a:lumMod val="50000"/>
                </a:schemeClr>
              </a:solidFill>
            </a:rPr>
            <a:t>Step Three, Example 1</a:t>
          </a:r>
          <a:r>
            <a:rPr lang="en-US" sz="1100" b="1" u="none" baseline="0">
              <a:solidFill>
                <a:schemeClr val="tx2">
                  <a:lumMod val="50000"/>
                </a:schemeClr>
              </a:solidFill>
            </a:rPr>
            <a:t>:</a:t>
          </a:r>
          <a:r>
            <a:rPr lang="en-US" sz="1100" b="0" u="none" baseline="0">
              <a:solidFill>
                <a:schemeClr val="tx2">
                  <a:lumMod val="50000"/>
                </a:schemeClr>
              </a:solidFill>
            </a:rPr>
            <a:t> H</a:t>
          </a:r>
          <a:r>
            <a:rPr lang="en-US" sz="1100" baseline="0">
              <a:solidFill>
                <a:schemeClr val="tx2">
                  <a:lumMod val="50000"/>
                </a:schemeClr>
              </a:solidFill>
            </a:rPr>
            <a:t>ow much more should one expect to pay for an apartment with an in-unit washer/dryer than an identical apartment without this amenity? </a:t>
          </a:r>
        </a:p>
      </xdr:txBody>
    </xdr:sp>
    <xdr:clientData/>
  </xdr:twoCellAnchor>
  <xdr:twoCellAnchor>
    <xdr:from>
      <xdr:col>1</xdr:col>
      <xdr:colOff>67236</xdr:colOff>
      <xdr:row>0</xdr:row>
      <xdr:rowOff>159872</xdr:rowOff>
    </xdr:from>
    <xdr:to>
      <xdr:col>12</xdr:col>
      <xdr:colOff>1344706</xdr:colOff>
      <xdr:row>4</xdr:row>
      <xdr:rowOff>78442</xdr:rowOff>
    </xdr:to>
    <xdr:sp macro="" textlink="">
      <xdr:nvSpPr>
        <xdr:cNvPr id="8" name="Rectangle: Rounded Corners 7">
          <a:extLst>
            <a:ext uri="{FF2B5EF4-FFF2-40B4-BE49-F238E27FC236}">
              <a16:creationId xmlns:a16="http://schemas.microsoft.com/office/drawing/2014/main" id="{00000000-0008-0000-0100-000008000000}"/>
            </a:ext>
          </a:extLst>
        </xdr:cNvPr>
        <xdr:cNvSpPr/>
      </xdr:nvSpPr>
      <xdr:spPr>
        <a:xfrm>
          <a:off x="100854" y="159872"/>
          <a:ext cx="12539381" cy="680570"/>
        </a:xfrm>
        <a:prstGeom prst="roundRect">
          <a:avLst/>
        </a:prstGeom>
        <a:solidFill>
          <a:schemeClr val="accent4"/>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ln>
                <a:noFill/>
              </a:ln>
              <a:solidFill>
                <a:schemeClr val="tx2"/>
              </a:solidFill>
            </a:rPr>
            <a:t>All</a:t>
          </a:r>
          <a:r>
            <a:rPr lang="en-US" sz="1400" b="1" baseline="0">
              <a:ln>
                <a:noFill/>
              </a:ln>
              <a:solidFill>
                <a:schemeClr val="tx2"/>
              </a:solidFill>
            </a:rPr>
            <a:t> applicable adjustments must be set before the Market Comparison Analysis can begin. </a:t>
          </a:r>
        </a:p>
        <a:p>
          <a:pPr algn="ctr"/>
          <a:r>
            <a:rPr lang="en-US" sz="1400" b="1" baseline="0">
              <a:ln>
                <a:noFill/>
              </a:ln>
              <a:solidFill>
                <a:schemeClr val="tx2"/>
              </a:solidFill>
            </a:rPr>
            <a:t>These Categories and Adjustments will be used to populate rest of the Flat Rent Market Analysis Tool. </a:t>
          </a:r>
          <a:endParaRPr lang="en-US" sz="1400" b="1">
            <a:ln>
              <a:noFill/>
            </a:ln>
            <a:solidFill>
              <a:schemeClr val="tx2"/>
            </a:solidFill>
          </a:endParaRPr>
        </a:p>
      </xdr:txBody>
    </xdr:sp>
    <xdr:clientData/>
  </xdr:twoCellAnchor>
  <xdr:twoCellAnchor>
    <xdr:from>
      <xdr:col>5</xdr:col>
      <xdr:colOff>291915</xdr:colOff>
      <xdr:row>28</xdr:row>
      <xdr:rowOff>31938</xdr:rowOff>
    </xdr:from>
    <xdr:to>
      <xdr:col>12</xdr:col>
      <xdr:colOff>840443</xdr:colOff>
      <xdr:row>31</xdr:row>
      <xdr:rowOff>149412</xdr:rowOff>
    </xdr:to>
    <xdr:sp macro="" textlink="">
      <xdr:nvSpPr>
        <xdr:cNvPr id="7" name="Speech Bubble: Rectangle with Corners Rounded 6">
          <a:extLst>
            <a:ext uri="{FF2B5EF4-FFF2-40B4-BE49-F238E27FC236}">
              <a16:creationId xmlns:a16="http://schemas.microsoft.com/office/drawing/2014/main" id="{00000000-0008-0000-0100-000007000000}"/>
            </a:ext>
          </a:extLst>
        </xdr:cNvPr>
        <xdr:cNvSpPr/>
      </xdr:nvSpPr>
      <xdr:spPr>
        <a:xfrm>
          <a:off x="8158444" y="5082056"/>
          <a:ext cx="4470587" cy="677768"/>
        </a:xfrm>
        <a:prstGeom prst="wedgeRoundRectCallout">
          <a:avLst>
            <a:gd name="adj1" fmla="val -56167"/>
            <a:gd name="adj2" fmla="val 17739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Step Four</a:t>
          </a:r>
          <a:r>
            <a:rPr lang="en-US" sz="1100" b="1" u="none" baseline="0"/>
            <a:t>:</a:t>
          </a:r>
          <a:r>
            <a:rPr lang="en-US" sz="1100" b="0" u="none" baseline="0"/>
            <a:t> </a:t>
          </a:r>
          <a:r>
            <a:rPr lang="en-US" sz="1100" baseline="0"/>
            <a:t>We have created five slots available for PHAs to write in their own categories.  PHAs must include a description of the category and the adjustment amount. </a:t>
          </a:r>
        </a:p>
      </xdr:txBody>
    </xdr:sp>
    <xdr:clientData/>
  </xdr:twoCellAnchor>
  <xdr:twoCellAnchor>
    <xdr:from>
      <xdr:col>1</xdr:col>
      <xdr:colOff>302558</xdr:colOff>
      <xdr:row>26</xdr:row>
      <xdr:rowOff>123263</xdr:rowOff>
    </xdr:from>
    <xdr:to>
      <xdr:col>2</xdr:col>
      <xdr:colOff>1781734</xdr:colOff>
      <xdr:row>33</xdr:row>
      <xdr:rowOff>78440</xdr:rowOff>
    </xdr:to>
    <xdr:sp macro="" textlink="">
      <xdr:nvSpPr>
        <xdr:cNvPr id="9" name="Speech Bubble: Rectangle with Corners Rounded 8">
          <a:extLst>
            <a:ext uri="{FF2B5EF4-FFF2-40B4-BE49-F238E27FC236}">
              <a16:creationId xmlns:a16="http://schemas.microsoft.com/office/drawing/2014/main" id="{00000000-0008-0000-0100-000009000000}"/>
            </a:ext>
          </a:extLst>
        </xdr:cNvPr>
        <xdr:cNvSpPr/>
      </xdr:nvSpPr>
      <xdr:spPr>
        <a:xfrm>
          <a:off x="336176" y="4896969"/>
          <a:ext cx="2913529" cy="1479177"/>
        </a:xfrm>
        <a:prstGeom prst="wedgeRoundRectCallout">
          <a:avLst>
            <a:gd name="adj1" fmla="val 62985"/>
            <a:gd name="adj2" fmla="val -38391"/>
            <a:gd name="adj3" fmla="val 16667"/>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solidFill>
                <a:schemeClr val="tx2">
                  <a:lumMod val="50000"/>
                </a:schemeClr>
              </a:solidFill>
            </a:rPr>
            <a:t>Step Three, Example 2</a:t>
          </a:r>
          <a:r>
            <a:rPr lang="en-US" sz="1100" b="1" u="none" baseline="0">
              <a:solidFill>
                <a:schemeClr val="tx2">
                  <a:lumMod val="50000"/>
                </a:schemeClr>
              </a:solidFill>
            </a:rPr>
            <a:t>:</a:t>
          </a:r>
          <a:r>
            <a:rPr lang="en-US" sz="1100" b="0" u="none" baseline="0">
              <a:solidFill>
                <a:schemeClr val="tx2">
                  <a:lumMod val="50000"/>
                </a:schemeClr>
              </a:solidFill>
            </a:rPr>
            <a:t> </a:t>
          </a:r>
          <a:r>
            <a:rPr lang="en-US" sz="1100" baseline="0">
              <a:solidFill>
                <a:schemeClr val="tx2">
                  <a:lumMod val="50000"/>
                </a:schemeClr>
              </a:solidFill>
            </a:rPr>
            <a:t>All adjustments are made in terms of monthly rent. For example, monthly rent for an apartment that includes a parking space might cost $20 more per month than an identical apartment with street parking.</a:t>
          </a:r>
        </a:p>
      </xdr:txBody>
    </xdr:sp>
    <xdr:clientData/>
  </xdr:twoCellAnchor>
  <xdr:twoCellAnchor>
    <xdr:from>
      <xdr:col>5</xdr:col>
      <xdr:colOff>425821</xdr:colOff>
      <xdr:row>4</xdr:row>
      <xdr:rowOff>160613</xdr:rowOff>
    </xdr:from>
    <xdr:to>
      <xdr:col>12</xdr:col>
      <xdr:colOff>795618</xdr:colOff>
      <xdr:row>11</xdr:row>
      <xdr:rowOff>112059</xdr:rowOff>
    </xdr:to>
    <xdr:sp macro="" textlink="">
      <xdr:nvSpPr>
        <xdr:cNvPr id="10" name="Speech Bubble: Rectangle with Corners Rounded 9">
          <a:extLst>
            <a:ext uri="{FF2B5EF4-FFF2-40B4-BE49-F238E27FC236}">
              <a16:creationId xmlns:a16="http://schemas.microsoft.com/office/drawing/2014/main" id="{00000000-0008-0000-0100-00000A000000}"/>
            </a:ext>
          </a:extLst>
        </xdr:cNvPr>
        <xdr:cNvSpPr/>
      </xdr:nvSpPr>
      <xdr:spPr>
        <a:xfrm>
          <a:off x="8292350" y="907672"/>
          <a:ext cx="4291856" cy="1266269"/>
        </a:xfrm>
        <a:prstGeom prst="wedgeRoundRectCallout">
          <a:avLst>
            <a:gd name="adj1" fmla="val -18395"/>
            <a:gd name="adj2" fmla="val 44105"/>
            <a:gd name="adj3" fmla="val 16667"/>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solidFill>
                <a:sysClr val="windowText" lastClr="000000"/>
              </a:solidFill>
            </a:rPr>
            <a:t>Amenity</a:t>
          </a:r>
          <a:r>
            <a:rPr lang="en-US" sz="1100" b="1" u="none" baseline="0">
              <a:solidFill>
                <a:sysClr val="windowText" lastClr="000000"/>
              </a:solidFill>
            </a:rPr>
            <a:t>:</a:t>
          </a:r>
          <a:r>
            <a:rPr lang="en-US" sz="1100" b="0" u="none" baseline="0">
              <a:solidFill>
                <a:sysClr val="windowText" lastClr="000000"/>
              </a:solidFill>
            </a:rPr>
            <a:t> A f</a:t>
          </a:r>
          <a:r>
            <a:rPr lang="en-US" sz="1100" baseline="0">
              <a:solidFill>
                <a:sysClr val="windowText" lastClr="000000"/>
              </a:solidFill>
            </a:rPr>
            <a:t>eature included in the unit that a resident may consider when renting an apartment. Referred to as a category in this market analysis. Any single amenity cannot exceed 25% of the actual rent for the comparable unit. If a cell appears in red, then a single amenity has exceeded the 25% threshold and requires a written justification using the justification tab </a:t>
          </a:r>
          <a:r>
            <a:rPr lang="en-US" sz="1100" baseline="0">
              <a:solidFill>
                <a:schemeClr val="tx1"/>
              </a:solidFill>
              <a:effectLst/>
              <a:latin typeface="+mn-lt"/>
              <a:ea typeface="+mn-ea"/>
              <a:cs typeface="+mn-cs"/>
            </a:rPr>
            <a:t>(refer to current flat rent guidance).</a:t>
          </a:r>
          <a:endParaRPr lang="en-US" sz="1100" baseline="0">
            <a:solidFill>
              <a:schemeClr val="tx1"/>
            </a:solidFill>
          </a:endParaRPr>
        </a:p>
      </xdr:txBody>
    </xdr:sp>
    <xdr:clientData/>
  </xdr:twoCellAnchor>
  <xdr:twoCellAnchor>
    <xdr:from>
      <xdr:col>0</xdr:col>
      <xdr:colOff>33427</xdr:colOff>
      <xdr:row>38</xdr:row>
      <xdr:rowOff>134471</xdr:rowOff>
    </xdr:from>
    <xdr:to>
      <xdr:col>13</xdr:col>
      <xdr:colOff>0</xdr:colOff>
      <xdr:row>51</xdr:row>
      <xdr:rowOff>1345</xdr:rowOff>
    </xdr:to>
    <xdr:sp macro="" textlink="">
      <xdr:nvSpPr>
        <xdr:cNvPr id="16" name="Rectangle: Rounded Corners 15">
          <a:extLst>
            <a:ext uri="{FF2B5EF4-FFF2-40B4-BE49-F238E27FC236}">
              <a16:creationId xmlns:a16="http://schemas.microsoft.com/office/drawing/2014/main" id="{00000000-0008-0000-0100-000010000000}"/>
            </a:ext>
          </a:extLst>
        </xdr:cNvPr>
        <xdr:cNvSpPr/>
      </xdr:nvSpPr>
      <xdr:spPr>
        <a:xfrm>
          <a:off x="33427" y="7575177"/>
          <a:ext cx="12629220" cy="651286"/>
        </a:xfrm>
        <a:prstGeom prst="roundRect">
          <a:avLst/>
        </a:prstGeom>
        <a:solidFill>
          <a:schemeClr val="accent4"/>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400" b="1" u="sng">
              <a:ln>
                <a:noFill/>
              </a:ln>
              <a:solidFill>
                <a:schemeClr val="tx2"/>
              </a:solidFill>
              <a:latin typeface="+mn-lt"/>
              <a:ea typeface="+mn-ea"/>
              <a:cs typeface="+mn-cs"/>
            </a:rPr>
            <a:t>Disclaimer</a:t>
          </a:r>
          <a:r>
            <a:rPr lang="en-US" sz="1400" b="1" u="none">
              <a:ln>
                <a:noFill/>
              </a:ln>
              <a:solidFill>
                <a:schemeClr val="tx2"/>
              </a:solidFill>
              <a:latin typeface="+mn-lt"/>
              <a:ea typeface="+mn-ea"/>
              <a:cs typeface="+mn-cs"/>
            </a:rPr>
            <a:t>:</a:t>
          </a:r>
          <a:r>
            <a:rPr lang="en-US" sz="1400" b="1" u="none" baseline="0">
              <a:ln>
                <a:noFill/>
              </a:ln>
              <a:solidFill>
                <a:schemeClr val="tx2"/>
              </a:solidFill>
              <a:latin typeface="+mn-lt"/>
              <a:ea typeface="+mn-ea"/>
              <a:cs typeface="+mn-cs"/>
            </a:rPr>
            <a:t> </a:t>
          </a:r>
          <a:r>
            <a:rPr lang="en-US" sz="1400" b="1">
              <a:ln>
                <a:noFill/>
              </a:ln>
              <a:solidFill>
                <a:schemeClr val="tx2"/>
              </a:solidFill>
              <a:latin typeface="+mn-lt"/>
              <a:ea typeface="+mn-ea"/>
              <a:cs typeface="+mn-cs"/>
            </a:rPr>
            <a:t>Adjustment factors provided in the above instructions are not suggested. </a:t>
          </a:r>
        </a:p>
        <a:p>
          <a:pPr marL="0" indent="0" algn="ctr"/>
          <a:r>
            <a:rPr lang="en-US" sz="1400" b="1">
              <a:ln>
                <a:noFill/>
              </a:ln>
              <a:solidFill>
                <a:schemeClr val="tx2"/>
              </a:solidFill>
              <a:latin typeface="+mn-lt"/>
              <a:ea typeface="+mn-ea"/>
              <a:cs typeface="+mn-cs"/>
            </a:rPr>
            <a:t>Numbers included are solely for demonstration purposes. Actual adjustment factors should be based on local market conditions</a:t>
          </a:r>
        </a:p>
      </xdr:txBody>
    </xdr:sp>
    <xdr:clientData/>
  </xdr:twoCellAnchor>
  <xdr:twoCellAnchor>
    <xdr:from>
      <xdr:col>6</xdr:col>
      <xdr:colOff>33617</xdr:colOff>
      <xdr:row>12</xdr:row>
      <xdr:rowOff>67236</xdr:rowOff>
    </xdr:from>
    <xdr:to>
      <xdr:col>12</xdr:col>
      <xdr:colOff>773206</xdr:colOff>
      <xdr:row>18</xdr:row>
      <xdr:rowOff>56030</xdr:rowOff>
    </xdr:to>
    <xdr:sp macro="" textlink="">
      <xdr:nvSpPr>
        <xdr:cNvPr id="17" name="Speech Bubble: Rectangle with Corners Rounded 16">
          <a:extLst>
            <a:ext uri="{FF2B5EF4-FFF2-40B4-BE49-F238E27FC236}">
              <a16:creationId xmlns:a16="http://schemas.microsoft.com/office/drawing/2014/main" id="{00000000-0008-0000-0100-000011000000}"/>
            </a:ext>
          </a:extLst>
        </xdr:cNvPr>
        <xdr:cNvSpPr/>
      </xdr:nvSpPr>
      <xdr:spPr>
        <a:xfrm>
          <a:off x="8146676" y="2364442"/>
          <a:ext cx="3922059" cy="1131794"/>
        </a:xfrm>
        <a:prstGeom prst="wedgeRoundRectCallout">
          <a:avLst>
            <a:gd name="adj1" fmla="val -64700"/>
            <a:gd name="adj2" fmla="val -4931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lang="en-US" sz="1100" b="1" u="sng">
              <a:solidFill>
                <a:schemeClr val="lt1"/>
              </a:solidFill>
              <a:latin typeface="+mn-lt"/>
              <a:ea typeface="+mn-ea"/>
              <a:cs typeface="+mn-cs"/>
            </a:rPr>
            <a:t>Step Two</a:t>
          </a:r>
          <a:r>
            <a:rPr lang="en-US" sz="1100" b="1" u="none">
              <a:solidFill>
                <a:schemeClr val="lt1"/>
              </a:solidFill>
              <a:latin typeface="+mn-lt"/>
              <a:ea typeface="+mn-ea"/>
              <a:cs typeface="+mn-cs"/>
            </a:rPr>
            <a:t>: </a:t>
          </a:r>
          <a:r>
            <a:rPr lang="en-US" sz="1100" b="0" u="none">
              <a:solidFill>
                <a:schemeClr val="lt1"/>
              </a:solidFill>
              <a:latin typeface="+mn-lt"/>
              <a:ea typeface="+mn-ea"/>
              <a:cs typeface="+mn-cs"/>
            </a:rPr>
            <a:t>Year Built/Renovated: When comparing the age of two properties, the  amount entered in the Rent Adjustment Workbook will be</a:t>
          </a:r>
          <a:r>
            <a:rPr lang="en-US" sz="1100" b="0" u="none" baseline="0">
              <a:solidFill>
                <a:schemeClr val="lt1"/>
              </a:solidFill>
              <a:latin typeface="+mn-lt"/>
              <a:ea typeface="+mn-ea"/>
              <a:cs typeface="+mn-cs"/>
            </a:rPr>
            <a:t> used to adjust rent for each year of difference. </a:t>
          </a:r>
          <a:endParaRPr lang="en-US" sz="1100" b="0" u="none">
            <a:solidFill>
              <a:schemeClr val="lt1"/>
            </a:solidFill>
            <a:latin typeface="+mn-lt"/>
            <a:ea typeface="+mn-ea"/>
            <a:cs typeface="+mn-cs"/>
          </a:endParaRPr>
        </a:p>
      </xdr:txBody>
    </xdr:sp>
    <xdr:clientData/>
  </xdr:twoCellAnchor>
  <xdr:twoCellAnchor>
    <xdr:from>
      <xdr:col>7</xdr:col>
      <xdr:colOff>44826</xdr:colOff>
      <xdr:row>33</xdr:row>
      <xdr:rowOff>115796</xdr:rowOff>
    </xdr:from>
    <xdr:to>
      <xdr:col>13</xdr:col>
      <xdr:colOff>227856</xdr:colOff>
      <xdr:row>38</xdr:row>
      <xdr:rowOff>74706</xdr:rowOff>
    </xdr:to>
    <xdr:sp macro="" textlink="">
      <xdr:nvSpPr>
        <xdr:cNvPr id="13" name="Speech Bubble: Rectangle with Corners Rounded 12">
          <a:extLst>
            <a:ext uri="{FF2B5EF4-FFF2-40B4-BE49-F238E27FC236}">
              <a16:creationId xmlns:a16="http://schemas.microsoft.com/office/drawing/2014/main" id="{00000000-0008-0000-0100-00000D000000}"/>
            </a:ext>
          </a:extLst>
        </xdr:cNvPr>
        <xdr:cNvSpPr/>
      </xdr:nvSpPr>
      <xdr:spPr>
        <a:xfrm>
          <a:off x="9136532" y="6286502"/>
          <a:ext cx="4314265" cy="892733"/>
        </a:xfrm>
        <a:prstGeom prst="wedgeRoundRectCallout">
          <a:avLst>
            <a:gd name="adj1" fmla="val 989"/>
            <a:gd name="adj2" fmla="val -91452"/>
            <a:gd name="adj3" fmla="val 16667"/>
          </a:avLst>
        </a:prstGeom>
        <a:solidFill>
          <a:srgbClr val="FF99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solidFill>
                <a:sysClr val="windowText" lastClr="000000"/>
              </a:solidFill>
            </a:rPr>
            <a:t>Step Four Example</a:t>
          </a:r>
          <a:r>
            <a:rPr lang="en-US" sz="1100" b="1" u="none" baseline="0">
              <a:solidFill>
                <a:sysClr val="windowText" lastClr="000000"/>
              </a:solidFill>
            </a:rPr>
            <a:t>: </a:t>
          </a:r>
          <a:r>
            <a:rPr lang="en-US" sz="1100" baseline="0">
              <a:solidFill>
                <a:sysClr val="windowText" lastClr="000000"/>
              </a:solidFill>
            </a:rPr>
            <a:t>If there are no available units with the same number of  bedrooms to compare, use the "PHA Write-in" space to make adjustments as needed. Make sure to include an explanation for using a different bedroom size on the "Justification" tab.</a:t>
          </a:r>
        </a:p>
      </xdr:txBody>
    </xdr:sp>
    <xdr:clientData/>
  </xdr:twoCellAnchor>
  <xdr:twoCellAnchor>
    <xdr:from>
      <xdr:col>5</xdr:col>
      <xdr:colOff>201706</xdr:colOff>
      <xdr:row>21</xdr:row>
      <xdr:rowOff>11210</xdr:rowOff>
    </xdr:from>
    <xdr:to>
      <xdr:col>12</xdr:col>
      <xdr:colOff>896471</xdr:colOff>
      <xdr:row>27</xdr:row>
      <xdr:rowOff>123266</xdr:rowOff>
    </xdr:to>
    <xdr:sp macro="" textlink="">
      <xdr:nvSpPr>
        <xdr:cNvPr id="18" name="Speech Bubble: Rectangle with Corners Rounded 17">
          <a:extLst>
            <a:ext uri="{FF2B5EF4-FFF2-40B4-BE49-F238E27FC236}">
              <a16:creationId xmlns:a16="http://schemas.microsoft.com/office/drawing/2014/main" id="{00000000-0008-0000-0100-000012000000}"/>
            </a:ext>
          </a:extLst>
        </xdr:cNvPr>
        <xdr:cNvSpPr/>
      </xdr:nvSpPr>
      <xdr:spPr>
        <a:xfrm>
          <a:off x="7709647" y="3832416"/>
          <a:ext cx="4482353" cy="1255056"/>
        </a:xfrm>
        <a:prstGeom prst="wedgeRoundRectCallout">
          <a:avLst>
            <a:gd name="adj1" fmla="val 2782"/>
            <a:gd name="adj2" fmla="val -66424"/>
            <a:gd name="adj3" fmla="val 16667"/>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lang="en-US" sz="1100" b="1" u="sng" baseline="0">
              <a:solidFill>
                <a:schemeClr val="tx2">
                  <a:lumMod val="50000"/>
                </a:schemeClr>
              </a:solidFill>
              <a:latin typeface="+mn-lt"/>
              <a:ea typeface="+mn-ea"/>
              <a:cs typeface="+mn-cs"/>
            </a:rPr>
            <a:t>Step Two Example</a:t>
          </a:r>
          <a:r>
            <a:rPr lang="en-US" sz="1100" b="0" u="none" baseline="0">
              <a:solidFill>
                <a:schemeClr val="tx2">
                  <a:lumMod val="50000"/>
                </a:schemeClr>
              </a:solidFill>
              <a:latin typeface="+mn-lt"/>
              <a:ea typeface="+mn-ea"/>
              <a:cs typeface="+mn-cs"/>
            </a:rPr>
            <a:t>: If PHA Property was built in 1980, and a comparable property was built in 2000, there is a 20 year difference. In our example, we are adjusting for each year by $0.65. This analysis will multiply 20 years by the $0.65 adjustment, resulting in $13 monthly rent adjustment.</a:t>
          </a:r>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203200</xdr:colOff>
          <xdr:row>10</xdr:row>
          <xdr:rowOff>95250</xdr:rowOff>
        </xdr:from>
        <xdr:to>
          <xdr:col>7</xdr:col>
          <xdr:colOff>533400</xdr:colOff>
          <xdr:row>12</xdr:row>
          <xdr:rowOff>107950</xdr:rowOff>
        </xdr:to>
        <xdr:sp macro="" textlink="">
          <xdr:nvSpPr>
            <xdr:cNvPr id="11497" name="Check Box 233" hidden="1">
              <a:extLst>
                <a:ext uri="{63B3BB69-23CF-44E3-9099-C40C66FF867C}">
                  <a14:compatExt spid="_x0000_s11497"/>
                </a:ext>
                <a:ext uri="{FF2B5EF4-FFF2-40B4-BE49-F238E27FC236}">
                  <a16:creationId xmlns:a16="http://schemas.microsoft.com/office/drawing/2014/main" id="{00000000-0008-0000-0C00-0000E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10</xdr:row>
          <xdr:rowOff>69850</xdr:rowOff>
        </xdr:from>
        <xdr:to>
          <xdr:col>10</xdr:col>
          <xdr:colOff>609600</xdr:colOff>
          <xdr:row>12</xdr:row>
          <xdr:rowOff>133350</xdr:rowOff>
        </xdr:to>
        <xdr:sp macro="" textlink="">
          <xdr:nvSpPr>
            <xdr:cNvPr id="11498" name="Check Box 234" hidden="1">
              <a:extLst>
                <a:ext uri="{63B3BB69-23CF-44E3-9099-C40C66FF867C}">
                  <a14:compatExt spid="_x0000_s11498"/>
                </a:ext>
                <a:ext uri="{FF2B5EF4-FFF2-40B4-BE49-F238E27FC236}">
                  <a16:creationId xmlns:a16="http://schemas.microsoft.com/office/drawing/2014/main" id="{00000000-0008-0000-0C00-0000E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10</xdr:row>
          <xdr:rowOff>95250</xdr:rowOff>
        </xdr:from>
        <xdr:to>
          <xdr:col>13</xdr:col>
          <xdr:colOff>571500</xdr:colOff>
          <xdr:row>12</xdr:row>
          <xdr:rowOff>107950</xdr:rowOff>
        </xdr:to>
        <xdr:sp macro="" textlink="">
          <xdr:nvSpPr>
            <xdr:cNvPr id="11499" name="Check Box 235" hidden="1">
              <a:extLst>
                <a:ext uri="{63B3BB69-23CF-44E3-9099-C40C66FF867C}">
                  <a14:compatExt spid="_x0000_s11499"/>
                </a:ext>
                <a:ext uri="{FF2B5EF4-FFF2-40B4-BE49-F238E27FC236}">
                  <a16:creationId xmlns:a16="http://schemas.microsoft.com/office/drawing/2014/main" id="{00000000-0008-0000-0C00-0000E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10</xdr:row>
          <xdr:rowOff>95250</xdr:rowOff>
        </xdr:from>
        <xdr:to>
          <xdr:col>7</xdr:col>
          <xdr:colOff>533400</xdr:colOff>
          <xdr:row>12</xdr:row>
          <xdr:rowOff>107950</xdr:rowOff>
        </xdr:to>
        <xdr:sp macro="" textlink="">
          <xdr:nvSpPr>
            <xdr:cNvPr id="11500" name="Check Box 236" hidden="1">
              <a:extLst>
                <a:ext uri="{63B3BB69-23CF-44E3-9099-C40C66FF867C}">
                  <a14:compatExt spid="_x0000_s11500"/>
                </a:ext>
                <a:ext uri="{FF2B5EF4-FFF2-40B4-BE49-F238E27FC236}">
                  <a16:creationId xmlns:a16="http://schemas.microsoft.com/office/drawing/2014/main" id="{00000000-0008-0000-0C00-0000E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10</xdr:row>
          <xdr:rowOff>69850</xdr:rowOff>
        </xdr:from>
        <xdr:to>
          <xdr:col>10</xdr:col>
          <xdr:colOff>609600</xdr:colOff>
          <xdr:row>12</xdr:row>
          <xdr:rowOff>133350</xdr:rowOff>
        </xdr:to>
        <xdr:sp macro="" textlink="">
          <xdr:nvSpPr>
            <xdr:cNvPr id="11501" name="Check Box 237" hidden="1">
              <a:extLst>
                <a:ext uri="{63B3BB69-23CF-44E3-9099-C40C66FF867C}">
                  <a14:compatExt spid="_x0000_s11501"/>
                </a:ext>
                <a:ext uri="{FF2B5EF4-FFF2-40B4-BE49-F238E27FC236}">
                  <a16:creationId xmlns:a16="http://schemas.microsoft.com/office/drawing/2014/main" id="{00000000-0008-0000-0C00-0000E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10</xdr:row>
          <xdr:rowOff>95250</xdr:rowOff>
        </xdr:from>
        <xdr:to>
          <xdr:col>13</xdr:col>
          <xdr:colOff>571500</xdr:colOff>
          <xdr:row>12</xdr:row>
          <xdr:rowOff>107950</xdr:rowOff>
        </xdr:to>
        <xdr:sp macro="" textlink="">
          <xdr:nvSpPr>
            <xdr:cNvPr id="11502" name="Check Box 238" hidden="1">
              <a:extLst>
                <a:ext uri="{63B3BB69-23CF-44E3-9099-C40C66FF867C}">
                  <a14:compatExt spid="_x0000_s11502"/>
                </a:ext>
                <a:ext uri="{FF2B5EF4-FFF2-40B4-BE49-F238E27FC236}">
                  <a16:creationId xmlns:a16="http://schemas.microsoft.com/office/drawing/2014/main" id="{00000000-0008-0000-0C00-0000E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10</xdr:row>
          <xdr:rowOff>95250</xdr:rowOff>
        </xdr:from>
        <xdr:to>
          <xdr:col>7</xdr:col>
          <xdr:colOff>533400</xdr:colOff>
          <xdr:row>12</xdr:row>
          <xdr:rowOff>107950</xdr:rowOff>
        </xdr:to>
        <xdr:sp macro="" textlink="">
          <xdr:nvSpPr>
            <xdr:cNvPr id="11503" name="Check Box 239" hidden="1">
              <a:extLst>
                <a:ext uri="{63B3BB69-23CF-44E3-9099-C40C66FF867C}">
                  <a14:compatExt spid="_x0000_s11503"/>
                </a:ext>
                <a:ext uri="{FF2B5EF4-FFF2-40B4-BE49-F238E27FC236}">
                  <a16:creationId xmlns:a16="http://schemas.microsoft.com/office/drawing/2014/main" id="{00000000-0008-0000-0C00-0000E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10</xdr:row>
          <xdr:rowOff>69850</xdr:rowOff>
        </xdr:from>
        <xdr:to>
          <xdr:col>10</xdr:col>
          <xdr:colOff>609600</xdr:colOff>
          <xdr:row>12</xdr:row>
          <xdr:rowOff>133350</xdr:rowOff>
        </xdr:to>
        <xdr:sp macro="" textlink="">
          <xdr:nvSpPr>
            <xdr:cNvPr id="11504" name="Check Box 240" hidden="1">
              <a:extLst>
                <a:ext uri="{63B3BB69-23CF-44E3-9099-C40C66FF867C}">
                  <a14:compatExt spid="_x0000_s11504"/>
                </a:ext>
                <a:ext uri="{FF2B5EF4-FFF2-40B4-BE49-F238E27FC236}">
                  <a16:creationId xmlns:a16="http://schemas.microsoft.com/office/drawing/2014/main" id="{00000000-0008-0000-0C00-0000F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10</xdr:row>
          <xdr:rowOff>95250</xdr:rowOff>
        </xdr:from>
        <xdr:to>
          <xdr:col>13</xdr:col>
          <xdr:colOff>571500</xdr:colOff>
          <xdr:row>12</xdr:row>
          <xdr:rowOff>107950</xdr:rowOff>
        </xdr:to>
        <xdr:sp macro="" textlink="">
          <xdr:nvSpPr>
            <xdr:cNvPr id="11505" name="Check Box 241" hidden="1">
              <a:extLst>
                <a:ext uri="{63B3BB69-23CF-44E3-9099-C40C66FF867C}">
                  <a14:compatExt spid="_x0000_s11505"/>
                </a:ext>
                <a:ext uri="{FF2B5EF4-FFF2-40B4-BE49-F238E27FC236}">
                  <a16:creationId xmlns:a16="http://schemas.microsoft.com/office/drawing/2014/main" id="{00000000-0008-0000-0C00-0000F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203200</xdr:colOff>
          <xdr:row>10</xdr:row>
          <xdr:rowOff>95250</xdr:rowOff>
        </xdr:from>
        <xdr:to>
          <xdr:col>7</xdr:col>
          <xdr:colOff>533400</xdr:colOff>
          <xdr:row>12</xdr:row>
          <xdr:rowOff>107950</xdr:rowOff>
        </xdr:to>
        <xdr:sp macro="" textlink="">
          <xdr:nvSpPr>
            <xdr:cNvPr id="12499" name="Check Box 211" hidden="1">
              <a:extLst>
                <a:ext uri="{63B3BB69-23CF-44E3-9099-C40C66FF867C}">
                  <a14:compatExt spid="_x0000_s12499"/>
                </a:ext>
                <a:ext uri="{FF2B5EF4-FFF2-40B4-BE49-F238E27FC236}">
                  <a16:creationId xmlns:a16="http://schemas.microsoft.com/office/drawing/2014/main" id="{00000000-0008-0000-0D00-0000D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10</xdr:row>
          <xdr:rowOff>69850</xdr:rowOff>
        </xdr:from>
        <xdr:to>
          <xdr:col>10</xdr:col>
          <xdr:colOff>609600</xdr:colOff>
          <xdr:row>12</xdr:row>
          <xdr:rowOff>133350</xdr:rowOff>
        </xdr:to>
        <xdr:sp macro="" textlink="">
          <xdr:nvSpPr>
            <xdr:cNvPr id="12500" name="Check Box 212" hidden="1">
              <a:extLst>
                <a:ext uri="{63B3BB69-23CF-44E3-9099-C40C66FF867C}">
                  <a14:compatExt spid="_x0000_s12500"/>
                </a:ext>
                <a:ext uri="{FF2B5EF4-FFF2-40B4-BE49-F238E27FC236}">
                  <a16:creationId xmlns:a16="http://schemas.microsoft.com/office/drawing/2014/main" id="{00000000-0008-0000-0D00-0000D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10</xdr:row>
          <xdr:rowOff>95250</xdr:rowOff>
        </xdr:from>
        <xdr:to>
          <xdr:col>13</xdr:col>
          <xdr:colOff>571500</xdr:colOff>
          <xdr:row>12</xdr:row>
          <xdr:rowOff>107950</xdr:rowOff>
        </xdr:to>
        <xdr:sp macro="" textlink="">
          <xdr:nvSpPr>
            <xdr:cNvPr id="12501" name="Check Box 213" hidden="1">
              <a:extLst>
                <a:ext uri="{63B3BB69-23CF-44E3-9099-C40C66FF867C}">
                  <a14:compatExt spid="_x0000_s12501"/>
                </a:ext>
                <a:ext uri="{FF2B5EF4-FFF2-40B4-BE49-F238E27FC236}">
                  <a16:creationId xmlns:a16="http://schemas.microsoft.com/office/drawing/2014/main" id="{00000000-0008-0000-0D00-0000D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10</xdr:row>
          <xdr:rowOff>95250</xdr:rowOff>
        </xdr:from>
        <xdr:to>
          <xdr:col>7</xdr:col>
          <xdr:colOff>533400</xdr:colOff>
          <xdr:row>12</xdr:row>
          <xdr:rowOff>107950</xdr:rowOff>
        </xdr:to>
        <xdr:sp macro="" textlink="">
          <xdr:nvSpPr>
            <xdr:cNvPr id="12502" name="Check Box 214" hidden="1">
              <a:extLst>
                <a:ext uri="{63B3BB69-23CF-44E3-9099-C40C66FF867C}">
                  <a14:compatExt spid="_x0000_s12502"/>
                </a:ext>
                <a:ext uri="{FF2B5EF4-FFF2-40B4-BE49-F238E27FC236}">
                  <a16:creationId xmlns:a16="http://schemas.microsoft.com/office/drawing/2014/main" id="{00000000-0008-0000-0D00-0000D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10</xdr:row>
          <xdr:rowOff>69850</xdr:rowOff>
        </xdr:from>
        <xdr:to>
          <xdr:col>10</xdr:col>
          <xdr:colOff>609600</xdr:colOff>
          <xdr:row>12</xdr:row>
          <xdr:rowOff>133350</xdr:rowOff>
        </xdr:to>
        <xdr:sp macro="" textlink="">
          <xdr:nvSpPr>
            <xdr:cNvPr id="12503" name="Check Box 215" hidden="1">
              <a:extLst>
                <a:ext uri="{63B3BB69-23CF-44E3-9099-C40C66FF867C}">
                  <a14:compatExt spid="_x0000_s12503"/>
                </a:ext>
                <a:ext uri="{FF2B5EF4-FFF2-40B4-BE49-F238E27FC236}">
                  <a16:creationId xmlns:a16="http://schemas.microsoft.com/office/drawing/2014/main" id="{00000000-0008-0000-0D00-0000D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10</xdr:row>
          <xdr:rowOff>95250</xdr:rowOff>
        </xdr:from>
        <xdr:to>
          <xdr:col>13</xdr:col>
          <xdr:colOff>571500</xdr:colOff>
          <xdr:row>12</xdr:row>
          <xdr:rowOff>107950</xdr:rowOff>
        </xdr:to>
        <xdr:sp macro="" textlink="">
          <xdr:nvSpPr>
            <xdr:cNvPr id="12504" name="Check Box 216" hidden="1">
              <a:extLst>
                <a:ext uri="{63B3BB69-23CF-44E3-9099-C40C66FF867C}">
                  <a14:compatExt spid="_x0000_s12504"/>
                </a:ext>
                <a:ext uri="{FF2B5EF4-FFF2-40B4-BE49-F238E27FC236}">
                  <a16:creationId xmlns:a16="http://schemas.microsoft.com/office/drawing/2014/main" id="{00000000-0008-0000-0D00-0000D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10</xdr:row>
          <xdr:rowOff>95250</xdr:rowOff>
        </xdr:from>
        <xdr:to>
          <xdr:col>7</xdr:col>
          <xdr:colOff>533400</xdr:colOff>
          <xdr:row>12</xdr:row>
          <xdr:rowOff>107950</xdr:rowOff>
        </xdr:to>
        <xdr:sp macro="" textlink="">
          <xdr:nvSpPr>
            <xdr:cNvPr id="12505" name="Check Box 217" hidden="1">
              <a:extLst>
                <a:ext uri="{63B3BB69-23CF-44E3-9099-C40C66FF867C}">
                  <a14:compatExt spid="_x0000_s12505"/>
                </a:ext>
                <a:ext uri="{FF2B5EF4-FFF2-40B4-BE49-F238E27FC236}">
                  <a16:creationId xmlns:a16="http://schemas.microsoft.com/office/drawing/2014/main" id="{00000000-0008-0000-0D00-0000D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10</xdr:row>
          <xdr:rowOff>69850</xdr:rowOff>
        </xdr:from>
        <xdr:to>
          <xdr:col>10</xdr:col>
          <xdr:colOff>609600</xdr:colOff>
          <xdr:row>12</xdr:row>
          <xdr:rowOff>133350</xdr:rowOff>
        </xdr:to>
        <xdr:sp macro="" textlink="">
          <xdr:nvSpPr>
            <xdr:cNvPr id="12506" name="Check Box 218" hidden="1">
              <a:extLst>
                <a:ext uri="{63B3BB69-23CF-44E3-9099-C40C66FF867C}">
                  <a14:compatExt spid="_x0000_s12506"/>
                </a:ext>
                <a:ext uri="{FF2B5EF4-FFF2-40B4-BE49-F238E27FC236}">
                  <a16:creationId xmlns:a16="http://schemas.microsoft.com/office/drawing/2014/main" id="{00000000-0008-0000-0D00-0000D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10</xdr:row>
          <xdr:rowOff>95250</xdr:rowOff>
        </xdr:from>
        <xdr:to>
          <xdr:col>13</xdr:col>
          <xdr:colOff>571500</xdr:colOff>
          <xdr:row>12</xdr:row>
          <xdr:rowOff>107950</xdr:rowOff>
        </xdr:to>
        <xdr:sp macro="" textlink="">
          <xdr:nvSpPr>
            <xdr:cNvPr id="12507" name="Check Box 219" hidden="1">
              <a:extLst>
                <a:ext uri="{63B3BB69-23CF-44E3-9099-C40C66FF867C}">
                  <a14:compatExt spid="_x0000_s12507"/>
                </a:ext>
                <a:ext uri="{FF2B5EF4-FFF2-40B4-BE49-F238E27FC236}">
                  <a16:creationId xmlns:a16="http://schemas.microsoft.com/office/drawing/2014/main" id="{00000000-0008-0000-0D00-0000D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203200</xdr:colOff>
          <xdr:row>10</xdr:row>
          <xdr:rowOff>95250</xdr:rowOff>
        </xdr:from>
        <xdr:to>
          <xdr:col>7</xdr:col>
          <xdr:colOff>533400</xdr:colOff>
          <xdr:row>12</xdr:row>
          <xdr:rowOff>107950</xdr:rowOff>
        </xdr:to>
        <xdr:sp macro="" textlink="">
          <xdr:nvSpPr>
            <xdr:cNvPr id="13410" name="Check Box 98" hidden="1">
              <a:extLst>
                <a:ext uri="{63B3BB69-23CF-44E3-9099-C40C66FF867C}">
                  <a14:compatExt spid="_x0000_s13410"/>
                </a:ext>
                <a:ext uri="{FF2B5EF4-FFF2-40B4-BE49-F238E27FC236}">
                  <a16:creationId xmlns:a16="http://schemas.microsoft.com/office/drawing/2014/main" id="{00000000-0008-0000-0E00-00006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10</xdr:row>
          <xdr:rowOff>69850</xdr:rowOff>
        </xdr:from>
        <xdr:to>
          <xdr:col>10</xdr:col>
          <xdr:colOff>609600</xdr:colOff>
          <xdr:row>12</xdr:row>
          <xdr:rowOff>133350</xdr:rowOff>
        </xdr:to>
        <xdr:sp macro="" textlink="">
          <xdr:nvSpPr>
            <xdr:cNvPr id="13411" name="Check Box 99" hidden="1">
              <a:extLst>
                <a:ext uri="{63B3BB69-23CF-44E3-9099-C40C66FF867C}">
                  <a14:compatExt spid="_x0000_s13411"/>
                </a:ext>
                <a:ext uri="{FF2B5EF4-FFF2-40B4-BE49-F238E27FC236}">
                  <a16:creationId xmlns:a16="http://schemas.microsoft.com/office/drawing/2014/main" id="{00000000-0008-0000-0E00-00006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10</xdr:row>
          <xdr:rowOff>95250</xdr:rowOff>
        </xdr:from>
        <xdr:to>
          <xdr:col>13</xdr:col>
          <xdr:colOff>571500</xdr:colOff>
          <xdr:row>12</xdr:row>
          <xdr:rowOff>107950</xdr:rowOff>
        </xdr:to>
        <xdr:sp macro="" textlink="">
          <xdr:nvSpPr>
            <xdr:cNvPr id="13412" name="Check Box 100" hidden="1">
              <a:extLst>
                <a:ext uri="{63B3BB69-23CF-44E3-9099-C40C66FF867C}">
                  <a14:compatExt spid="_x0000_s13412"/>
                </a:ext>
                <a:ext uri="{FF2B5EF4-FFF2-40B4-BE49-F238E27FC236}">
                  <a16:creationId xmlns:a16="http://schemas.microsoft.com/office/drawing/2014/main" id="{00000000-0008-0000-0E00-00006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10</xdr:row>
          <xdr:rowOff>95250</xdr:rowOff>
        </xdr:from>
        <xdr:to>
          <xdr:col>7</xdr:col>
          <xdr:colOff>533400</xdr:colOff>
          <xdr:row>12</xdr:row>
          <xdr:rowOff>107950</xdr:rowOff>
        </xdr:to>
        <xdr:sp macro="" textlink="">
          <xdr:nvSpPr>
            <xdr:cNvPr id="13413" name="Check Box 101" hidden="1">
              <a:extLst>
                <a:ext uri="{63B3BB69-23CF-44E3-9099-C40C66FF867C}">
                  <a14:compatExt spid="_x0000_s13413"/>
                </a:ext>
                <a:ext uri="{FF2B5EF4-FFF2-40B4-BE49-F238E27FC236}">
                  <a16:creationId xmlns:a16="http://schemas.microsoft.com/office/drawing/2014/main" id="{00000000-0008-0000-0E00-00006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10</xdr:row>
          <xdr:rowOff>69850</xdr:rowOff>
        </xdr:from>
        <xdr:to>
          <xdr:col>10</xdr:col>
          <xdr:colOff>609600</xdr:colOff>
          <xdr:row>12</xdr:row>
          <xdr:rowOff>133350</xdr:rowOff>
        </xdr:to>
        <xdr:sp macro="" textlink="">
          <xdr:nvSpPr>
            <xdr:cNvPr id="13414" name="Check Box 102" hidden="1">
              <a:extLst>
                <a:ext uri="{63B3BB69-23CF-44E3-9099-C40C66FF867C}">
                  <a14:compatExt spid="_x0000_s13414"/>
                </a:ext>
                <a:ext uri="{FF2B5EF4-FFF2-40B4-BE49-F238E27FC236}">
                  <a16:creationId xmlns:a16="http://schemas.microsoft.com/office/drawing/2014/main" id="{00000000-0008-0000-0E00-00006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10</xdr:row>
          <xdr:rowOff>95250</xdr:rowOff>
        </xdr:from>
        <xdr:to>
          <xdr:col>13</xdr:col>
          <xdr:colOff>571500</xdr:colOff>
          <xdr:row>12</xdr:row>
          <xdr:rowOff>107950</xdr:rowOff>
        </xdr:to>
        <xdr:sp macro="" textlink="">
          <xdr:nvSpPr>
            <xdr:cNvPr id="13415" name="Check Box 103" hidden="1">
              <a:extLst>
                <a:ext uri="{63B3BB69-23CF-44E3-9099-C40C66FF867C}">
                  <a14:compatExt spid="_x0000_s13415"/>
                </a:ext>
                <a:ext uri="{FF2B5EF4-FFF2-40B4-BE49-F238E27FC236}">
                  <a16:creationId xmlns:a16="http://schemas.microsoft.com/office/drawing/2014/main" id="{00000000-0008-0000-0E00-00006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10</xdr:row>
          <xdr:rowOff>95250</xdr:rowOff>
        </xdr:from>
        <xdr:to>
          <xdr:col>7</xdr:col>
          <xdr:colOff>533400</xdr:colOff>
          <xdr:row>12</xdr:row>
          <xdr:rowOff>107950</xdr:rowOff>
        </xdr:to>
        <xdr:sp macro="" textlink="">
          <xdr:nvSpPr>
            <xdr:cNvPr id="13416" name="Check Box 104" hidden="1">
              <a:extLst>
                <a:ext uri="{63B3BB69-23CF-44E3-9099-C40C66FF867C}">
                  <a14:compatExt spid="_x0000_s13416"/>
                </a:ext>
                <a:ext uri="{FF2B5EF4-FFF2-40B4-BE49-F238E27FC236}">
                  <a16:creationId xmlns:a16="http://schemas.microsoft.com/office/drawing/2014/main" id="{00000000-0008-0000-0E00-00006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10</xdr:row>
          <xdr:rowOff>69850</xdr:rowOff>
        </xdr:from>
        <xdr:to>
          <xdr:col>10</xdr:col>
          <xdr:colOff>609600</xdr:colOff>
          <xdr:row>12</xdr:row>
          <xdr:rowOff>133350</xdr:rowOff>
        </xdr:to>
        <xdr:sp macro="" textlink="">
          <xdr:nvSpPr>
            <xdr:cNvPr id="13417" name="Check Box 105" hidden="1">
              <a:extLst>
                <a:ext uri="{63B3BB69-23CF-44E3-9099-C40C66FF867C}">
                  <a14:compatExt spid="_x0000_s13417"/>
                </a:ext>
                <a:ext uri="{FF2B5EF4-FFF2-40B4-BE49-F238E27FC236}">
                  <a16:creationId xmlns:a16="http://schemas.microsoft.com/office/drawing/2014/main" id="{00000000-0008-0000-0E00-00006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10</xdr:row>
          <xdr:rowOff>95250</xdr:rowOff>
        </xdr:from>
        <xdr:to>
          <xdr:col>13</xdr:col>
          <xdr:colOff>571500</xdr:colOff>
          <xdr:row>12</xdr:row>
          <xdr:rowOff>107950</xdr:rowOff>
        </xdr:to>
        <xdr:sp macro="" textlink="">
          <xdr:nvSpPr>
            <xdr:cNvPr id="13418" name="Check Box 106" hidden="1">
              <a:extLst>
                <a:ext uri="{63B3BB69-23CF-44E3-9099-C40C66FF867C}">
                  <a14:compatExt spid="_x0000_s13418"/>
                </a:ext>
                <a:ext uri="{FF2B5EF4-FFF2-40B4-BE49-F238E27FC236}">
                  <a16:creationId xmlns:a16="http://schemas.microsoft.com/office/drawing/2014/main" id="{00000000-0008-0000-0E00-00006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8</xdr:col>
          <xdr:colOff>38098</xdr:colOff>
          <xdr:row>10</xdr:row>
          <xdr:rowOff>123816</xdr:rowOff>
        </xdr:from>
        <xdr:to>
          <xdr:col>15</xdr:col>
          <xdr:colOff>22224</xdr:colOff>
          <xdr:row>13</xdr:row>
          <xdr:rowOff>17454</xdr:rowOff>
        </xdr:to>
        <xdr:grpSp>
          <xdr:nvGrpSpPr>
            <xdr:cNvPr id="2" name="Group 1">
              <a:extLst>
                <a:ext uri="{FF2B5EF4-FFF2-40B4-BE49-F238E27FC236}">
                  <a16:creationId xmlns:a16="http://schemas.microsoft.com/office/drawing/2014/main" id="{00000000-0008-0000-1500-000002000000}"/>
                </a:ext>
              </a:extLst>
            </xdr:cNvPr>
            <xdr:cNvGrpSpPr/>
          </xdr:nvGrpSpPr>
          <xdr:grpSpPr>
            <a:xfrm>
              <a:off x="5492748" y="1990716"/>
              <a:ext cx="4911726" cy="446088"/>
              <a:chOff x="4819651" y="2062078"/>
              <a:chExt cx="4248149" cy="319088"/>
            </a:xfrm>
          </xdr:grpSpPr>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1500-000002140000}"/>
                  </a:ext>
                </a:extLst>
              </xdr:cNvPr>
              <xdr:cNvSpPr/>
            </xdr:nvSpPr>
            <xdr:spPr bwMode="auto">
              <a:xfrm>
                <a:off x="4819651"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1500-000003140000}"/>
                  </a:ext>
                </a:extLst>
              </xdr:cNvPr>
              <xdr:cNvSpPr/>
            </xdr:nvSpPr>
            <xdr:spPr bwMode="auto">
              <a:xfrm>
                <a:off x="6734175" y="2062078"/>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1500-000004140000}"/>
                  </a:ext>
                </a:extLst>
              </xdr:cNvPr>
              <xdr:cNvSpPr/>
            </xdr:nvSpPr>
            <xdr:spPr bwMode="auto">
              <a:xfrm>
                <a:off x="8763000"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385763</xdr:colOff>
      <xdr:row>23</xdr:row>
      <xdr:rowOff>71436</xdr:rowOff>
    </xdr:from>
    <xdr:to>
      <xdr:col>6</xdr:col>
      <xdr:colOff>766762</xdr:colOff>
      <xdr:row>28</xdr:row>
      <xdr:rowOff>166686</xdr:rowOff>
    </xdr:to>
    <xdr:sp macro="" textlink="">
      <xdr:nvSpPr>
        <xdr:cNvPr id="2" name="Speech Bubble: Rectangle with Corners Rounded 1">
          <a:extLst>
            <a:ext uri="{FF2B5EF4-FFF2-40B4-BE49-F238E27FC236}">
              <a16:creationId xmlns:a16="http://schemas.microsoft.com/office/drawing/2014/main" id="{00000000-0008-0000-0200-000002000000}"/>
            </a:ext>
          </a:extLst>
        </xdr:cNvPr>
        <xdr:cNvSpPr/>
      </xdr:nvSpPr>
      <xdr:spPr>
        <a:xfrm>
          <a:off x="3314701" y="4691061"/>
          <a:ext cx="2857499" cy="1095375"/>
        </a:xfrm>
        <a:prstGeom prst="wedgeRoundRectCallout">
          <a:avLst>
            <a:gd name="adj1" fmla="val -61847"/>
            <a:gd name="adj2" fmla="val -30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Step Four</a:t>
          </a:r>
          <a:r>
            <a:rPr lang="en-US" sz="1100" b="1" u="none" baseline="0"/>
            <a:t>: </a:t>
          </a:r>
          <a:r>
            <a:rPr lang="en-US" sz="1100" b="0" u="none" baseline="0"/>
            <a:t> Using the</a:t>
          </a:r>
          <a:r>
            <a:rPr lang="en-US" sz="1100" b="1" u="none" baseline="0"/>
            <a:t> </a:t>
          </a:r>
          <a:r>
            <a:rPr lang="en-US" sz="1100" b="1" i="0" u="none" baseline="0">
              <a:solidFill>
                <a:schemeClr val="accent4"/>
              </a:solidFill>
            </a:rPr>
            <a:t>Utility Allowance Schedule</a:t>
          </a:r>
          <a:r>
            <a:rPr lang="en-US" sz="1100" b="0" u="none" baseline="0"/>
            <a:t>, input utility allowance amount for each applicable bedroom size. </a:t>
          </a:r>
        </a:p>
        <a:p>
          <a:pPr algn="l"/>
          <a:endParaRPr lang="en-US" sz="1100" b="0" u="none" baseline="0"/>
        </a:p>
        <a:p>
          <a:pPr algn="l"/>
          <a:r>
            <a:rPr lang="en-US" sz="1100" b="0" u="none" baseline="0"/>
            <a:t>If the category does not apply, leave blank.</a:t>
          </a:r>
        </a:p>
      </xdr:txBody>
    </xdr:sp>
    <xdr:clientData/>
  </xdr:twoCellAnchor>
  <xdr:twoCellAnchor>
    <xdr:from>
      <xdr:col>0</xdr:col>
      <xdr:colOff>130968</xdr:colOff>
      <xdr:row>1</xdr:row>
      <xdr:rowOff>71440</xdr:rowOff>
    </xdr:from>
    <xdr:to>
      <xdr:col>12</xdr:col>
      <xdr:colOff>595311</xdr:colOff>
      <xdr:row>5</xdr:row>
      <xdr:rowOff>154781</xdr:rowOff>
    </xdr:to>
    <xdr:sp macro="" textlink="">
      <xdr:nvSpPr>
        <xdr:cNvPr id="3" name="Rectangle: Rounded Corners 2">
          <a:extLst>
            <a:ext uri="{FF2B5EF4-FFF2-40B4-BE49-F238E27FC236}">
              <a16:creationId xmlns:a16="http://schemas.microsoft.com/office/drawing/2014/main" id="{00000000-0008-0000-0200-000003000000}"/>
            </a:ext>
          </a:extLst>
        </xdr:cNvPr>
        <xdr:cNvSpPr/>
      </xdr:nvSpPr>
      <xdr:spPr>
        <a:xfrm>
          <a:off x="130968" y="261940"/>
          <a:ext cx="10144124" cy="845341"/>
        </a:xfrm>
        <a:prstGeom prst="roundRect">
          <a:avLst/>
        </a:prstGeom>
        <a:solidFill>
          <a:schemeClr val="accent4"/>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a:ln>
                <a:noFill/>
              </a:ln>
              <a:solidFill>
                <a:schemeClr val="tx2"/>
              </a:solidFill>
            </a:rPr>
            <a:t>Utility</a:t>
          </a:r>
          <a:r>
            <a:rPr lang="en-US" sz="1600" b="1" baseline="0">
              <a:ln>
                <a:noFill/>
              </a:ln>
              <a:solidFill>
                <a:schemeClr val="tx2"/>
              </a:solidFill>
            </a:rPr>
            <a:t> adjustments will be input on the "Utilities Worksheet" tab. Like other amenities included on the "Rent Adjustment Worksheet", utility adjustments will be used to populate the rest of the Flat Rent Market Analysis Tool. </a:t>
          </a:r>
          <a:endParaRPr lang="en-US" sz="1600" b="1">
            <a:ln>
              <a:noFill/>
            </a:ln>
            <a:solidFill>
              <a:schemeClr val="tx2"/>
            </a:solidFill>
          </a:endParaRPr>
        </a:p>
      </xdr:txBody>
    </xdr:sp>
    <xdr:clientData/>
  </xdr:twoCellAnchor>
  <xdr:twoCellAnchor>
    <xdr:from>
      <xdr:col>3</xdr:col>
      <xdr:colOff>392905</xdr:colOff>
      <xdr:row>6</xdr:row>
      <xdr:rowOff>178593</xdr:rowOff>
    </xdr:from>
    <xdr:to>
      <xdr:col>6</xdr:col>
      <xdr:colOff>714374</xdr:colOff>
      <xdr:row>10</xdr:row>
      <xdr:rowOff>166689</xdr:rowOff>
    </xdr:to>
    <xdr:sp macro="" textlink="">
      <xdr:nvSpPr>
        <xdr:cNvPr id="4" name="Speech Bubble: Rectangle with Corners Rounded 3">
          <a:extLst>
            <a:ext uri="{FF2B5EF4-FFF2-40B4-BE49-F238E27FC236}">
              <a16:creationId xmlns:a16="http://schemas.microsoft.com/office/drawing/2014/main" id="{00000000-0008-0000-0200-000004000000}"/>
            </a:ext>
          </a:extLst>
        </xdr:cNvPr>
        <xdr:cNvSpPr/>
      </xdr:nvSpPr>
      <xdr:spPr>
        <a:xfrm>
          <a:off x="2083593" y="1321593"/>
          <a:ext cx="4036219" cy="750096"/>
        </a:xfrm>
        <a:prstGeom prst="wedgeRoundRectCallout">
          <a:avLst>
            <a:gd name="adj1" fmla="val -62805"/>
            <a:gd name="adj2" fmla="val 3903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Step One</a:t>
          </a:r>
          <a:r>
            <a:rPr lang="en-US" sz="1100" b="1" u="none" baseline="0"/>
            <a:t>:</a:t>
          </a:r>
          <a:r>
            <a:rPr lang="en-US" sz="1100" b="0" u="none" baseline="0"/>
            <a:t> </a:t>
          </a:r>
          <a:r>
            <a:rPr lang="en-US" sz="1100" baseline="0"/>
            <a:t>Users must assess how much each utility type is worth in terms of monthly rent for each applicable bedroom size their particular community.</a:t>
          </a:r>
        </a:p>
      </xdr:txBody>
    </xdr:sp>
    <xdr:clientData/>
  </xdr:twoCellAnchor>
  <xdr:twoCellAnchor>
    <xdr:from>
      <xdr:col>7</xdr:col>
      <xdr:colOff>452436</xdr:colOff>
      <xdr:row>11</xdr:row>
      <xdr:rowOff>23811</xdr:rowOff>
    </xdr:from>
    <xdr:to>
      <xdr:col>12</xdr:col>
      <xdr:colOff>238124</xdr:colOff>
      <xdr:row>15</xdr:row>
      <xdr:rowOff>107155</xdr:rowOff>
    </xdr:to>
    <xdr:sp macro="" textlink="">
      <xdr:nvSpPr>
        <xdr:cNvPr id="5" name="Speech Bubble: Rectangle with Corners Rounded 4">
          <a:extLst>
            <a:ext uri="{FF2B5EF4-FFF2-40B4-BE49-F238E27FC236}">
              <a16:creationId xmlns:a16="http://schemas.microsoft.com/office/drawing/2014/main" id="{00000000-0008-0000-0200-000005000000}"/>
            </a:ext>
          </a:extLst>
        </xdr:cNvPr>
        <xdr:cNvSpPr/>
      </xdr:nvSpPr>
      <xdr:spPr>
        <a:xfrm>
          <a:off x="7096124" y="2119311"/>
          <a:ext cx="2821781" cy="1083469"/>
        </a:xfrm>
        <a:prstGeom prst="wedgeRoundRectCallout">
          <a:avLst>
            <a:gd name="adj1" fmla="val -66029"/>
            <a:gd name="adj2" fmla="val -917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a:t>Step </a:t>
          </a:r>
          <a:r>
            <a:rPr lang="en-US" sz="1100" b="1" u="sng" baseline="0"/>
            <a:t> Two</a:t>
          </a:r>
          <a:r>
            <a:rPr lang="en-US" sz="1100" b="1" u="none"/>
            <a:t>:</a:t>
          </a:r>
          <a:r>
            <a:rPr lang="en-US" sz="1100" b="0" u="none" baseline="0"/>
            <a:t> </a:t>
          </a:r>
          <a:r>
            <a:rPr lang="en-US" sz="1100" baseline="0"/>
            <a:t> For</a:t>
          </a:r>
          <a:r>
            <a:rPr lang="en-US" sz="1100"/>
            <a:t> each utility type, input how much each utility</a:t>
          </a:r>
          <a:r>
            <a:rPr lang="en-US" sz="1100" baseline="0"/>
            <a:t> would adjust the monthly rent.</a:t>
          </a:r>
        </a:p>
        <a:p>
          <a:pPr algn="l"/>
          <a:endParaRPr lang="en-US" sz="1100" baseline="0"/>
        </a:p>
        <a:p>
          <a:pPr algn="l"/>
          <a:r>
            <a:rPr lang="en-US" sz="1100" baseline="0"/>
            <a:t> If the category does not apply, leave blank.</a:t>
          </a:r>
          <a:endParaRPr lang="en-US" sz="1100"/>
        </a:p>
      </xdr:txBody>
    </xdr:sp>
    <xdr:clientData/>
  </xdr:twoCellAnchor>
  <xdr:twoCellAnchor>
    <xdr:from>
      <xdr:col>7</xdr:col>
      <xdr:colOff>380999</xdr:colOff>
      <xdr:row>16</xdr:row>
      <xdr:rowOff>166687</xdr:rowOff>
    </xdr:from>
    <xdr:to>
      <xdr:col>12</xdr:col>
      <xdr:colOff>178594</xdr:colOff>
      <xdr:row>21</xdr:row>
      <xdr:rowOff>142875</xdr:rowOff>
    </xdr:to>
    <xdr:sp macro="" textlink="">
      <xdr:nvSpPr>
        <xdr:cNvPr id="6" name="Speech Bubble: Rectangle with Corners Rounded 5">
          <a:extLst>
            <a:ext uri="{FF2B5EF4-FFF2-40B4-BE49-F238E27FC236}">
              <a16:creationId xmlns:a16="http://schemas.microsoft.com/office/drawing/2014/main" id="{00000000-0008-0000-0200-000006000000}"/>
            </a:ext>
          </a:extLst>
        </xdr:cNvPr>
        <xdr:cNvSpPr/>
      </xdr:nvSpPr>
      <xdr:spPr>
        <a:xfrm>
          <a:off x="7024687" y="3452812"/>
          <a:ext cx="2833688" cy="928688"/>
        </a:xfrm>
        <a:prstGeom prst="wedgeRoundRectCallout">
          <a:avLst>
            <a:gd name="adj1" fmla="val -238702"/>
            <a:gd name="adj2" fmla="val 1188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a:t>Step </a:t>
          </a:r>
          <a:r>
            <a:rPr lang="en-US" sz="1100" b="1" u="sng" baseline="0"/>
            <a:t> Three</a:t>
          </a:r>
          <a:r>
            <a:rPr lang="en-US" sz="1100" b="1" u="none"/>
            <a:t>:</a:t>
          </a:r>
          <a:r>
            <a:rPr lang="en-US" sz="1100" b="0" u="none" baseline="0"/>
            <a:t> </a:t>
          </a:r>
          <a:r>
            <a:rPr lang="en-US" sz="1100" baseline="0"/>
            <a:t> Because utility consumption will  increase as the size of the units increase, include adjustments amount for each applicable bedroom size. </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11905</xdr:colOff>
      <xdr:row>1</xdr:row>
      <xdr:rowOff>23813</xdr:rowOff>
    </xdr:from>
    <xdr:to>
      <xdr:col>22</xdr:col>
      <xdr:colOff>333375</xdr:colOff>
      <xdr:row>5</xdr:row>
      <xdr:rowOff>90488</xdr:rowOff>
    </xdr:to>
    <xdr:sp macro="" textlink="">
      <xdr:nvSpPr>
        <xdr:cNvPr id="2" name="Rectangle: Rounded Corners 1">
          <a:extLst>
            <a:ext uri="{FF2B5EF4-FFF2-40B4-BE49-F238E27FC236}">
              <a16:creationId xmlns:a16="http://schemas.microsoft.com/office/drawing/2014/main" id="{00000000-0008-0000-0300-000002000000}"/>
            </a:ext>
          </a:extLst>
        </xdr:cNvPr>
        <xdr:cNvSpPr/>
      </xdr:nvSpPr>
      <xdr:spPr>
        <a:xfrm>
          <a:off x="3988593" y="214313"/>
          <a:ext cx="10501313" cy="828675"/>
        </a:xfrm>
        <a:prstGeom prst="roundRect">
          <a:avLst/>
        </a:prstGeom>
        <a:solidFill>
          <a:schemeClr val="accent4"/>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400" b="1">
              <a:ln>
                <a:noFill/>
              </a:ln>
              <a:solidFill>
                <a:schemeClr val="tx2"/>
              </a:solidFill>
            </a:rPr>
            <a:t>To calculate Proposed Flat Rent per Month,</a:t>
          </a:r>
          <a:r>
            <a:rPr lang="en-US" sz="1400" b="1" baseline="0">
              <a:ln>
                <a:noFill/>
              </a:ln>
              <a:solidFill>
                <a:schemeClr val="tx2"/>
              </a:solidFill>
            </a:rPr>
            <a:t> u</a:t>
          </a:r>
          <a:r>
            <a:rPr lang="en-US" sz="1400" b="1">
              <a:ln>
                <a:noFill/>
              </a:ln>
              <a:solidFill>
                <a:schemeClr val="tx2"/>
              </a:solidFill>
            </a:rPr>
            <a:t>sers must fill in all shaded blue boxes</a:t>
          </a:r>
          <a:r>
            <a:rPr lang="en-US" sz="1400" b="1" baseline="0">
              <a:ln>
                <a:noFill/>
              </a:ln>
              <a:solidFill>
                <a:schemeClr val="tx2"/>
              </a:solidFill>
            </a:rPr>
            <a:t> for the PHA Subject Property as well as the characteristics of </a:t>
          </a:r>
          <a:r>
            <a:rPr lang="en-US" sz="1400" b="1" u="sng" baseline="0">
              <a:ln>
                <a:noFill/>
              </a:ln>
              <a:solidFill>
                <a:schemeClr val="tx2"/>
              </a:solidFill>
            </a:rPr>
            <a:t>three</a:t>
          </a:r>
          <a:r>
            <a:rPr lang="en-US" sz="1400" b="1" baseline="0">
              <a:ln>
                <a:noFill/>
              </a:ln>
              <a:solidFill>
                <a:schemeClr val="tx2"/>
              </a:solidFill>
            </a:rPr>
            <a:t> comparable units in that community.</a:t>
          </a:r>
          <a:endParaRPr lang="en-US" sz="1400" b="1">
            <a:ln>
              <a:noFill/>
            </a:ln>
            <a:solidFill>
              <a:schemeClr val="tx2"/>
            </a:solidFill>
          </a:endParaRPr>
        </a:p>
      </xdr:txBody>
    </xdr:sp>
    <xdr:clientData/>
  </xdr:twoCellAnchor>
  <xdr:twoCellAnchor>
    <xdr:from>
      <xdr:col>15</xdr:col>
      <xdr:colOff>428205</xdr:colOff>
      <xdr:row>6</xdr:row>
      <xdr:rowOff>1</xdr:rowOff>
    </xdr:from>
    <xdr:to>
      <xdr:col>22</xdr:col>
      <xdr:colOff>285750</xdr:colOff>
      <xdr:row>9</xdr:row>
      <xdr:rowOff>107155</xdr:rowOff>
    </xdr:to>
    <xdr:sp macro="" textlink="">
      <xdr:nvSpPr>
        <xdr:cNvPr id="12" name="Speech Bubble: Rectangle with Corners Rounded 11">
          <a:extLst>
            <a:ext uri="{FF2B5EF4-FFF2-40B4-BE49-F238E27FC236}">
              <a16:creationId xmlns:a16="http://schemas.microsoft.com/office/drawing/2014/main" id="{00000000-0008-0000-0300-00000C000000}"/>
            </a:ext>
          </a:extLst>
        </xdr:cNvPr>
        <xdr:cNvSpPr/>
      </xdr:nvSpPr>
      <xdr:spPr>
        <a:xfrm>
          <a:off x="10334205" y="1143001"/>
          <a:ext cx="4108076" cy="702467"/>
        </a:xfrm>
        <a:prstGeom prst="wedgeRoundRectCallout">
          <a:avLst>
            <a:gd name="adj1" fmla="val -60863"/>
            <a:gd name="adj2" fmla="val -8667"/>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0" u="none" baseline="0"/>
            <a:t>Complete first sections with identifying information for the PHA Subject Property and the three Comparable Units.  </a:t>
          </a:r>
          <a:endParaRPr lang="en-US" sz="1100" baseline="0"/>
        </a:p>
      </xdr:txBody>
    </xdr:sp>
    <xdr:clientData/>
  </xdr:twoCellAnchor>
  <xdr:twoCellAnchor>
    <xdr:from>
      <xdr:col>15</xdr:col>
      <xdr:colOff>497260</xdr:colOff>
      <xdr:row>14</xdr:row>
      <xdr:rowOff>159544</xdr:rowOff>
    </xdr:from>
    <xdr:to>
      <xdr:col>22</xdr:col>
      <xdr:colOff>273844</xdr:colOff>
      <xdr:row>16</xdr:row>
      <xdr:rowOff>121444</xdr:rowOff>
    </xdr:to>
    <xdr:sp macro="" textlink="">
      <xdr:nvSpPr>
        <xdr:cNvPr id="13" name="Speech Bubble: Rectangle with Corners Rounded 12">
          <a:extLst>
            <a:ext uri="{FF2B5EF4-FFF2-40B4-BE49-F238E27FC236}">
              <a16:creationId xmlns:a16="http://schemas.microsoft.com/office/drawing/2014/main" id="{00000000-0008-0000-0300-00000D000000}"/>
            </a:ext>
          </a:extLst>
        </xdr:cNvPr>
        <xdr:cNvSpPr/>
      </xdr:nvSpPr>
      <xdr:spPr>
        <a:xfrm>
          <a:off x="10403260" y="2850357"/>
          <a:ext cx="4027115" cy="342900"/>
        </a:xfrm>
        <a:prstGeom prst="wedgeRoundRectCallout">
          <a:avLst>
            <a:gd name="adj1" fmla="val -60742"/>
            <a:gd name="adj2" fmla="val -1418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SF Area:</a:t>
          </a:r>
          <a:r>
            <a:rPr lang="en-US" sz="1100" b="0" u="none" baseline="0"/>
            <a:t> Enter the square footage for each property.</a:t>
          </a:r>
          <a:endParaRPr lang="en-US" sz="1100" baseline="0"/>
        </a:p>
      </xdr:txBody>
    </xdr:sp>
    <xdr:clientData/>
  </xdr:twoCellAnchor>
  <xdr:twoCellAnchor>
    <xdr:from>
      <xdr:col>15</xdr:col>
      <xdr:colOff>552030</xdr:colOff>
      <xdr:row>12</xdr:row>
      <xdr:rowOff>119063</xdr:rowOff>
    </xdr:from>
    <xdr:to>
      <xdr:col>22</xdr:col>
      <xdr:colOff>297656</xdr:colOff>
      <xdr:row>14</xdr:row>
      <xdr:rowOff>107156</xdr:rowOff>
    </xdr:to>
    <xdr:sp macro="" textlink="">
      <xdr:nvSpPr>
        <xdr:cNvPr id="14" name="Speech Bubble: Rectangle with Corners Rounded 13">
          <a:extLst>
            <a:ext uri="{FF2B5EF4-FFF2-40B4-BE49-F238E27FC236}">
              <a16:creationId xmlns:a16="http://schemas.microsoft.com/office/drawing/2014/main" id="{00000000-0008-0000-0300-00000E000000}"/>
            </a:ext>
          </a:extLst>
        </xdr:cNvPr>
        <xdr:cNvSpPr/>
      </xdr:nvSpPr>
      <xdr:spPr>
        <a:xfrm>
          <a:off x="10458030" y="2428876"/>
          <a:ext cx="3996157" cy="369093"/>
        </a:xfrm>
        <a:prstGeom prst="wedgeRoundRectCallout">
          <a:avLst>
            <a:gd name="adj1" fmla="val -62927"/>
            <a:gd name="adj2" fmla="val 4480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Year Built:</a:t>
          </a:r>
          <a:r>
            <a:rPr lang="en-US" sz="1100" b="0" u="none" baseline="0"/>
            <a:t> Enter the year each property was built or renovated.</a:t>
          </a:r>
          <a:endParaRPr lang="en-US" sz="1100" baseline="0"/>
        </a:p>
      </xdr:txBody>
    </xdr:sp>
    <xdr:clientData/>
  </xdr:twoCellAnchor>
  <xdr:twoCellAnchor>
    <xdr:from>
      <xdr:col>15</xdr:col>
      <xdr:colOff>352005</xdr:colOff>
      <xdr:row>25</xdr:row>
      <xdr:rowOff>186532</xdr:rowOff>
    </xdr:from>
    <xdr:to>
      <xdr:col>22</xdr:col>
      <xdr:colOff>250031</xdr:colOff>
      <xdr:row>32</xdr:row>
      <xdr:rowOff>132557</xdr:rowOff>
    </xdr:to>
    <xdr:sp macro="" textlink="">
      <xdr:nvSpPr>
        <xdr:cNvPr id="15" name="Speech Bubble: Rectangle with Corners Rounded 14">
          <a:extLst>
            <a:ext uri="{FF2B5EF4-FFF2-40B4-BE49-F238E27FC236}">
              <a16:creationId xmlns:a16="http://schemas.microsoft.com/office/drawing/2014/main" id="{00000000-0008-0000-0300-00000F000000}"/>
            </a:ext>
          </a:extLst>
        </xdr:cNvPr>
        <xdr:cNvSpPr/>
      </xdr:nvSpPr>
      <xdr:spPr>
        <a:xfrm>
          <a:off x="10258005" y="4972845"/>
          <a:ext cx="4148557" cy="1279525"/>
        </a:xfrm>
        <a:prstGeom prst="wedgeRoundRectCallout">
          <a:avLst>
            <a:gd name="adj1" fmla="val -31018"/>
            <a:gd name="adj2" fmla="val -4940"/>
            <a:gd name="adj3" fmla="val 16667"/>
          </a:avLst>
        </a:prstGeom>
        <a:solidFill>
          <a:schemeClr val="accent4"/>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200" b="1" u="sng" baseline="0">
              <a:solidFill>
                <a:schemeClr val="tx2"/>
              </a:solidFill>
            </a:rPr>
            <a:t>Section A - B:</a:t>
          </a:r>
          <a:r>
            <a:rPr lang="en-US" sz="1200" b="1" u="none" baseline="0">
              <a:solidFill>
                <a:schemeClr val="tx2"/>
              </a:solidFill>
            </a:rPr>
            <a:t> </a:t>
          </a:r>
          <a:r>
            <a:rPr lang="en-US" sz="1200" b="0" u="none" baseline="0">
              <a:solidFill>
                <a:schemeClr val="tx2"/>
              </a:solidFill>
            </a:rPr>
            <a:t>Using the dropdown menus, select the characteristics of each property.  Each amenity is initially set to  "N". Using the drop down menu, change to "Y" in order to indicate that the unit includes that feature.</a:t>
          </a:r>
          <a:endParaRPr lang="en-US" sz="1200" b="0" baseline="0">
            <a:solidFill>
              <a:schemeClr val="tx2"/>
            </a:solidFill>
          </a:endParaRPr>
        </a:p>
      </xdr:txBody>
    </xdr:sp>
    <xdr:clientData/>
  </xdr:twoCellAnchor>
  <xdr:twoCellAnchor>
    <xdr:from>
      <xdr:col>15</xdr:col>
      <xdr:colOff>478211</xdr:colOff>
      <xdr:row>36</xdr:row>
      <xdr:rowOff>26988</xdr:rowOff>
    </xdr:from>
    <xdr:to>
      <xdr:col>22</xdr:col>
      <xdr:colOff>297656</xdr:colOff>
      <xdr:row>40</xdr:row>
      <xdr:rowOff>142874</xdr:rowOff>
    </xdr:to>
    <xdr:sp macro="" textlink="">
      <xdr:nvSpPr>
        <xdr:cNvPr id="16" name="Speech Bubble: Rectangle with Corners Rounded 15">
          <a:extLst>
            <a:ext uri="{FF2B5EF4-FFF2-40B4-BE49-F238E27FC236}">
              <a16:creationId xmlns:a16="http://schemas.microsoft.com/office/drawing/2014/main" id="{00000000-0008-0000-0300-000010000000}"/>
            </a:ext>
          </a:extLst>
        </xdr:cNvPr>
        <xdr:cNvSpPr/>
      </xdr:nvSpPr>
      <xdr:spPr>
        <a:xfrm>
          <a:off x="10384211" y="6908801"/>
          <a:ext cx="4069976" cy="877886"/>
        </a:xfrm>
        <a:prstGeom prst="wedgeRoundRectCallout">
          <a:avLst>
            <a:gd name="adj1" fmla="val -60362"/>
            <a:gd name="adj2" fmla="val 242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Other Adjustments:</a:t>
          </a:r>
          <a:r>
            <a:rPr lang="en-US" sz="1100" b="0" u="none" baseline="0"/>
            <a:t> The write-in categories included by the PHA on the  Rent Adjustment Worksheet will be listed in Section C. Other Adjustments.  Users should continue using the drop down menus to select the characteristics of each property.</a:t>
          </a:r>
          <a:endParaRPr lang="en-US" sz="1100" baseline="0"/>
        </a:p>
      </xdr:txBody>
    </xdr:sp>
    <xdr:clientData/>
  </xdr:twoCellAnchor>
  <xdr:twoCellAnchor>
    <xdr:from>
      <xdr:col>15</xdr:col>
      <xdr:colOff>497260</xdr:colOff>
      <xdr:row>43</xdr:row>
      <xdr:rowOff>81756</xdr:rowOff>
    </xdr:from>
    <xdr:to>
      <xdr:col>22</xdr:col>
      <xdr:colOff>250030</xdr:colOff>
      <xdr:row>46</xdr:row>
      <xdr:rowOff>53181</xdr:rowOff>
    </xdr:to>
    <xdr:sp macro="" textlink="">
      <xdr:nvSpPr>
        <xdr:cNvPr id="17" name="Speech Bubble: Rectangle with Corners Rounded 16">
          <a:extLst>
            <a:ext uri="{FF2B5EF4-FFF2-40B4-BE49-F238E27FC236}">
              <a16:creationId xmlns:a16="http://schemas.microsoft.com/office/drawing/2014/main" id="{00000000-0008-0000-0300-000011000000}"/>
            </a:ext>
          </a:extLst>
        </xdr:cNvPr>
        <xdr:cNvSpPr/>
      </xdr:nvSpPr>
      <xdr:spPr>
        <a:xfrm>
          <a:off x="10403260" y="8297069"/>
          <a:ext cx="4003301" cy="542925"/>
        </a:xfrm>
        <a:prstGeom prst="wedgeRoundRectCallout">
          <a:avLst>
            <a:gd name="adj1" fmla="val -60797"/>
            <a:gd name="adj2" fmla="val 4732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Actual Rent:</a:t>
          </a:r>
          <a:r>
            <a:rPr lang="en-US" sz="1100" b="0" u="none" baseline="0"/>
            <a:t> Enter the unit rent per month for each of the three comparable units.</a:t>
          </a:r>
          <a:endParaRPr lang="en-US" sz="1100" baseline="0"/>
        </a:p>
      </xdr:txBody>
    </xdr:sp>
    <xdr:clientData/>
  </xdr:twoCellAnchor>
  <xdr:twoCellAnchor>
    <xdr:from>
      <xdr:col>15</xdr:col>
      <xdr:colOff>416719</xdr:colOff>
      <xdr:row>50</xdr:row>
      <xdr:rowOff>48419</xdr:rowOff>
    </xdr:from>
    <xdr:to>
      <xdr:col>22</xdr:col>
      <xdr:colOff>285750</xdr:colOff>
      <xdr:row>52</xdr:row>
      <xdr:rowOff>226218</xdr:rowOff>
    </xdr:to>
    <xdr:sp macro="" textlink="">
      <xdr:nvSpPr>
        <xdr:cNvPr id="18" name="Speech Bubble: Rectangle with Corners Rounded 17">
          <a:extLst>
            <a:ext uri="{FF2B5EF4-FFF2-40B4-BE49-F238E27FC236}">
              <a16:creationId xmlns:a16="http://schemas.microsoft.com/office/drawing/2014/main" id="{00000000-0008-0000-0300-000012000000}"/>
            </a:ext>
          </a:extLst>
        </xdr:cNvPr>
        <xdr:cNvSpPr/>
      </xdr:nvSpPr>
      <xdr:spPr>
        <a:xfrm>
          <a:off x="10322719" y="9597232"/>
          <a:ext cx="4119562" cy="570705"/>
        </a:xfrm>
        <a:prstGeom prst="wedgeRoundRectCallout">
          <a:avLst>
            <a:gd name="adj1" fmla="val -202544"/>
            <a:gd name="adj2" fmla="val -7765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Proposed Flat Rent:</a:t>
          </a:r>
          <a:r>
            <a:rPr lang="en-US" sz="1100" b="0" u="none" baseline="0"/>
            <a:t> The cell highlighted yellow is the expected flat rent for that public housing unit.</a:t>
          </a:r>
          <a:endParaRPr lang="en-US" sz="1100" baseline="0"/>
        </a:p>
      </xdr:txBody>
    </xdr:sp>
    <xdr:clientData/>
  </xdr:twoCellAnchor>
  <xdr:twoCellAnchor>
    <xdr:from>
      <xdr:col>15</xdr:col>
      <xdr:colOff>433762</xdr:colOff>
      <xdr:row>21</xdr:row>
      <xdr:rowOff>30163</xdr:rowOff>
    </xdr:from>
    <xdr:to>
      <xdr:col>22</xdr:col>
      <xdr:colOff>345281</xdr:colOff>
      <xdr:row>24</xdr:row>
      <xdr:rowOff>59530</xdr:rowOff>
    </xdr:to>
    <xdr:sp macro="" textlink="">
      <xdr:nvSpPr>
        <xdr:cNvPr id="19" name="Speech Bubble: Rectangle with Corners Rounded 18">
          <a:extLst>
            <a:ext uri="{FF2B5EF4-FFF2-40B4-BE49-F238E27FC236}">
              <a16:creationId xmlns:a16="http://schemas.microsoft.com/office/drawing/2014/main" id="{00000000-0008-0000-0300-000013000000}"/>
            </a:ext>
          </a:extLst>
        </xdr:cNvPr>
        <xdr:cNvSpPr/>
      </xdr:nvSpPr>
      <xdr:spPr>
        <a:xfrm>
          <a:off x="10339762" y="4054476"/>
          <a:ext cx="4162050" cy="600867"/>
        </a:xfrm>
        <a:prstGeom prst="wedgeRoundRectCallout">
          <a:avLst>
            <a:gd name="adj1" fmla="val -59742"/>
            <a:gd name="adj2" fmla="val -3881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A/C Unit Type:</a:t>
          </a:r>
          <a:r>
            <a:rPr lang="en-US" sz="1100" b="0" u="none" baseline="0"/>
            <a:t> The options for this amenity are  Central, Window, and None,  and can be selected from the drop down menu.</a:t>
          </a:r>
          <a:endParaRPr lang="en-US" sz="1100" baseline="0"/>
        </a:p>
      </xdr:txBody>
    </xdr:sp>
    <xdr:clientData/>
  </xdr:twoCellAnchor>
  <xdr:twoCellAnchor>
    <xdr:from>
      <xdr:col>15</xdr:col>
      <xdr:colOff>443286</xdr:colOff>
      <xdr:row>16</xdr:row>
      <xdr:rowOff>178594</xdr:rowOff>
    </xdr:from>
    <xdr:to>
      <xdr:col>22</xdr:col>
      <xdr:colOff>273844</xdr:colOff>
      <xdr:row>19</xdr:row>
      <xdr:rowOff>142874</xdr:rowOff>
    </xdr:to>
    <xdr:sp macro="" textlink="">
      <xdr:nvSpPr>
        <xdr:cNvPr id="20" name="Speech Bubble: Rectangle with Corners Rounded 19">
          <a:extLst>
            <a:ext uri="{FF2B5EF4-FFF2-40B4-BE49-F238E27FC236}">
              <a16:creationId xmlns:a16="http://schemas.microsoft.com/office/drawing/2014/main" id="{00000000-0008-0000-0300-000014000000}"/>
            </a:ext>
          </a:extLst>
        </xdr:cNvPr>
        <xdr:cNvSpPr/>
      </xdr:nvSpPr>
      <xdr:spPr>
        <a:xfrm>
          <a:off x="10349286" y="3250407"/>
          <a:ext cx="4081089" cy="535780"/>
        </a:xfrm>
        <a:prstGeom prst="wedgeRoundRectCallout">
          <a:avLst>
            <a:gd name="adj1" fmla="val -60048"/>
            <a:gd name="adj2" fmla="val -55646"/>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Number of Bathrooms:</a:t>
          </a:r>
          <a:r>
            <a:rPr lang="en-US" sz="1100" b="0" u="none" baseline="0"/>
            <a:t> Select total number of full and half baths from the dropdown menu. Full Bathroom = 1, Half bathroom = 0.5</a:t>
          </a:r>
          <a:endParaRPr lang="en-US" sz="1100" baseline="0"/>
        </a:p>
      </xdr:txBody>
    </xdr:sp>
    <xdr:clientData/>
  </xdr:twoCellAnchor>
  <xdr:twoCellAnchor>
    <xdr:from>
      <xdr:col>15</xdr:col>
      <xdr:colOff>464343</xdr:colOff>
      <xdr:row>9</xdr:row>
      <xdr:rowOff>166688</xdr:rowOff>
    </xdr:from>
    <xdr:to>
      <xdr:col>22</xdr:col>
      <xdr:colOff>261938</xdr:colOff>
      <xdr:row>12</xdr:row>
      <xdr:rowOff>83343</xdr:rowOff>
    </xdr:to>
    <xdr:sp macro="" textlink="">
      <xdr:nvSpPr>
        <xdr:cNvPr id="22" name="Speech Bubble: Rectangle with Corners Rounded 21">
          <a:extLst>
            <a:ext uri="{FF2B5EF4-FFF2-40B4-BE49-F238E27FC236}">
              <a16:creationId xmlns:a16="http://schemas.microsoft.com/office/drawing/2014/main" id="{00000000-0008-0000-0300-000016000000}"/>
            </a:ext>
          </a:extLst>
        </xdr:cNvPr>
        <xdr:cNvSpPr/>
      </xdr:nvSpPr>
      <xdr:spPr>
        <a:xfrm>
          <a:off x="10370343" y="1905001"/>
          <a:ext cx="4048126" cy="488155"/>
        </a:xfrm>
        <a:prstGeom prst="wedgeRoundRectCallout">
          <a:avLst>
            <a:gd name="adj1" fmla="val -61598"/>
            <a:gd name="adj2" fmla="val -1842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Actual Rent for Comparable Units ($)</a:t>
          </a:r>
          <a:r>
            <a:rPr lang="en-US" sz="1100" b="0" u="none" baseline="0"/>
            <a:t> must entered to include that property in this analysis.</a:t>
          </a:r>
          <a:endParaRPr lang="en-US" sz="1100" baseline="0"/>
        </a:p>
      </xdr:txBody>
    </xdr:sp>
    <xdr:clientData/>
  </xdr:twoCellAnchor>
  <xdr:twoCellAnchor>
    <xdr:from>
      <xdr:col>15</xdr:col>
      <xdr:colOff>452437</xdr:colOff>
      <xdr:row>47</xdr:row>
      <xdr:rowOff>1</xdr:rowOff>
    </xdr:from>
    <xdr:to>
      <xdr:col>22</xdr:col>
      <xdr:colOff>250031</xdr:colOff>
      <xdr:row>49</xdr:row>
      <xdr:rowOff>161926</xdr:rowOff>
    </xdr:to>
    <xdr:sp macro="" textlink="">
      <xdr:nvSpPr>
        <xdr:cNvPr id="23" name="Speech Bubble: Rectangle with Corners Rounded 22">
          <a:extLst>
            <a:ext uri="{FF2B5EF4-FFF2-40B4-BE49-F238E27FC236}">
              <a16:creationId xmlns:a16="http://schemas.microsoft.com/office/drawing/2014/main" id="{00000000-0008-0000-0300-000017000000}"/>
            </a:ext>
          </a:extLst>
        </xdr:cNvPr>
        <xdr:cNvSpPr/>
      </xdr:nvSpPr>
      <xdr:spPr>
        <a:xfrm>
          <a:off x="10358437" y="8977314"/>
          <a:ext cx="4048125" cy="542925"/>
        </a:xfrm>
        <a:prstGeom prst="wedgeRoundRectCallout">
          <a:avLst>
            <a:gd name="adj1" fmla="val -60692"/>
            <a:gd name="adj2" fmla="val -3162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i="0" u="sng" baseline="0">
              <a:solidFill>
                <a:schemeClr val="lt1"/>
              </a:solidFill>
              <a:effectLst/>
              <a:latin typeface="+mn-lt"/>
              <a:ea typeface="+mn-ea"/>
              <a:cs typeface="+mn-cs"/>
            </a:rPr>
            <a:t>Total Adjustments </a:t>
          </a:r>
          <a:r>
            <a:rPr lang="en-US" sz="1100" b="0" i="0" baseline="0">
              <a:solidFill>
                <a:schemeClr val="lt1"/>
              </a:solidFill>
              <a:effectLst/>
              <a:latin typeface="+mn-lt"/>
              <a:ea typeface="+mn-ea"/>
              <a:cs typeface="+mn-cs"/>
            </a:rPr>
            <a:t>will be calculated but not included in analysis unless there is an ‘Actual Monthly Rent ($)’ entered.</a:t>
          </a:r>
          <a:endParaRPr lang="en-US" sz="1100" baseline="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390525</xdr:colOff>
      <xdr:row>5</xdr:row>
      <xdr:rowOff>3175</xdr:rowOff>
    </xdr:from>
    <xdr:to>
      <xdr:col>20</xdr:col>
      <xdr:colOff>581024</xdr:colOff>
      <xdr:row>9</xdr:row>
      <xdr:rowOff>141566</xdr:rowOff>
    </xdr:to>
    <xdr:sp macro="" textlink="">
      <xdr:nvSpPr>
        <xdr:cNvPr id="2" name="Speech Bubble: Rectangle with Corners Rounded 1">
          <a:extLst>
            <a:ext uri="{FF2B5EF4-FFF2-40B4-BE49-F238E27FC236}">
              <a16:creationId xmlns:a16="http://schemas.microsoft.com/office/drawing/2014/main" id="{00000000-0008-0000-0400-000002000000}"/>
            </a:ext>
          </a:extLst>
        </xdr:cNvPr>
        <xdr:cNvSpPr/>
      </xdr:nvSpPr>
      <xdr:spPr>
        <a:xfrm>
          <a:off x="9953625" y="955675"/>
          <a:ext cx="3238499" cy="925791"/>
        </a:xfrm>
        <a:prstGeom prst="wedgeRoundRectCallout">
          <a:avLst>
            <a:gd name="adj1" fmla="val -60863"/>
            <a:gd name="adj2" fmla="val -8667"/>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0" u="none" baseline="0"/>
            <a:t>Complete first sections with identifying information for the PHA Subject Property and the three Comparable Units. </a:t>
          </a:r>
          <a:endParaRPr lang="en-US" sz="1100" baseline="0"/>
        </a:p>
      </xdr:txBody>
    </xdr:sp>
    <xdr:clientData/>
  </xdr:twoCellAnchor>
  <xdr:twoCellAnchor>
    <xdr:from>
      <xdr:col>6</xdr:col>
      <xdr:colOff>53974</xdr:colOff>
      <xdr:row>0</xdr:row>
      <xdr:rowOff>69850</xdr:rowOff>
    </xdr:from>
    <xdr:to>
      <xdr:col>17</xdr:col>
      <xdr:colOff>292100</xdr:colOff>
      <xdr:row>4</xdr:row>
      <xdr:rowOff>136525</xdr:rowOff>
    </xdr:to>
    <xdr:sp macro="" textlink="">
      <xdr:nvSpPr>
        <xdr:cNvPr id="3" name="Rectangle: Rounded Corners 2">
          <a:extLst>
            <a:ext uri="{FF2B5EF4-FFF2-40B4-BE49-F238E27FC236}">
              <a16:creationId xmlns:a16="http://schemas.microsoft.com/office/drawing/2014/main" id="{00000000-0008-0000-0400-000003000000}"/>
            </a:ext>
          </a:extLst>
        </xdr:cNvPr>
        <xdr:cNvSpPr/>
      </xdr:nvSpPr>
      <xdr:spPr>
        <a:xfrm>
          <a:off x="3711574" y="69850"/>
          <a:ext cx="7362826" cy="828675"/>
        </a:xfrm>
        <a:prstGeom prst="roundRect">
          <a:avLst/>
        </a:prstGeom>
        <a:solidFill>
          <a:schemeClr val="accent4"/>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400" b="1">
              <a:ln>
                <a:noFill/>
              </a:ln>
              <a:solidFill>
                <a:schemeClr val="tx2"/>
              </a:solidFill>
            </a:rPr>
            <a:t>To calculate Proposed Flat Rent per Month,</a:t>
          </a:r>
          <a:r>
            <a:rPr lang="en-US" sz="1400" b="1" baseline="0">
              <a:ln>
                <a:noFill/>
              </a:ln>
              <a:solidFill>
                <a:schemeClr val="tx2"/>
              </a:solidFill>
            </a:rPr>
            <a:t> u</a:t>
          </a:r>
          <a:r>
            <a:rPr lang="en-US" sz="1400" b="1">
              <a:ln>
                <a:noFill/>
              </a:ln>
              <a:solidFill>
                <a:schemeClr val="tx2"/>
              </a:solidFill>
            </a:rPr>
            <a:t>sers must fill in all shaded boxes</a:t>
          </a:r>
          <a:r>
            <a:rPr lang="en-US" sz="1400" b="1" baseline="0">
              <a:ln>
                <a:noFill/>
              </a:ln>
              <a:solidFill>
                <a:schemeClr val="tx2"/>
              </a:solidFill>
            </a:rPr>
            <a:t> for the PHA Subject Property as well as the characteristics of </a:t>
          </a:r>
          <a:r>
            <a:rPr lang="en-US" sz="1400" b="1" u="sng" baseline="0">
              <a:ln>
                <a:noFill/>
              </a:ln>
              <a:solidFill>
                <a:schemeClr val="tx2"/>
              </a:solidFill>
            </a:rPr>
            <a:t>three</a:t>
          </a:r>
          <a:r>
            <a:rPr lang="en-US" sz="1400" b="1" baseline="0">
              <a:ln>
                <a:noFill/>
              </a:ln>
              <a:solidFill>
                <a:schemeClr val="tx2"/>
              </a:solidFill>
            </a:rPr>
            <a:t> comparable units in that community.</a:t>
          </a:r>
          <a:endParaRPr lang="en-US" sz="1400" b="1">
            <a:ln>
              <a:noFill/>
            </a:ln>
            <a:solidFill>
              <a:schemeClr val="tx2"/>
            </a:solidFill>
          </a:endParaRPr>
        </a:p>
      </xdr:txBody>
    </xdr:sp>
    <xdr:clientData/>
  </xdr:twoCellAnchor>
  <xdr:twoCellAnchor>
    <xdr:from>
      <xdr:col>15</xdr:col>
      <xdr:colOff>400050</xdr:colOff>
      <xdr:row>13</xdr:row>
      <xdr:rowOff>6350</xdr:rowOff>
    </xdr:from>
    <xdr:to>
      <xdr:col>20</xdr:col>
      <xdr:colOff>571500</xdr:colOff>
      <xdr:row>14</xdr:row>
      <xdr:rowOff>158750</xdr:rowOff>
    </xdr:to>
    <xdr:sp macro="" textlink="">
      <xdr:nvSpPr>
        <xdr:cNvPr id="4" name="Speech Bubble: Rectangle with Corners Rounded 3">
          <a:extLst>
            <a:ext uri="{FF2B5EF4-FFF2-40B4-BE49-F238E27FC236}">
              <a16:creationId xmlns:a16="http://schemas.microsoft.com/office/drawing/2014/main" id="{00000000-0008-0000-0400-000004000000}"/>
            </a:ext>
          </a:extLst>
        </xdr:cNvPr>
        <xdr:cNvSpPr/>
      </xdr:nvSpPr>
      <xdr:spPr>
        <a:xfrm>
          <a:off x="9963150" y="2508250"/>
          <a:ext cx="3219450" cy="342900"/>
        </a:xfrm>
        <a:prstGeom prst="wedgeRoundRectCallout">
          <a:avLst>
            <a:gd name="adj1" fmla="val -61258"/>
            <a:gd name="adj2" fmla="val -21127"/>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SF Area:</a:t>
          </a:r>
          <a:r>
            <a:rPr lang="en-US" sz="1100" b="0" u="none" baseline="0"/>
            <a:t> Enter the square footage for each property</a:t>
          </a:r>
          <a:endParaRPr lang="en-US" sz="1100" baseline="0"/>
        </a:p>
      </xdr:txBody>
    </xdr:sp>
    <xdr:clientData/>
  </xdr:twoCellAnchor>
  <xdr:twoCellAnchor>
    <xdr:from>
      <xdr:col>15</xdr:col>
      <xdr:colOff>419099</xdr:colOff>
      <xdr:row>10</xdr:row>
      <xdr:rowOff>25400</xdr:rowOff>
    </xdr:from>
    <xdr:to>
      <xdr:col>20</xdr:col>
      <xdr:colOff>581024</xdr:colOff>
      <xdr:row>12</xdr:row>
      <xdr:rowOff>158750</xdr:rowOff>
    </xdr:to>
    <xdr:sp macro="" textlink="">
      <xdr:nvSpPr>
        <xdr:cNvPr id="5" name="Speech Bubble: Rectangle with Corners Rounded 4">
          <a:extLst>
            <a:ext uri="{FF2B5EF4-FFF2-40B4-BE49-F238E27FC236}">
              <a16:creationId xmlns:a16="http://schemas.microsoft.com/office/drawing/2014/main" id="{00000000-0008-0000-0400-000005000000}"/>
            </a:ext>
          </a:extLst>
        </xdr:cNvPr>
        <xdr:cNvSpPr/>
      </xdr:nvSpPr>
      <xdr:spPr>
        <a:xfrm>
          <a:off x="9982199" y="1955800"/>
          <a:ext cx="3209925" cy="514350"/>
        </a:xfrm>
        <a:prstGeom prst="wedgeRoundRectCallout">
          <a:avLst>
            <a:gd name="adj1" fmla="val -61960"/>
            <a:gd name="adj2" fmla="val 37516"/>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Year Built:</a:t>
          </a:r>
          <a:r>
            <a:rPr lang="en-US" sz="1100" b="0" u="none" baseline="0"/>
            <a:t> Enter the year each property was built or renovated.</a:t>
          </a:r>
          <a:endParaRPr lang="en-US" sz="1100" baseline="0"/>
        </a:p>
      </xdr:txBody>
    </xdr:sp>
    <xdr:clientData/>
  </xdr:twoCellAnchor>
  <xdr:twoCellAnchor>
    <xdr:from>
      <xdr:col>15</xdr:col>
      <xdr:colOff>457200</xdr:colOff>
      <xdr:row>26</xdr:row>
      <xdr:rowOff>104775</xdr:rowOff>
    </xdr:from>
    <xdr:to>
      <xdr:col>20</xdr:col>
      <xdr:colOff>590550</xdr:colOff>
      <xdr:row>33</xdr:row>
      <xdr:rowOff>50800</xdr:rowOff>
    </xdr:to>
    <xdr:sp macro="" textlink="">
      <xdr:nvSpPr>
        <xdr:cNvPr id="6" name="Speech Bubble: Rectangle with Corners Rounded 5">
          <a:extLst>
            <a:ext uri="{FF2B5EF4-FFF2-40B4-BE49-F238E27FC236}">
              <a16:creationId xmlns:a16="http://schemas.microsoft.com/office/drawing/2014/main" id="{00000000-0008-0000-0400-000006000000}"/>
            </a:ext>
          </a:extLst>
        </xdr:cNvPr>
        <xdr:cNvSpPr/>
      </xdr:nvSpPr>
      <xdr:spPr>
        <a:xfrm>
          <a:off x="10020300" y="5273675"/>
          <a:ext cx="3181350" cy="1279525"/>
        </a:xfrm>
        <a:prstGeom prst="wedgeRoundRectCallout">
          <a:avLst>
            <a:gd name="adj1" fmla="val -62014"/>
            <a:gd name="adj2" fmla="val -2541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Section A - B:</a:t>
          </a:r>
          <a:r>
            <a:rPr lang="en-US" sz="1100" b="0" u="none" baseline="0"/>
            <a:t> Using the dropdown menus, select the characteristics of each property.  Each amenity is initially set to  "N". Using the drop down menue, change to "Y" in order to indicate that the unit includes that feature.</a:t>
          </a:r>
          <a:endParaRPr lang="en-US" sz="1100" baseline="0"/>
        </a:p>
      </xdr:txBody>
    </xdr:sp>
    <xdr:clientData/>
  </xdr:twoCellAnchor>
  <xdr:twoCellAnchor>
    <xdr:from>
      <xdr:col>15</xdr:col>
      <xdr:colOff>381000</xdr:colOff>
      <xdr:row>35</xdr:row>
      <xdr:rowOff>76201</xdr:rowOff>
    </xdr:from>
    <xdr:to>
      <xdr:col>20</xdr:col>
      <xdr:colOff>571500</xdr:colOff>
      <xdr:row>41</xdr:row>
      <xdr:rowOff>38101</xdr:rowOff>
    </xdr:to>
    <xdr:sp macro="" textlink="">
      <xdr:nvSpPr>
        <xdr:cNvPr id="7" name="Speech Bubble: Rectangle with Corners Rounded 6">
          <a:extLst>
            <a:ext uri="{FF2B5EF4-FFF2-40B4-BE49-F238E27FC236}">
              <a16:creationId xmlns:a16="http://schemas.microsoft.com/office/drawing/2014/main" id="{00000000-0008-0000-0400-000007000000}"/>
            </a:ext>
          </a:extLst>
        </xdr:cNvPr>
        <xdr:cNvSpPr/>
      </xdr:nvSpPr>
      <xdr:spPr>
        <a:xfrm>
          <a:off x="9563100" y="7258051"/>
          <a:ext cx="3238500" cy="1104900"/>
        </a:xfrm>
        <a:prstGeom prst="wedgeRoundRectCallout">
          <a:avLst>
            <a:gd name="adj1" fmla="val -60123"/>
            <a:gd name="adj2" fmla="val -764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Other Adjustments:</a:t>
          </a:r>
          <a:r>
            <a:rPr lang="en-US" sz="1100" b="0" u="none" baseline="0"/>
            <a:t> The write-in categories included by the PHA on the  Rent Adjustment Worksheet will be listed in Section C. Other Adjustments.  Users should continue using the drop down menus to select the characteristics of each property.</a:t>
          </a:r>
          <a:endParaRPr lang="en-US" sz="1100" baseline="0"/>
        </a:p>
      </xdr:txBody>
    </xdr:sp>
    <xdr:clientData/>
  </xdr:twoCellAnchor>
  <xdr:twoCellAnchor>
    <xdr:from>
      <xdr:col>15</xdr:col>
      <xdr:colOff>400050</xdr:colOff>
      <xdr:row>43</xdr:row>
      <xdr:rowOff>95250</xdr:rowOff>
    </xdr:from>
    <xdr:to>
      <xdr:col>20</xdr:col>
      <xdr:colOff>590550</xdr:colOff>
      <xdr:row>46</xdr:row>
      <xdr:rowOff>66675</xdr:rowOff>
    </xdr:to>
    <xdr:sp macro="" textlink="">
      <xdr:nvSpPr>
        <xdr:cNvPr id="8" name="Speech Bubble: Rectangle with Corners Rounded 7">
          <a:extLst>
            <a:ext uri="{FF2B5EF4-FFF2-40B4-BE49-F238E27FC236}">
              <a16:creationId xmlns:a16="http://schemas.microsoft.com/office/drawing/2014/main" id="{00000000-0008-0000-0400-000008000000}"/>
            </a:ext>
          </a:extLst>
        </xdr:cNvPr>
        <xdr:cNvSpPr/>
      </xdr:nvSpPr>
      <xdr:spPr>
        <a:xfrm>
          <a:off x="9544050" y="8802221"/>
          <a:ext cx="3216088" cy="542925"/>
        </a:xfrm>
        <a:prstGeom prst="wedgeRoundRectCallout">
          <a:avLst>
            <a:gd name="adj1" fmla="val -61060"/>
            <a:gd name="adj2" fmla="val -2285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Actual Rent:</a:t>
          </a:r>
          <a:r>
            <a:rPr lang="en-US" sz="1100" b="0" u="none" baseline="0"/>
            <a:t> Enter the unit rent per month for each of the three comaprable units.</a:t>
          </a:r>
          <a:endParaRPr lang="en-US" sz="1100" baseline="0"/>
        </a:p>
      </xdr:txBody>
    </xdr:sp>
    <xdr:clientData/>
  </xdr:twoCellAnchor>
  <xdr:twoCellAnchor>
    <xdr:from>
      <xdr:col>15</xdr:col>
      <xdr:colOff>355226</xdr:colOff>
      <xdr:row>47</xdr:row>
      <xdr:rowOff>180975</xdr:rowOff>
    </xdr:from>
    <xdr:to>
      <xdr:col>20</xdr:col>
      <xdr:colOff>545726</xdr:colOff>
      <xdr:row>50</xdr:row>
      <xdr:rowOff>0</xdr:rowOff>
    </xdr:to>
    <xdr:sp macro="" textlink="">
      <xdr:nvSpPr>
        <xdr:cNvPr id="9" name="Speech Bubble: Rectangle with Corners Rounded 8">
          <a:extLst>
            <a:ext uri="{FF2B5EF4-FFF2-40B4-BE49-F238E27FC236}">
              <a16:creationId xmlns:a16="http://schemas.microsoft.com/office/drawing/2014/main" id="{00000000-0008-0000-0400-000009000000}"/>
            </a:ext>
          </a:extLst>
        </xdr:cNvPr>
        <xdr:cNvSpPr/>
      </xdr:nvSpPr>
      <xdr:spPr>
        <a:xfrm>
          <a:off x="9499226" y="9649946"/>
          <a:ext cx="3216088" cy="693083"/>
        </a:xfrm>
        <a:prstGeom prst="wedgeRoundRectCallout">
          <a:avLst>
            <a:gd name="adj1" fmla="val -242717"/>
            <a:gd name="adj2" fmla="val -5993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Proposed Flat Rent:</a:t>
          </a:r>
          <a:r>
            <a:rPr lang="en-US" sz="1100" b="0" u="none" baseline="0"/>
            <a:t> The cell highlighted yellow is the expected flat rent for that public housing unit.</a:t>
          </a:r>
          <a:endParaRPr lang="en-US" sz="1100" baseline="0"/>
        </a:p>
      </xdr:txBody>
    </xdr:sp>
    <xdr:clientData/>
  </xdr:twoCellAnchor>
  <xdr:twoCellAnchor>
    <xdr:from>
      <xdr:col>15</xdr:col>
      <xdr:colOff>431800</xdr:colOff>
      <xdr:row>20</xdr:row>
      <xdr:rowOff>127001</xdr:rowOff>
    </xdr:from>
    <xdr:to>
      <xdr:col>20</xdr:col>
      <xdr:colOff>565150</xdr:colOff>
      <xdr:row>24</xdr:row>
      <xdr:rowOff>165101</xdr:rowOff>
    </xdr:to>
    <xdr:sp macro="" textlink="">
      <xdr:nvSpPr>
        <xdr:cNvPr id="10" name="Speech Bubble: Rectangle with Corners Rounded 9">
          <a:extLst>
            <a:ext uri="{FF2B5EF4-FFF2-40B4-BE49-F238E27FC236}">
              <a16:creationId xmlns:a16="http://schemas.microsoft.com/office/drawing/2014/main" id="{00000000-0008-0000-0400-00000A000000}"/>
            </a:ext>
          </a:extLst>
        </xdr:cNvPr>
        <xdr:cNvSpPr/>
      </xdr:nvSpPr>
      <xdr:spPr>
        <a:xfrm>
          <a:off x="9994900" y="4152901"/>
          <a:ext cx="3181350" cy="800100"/>
        </a:xfrm>
        <a:prstGeom prst="wedgeRoundRectCallout">
          <a:avLst>
            <a:gd name="adj1" fmla="val -62013"/>
            <a:gd name="adj2" fmla="val -100806"/>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A/C Unit Type:</a:t>
          </a:r>
          <a:r>
            <a:rPr lang="en-US" sz="1100" b="0" u="none" baseline="0"/>
            <a:t> The options for this amenity are  Central, Window, and None,  and can be selected from the drop down menu.</a:t>
          </a:r>
          <a:endParaRPr lang="en-US" sz="1100" baseline="0"/>
        </a:p>
      </xdr:txBody>
    </xdr:sp>
    <xdr:clientData/>
  </xdr:twoCellAnchor>
  <xdr:twoCellAnchor>
    <xdr:from>
      <xdr:col>15</xdr:col>
      <xdr:colOff>393700</xdr:colOff>
      <xdr:row>15</xdr:row>
      <xdr:rowOff>25400</xdr:rowOff>
    </xdr:from>
    <xdr:to>
      <xdr:col>20</xdr:col>
      <xdr:colOff>527050</xdr:colOff>
      <xdr:row>18</xdr:row>
      <xdr:rowOff>165100</xdr:rowOff>
    </xdr:to>
    <xdr:sp macro="" textlink="">
      <xdr:nvSpPr>
        <xdr:cNvPr id="11" name="Speech Bubble: Rectangle with Corners Rounded 10">
          <a:extLst>
            <a:ext uri="{FF2B5EF4-FFF2-40B4-BE49-F238E27FC236}">
              <a16:creationId xmlns:a16="http://schemas.microsoft.com/office/drawing/2014/main" id="{00000000-0008-0000-0400-00000B000000}"/>
            </a:ext>
          </a:extLst>
        </xdr:cNvPr>
        <xdr:cNvSpPr/>
      </xdr:nvSpPr>
      <xdr:spPr>
        <a:xfrm>
          <a:off x="9956800" y="2908300"/>
          <a:ext cx="3181350" cy="711200"/>
        </a:xfrm>
        <a:prstGeom prst="wedgeRoundRectCallout">
          <a:avLst>
            <a:gd name="adj1" fmla="val -61215"/>
            <a:gd name="adj2" fmla="val -6009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Number of Bathrooms:</a:t>
          </a:r>
          <a:r>
            <a:rPr lang="en-US" sz="1100" b="0" u="none" baseline="0"/>
            <a:t> Select total number of full and half baths from the dropdown menu. Full Bathroom = 1, Half bathroom = 0.5</a:t>
          </a:r>
          <a:endParaRPr lang="en-US" sz="1100" baseline="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130024</xdr:colOff>
          <xdr:row>17</xdr:row>
          <xdr:rowOff>64557</xdr:rowOff>
        </xdr:from>
        <xdr:to>
          <xdr:col>14</xdr:col>
          <xdr:colOff>141363</xdr:colOff>
          <xdr:row>19</xdr:row>
          <xdr:rowOff>147940</xdr:rowOff>
        </xdr:to>
        <xdr:grpSp>
          <xdr:nvGrpSpPr>
            <xdr:cNvPr id="50" name="Group 49">
              <a:extLst>
                <a:ext uri="{FF2B5EF4-FFF2-40B4-BE49-F238E27FC236}">
                  <a16:creationId xmlns:a16="http://schemas.microsoft.com/office/drawing/2014/main" id="{00000000-0008-0000-0500-000032000000}"/>
                </a:ext>
              </a:extLst>
            </xdr:cNvPr>
            <xdr:cNvGrpSpPr/>
          </xdr:nvGrpSpPr>
          <xdr:grpSpPr>
            <a:xfrm>
              <a:off x="4856238" y="3176057"/>
              <a:ext cx="4873625" cy="446240"/>
              <a:chOff x="4819655" y="2062096"/>
              <a:chExt cx="4248150" cy="319088"/>
            </a:xfrm>
          </xdr:grpSpPr>
          <xdr:sp macro="" textlink="">
            <xdr:nvSpPr>
              <xdr:cNvPr id="45093" name="Check Box 37" hidden="1">
                <a:extLst>
                  <a:ext uri="{63B3BB69-23CF-44E3-9099-C40C66FF867C}">
                    <a14:compatExt spid="_x0000_s45093"/>
                  </a:ext>
                  <a:ext uri="{FF2B5EF4-FFF2-40B4-BE49-F238E27FC236}">
                    <a16:creationId xmlns:a16="http://schemas.microsoft.com/office/drawing/2014/main" id="{00000000-0008-0000-0500-000025B00000}"/>
                  </a:ext>
                </a:extLst>
              </xdr:cNvPr>
              <xdr:cNvSpPr/>
            </xdr:nvSpPr>
            <xdr:spPr bwMode="auto">
              <a:xfrm>
                <a:off x="4819655"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094" name="Check Box 38" hidden="1">
                <a:extLst>
                  <a:ext uri="{63B3BB69-23CF-44E3-9099-C40C66FF867C}">
                    <a14:compatExt spid="_x0000_s45094"/>
                  </a:ext>
                  <a:ext uri="{FF2B5EF4-FFF2-40B4-BE49-F238E27FC236}">
                    <a16:creationId xmlns:a16="http://schemas.microsoft.com/office/drawing/2014/main" id="{00000000-0008-0000-0500-000026B00000}"/>
                  </a:ext>
                </a:extLst>
              </xdr:cNvPr>
              <xdr:cNvSpPr/>
            </xdr:nvSpPr>
            <xdr:spPr bwMode="auto">
              <a:xfrm>
                <a:off x="6734175" y="2062096"/>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095" name="Check Box 39" hidden="1">
                <a:extLst>
                  <a:ext uri="{63B3BB69-23CF-44E3-9099-C40C66FF867C}">
                    <a14:compatExt spid="_x0000_s45095"/>
                  </a:ext>
                  <a:ext uri="{FF2B5EF4-FFF2-40B4-BE49-F238E27FC236}">
                    <a16:creationId xmlns:a16="http://schemas.microsoft.com/office/drawing/2014/main" id="{00000000-0008-0000-0500-000027B00000}"/>
                  </a:ext>
                </a:extLst>
              </xdr:cNvPr>
              <xdr:cNvSpPr/>
            </xdr:nvSpPr>
            <xdr:spPr bwMode="auto">
              <a:xfrm>
                <a:off x="8763005"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0</xdr:col>
      <xdr:colOff>165100</xdr:colOff>
      <xdr:row>1</xdr:row>
      <xdr:rowOff>127000</xdr:rowOff>
    </xdr:from>
    <xdr:to>
      <xdr:col>21</xdr:col>
      <xdr:colOff>15876</xdr:colOff>
      <xdr:row>6</xdr:row>
      <xdr:rowOff>6350</xdr:rowOff>
    </xdr:to>
    <xdr:sp macro="" textlink="">
      <xdr:nvSpPr>
        <xdr:cNvPr id="67" name="Rectangle: Rounded Corners 66">
          <a:extLst>
            <a:ext uri="{FF2B5EF4-FFF2-40B4-BE49-F238E27FC236}">
              <a16:creationId xmlns:a16="http://schemas.microsoft.com/office/drawing/2014/main" id="{00000000-0008-0000-0500-000043000000}"/>
            </a:ext>
          </a:extLst>
        </xdr:cNvPr>
        <xdr:cNvSpPr/>
      </xdr:nvSpPr>
      <xdr:spPr>
        <a:xfrm>
          <a:off x="165100" y="317500"/>
          <a:ext cx="13325476" cy="831850"/>
        </a:xfrm>
        <a:prstGeom prst="roundRect">
          <a:avLst/>
        </a:prstGeom>
        <a:solidFill>
          <a:schemeClr val="accent4"/>
        </a:solid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ln>
                <a:noFill/>
              </a:ln>
              <a:solidFill>
                <a:schemeClr val="tx2"/>
              </a:solidFill>
            </a:rPr>
            <a:t>To calculate Proposed Flat Rent per Month,</a:t>
          </a:r>
          <a:r>
            <a:rPr lang="en-US" sz="1800" b="1" baseline="0">
              <a:ln>
                <a:noFill/>
              </a:ln>
              <a:solidFill>
                <a:schemeClr val="tx2"/>
              </a:solidFill>
            </a:rPr>
            <a:t> u</a:t>
          </a:r>
          <a:r>
            <a:rPr lang="en-US" sz="1800" b="1">
              <a:ln>
                <a:noFill/>
              </a:ln>
              <a:solidFill>
                <a:schemeClr val="tx2"/>
              </a:solidFill>
            </a:rPr>
            <a:t>sers must fill in all shaded blue boxes</a:t>
          </a:r>
          <a:r>
            <a:rPr lang="en-US" sz="1800" b="1" baseline="0">
              <a:ln>
                <a:noFill/>
              </a:ln>
              <a:solidFill>
                <a:schemeClr val="tx2"/>
              </a:solidFill>
            </a:rPr>
            <a:t> for the PHA Subject Property as well as the characteristics of </a:t>
          </a:r>
          <a:r>
            <a:rPr lang="en-US" sz="1800" b="1" u="sng" baseline="0">
              <a:ln>
                <a:noFill/>
              </a:ln>
              <a:solidFill>
                <a:schemeClr val="tx2"/>
              </a:solidFill>
            </a:rPr>
            <a:t>three</a:t>
          </a:r>
          <a:r>
            <a:rPr lang="en-US" sz="1800" b="1" baseline="0">
              <a:ln>
                <a:noFill/>
              </a:ln>
              <a:solidFill>
                <a:schemeClr val="tx2"/>
              </a:solidFill>
            </a:rPr>
            <a:t> comparable units in that community.</a:t>
          </a:r>
          <a:endParaRPr lang="en-US" sz="1800" b="1">
            <a:ln>
              <a:noFill/>
            </a:ln>
            <a:solidFill>
              <a:schemeClr val="tx2"/>
            </a:solidFill>
          </a:endParaRPr>
        </a:p>
      </xdr:txBody>
    </xdr:sp>
    <xdr:clientData/>
  </xdr:twoCellAnchor>
  <xdr:twoCellAnchor>
    <xdr:from>
      <xdr:col>15</xdr:col>
      <xdr:colOff>163888</xdr:colOff>
      <xdr:row>8</xdr:row>
      <xdr:rowOff>106362</xdr:rowOff>
    </xdr:from>
    <xdr:to>
      <xdr:col>21</xdr:col>
      <xdr:colOff>489857</xdr:colOff>
      <xdr:row>12</xdr:row>
      <xdr:rowOff>154214</xdr:rowOff>
    </xdr:to>
    <xdr:sp macro="" textlink="">
      <xdr:nvSpPr>
        <xdr:cNvPr id="68" name="Speech Bubble: Rectangle with Corners Rounded 67">
          <a:extLst>
            <a:ext uri="{FF2B5EF4-FFF2-40B4-BE49-F238E27FC236}">
              <a16:creationId xmlns:a16="http://schemas.microsoft.com/office/drawing/2014/main" id="{00000000-0008-0000-0500-000044000000}"/>
            </a:ext>
          </a:extLst>
        </xdr:cNvPr>
        <xdr:cNvSpPr/>
      </xdr:nvSpPr>
      <xdr:spPr>
        <a:xfrm>
          <a:off x="10459959" y="1557791"/>
          <a:ext cx="3972684" cy="782637"/>
        </a:xfrm>
        <a:prstGeom prst="wedgeRoundRectCallout">
          <a:avLst>
            <a:gd name="adj1" fmla="val -46642"/>
            <a:gd name="adj2" fmla="val 3075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0" u="none" baseline="0"/>
            <a:t>Complete the first and second sections with identifying information for the PHA Subject Property and the three comparable units.  </a:t>
          </a:r>
          <a:endParaRPr lang="en-US" sz="1200" baseline="0"/>
        </a:p>
      </xdr:txBody>
    </xdr:sp>
    <xdr:clientData/>
  </xdr:twoCellAnchor>
  <xdr:twoCellAnchor>
    <xdr:from>
      <xdr:col>15</xdr:col>
      <xdr:colOff>93243</xdr:colOff>
      <xdr:row>21</xdr:row>
      <xdr:rowOff>92869</xdr:rowOff>
    </xdr:from>
    <xdr:to>
      <xdr:col>21</xdr:col>
      <xdr:colOff>462758</xdr:colOff>
      <xdr:row>23</xdr:row>
      <xdr:rowOff>54769</xdr:rowOff>
    </xdr:to>
    <xdr:sp macro="" textlink="">
      <xdr:nvSpPr>
        <xdr:cNvPr id="69" name="Speech Bubble: Rectangle with Corners Rounded 68">
          <a:extLst>
            <a:ext uri="{FF2B5EF4-FFF2-40B4-BE49-F238E27FC236}">
              <a16:creationId xmlns:a16="http://schemas.microsoft.com/office/drawing/2014/main" id="{00000000-0008-0000-0500-000045000000}"/>
            </a:ext>
          </a:extLst>
        </xdr:cNvPr>
        <xdr:cNvSpPr/>
      </xdr:nvSpPr>
      <xdr:spPr>
        <a:xfrm>
          <a:off x="9910343" y="4131469"/>
          <a:ext cx="4027115" cy="342900"/>
        </a:xfrm>
        <a:prstGeom prst="wedgeRoundRectCallout">
          <a:avLst>
            <a:gd name="adj1" fmla="val -53804"/>
            <a:gd name="adj2" fmla="val 4507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SF Area</a:t>
          </a:r>
          <a:r>
            <a:rPr lang="en-US" sz="1100" b="1" u="none" baseline="0"/>
            <a:t>: </a:t>
          </a:r>
          <a:r>
            <a:rPr lang="en-US" sz="1100" b="0" u="none" baseline="0"/>
            <a:t>Enter the square footage for each property.</a:t>
          </a:r>
          <a:endParaRPr lang="en-US" sz="1100" baseline="0"/>
        </a:p>
      </xdr:txBody>
    </xdr:sp>
    <xdr:clientData/>
  </xdr:twoCellAnchor>
  <xdr:twoCellAnchor>
    <xdr:from>
      <xdr:col>15</xdr:col>
      <xdr:colOff>21013</xdr:colOff>
      <xdr:row>18</xdr:row>
      <xdr:rowOff>177800</xdr:rowOff>
    </xdr:from>
    <xdr:to>
      <xdr:col>21</xdr:col>
      <xdr:colOff>466726</xdr:colOff>
      <xdr:row>21</xdr:row>
      <xdr:rowOff>65881</xdr:rowOff>
    </xdr:to>
    <xdr:sp macro="" textlink="">
      <xdr:nvSpPr>
        <xdr:cNvPr id="70" name="Speech Bubble: Rectangle with Corners Rounded 69">
          <a:extLst>
            <a:ext uri="{FF2B5EF4-FFF2-40B4-BE49-F238E27FC236}">
              <a16:creationId xmlns:a16="http://schemas.microsoft.com/office/drawing/2014/main" id="{00000000-0008-0000-0500-000046000000}"/>
            </a:ext>
          </a:extLst>
        </xdr:cNvPr>
        <xdr:cNvSpPr/>
      </xdr:nvSpPr>
      <xdr:spPr>
        <a:xfrm>
          <a:off x="9838113" y="3644900"/>
          <a:ext cx="4103313" cy="459581"/>
        </a:xfrm>
        <a:prstGeom prst="wedgeRoundRectCallout">
          <a:avLst>
            <a:gd name="adj1" fmla="val -82962"/>
            <a:gd name="adj2" fmla="val 7515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Year Built</a:t>
          </a:r>
          <a:r>
            <a:rPr lang="en-US" sz="1100" b="1" u="none" baseline="0"/>
            <a:t>:</a:t>
          </a:r>
          <a:r>
            <a:rPr lang="en-US" sz="1100" b="0" u="none" baseline="0"/>
            <a:t> Enter </a:t>
          </a:r>
          <a:r>
            <a:rPr lang="en-US" sz="1000" b="0" u="none" baseline="0"/>
            <a:t>the</a:t>
          </a:r>
          <a:r>
            <a:rPr lang="en-US" sz="1100" b="0" u="none" baseline="0"/>
            <a:t> </a:t>
          </a:r>
          <a:r>
            <a:rPr lang="en-US" sz="1000" b="0" u="none" baseline="0"/>
            <a:t>year</a:t>
          </a:r>
          <a:r>
            <a:rPr lang="en-US" sz="1100" b="0" u="none" baseline="0"/>
            <a:t> each property was built or renovated.</a:t>
          </a:r>
          <a:endParaRPr lang="en-US" sz="1100" baseline="0"/>
        </a:p>
      </xdr:txBody>
    </xdr:sp>
    <xdr:clientData/>
  </xdr:twoCellAnchor>
  <xdr:twoCellAnchor>
    <xdr:from>
      <xdr:col>15</xdr:col>
      <xdr:colOff>62288</xdr:colOff>
      <xdr:row>35</xdr:row>
      <xdr:rowOff>145257</xdr:rowOff>
    </xdr:from>
    <xdr:to>
      <xdr:col>21</xdr:col>
      <xdr:colOff>553245</xdr:colOff>
      <xdr:row>42</xdr:row>
      <xdr:rowOff>91282</xdr:rowOff>
    </xdr:to>
    <xdr:sp macro="" textlink="">
      <xdr:nvSpPr>
        <xdr:cNvPr id="71" name="Speech Bubble: Rectangle with Corners Rounded 70">
          <a:extLst>
            <a:ext uri="{FF2B5EF4-FFF2-40B4-BE49-F238E27FC236}">
              <a16:creationId xmlns:a16="http://schemas.microsoft.com/office/drawing/2014/main" id="{00000000-0008-0000-0500-000047000000}"/>
            </a:ext>
          </a:extLst>
        </xdr:cNvPr>
        <xdr:cNvSpPr/>
      </xdr:nvSpPr>
      <xdr:spPr>
        <a:xfrm>
          <a:off x="9879388" y="6850857"/>
          <a:ext cx="4148557" cy="1279525"/>
        </a:xfrm>
        <a:prstGeom prst="wedgeRoundRectCallout">
          <a:avLst>
            <a:gd name="adj1" fmla="val -31018"/>
            <a:gd name="adj2" fmla="val -4940"/>
            <a:gd name="adj3" fmla="val 16667"/>
          </a:avLst>
        </a:prstGeom>
        <a:solidFill>
          <a:schemeClr val="accent4"/>
        </a:solid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200" b="1" u="sng" baseline="0">
              <a:solidFill>
                <a:schemeClr val="tx2"/>
              </a:solidFill>
            </a:rPr>
            <a:t>Section A - B</a:t>
          </a:r>
          <a:r>
            <a:rPr lang="en-US" sz="1200" b="1" u="none" baseline="0">
              <a:solidFill>
                <a:schemeClr val="tx2"/>
              </a:solidFill>
            </a:rPr>
            <a:t>: </a:t>
          </a:r>
          <a:r>
            <a:rPr lang="en-US" sz="1200" b="0" u="none" baseline="0">
              <a:solidFill>
                <a:schemeClr val="tx2"/>
              </a:solidFill>
            </a:rPr>
            <a:t>Using the dropdown menus, select the characteristics of each property.  Each amenity is initially set to  "N". Using the drop down menu, change to "Y" in order to indicate that the unit includes that feature.</a:t>
          </a:r>
          <a:endParaRPr lang="en-US" sz="1200" b="0" baseline="0">
            <a:solidFill>
              <a:schemeClr val="tx2"/>
            </a:solidFill>
          </a:endParaRPr>
        </a:p>
      </xdr:txBody>
    </xdr:sp>
    <xdr:clientData/>
  </xdr:twoCellAnchor>
  <xdr:twoCellAnchor>
    <xdr:from>
      <xdr:col>15</xdr:col>
      <xdr:colOff>161280</xdr:colOff>
      <xdr:row>46</xdr:row>
      <xdr:rowOff>81643</xdr:rowOff>
    </xdr:from>
    <xdr:to>
      <xdr:col>21</xdr:col>
      <xdr:colOff>573656</xdr:colOff>
      <xdr:row>51</xdr:row>
      <xdr:rowOff>41729</xdr:rowOff>
    </xdr:to>
    <xdr:sp macro="" textlink="">
      <xdr:nvSpPr>
        <xdr:cNvPr id="72" name="Speech Bubble: Rectangle with Corners Rounded 71">
          <a:extLst>
            <a:ext uri="{FF2B5EF4-FFF2-40B4-BE49-F238E27FC236}">
              <a16:creationId xmlns:a16="http://schemas.microsoft.com/office/drawing/2014/main" id="{00000000-0008-0000-0500-000048000000}"/>
            </a:ext>
          </a:extLst>
        </xdr:cNvPr>
        <xdr:cNvSpPr/>
      </xdr:nvSpPr>
      <xdr:spPr>
        <a:xfrm>
          <a:off x="10457351" y="8454572"/>
          <a:ext cx="4059091" cy="867228"/>
        </a:xfrm>
        <a:prstGeom prst="wedgeRoundRectCallout">
          <a:avLst>
            <a:gd name="adj1" fmla="val -78149"/>
            <a:gd name="adj2" fmla="val -33597"/>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000" b="1" u="sng" baseline="0"/>
            <a:t>Other Adjustments</a:t>
          </a:r>
          <a:r>
            <a:rPr lang="en-US" sz="1000" b="1" u="none" baseline="0"/>
            <a:t>:</a:t>
          </a:r>
          <a:r>
            <a:rPr lang="en-US" sz="1000" b="0" u="none" baseline="0"/>
            <a:t> The write-in categories included by the PHA on the  Rent Adjustment Worksheet will be listed in Section C. Other Adjustments.  Users should continue using the drop down menus to select the characteristics of each property.</a:t>
          </a:r>
          <a:endParaRPr lang="en-US" sz="1000" baseline="0"/>
        </a:p>
      </xdr:txBody>
    </xdr:sp>
    <xdr:clientData/>
  </xdr:twoCellAnchor>
  <xdr:twoCellAnchor>
    <xdr:from>
      <xdr:col>15</xdr:col>
      <xdr:colOff>156743</xdr:colOff>
      <xdr:row>51</xdr:row>
      <xdr:rowOff>94910</xdr:rowOff>
    </xdr:from>
    <xdr:to>
      <xdr:col>21</xdr:col>
      <xdr:colOff>502444</xdr:colOff>
      <xdr:row>54</xdr:row>
      <xdr:rowOff>66335</xdr:rowOff>
    </xdr:to>
    <xdr:sp macro="" textlink="">
      <xdr:nvSpPr>
        <xdr:cNvPr id="73" name="Speech Bubble: Rectangle with Corners Rounded 72">
          <a:extLst>
            <a:ext uri="{FF2B5EF4-FFF2-40B4-BE49-F238E27FC236}">
              <a16:creationId xmlns:a16="http://schemas.microsoft.com/office/drawing/2014/main" id="{00000000-0008-0000-0500-000049000000}"/>
            </a:ext>
          </a:extLst>
        </xdr:cNvPr>
        <xdr:cNvSpPr/>
      </xdr:nvSpPr>
      <xdr:spPr>
        <a:xfrm>
          <a:off x="10452814" y="9374981"/>
          <a:ext cx="3992416" cy="515711"/>
        </a:xfrm>
        <a:prstGeom prst="wedgeRoundRectCallout">
          <a:avLst>
            <a:gd name="adj1" fmla="val -64921"/>
            <a:gd name="adj2" fmla="val 3329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000" b="1" u="sng" baseline="0"/>
            <a:t>Actual Rent</a:t>
          </a:r>
          <a:r>
            <a:rPr lang="en-US" sz="1000" b="1" u="none" baseline="0"/>
            <a:t>:</a:t>
          </a:r>
          <a:r>
            <a:rPr lang="en-US" sz="1000" b="0" u="none" baseline="0"/>
            <a:t> Enter the unit rent per month for each of the three comparable units.</a:t>
          </a:r>
          <a:endParaRPr lang="en-US" sz="1000" baseline="0"/>
        </a:p>
      </xdr:txBody>
    </xdr:sp>
    <xdr:clientData/>
  </xdr:twoCellAnchor>
  <xdr:twoCellAnchor>
    <xdr:from>
      <xdr:col>15</xdr:col>
      <xdr:colOff>63502</xdr:colOff>
      <xdr:row>57</xdr:row>
      <xdr:rowOff>172244</xdr:rowOff>
    </xdr:from>
    <xdr:to>
      <xdr:col>21</xdr:col>
      <xdr:colOff>525464</xdr:colOff>
      <xdr:row>59</xdr:row>
      <xdr:rowOff>349249</xdr:rowOff>
    </xdr:to>
    <xdr:sp macro="" textlink="">
      <xdr:nvSpPr>
        <xdr:cNvPr id="74" name="Speech Bubble: Rectangle with Corners Rounded 73">
          <a:extLst>
            <a:ext uri="{FF2B5EF4-FFF2-40B4-BE49-F238E27FC236}">
              <a16:creationId xmlns:a16="http://schemas.microsoft.com/office/drawing/2014/main" id="{00000000-0008-0000-0500-00004A000000}"/>
            </a:ext>
          </a:extLst>
        </xdr:cNvPr>
        <xdr:cNvSpPr/>
      </xdr:nvSpPr>
      <xdr:spPr>
        <a:xfrm>
          <a:off x="9880602" y="11068844"/>
          <a:ext cx="4119562" cy="570705"/>
        </a:xfrm>
        <a:prstGeom prst="wedgeRoundRectCallout">
          <a:avLst>
            <a:gd name="adj1" fmla="val -197612"/>
            <a:gd name="adj2" fmla="val -95453"/>
            <a:gd name="adj3" fmla="val 16667"/>
          </a:avLst>
        </a:prstGeom>
        <a:solidFill>
          <a:schemeClr val="accent4"/>
        </a:solid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lang="en-US" sz="1200" b="1" u="sng" baseline="0">
              <a:solidFill>
                <a:schemeClr val="tx2"/>
              </a:solidFill>
              <a:latin typeface="+mn-lt"/>
              <a:ea typeface="+mn-ea"/>
              <a:cs typeface="+mn-cs"/>
            </a:rPr>
            <a:t>Proposed Flat Rent</a:t>
          </a:r>
          <a:r>
            <a:rPr lang="en-US" sz="1200" b="0" u="none" baseline="0">
              <a:solidFill>
                <a:schemeClr val="tx2"/>
              </a:solidFill>
              <a:latin typeface="+mn-lt"/>
              <a:ea typeface="+mn-ea"/>
              <a:cs typeface="+mn-cs"/>
            </a:rPr>
            <a:t>: The yellow cell is the proposed flat rent for that public housing unit (refers to bedroom size).</a:t>
          </a:r>
        </a:p>
      </xdr:txBody>
    </xdr:sp>
    <xdr:clientData/>
  </xdr:twoCellAnchor>
  <xdr:twoCellAnchor>
    <xdr:from>
      <xdr:col>15</xdr:col>
      <xdr:colOff>80545</xdr:colOff>
      <xdr:row>30</xdr:row>
      <xdr:rowOff>52389</xdr:rowOff>
    </xdr:from>
    <xdr:to>
      <xdr:col>21</xdr:col>
      <xdr:colOff>466726</xdr:colOff>
      <xdr:row>33</xdr:row>
      <xdr:rowOff>38101</xdr:rowOff>
    </xdr:to>
    <xdr:sp macro="" textlink="">
      <xdr:nvSpPr>
        <xdr:cNvPr id="75" name="Speech Bubble: Rectangle with Corners Rounded 74">
          <a:extLst>
            <a:ext uri="{FF2B5EF4-FFF2-40B4-BE49-F238E27FC236}">
              <a16:creationId xmlns:a16="http://schemas.microsoft.com/office/drawing/2014/main" id="{00000000-0008-0000-0500-00004B000000}"/>
            </a:ext>
          </a:extLst>
        </xdr:cNvPr>
        <xdr:cNvSpPr/>
      </xdr:nvSpPr>
      <xdr:spPr>
        <a:xfrm>
          <a:off x="9897645" y="5805489"/>
          <a:ext cx="4043781" cy="557212"/>
        </a:xfrm>
        <a:prstGeom prst="wedgeRoundRectCallout">
          <a:avLst>
            <a:gd name="adj1" fmla="val -83032"/>
            <a:gd name="adj2" fmla="val -6438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000" b="1" u="sng" baseline="0"/>
            <a:t>A/C Unit Type</a:t>
          </a:r>
          <a:r>
            <a:rPr lang="en-US" sz="1000" b="1" u="none" baseline="0"/>
            <a:t>:</a:t>
          </a:r>
          <a:r>
            <a:rPr lang="en-US" sz="1000" b="0" u="none" baseline="0"/>
            <a:t> The options for this amenity are  Central, Window, and None,  and can be selected from the drop down menu.</a:t>
          </a:r>
          <a:endParaRPr lang="en-US" sz="1000" baseline="0"/>
        </a:p>
      </xdr:txBody>
    </xdr:sp>
    <xdr:clientData/>
  </xdr:twoCellAnchor>
  <xdr:twoCellAnchor>
    <xdr:from>
      <xdr:col>15</xdr:col>
      <xdr:colOff>64669</xdr:colOff>
      <xdr:row>23</xdr:row>
      <xdr:rowOff>73819</xdr:rowOff>
    </xdr:from>
    <xdr:to>
      <xdr:col>21</xdr:col>
      <xdr:colOff>488158</xdr:colOff>
      <xdr:row>26</xdr:row>
      <xdr:rowOff>82550</xdr:rowOff>
    </xdr:to>
    <xdr:sp macro="" textlink="">
      <xdr:nvSpPr>
        <xdr:cNvPr id="76" name="Speech Bubble: Rectangle with Corners Rounded 75">
          <a:extLst>
            <a:ext uri="{FF2B5EF4-FFF2-40B4-BE49-F238E27FC236}">
              <a16:creationId xmlns:a16="http://schemas.microsoft.com/office/drawing/2014/main" id="{00000000-0008-0000-0500-00004C000000}"/>
            </a:ext>
          </a:extLst>
        </xdr:cNvPr>
        <xdr:cNvSpPr/>
      </xdr:nvSpPr>
      <xdr:spPr>
        <a:xfrm>
          <a:off x="9881769" y="4493419"/>
          <a:ext cx="4081089" cy="580231"/>
        </a:xfrm>
        <a:prstGeom prst="wedgeRoundRectCallout">
          <a:avLst>
            <a:gd name="adj1" fmla="val -57247"/>
            <a:gd name="adj2" fmla="val -1333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000" b="1" u="sng" baseline="0"/>
            <a:t>Number of Bathrooms</a:t>
          </a:r>
          <a:r>
            <a:rPr lang="en-US" sz="1000" b="1" u="none" baseline="0"/>
            <a:t>:</a:t>
          </a:r>
          <a:r>
            <a:rPr lang="en-US" sz="1000" b="0" u="none" baseline="0"/>
            <a:t> Select total number of full and half baths from the dropdown menu. Full Bathroom = 1, Half bathroom = 0.5</a:t>
          </a:r>
          <a:endParaRPr lang="en-US" sz="1000" baseline="0"/>
        </a:p>
      </xdr:txBody>
    </xdr:sp>
    <xdr:clientData/>
  </xdr:twoCellAnchor>
  <xdr:twoCellAnchor>
    <xdr:from>
      <xdr:col>15</xdr:col>
      <xdr:colOff>98426</xdr:colOff>
      <xdr:row>13</xdr:row>
      <xdr:rowOff>74613</xdr:rowOff>
    </xdr:from>
    <xdr:to>
      <xdr:col>21</xdr:col>
      <xdr:colOff>553357</xdr:colOff>
      <xdr:row>16</xdr:row>
      <xdr:rowOff>340</xdr:rowOff>
    </xdr:to>
    <xdr:sp macro="" textlink="">
      <xdr:nvSpPr>
        <xdr:cNvPr id="77" name="Speech Bubble: Rectangle with Corners Rounded 76">
          <a:extLst>
            <a:ext uri="{FF2B5EF4-FFF2-40B4-BE49-F238E27FC236}">
              <a16:creationId xmlns:a16="http://schemas.microsoft.com/office/drawing/2014/main" id="{00000000-0008-0000-0500-00004D000000}"/>
            </a:ext>
          </a:extLst>
        </xdr:cNvPr>
        <xdr:cNvSpPr/>
      </xdr:nvSpPr>
      <xdr:spPr>
        <a:xfrm>
          <a:off x="10394497" y="2460399"/>
          <a:ext cx="4101646" cy="470012"/>
        </a:xfrm>
        <a:prstGeom prst="wedgeRoundRectCallout">
          <a:avLst>
            <a:gd name="adj1" fmla="val -64421"/>
            <a:gd name="adj2" fmla="val 62227"/>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000" b="1" u="sng" baseline="0"/>
            <a:t>Actual Rent for Comparable Units ($)</a:t>
          </a:r>
          <a:r>
            <a:rPr lang="en-US" sz="1000" b="0" u="none" baseline="0"/>
            <a:t>: must entered to include that property in this analysis.</a:t>
          </a:r>
          <a:endParaRPr lang="en-US" sz="1000" baseline="0"/>
        </a:p>
      </xdr:txBody>
    </xdr:sp>
    <xdr:clientData/>
  </xdr:twoCellAnchor>
  <xdr:twoCellAnchor>
    <xdr:from>
      <xdr:col>15</xdr:col>
      <xdr:colOff>35720</xdr:colOff>
      <xdr:row>54</xdr:row>
      <xdr:rowOff>136526</xdr:rowOff>
    </xdr:from>
    <xdr:to>
      <xdr:col>21</xdr:col>
      <xdr:colOff>426245</xdr:colOff>
      <xdr:row>57</xdr:row>
      <xdr:rowOff>107951</xdr:rowOff>
    </xdr:to>
    <xdr:sp macro="" textlink="">
      <xdr:nvSpPr>
        <xdr:cNvPr id="78" name="Speech Bubble: Rectangle with Corners Rounded 77">
          <a:extLst>
            <a:ext uri="{FF2B5EF4-FFF2-40B4-BE49-F238E27FC236}">
              <a16:creationId xmlns:a16="http://schemas.microsoft.com/office/drawing/2014/main" id="{00000000-0008-0000-0500-00004E000000}"/>
            </a:ext>
          </a:extLst>
        </xdr:cNvPr>
        <xdr:cNvSpPr/>
      </xdr:nvSpPr>
      <xdr:spPr>
        <a:xfrm>
          <a:off x="9852820" y="10461626"/>
          <a:ext cx="4048125" cy="542925"/>
        </a:xfrm>
        <a:prstGeom prst="wedgeRoundRectCallout">
          <a:avLst>
            <a:gd name="adj1" fmla="val -60378"/>
            <a:gd name="adj2" fmla="val -5735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000" b="1" i="0" u="sng" baseline="0">
              <a:solidFill>
                <a:schemeClr val="lt1"/>
              </a:solidFill>
              <a:effectLst/>
              <a:latin typeface="+mn-lt"/>
              <a:ea typeface="+mn-ea"/>
              <a:cs typeface="+mn-cs"/>
            </a:rPr>
            <a:t>Total Adjustments</a:t>
          </a:r>
          <a:r>
            <a:rPr lang="en-US" sz="1000" b="1" i="0" u="none" baseline="0">
              <a:solidFill>
                <a:schemeClr val="lt1"/>
              </a:solidFill>
              <a:effectLst/>
              <a:latin typeface="+mn-lt"/>
              <a:ea typeface="+mn-ea"/>
              <a:cs typeface="+mn-cs"/>
            </a:rPr>
            <a:t>: </a:t>
          </a:r>
          <a:r>
            <a:rPr lang="en-US" sz="1000" b="0" i="0" baseline="0">
              <a:solidFill>
                <a:schemeClr val="lt1"/>
              </a:solidFill>
              <a:effectLst/>
              <a:latin typeface="+mn-lt"/>
              <a:ea typeface="+mn-ea"/>
              <a:cs typeface="+mn-cs"/>
            </a:rPr>
            <a:t>will be calculated but not included in analysis unless there is an ‘Actual Monthly Rent ($)’ entered.</a:t>
          </a:r>
          <a:endParaRPr lang="en-US" sz="1000" baseline="0"/>
        </a:p>
      </xdr:txBody>
    </xdr:sp>
    <xdr:clientData/>
  </xdr:twoCellAnchor>
  <xdr:twoCellAnchor>
    <xdr:from>
      <xdr:col>15</xdr:col>
      <xdr:colOff>66676</xdr:colOff>
      <xdr:row>60</xdr:row>
      <xdr:rowOff>374650</xdr:rowOff>
    </xdr:from>
    <xdr:to>
      <xdr:col>21</xdr:col>
      <xdr:colOff>396876</xdr:colOff>
      <xdr:row>60</xdr:row>
      <xdr:rowOff>945355</xdr:rowOff>
    </xdr:to>
    <xdr:sp macro="" textlink="">
      <xdr:nvSpPr>
        <xdr:cNvPr id="79" name="Speech Bubble: Rectangle with Corners Rounded 78">
          <a:extLst>
            <a:ext uri="{FF2B5EF4-FFF2-40B4-BE49-F238E27FC236}">
              <a16:creationId xmlns:a16="http://schemas.microsoft.com/office/drawing/2014/main" id="{00000000-0008-0000-0500-00004F000000}"/>
            </a:ext>
          </a:extLst>
        </xdr:cNvPr>
        <xdr:cNvSpPr/>
      </xdr:nvSpPr>
      <xdr:spPr>
        <a:xfrm>
          <a:off x="9883776" y="12198350"/>
          <a:ext cx="3987800" cy="570705"/>
        </a:xfrm>
        <a:prstGeom prst="wedgeRoundRectCallout">
          <a:avLst>
            <a:gd name="adj1" fmla="val -209489"/>
            <a:gd name="adj2" fmla="val -20671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lang="en-US" sz="1000" b="1" i="0" u="sng" baseline="0">
              <a:solidFill>
                <a:schemeClr val="lt1"/>
              </a:solidFill>
              <a:effectLst/>
              <a:latin typeface="+mn-lt"/>
              <a:ea typeface="+mn-ea"/>
              <a:cs typeface="+mn-cs"/>
            </a:rPr>
            <a:t>Select Other Applicable FMR</a:t>
          </a:r>
          <a:r>
            <a:rPr lang="en-US" sz="1000" b="0" i="0" u="none" baseline="0">
              <a:solidFill>
                <a:schemeClr val="lt1"/>
              </a:solidFill>
              <a:effectLst/>
              <a:latin typeface="+mn-lt"/>
              <a:ea typeface="+mn-ea"/>
              <a:cs typeface="+mn-cs"/>
            </a:rPr>
            <a:t>: Select from "Small Area Fair Market Rent" or "Unadjusted Rent" and input amount.</a:t>
          </a:r>
        </a:p>
      </xdr:txBody>
    </xdr:sp>
    <xdr:clientData/>
  </xdr:twoCellAnchor>
  <xdr:twoCellAnchor>
    <xdr:from>
      <xdr:col>15</xdr:col>
      <xdr:colOff>127000</xdr:colOff>
      <xdr:row>26</xdr:row>
      <xdr:rowOff>152400</xdr:rowOff>
    </xdr:from>
    <xdr:to>
      <xdr:col>21</xdr:col>
      <xdr:colOff>513181</xdr:colOff>
      <xdr:row>29</xdr:row>
      <xdr:rowOff>138112</xdr:rowOff>
    </xdr:to>
    <xdr:sp macro="" textlink="">
      <xdr:nvSpPr>
        <xdr:cNvPr id="80" name="Speech Bubble: Rectangle with Corners Rounded 79">
          <a:extLst>
            <a:ext uri="{FF2B5EF4-FFF2-40B4-BE49-F238E27FC236}">
              <a16:creationId xmlns:a16="http://schemas.microsoft.com/office/drawing/2014/main" id="{00000000-0008-0000-0500-000050000000}"/>
            </a:ext>
          </a:extLst>
        </xdr:cNvPr>
        <xdr:cNvSpPr/>
      </xdr:nvSpPr>
      <xdr:spPr>
        <a:xfrm>
          <a:off x="9944100" y="5143500"/>
          <a:ext cx="4043781" cy="557212"/>
        </a:xfrm>
        <a:prstGeom prst="wedgeRoundRectCallout">
          <a:avLst>
            <a:gd name="adj1" fmla="val -83032"/>
            <a:gd name="adj2" fmla="val -6438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000" b="1" u="sng" baseline="0"/>
            <a:t>Laundry</a:t>
          </a:r>
          <a:r>
            <a:rPr lang="en-US" sz="1000" b="1" u="none" baseline="0"/>
            <a:t>:</a:t>
          </a:r>
          <a:r>
            <a:rPr lang="en-US" sz="1000" b="0" u="none" baseline="0"/>
            <a:t> The options for this amenity are In Unit, On Site, and None,  and can be selected from the drop down menu.</a:t>
          </a:r>
          <a:endParaRPr lang="en-US" sz="1000" baseline="0"/>
        </a:p>
      </xdr:txBody>
    </xdr:sp>
    <xdr:clientData/>
  </xdr:twoCellAnchor>
  <xdr:twoCellAnchor>
    <xdr:from>
      <xdr:col>15</xdr:col>
      <xdr:colOff>76200</xdr:colOff>
      <xdr:row>16</xdr:row>
      <xdr:rowOff>10887</xdr:rowOff>
    </xdr:from>
    <xdr:to>
      <xdr:col>21</xdr:col>
      <xdr:colOff>580571</xdr:colOff>
      <xdr:row>18</xdr:row>
      <xdr:rowOff>172358</xdr:rowOff>
    </xdr:to>
    <xdr:sp macro="" textlink="">
      <xdr:nvSpPr>
        <xdr:cNvPr id="81" name="Speech Bubble: Rectangle with Corners Rounded 80">
          <a:extLst>
            <a:ext uri="{FF2B5EF4-FFF2-40B4-BE49-F238E27FC236}">
              <a16:creationId xmlns:a16="http://schemas.microsoft.com/office/drawing/2014/main" id="{00000000-0008-0000-0500-000051000000}"/>
            </a:ext>
          </a:extLst>
        </xdr:cNvPr>
        <xdr:cNvSpPr/>
      </xdr:nvSpPr>
      <xdr:spPr>
        <a:xfrm>
          <a:off x="10372271" y="2940958"/>
          <a:ext cx="4151086" cy="524329"/>
        </a:xfrm>
        <a:prstGeom prst="wedgeRoundRectCallout">
          <a:avLst>
            <a:gd name="adj1" fmla="val -58821"/>
            <a:gd name="adj2" fmla="val 1159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00" b="1" u="sng" baseline="0"/>
            <a:t>Unit Type</a:t>
          </a:r>
          <a:r>
            <a:rPr lang="en-US" sz="1000" b="1" u="none" baseline="0"/>
            <a:t>:</a:t>
          </a:r>
          <a:r>
            <a:rPr lang="en-US" sz="1000" b="0" u="none" baseline="0"/>
            <a:t> Select Unit Type from drop down menu for the  PHA Subject proerty and the three comparable properties.</a:t>
          </a:r>
          <a:endParaRPr lang="en-US" sz="1000" baseline="0"/>
        </a:p>
      </xdr:txBody>
    </xdr:sp>
    <xdr:clientData/>
  </xdr:twoCellAnchor>
  <xdr:twoCellAnchor>
    <xdr:from>
      <xdr:col>15</xdr:col>
      <xdr:colOff>76200</xdr:colOff>
      <xdr:row>59</xdr:row>
      <xdr:rowOff>406401</xdr:rowOff>
    </xdr:from>
    <xdr:to>
      <xdr:col>21</xdr:col>
      <xdr:colOff>406400</xdr:colOff>
      <xdr:row>60</xdr:row>
      <xdr:rowOff>330201</xdr:rowOff>
    </xdr:to>
    <xdr:sp macro="" textlink="">
      <xdr:nvSpPr>
        <xdr:cNvPr id="82" name="Speech Bubble: Rectangle with Corners Rounded 81">
          <a:extLst>
            <a:ext uri="{FF2B5EF4-FFF2-40B4-BE49-F238E27FC236}">
              <a16:creationId xmlns:a16="http://schemas.microsoft.com/office/drawing/2014/main" id="{00000000-0008-0000-0500-000052000000}"/>
            </a:ext>
          </a:extLst>
        </xdr:cNvPr>
        <xdr:cNvSpPr/>
      </xdr:nvSpPr>
      <xdr:spPr>
        <a:xfrm>
          <a:off x="9893300" y="11696701"/>
          <a:ext cx="3987800" cy="457200"/>
        </a:xfrm>
        <a:prstGeom prst="wedgeRoundRectCallout">
          <a:avLst>
            <a:gd name="adj1" fmla="val -205349"/>
            <a:gd name="adj2" fmla="val -18669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lang="en-US" sz="1000" b="1" i="0" u="sng" baseline="0">
              <a:solidFill>
                <a:schemeClr val="lt1"/>
              </a:solidFill>
              <a:effectLst/>
              <a:latin typeface="+mn-lt"/>
              <a:ea typeface="+mn-ea"/>
              <a:cs typeface="+mn-cs"/>
            </a:rPr>
            <a:t>FMR</a:t>
          </a:r>
          <a:r>
            <a:rPr lang="en-US" sz="1000" b="0" i="0" u="none" baseline="0">
              <a:solidFill>
                <a:schemeClr val="lt1"/>
              </a:solidFill>
              <a:effectLst/>
              <a:latin typeface="+mn-lt"/>
              <a:ea typeface="+mn-ea"/>
              <a:cs typeface="+mn-cs"/>
            </a:rPr>
            <a:t>: Include FMR amount for comparison.</a:t>
          </a:r>
        </a:p>
      </xdr:txBody>
    </xdr:sp>
    <xdr:clientData/>
  </xdr:twoCellAnchor>
  <xdr:twoCellAnchor>
    <xdr:from>
      <xdr:col>15</xdr:col>
      <xdr:colOff>204107</xdr:colOff>
      <xdr:row>42</xdr:row>
      <xdr:rowOff>163286</xdr:rowOff>
    </xdr:from>
    <xdr:to>
      <xdr:col>21</xdr:col>
      <xdr:colOff>590288</xdr:colOff>
      <xdr:row>45</xdr:row>
      <xdr:rowOff>148998</xdr:rowOff>
    </xdr:to>
    <xdr:sp macro="" textlink="">
      <xdr:nvSpPr>
        <xdr:cNvPr id="83" name="Speech Bubble: Rectangle with Corners Rounded 82">
          <a:extLst>
            <a:ext uri="{FF2B5EF4-FFF2-40B4-BE49-F238E27FC236}">
              <a16:creationId xmlns:a16="http://schemas.microsoft.com/office/drawing/2014/main" id="{00000000-0008-0000-0500-000053000000}"/>
            </a:ext>
          </a:extLst>
        </xdr:cNvPr>
        <xdr:cNvSpPr/>
      </xdr:nvSpPr>
      <xdr:spPr>
        <a:xfrm>
          <a:off x="10042071" y="8191500"/>
          <a:ext cx="4060110" cy="557212"/>
        </a:xfrm>
        <a:prstGeom prst="wedgeRoundRectCallout">
          <a:avLst>
            <a:gd name="adj1" fmla="val -153077"/>
            <a:gd name="adj2" fmla="val -3019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000" b="1" u="sng" baseline="0"/>
            <a:t>Large Adjustments </a:t>
          </a:r>
          <a:r>
            <a:rPr lang="en-US" sz="1000" b="1" u="none" baseline="0"/>
            <a:t>:</a:t>
          </a:r>
          <a:r>
            <a:rPr lang="en-US" sz="1000" b="0" u="none" baseline="0"/>
            <a:t> When an adjustment is great than 25% of the Actual Rent, the cell will turn red.</a:t>
          </a:r>
          <a:endParaRPr lang="en-US" sz="1000" baseline="0"/>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203200</xdr:colOff>
          <xdr:row>10</xdr:row>
          <xdr:rowOff>95250</xdr:rowOff>
        </xdr:from>
        <xdr:to>
          <xdr:col>7</xdr:col>
          <xdr:colOff>533400</xdr:colOff>
          <xdr:row>12</xdr:row>
          <xdr:rowOff>107950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8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10</xdr:row>
          <xdr:rowOff>69850</xdr:rowOff>
        </xdr:from>
        <xdr:to>
          <xdr:col>10</xdr:col>
          <xdr:colOff>609600</xdr:colOff>
          <xdr:row>12</xdr:row>
          <xdr:rowOff>133350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8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10</xdr:row>
          <xdr:rowOff>95250</xdr:rowOff>
        </xdr:from>
        <xdr:to>
          <xdr:col>13</xdr:col>
          <xdr:colOff>571500</xdr:colOff>
          <xdr:row>12</xdr:row>
          <xdr:rowOff>107950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8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203200</xdr:colOff>
          <xdr:row>10</xdr:row>
          <xdr:rowOff>95250</xdr:rowOff>
        </xdr:from>
        <xdr:to>
          <xdr:col>7</xdr:col>
          <xdr:colOff>533400</xdr:colOff>
          <xdr:row>12</xdr:row>
          <xdr:rowOff>107950</xdr:rowOff>
        </xdr:to>
        <xdr:sp macro="" textlink="">
          <xdr:nvSpPr>
            <xdr:cNvPr id="8231" name="Check Box 39" hidden="1">
              <a:extLst>
                <a:ext uri="{63B3BB69-23CF-44E3-9099-C40C66FF867C}">
                  <a14:compatExt spid="_x0000_s8231"/>
                </a:ext>
                <a:ext uri="{FF2B5EF4-FFF2-40B4-BE49-F238E27FC236}">
                  <a16:creationId xmlns:a16="http://schemas.microsoft.com/office/drawing/2014/main" id="{00000000-0008-0000-0900-00002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10</xdr:row>
          <xdr:rowOff>69850</xdr:rowOff>
        </xdr:from>
        <xdr:to>
          <xdr:col>10</xdr:col>
          <xdr:colOff>609600</xdr:colOff>
          <xdr:row>12</xdr:row>
          <xdr:rowOff>133350</xdr:rowOff>
        </xdr:to>
        <xdr:sp macro="" textlink="">
          <xdr:nvSpPr>
            <xdr:cNvPr id="8232" name="Check Box 40" hidden="1">
              <a:extLst>
                <a:ext uri="{63B3BB69-23CF-44E3-9099-C40C66FF867C}">
                  <a14:compatExt spid="_x0000_s8232"/>
                </a:ext>
                <a:ext uri="{FF2B5EF4-FFF2-40B4-BE49-F238E27FC236}">
                  <a16:creationId xmlns:a16="http://schemas.microsoft.com/office/drawing/2014/main" id="{00000000-0008-0000-0900-00002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10</xdr:row>
          <xdr:rowOff>95250</xdr:rowOff>
        </xdr:from>
        <xdr:to>
          <xdr:col>13</xdr:col>
          <xdr:colOff>571500</xdr:colOff>
          <xdr:row>12</xdr:row>
          <xdr:rowOff>107950</xdr:rowOff>
        </xdr:to>
        <xdr:sp macro="" textlink="">
          <xdr:nvSpPr>
            <xdr:cNvPr id="8233" name="Check Box 41" hidden="1">
              <a:extLst>
                <a:ext uri="{63B3BB69-23CF-44E3-9099-C40C66FF867C}">
                  <a14:compatExt spid="_x0000_s8233"/>
                </a:ext>
                <a:ext uri="{FF2B5EF4-FFF2-40B4-BE49-F238E27FC236}">
                  <a16:creationId xmlns:a16="http://schemas.microsoft.com/office/drawing/2014/main" id="{00000000-0008-0000-0900-00002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10</xdr:row>
          <xdr:rowOff>95250</xdr:rowOff>
        </xdr:from>
        <xdr:to>
          <xdr:col>7</xdr:col>
          <xdr:colOff>533400</xdr:colOff>
          <xdr:row>12</xdr:row>
          <xdr:rowOff>107950</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9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10</xdr:row>
          <xdr:rowOff>69850</xdr:rowOff>
        </xdr:from>
        <xdr:to>
          <xdr:col>10</xdr:col>
          <xdr:colOff>609600</xdr:colOff>
          <xdr:row>12</xdr:row>
          <xdr:rowOff>133350</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9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10</xdr:row>
          <xdr:rowOff>95250</xdr:rowOff>
        </xdr:from>
        <xdr:to>
          <xdr:col>13</xdr:col>
          <xdr:colOff>571500</xdr:colOff>
          <xdr:row>12</xdr:row>
          <xdr:rowOff>107950</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900-00002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10</xdr:row>
          <xdr:rowOff>95250</xdr:rowOff>
        </xdr:from>
        <xdr:to>
          <xdr:col>7</xdr:col>
          <xdr:colOff>533400</xdr:colOff>
          <xdr:row>12</xdr:row>
          <xdr:rowOff>107950</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900-00002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10</xdr:row>
          <xdr:rowOff>69850</xdr:rowOff>
        </xdr:from>
        <xdr:to>
          <xdr:col>10</xdr:col>
          <xdr:colOff>609600</xdr:colOff>
          <xdr:row>12</xdr:row>
          <xdr:rowOff>133350</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900-00002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10</xdr:row>
          <xdr:rowOff>95250</xdr:rowOff>
        </xdr:from>
        <xdr:to>
          <xdr:col>13</xdr:col>
          <xdr:colOff>571500</xdr:colOff>
          <xdr:row>12</xdr:row>
          <xdr:rowOff>107950</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900-00002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203200</xdr:colOff>
          <xdr:row>10</xdr:row>
          <xdr:rowOff>95250</xdr:rowOff>
        </xdr:from>
        <xdr:to>
          <xdr:col>7</xdr:col>
          <xdr:colOff>533400</xdr:colOff>
          <xdr:row>12</xdr:row>
          <xdr:rowOff>107950</xdr:rowOff>
        </xdr:to>
        <xdr:sp macro="" textlink="">
          <xdr:nvSpPr>
            <xdr:cNvPr id="9344" name="Check Box 128" hidden="1">
              <a:extLst>
                <a:ext uri="{63B3BB69-23CF-44E3-9099-C40C66FF867C}">
                  <a14:compatExt spid="_x0000_s9344"/>
                </a:ext>
                <a:ext uri="{FF2B5EF4-FFF2-40B4-BE49-F238E27FC236}">
                  <a16:creationId xmlns:a16="http://schemas.microsoft.com/office/drawing/2014/main" id="{00000000-0008-0000-0A00-00008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10</xdr:row>
          <xdr:rowOff>69850</xdr:rowOff>
        </xdr:from>
        <xdr:to>
          <xdr:col>10</xdr:col>
          <xdr:colOff>609600</xdr:colOff>
          <xdr:row>12</xdr:row>
          <xdr:rowOff>133350</xdr:rowOff>
        </xdr:to>
        <xdr:sp macro="" textlink="">
          <xdr:nvSpPr>
            <xdr:cNvPr id="9345" name="Check Box 129" hidden="1">
              <a:extLst>
                <a:ext uri="{63B3BB69-23CF-44E3-9099-C40C66FF867C}">
                  <a14:compatExt spid="_x0000_s9345"/>
                </a:ext>
                <a:ext uri="{FF2B5EF4-FFF2-40B4-BE49-F238E27FC236}">
                  <a16:creationId xmlns:a16="http://schemas.microsoft.com/office/drawing/2014/main" id="{00000000-0008-0000-0A00-00008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10</xdr:row>
          <xdr:rowOff>95250</xdr:rowOff>
        </xdr:from>
        <xdr:to>
          <xdr:col>13</xdr:col>
          <xdr:colOff>571500</xdr:colOff>
          <xdr:row>12</xdr:row>
          <xdr:rowOff>107950</xdr:rowOff>
        </xdr:to>
        <xdr:sp macro="" textlink="">
          <xdr:nvSpPr>
            <xdr:cNvPr id="9346" name="Check Box 130" hidden="1">
              <a:extLst>
                <a:ext uri="{63B3BB69-23CF-44E3-9099-C40C66FF867C}">
                  <a14:compatExt spid="_x0000_s9346"/>
                </a:ext>
                <a:ext uri="{FF2B5EF4-FFF2-40B4-BE49-F238E27FC236}">
                  <a16:creationId xmlns:a16="http://schemas.microsoft.com/office/drawing/2014/main" id="{00000000-0008-0000-0A00-00008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10</xdr:row>
          <xdr:rowOff>95250</xdr:rowOff>
        </xdr:from>
        <xdr:to>
          <xdr:col>7</xdr:col>
          <xdr:colOff>533400</xdr:colOff>
          <xdr:row>12</xdr:row>
          <xdr:rowOff>107950</xdr:rowOff>
        </xdr:to>
        <xdr:sp macro="" textlink="">
          <xdr:nvSpPr>
            <xdr:cNvPr id="9347" name="Check Box 131" hidden="1">
              <a:extLst>
                <a:ext uri="{63B3BB69-23CF-44E3-9099-C40C66FF867C}">
                  <a14:compatExt spid="_x0000_s9347"/>
                </a:ext>
                <a:ext uri="{FF2B5EF4-FFF2-40B4-BE49-F238E27FC236}">
                  <a16:creationId xmlns:a16="http://schemas.microsoft.com/office/drawing/2014/main" id="{00000000-0008-0000-0A00-00008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10</xdr:row>
          <xdr:rowOff>69850</xdr:rowOff>
        </xdr:from>
        <xdr:to>
          <xdr:col>10</xdr:col>
          <xdr:colOff>609600</xdr:colOff>
          <xdr:row>12</xdr:row>
          <xdr:rowOff>133350</xdr:rowOff>
        </xdr:to>
        <xdr:sp macro="" textlink="">
          <xdr:nvSpPr>
            <xdr:cNvPr id="9348" name="Check Box 132" hidden="1">
              <a:extLst>
                <a:ext uri="{63B3BB69-23CF-44E3-9099-C40C66FF867C}">
                  <a14:compatExt spid="_x0000_s9348"/>
                </a:ext>
                <a:ext uri="{FF2B5EF4-FFF2-40B4-BE49-F238E27FC236}">
                  <a16:creationId xmlns:a16="http://schemas.microsoft.com/office/drawing/2014/main" id="{00000000-0008-0000-0A00-00008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10</xdr:row>
          <xdr:rowOff>95250</xdr:rowOff>
        </xdr:from>
        <xdr:to>
          <xdr:col>13</xdr:col>
          <xdr:colOff>571500</xdr:colOff>
          <xdr:row>12</xdr:row>
          <xdr:rowOff>107950</xdr:rowOff>
        </xdr:to>
        <xdr:sp macro="" textlink="">
          <xdr:nvSpPr>
            <xdr:cNvPr id="9349" name="Check Box 133" hidden="1">
              <a:extLst>
                <a:ext uri="{63B3BB69-23CF-44E3-9099-C40C66FF867C}">
                  <a14:compatExt spid="_x0000_s9349"/>
                </a:ext>
                <a:ext uri="{FF2B5EF4-FFF2-40B4-BE49-F238E27FC236}">
                  <a16:creationId xmlns:a16="http://schemas.microsoft.com/office/drawing/2014/main" id="{00000000-0008-0000-0A00-00008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10</xdr:row>
          <xdr:rowOff>95250</xdr:rowOff>
        </xdr:from>
        <xdr:to>
          <xdr:col>7</xdr:col>
          <xdr:colOff>533400</xdr:colOff>
          <xdr:row>12</xdr:row>
          <xdr:rowOff>107950</xdr:rowOff>
        </xdr:to>
        <xdr:sp macro="" textlink="">
          <xdr:nvSpPr>
            <xdr:cNvPr id="9350" name="Check Box 134" hidden="1">
              <a:extLst>
                <a:ext uri="{63B3BB69-23CF-44E3-9099-C40C66FF867C}">
                  <a14:compatExt spid="_x0000_s9350"/>
                </a:ext>
                <a:ext uri="{FF2B5EF4-FFF2-40B4-BE49-F238E27FC236}">
                  <a16:creationId xmlns:a16="http://schemas.microsoft.com/office/drawing/2014/main" id="{00000000-0008-0000-0A00-00008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10</xdr:row>
          <xdr:rowOff>69850</xdr:rowOff>
        </xdr:from>
        <xdr:to>
          <xdr:col>10</xdr:col>
          <xdr:colOff>609600</xdr:colOff>
          <xdr:row>12</xdr:row>
          <xdr:rowOff>133350</xdr:rowOff>
        </xdr:to>
        <xdr:sp macro="" textlink="">
          <xdr:nvSpPr>
            <xdr:cNvPr id="9351" name="Check Box 135" hidden="1">
              <a:extLst>
                <a:ext uri="{63B3BB69-23CF-44E3-9099-C40C66FF867C}">
                  <a14:compatExt spid="_x0000_s9351"/>
                </a:ext>
                <a:ext uri="{FF2B5EF4-FFF2-40B4-BE49-F238E27FC236}">
                  <a16:creationId xmlns:a16="http://schemas.microsoft.com/office/drawing/2014/main" id="{00000000-0008-0000-0A00-00008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10</xdr:row>
          <xdr:rowOff>95250</xdr:rowOff>
        </xdr:from>
        <xdr:to>
          <xdr:col>13</xdr:col>
          <xdr:colOff>571500</xdr:colOff>
          <xdr:row>12</xdr:row>
          <xdr:rowOff>107950</xdr:rowOff>
        </xdr:to>
        <xdr:sp macro="" textlink="">
          <xdr:nvSpPr>
            <xdr:cNvPr id="9352" name="Check Box 136" hidden="1">
              <a:extLst>
                <a:ext uri="{63B3BB69-23CF-44E3-9099-C40C66FF867C}">
                  <a14:compatExt spid="_x0000_s9352"/>
                </a:ext>
                <a:ext uri="{FF2B5EF4-FFF2-40B4-BE49-F238E27FC236}">
                  <a16:creationId xmlns:a16="http://schemas.microsoft.com/office/drawing/2014/main" id="{00000000-0008-0000-0A00-00008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203200</xdr:colOff>
          <xdr:row>10</xdr:row>
          <xdr:rowOff>95250</xdr:rowOff>
        </xdr:from>
        <xdr:to>
          <xdr:col>7</xdr:col>
          <xdr:colOff>533400</xdr:colOff>
          <xdr:row>12</xdr:row>
          <xdr:rowOff>107950</xdr:rowOff>
        </xdr:to>
        <xdr:sp macro="" textlink="">
          <xdr:nvSpPr>
            <xdr:cNvPr id="10352" name="Check Box 112" hidden="1">
              <a:extLst>
                <a:ext uri="{63B3BB69-23CF-44E3-9099-C40C66FF867C}">
                  <a14:compatExt spid="_x0000_s10352"/>
                </a:ext>
                <a:ext uri="{FF2B5EF4-FFF2-40B4-BE49-F238E27FC236}">
                  <a16:creationId xmlns:a16="http://schemas.microsoft.com/office/drawing/2014/main" id="{00000000-0008-0000-0B00-00007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10</xdr:row>
          <xdr:rowOff>69850</xdr:rowOff>
        </xdr:from>
        <xdr:to>
          <xdr:col>10</xdr:col>
          <xdr:colOff>609600</xdr:colOff>
          <xdr:row>12</xdr:row>
          <xdr:rowOff>133350</xdr:rowOff>
        </xdr:to>
        <xdr:sp macro="" textlink="">
          <xdr:nvSpPr>
            <xdr:cNvPr id="10353" name="Check Box 113" hidden="1">
              <a:extLst>
                <a:ext uri="{63B3BB69-23CF-44E3-9099-C40C66FF867C}">
                  <a14:compatExt spid="_x0000_s10353"/>
                </a:ext>
                <a:ext uri="{FF2B5EF4-FFF2-40B4-BE49-F238E27FC236}">
                  <a16:creationId xmlns:a16="http://schemas.microsoft.com/office/drawing/2014/main" id="{00000000-0008-0000-0B00-00007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10</xdr:row>
          <xdr:rowOff>95250</xdr:rowOff>
        </xdr:from>
        <xdr:to>
          <xdr:col>13</xdr:col>
          <xdr:colOff>571500</xdr:colOff>
          <xdr:row>12</xdr:row>
          <xdr:rowOff>107950</xdr:rowOff>
        </xdr:to>
        <xdr:sp macro="" textlink="">
          <xdr:nvSpPr>
            <xdr:cNvPr id="10354" name="Check Box 114" hidden="1">
              <a:extLst>
                <a:ext uri="{63B3BB69-23CF-44E3-9099-C40C66FF867C}">
                  <a14:compatExt spid="_x0000_s10354"/>
                </a:ext>
                <a:ext uri="{FF2B5EF4-FFF2-40B4-BE49-F238E27FC236}">
                  <a16:creationId xmlns:a16="http://schemas.microsoft.com/office/drawing/2014/main" id="{00000000-0008-0000-0B00-00007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10</xdr:row>
          <xdr:rowOff>95250</xdr:rowOff>
        </xdr:from>
        <xdr:to>
          <xdr:col>7</xdr:col>
          <xdr:colOff>533400</xdr:colOff>
          <xdr:row>12</xdr:row>
          <xdr:rowOff>107950</xdr:rowOff>
        </xdr:to>
        <xdr:sp macro="" textlink="">
          <xdr:nvSpPr>
            <xdr:cNvPr id="10355" name="Check Box 115" hidden="1">
              <a:extLst>
                <a:ext uri="{63B3BB69-23CF-44E3-9099-C40C66FF867C}">
                  <a14:compatExt spid="_x0000_s10355"/>
                </a:ext>
                <a:ext uri="{FF2B5EF4-FFF2-40B4-BE49-F238E27FC236}">
                  <a16:creationId xmlns:a16="http://schemas.microsoft.com/office/drawing/2014/main" id="{00000000-0008-0000-0B00-00007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10</xdr:row>
          <xdr:rowOff>69850</xdr:rowOff>
        </xdr:from>
        <xdr:to>
          <xdr:col>10</xdr:col>
          <xdr:colOff>609600</xdr:colOff>
          <xdr:row>12</xdr:row>
          <xdr:rowOff>133350</xdr:rowOff>
        </xdr:to>
        <xdr:sp macro="" textlink="">
          <xdr:nvSpPr>
            <xdr:cNvPr id="10356" name="Check Box 116" hidden="1">
              <a:extLst>
                <a:ext uri="{63B3BB69-23CF-44E3-9099-C40C66FF867C}">
                  <a14:compatExt spid="_x0000_s10356"/>
                </a:ext>
                <a:ext uri="{FF2B5EF4-FFF2-40B4-BE49-F238E27FC236}">
                  <a16:creationId xmlns:a16="http://schemas.microsoft.com/office/drawing/2014/main" id="{00000000-0008-0000-0B00-00007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10</xdr:row>
          <xdr:rowOff>95250</xdr:rowOff>
        </xdr:from>
        <xdr:to>
          <xdr:col>13</xdr:col>
          <xdr:colOff>571500</xdr:colOff>
          <xdr:row>12</xdr:row>
          <xdr:rowOff>107950</xdr:rowOff>
        </xdr:to>
        <xdr:sp macro="" textlink="">
          <xdr:nvSpPr>
            <xdr:cNvPr id="10357" name="Check Box 117" hidden="1">
              <a:extLst>
                <a:ext uri="{63B3BB69-23CF-44E3-9099-C40C66FF867C}">
                  <a14:compatExt spid="_x0000_s10357"/>
                </a:ext>
                <a:ext uri="{FF2B5EF4-FFF2-40B4-BE49-F238E27FC236}">
                  <a16:creationId xmlns:a16="http://schemas.microsoft.com/office/drawing/2014/main" id="{00000000-0008-0000-0B00-00007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10</xdr:row>
          <xdr:rowOff>95250</xdr:rowOff>
        </xdr:from>
        <xdr:to>
          <xdr:col>7</xdr:col>
          <xdr:colOff>533400</xdr:colOff>
          <xdr:row>12</xdr:row>
          <xdr:rowOff>107950</xdr:rowOff>
        </xdr:to>
        <xdr:sp macro="" textlink="">
          <xdr:nvSpPr>
            <xdr:cNvPr id="10358" name="Check Box 118" hidden="1">
              <a:extLst>
                <a:ext uri="{63B3BB69-23CF-44E3-9099-C40C66FF867C}">
                  <a14:compatExt spid="_x0000_s10358"/>
                </a:ext>
                <a:ext uri="{FF2B5EF4-FFF2-40B4-BE49-F238E27FC236}">
                  <a16:creationId xmlns:a16="http://schemas.microsoft.com/office/drawing/2014/main" id="{00000000-0008-0000-0B00-00007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10</xdr:row>
          <xdr:rowOff>69850</xdr:rowOff>
        </xdr:from>
        <xdr:to>
          <xdr:col>10</xdr:col>
          <xdr:colOff>609600</xdr:colOff>
          <xdr:row>12</xdr:row>
          <xdr:rowOff>133350</xdr:rowOff>
        </xdr:to>
        <xdr:sp macro="" textlink="">
          <xdr:nvSpPr>
            <xdr:cNvPr id="10359" name="Check Box 119" hidden="1">
              <a:extLst>
                <a:ext uri="{63B3BB69-23CF-44E3-9099-C40C66FF867C}">
                  <a14:compatExt spid="_x0000_s10359"/>
                </a:ext>
                <a:ext uri="{FF2B5EF4-FFF2-40B4-BE49-F238E27FC236}">
                  <a16:creationId xmlns:a16="http://schemas.microsoft.com/office/drawing/2014/main" id="{00000000-0008-0000-0B00-00007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10</xdr:row>
          <xdr:rowOff>95250</xdr:rowOff>
        </xdr:from>
        <xdr:to>
          <xdr:col>13</xdr:col>
          <xdr:colOff>571500</xdr:colOff>
          <xdr:row>12</xdr:row>
          <xdr:rowOff>107950</xdr:rowOff>
        </xdr:to>
        <xdr:sp macro="" textlink="">
          <xdr:nvSpPr>
            <xdr:cNvPr id="10360" name="Check Box 120" hidden="1">
              <a:extLst>
                <a:ext uri="{63B3BB69-23CF-44E3-9099-C40C66FF867C}">
                  <a14:compatExt spid="_x0000_s10360"/>
                </a:ext>
                <a:ext uri="{FF2B5EF4-FFF2-40B4-BE49-F238E27FC236}">
                  <a16:creationId xmlns:a16="http://schemas.microsoft.com/office/drawing/2014/main" id="{00000000-0008-0000-0B00-00007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3.vml"/><Relationship Id="rId7" Type="http://schemas.openxmlformats.org/officeDocument/2006/relationships/ctrlProp" Target="../ctrlProps/ctrlProp10.xml"/><Relationship Id="rId12" Type="http://schemas.openxmlformats.org/officeDocument/2006/relationships/ctrlProp" Target="../ctrlProps/ctrlProp15.xml"/><Relationship Id="rId2" Type="http://schemas.openxmlformats.org/officeDocument/2006/relationships/drawing" Target="../drawings/drawing7.xml"/><Relationship Id="rId1" Type="http://schemas.openxmlformats.org/officeDocument/2006/relationships/printerSettings" Target="../printerSettings/printerSettings10.bin"/><Relationship Id="rId6" Type="http://schemas.openxmlformats.org/officeDocument/2006/relationships/ctrlProp" Target="../ctrlProps/ctrlProp9.xml"/><Relationship Id="rId11" Type="http://schemas.openxmlformats.org/officeDocument/2006/relationships/ctrlProp" Target="../ctrlProps/ctrlProp14.xml"/><Relationship Id="rId5" Type="http://schemas.openxmlformats.org/officeDocument/2006/relationships/ctrlProp" Target="../ctrlProps/ctrlProp8.xml"/><Relationship Id="rId10" Type="http://schemas.openxmlformats.org/officeDocument/2006/relationships/ctrlProp" Target="../ctrlProps/ctrlProp13.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3" Type="http://schemas.openxmlformats.org/officeDocument/2006/relationships/drawing" Target="../drawings/drawing8.xml"/><Relationship Id="rId7" Type="http://schemas.openxmlformats.org/officeDocument/2006/relationships/ctrlProp" Target="../ctrlProps/ctrlProp18.xml"/><Relationship Id="rId12" Type="http://schemas.openxmlformats.org/officeDocument/2006/relationships/ctrlProp" Target="../ctrlProps/ctrlProp23.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0" Type="http://schemas.openxmlformats.org/officeDocument/2006/relationships/ctrlProp" Target="../ctrlProps/ctrlProp21.xml"/><Relationship Id="rId4" Type="http://schemas.openxmlformats.org/officeDocument/2006/relationships/vmlDrawing" Target="../drawings/vmlDrawing4.vml"/><Relationship Id="rId9" Type="http://schemas.openxmlformats.org/officeDocument/2006/relationships/ctrlProp" Target="../ctrlProps/ctrlProp20.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29.xml"/><Relationship Id="rId3" Type="http://schemas.openxmlformats.org/officeDocument/2006/relationships/vmlDrawing" Target="../drawings/vmlDrawing5.vml"/><Relationship Id="rId7" Type="http://schemas.openxmlformats.org/officeDocument/2006/relationships/ctrlProp" Target="../ctrlProps/ctrlProp28.xml"/><Relationship Id="rId12" Type="http://schemas.openxmlformats.org/officeDocument/2006/relationships/ctrlProp" Target="../ctrlProps/ctrlProp33.xml"/><Relationship Id="rId2" Type="http://schemas.openxmlformats.org/officeDocument/2006/relationships/drawing" Target="../drawings/drawing9.xml"/><Relationship Id="rId1" Type="http://schemas.openxmlformats.org/officeDocument/2006/relationships/printerSettings" Target="../printerSettings/printerSettings13.bin"/><Relationship Id="rId6" Type="http://schemas.openxmlformats.org/officeDocument/2006/relationships/ctrlProp" Target="../ctrlProps/ctrlProp27.xml"/><Relationship Id="rId11" Type="http://schemas.openxmlformats.org/officeDocument/2006/relationships/ctrlProp" Target="../ctrlProps/ctrlProp32.xml"/><Relationship Id="rId5" Type="http://schemas.openxmlformats.org/officeDocument/2006/relationships/ctrlProp" Target="../ctrlProps/ctrlProp26.xml"/><Relationship Id="rId10" Type="http://schemas.openxmlformats.org/officeDocument/2006/relationships/ctrlProp" Target="../ctrlProps/ctrlProp31.xml"/><Relationship Id="rId4" Type="http://schemas.openxmlformats.org/officeDocument/2006/relationships/ctrlProp" Target="../ctrlProps/ctrlProp25.xml"/><Relationship Id="rId9" Type="http://schemas.openxmlformats.org/officeDocument/2006/relationships/ctrlProp" Target="../ctrlProps/ctrlProp30.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38.xml"/><Relationship Id="rId3" Type="http://schemas.openxmlformats.org/officeDocument/2006/relationships/vmlDrawing" Target="../drawings/vmlDrawing6.vml"/><Relationship Id="rId7" Type="http://schemas.openxmlformats.org/officeDocument/2006/relationships/ctrlProp" Target="../ctrlProps/ctrlProp37.xml"/><Relationship Id="rId12" Type="http://schemas.openxmlformats.org/officeDocument/2006/relationships/ctrlProp" Target="../ctrlProps/ctrlProp42.xml"/><Relationship Id="rId2" Type="http://schemas.openxmlformats.org/officeDocument/2006/relationships/drawing" Target="../drawings/drawing10.xml"/><Relationship Id="rId1" Type="http://schemas.openxmlformats.org/officeDocument/2006/relationships/printerSettings" Target="../printerSettings/printerSettings14.bin"/><Relationship Id="rId6" Type="http://schemas.openxmlformats.org/officeDocument/2006/relationships/ctrlProp" Target="../ctrlProps/ctrlProp36.xml"/><Relationship Id="rId11" Type="http://schemas.openxmlformats.org/officeDocument/2006/relationships/ctrlProp" Target="../ctrlProps/ctrlProp41.xml"/><Relationship Id="rId5" Type="http://schemas.openxmlformats.org/officeDocument/2006/relationships/ctrlProp" Target="../ctrlProps/ctrlProp35.xml"/><Relationship Id="rId10" Type="http://schemas.openxmlformats.org/officeDocument/2006/relationships/ctrlProp" Target="../ctrlProps/ctrlProp40.xml"/><Relationship Id="rId4" Type="http://schemas.openxmlformats.org/officeDocument/2006/relationships/ctrlProp" Target="../ctrlProps/ctrlProp34.xml"/><Relationship Id="rId9" Type="http://schemas.openxmlformats.org/officeDocument/2006/relationships/ctrlProp" Target="../ctrlProps/ctrlProp39.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47.xml"/><Relationship Id="rId3" Type="http://schemas.openxmlformats.org/officeDocument/2006/relationships/vmlDrawing" Target="../drawings/vmlDrawing7.vml"/><Relationship Id="rId7" Type="http://schemas.openxmlformats.org/officeDocument/2006/relationships/ctrlProp" Target="../ctrlProps/ctrlProp46.xml"/><Relationship Id="rId12" Type="http://schemas.openxmlformats.org/officeDocument/2006/relationships/ctrlProp" Target="../ctrlProps/ctrlProp51.xml"/><Relationship Id="rId2" Type="http://schemas.openxmlformats.org/officeDocument/2006/relationships/drawing" Target="../drawings/drawing11.xml"/><Relationship Id="rId1" Type="http://schemas.openxmlformats.org/officeDocument/2006/relationships/printerSettings" Target="../printerSettings/printerSettings15.bin"/><Relationship Id="rId6" Type="http://schemas.openxmlformats.org/officeDocument/2006/relationships/ctrlProp" Target="../ctrlProps/ctrlProp45.xml"/><Relationship Id="rId11" Type="http://schemas.openxmlformats.org/officeDocument/2006/relationships/ctrlProp" Target="../ctrlProps/ctrlProp50.xml"/><Relationship Id="rId5" Type="http://schemas.openxmlformats.org/officeDocument/2006/relationships/ctrlProp" Target="../ctrlProps/ctrlProp44.xml"/><Relationship Id="rId10" Type="http://schemas.openxmlformats.org/officeDocument/2006/relationships/ctrlProp" Target="../ctrlProps/ctrlProp49.xml"/><Relationship Id="rId4" Type="http://schemas.openxmlformats.org/officeDocument/2006/relationships/ctrlProp" Target="../ctrlProps/ctrlProp43.xml"/><Relationship Id="rId9" Type="http://schemas.openxmlformats.org/officeDocument/2006/relationships/ctrlProp" Target="../ctrlProps/ctrlProp48.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56.xml"/><Relationship Id="rId3" Type="http://schemas.openxmlformats.org/officeDocument/2006/relationships/vmlDrawing" Target="../drawings/vmlDrawing8.vml"/><Relationship Id="rId7" Type="http://schemas.openxmlformats.org/officeDocument/2006/relationships/ctrlProp" Target="../ctrlProps/ctrlProp55.xml"/><Relationship Id="rId12" Type="http://schemas.openxmlformats.org/officeDocument/2006/relationships/ctrlProp" Target="../ctrlProps/ctrlProp60.xml"/><Relationship Id="rId2" Type="http://schemas.openxmlformats.org/officeDocument/2006/relationships/drawing" Target="../drawings/drawing12.xml"/><Relationship Id="rId1" Type="http://schemas.openxmlformats.org/officeDocument/2006/relationships/printerSettings" Target="../printerSettings/printerSettings16.bin"/><Relationship Id="rId6" Type="http://schemas.openxmlformats.org/officeDocument/2006/relationships/ctrlProp" Target="../ctrlProps/ctrlProp54.xml"/><Relationship Id="rId11" Type="http://schemas.openxmlformats.org/officeDocument/2006/relationships/ctrlProp" Target="../ctrlProps/ctrlProp59.xml"/><Relationship Id="rId5" Type="http://schemas.openxmlformats.org/officeDocument/2006/relationships/ctrlProp" Target="../ctrlProps/ctrlProp53.xml"/><Relationship Id="rId10" Type="http://schemas.openxmlformats.org/officeDocument/2006/relationships/ctrlProp" Target="../ctrlProps/ctrlProp58.xml"/><Relationship Id="rId4" Type="http://schemas.openxmlformats.org/officeDocument/2006/relationships/ctrlProp" Target="../ctrlProps/ctrlProp52.xml"/><Relationship Id="rId9" Type="http://schemas.openxmlformats.org/officeDocument/2006/relationships/ctrlProp" Target="../ctrlProps/ctrlProp57.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3.xml"/><Relationship Id="rId1" Type="http://schemas.openxmlformats.org/officeDocument/2006/relationships/printerSettings" Target="../printerSettings/printerSettings20.bin"/><Relationship Id="rId6" Type="http://schemas.openxmlformats.org/officeDocument/2006/relationships/ctrlProp" Target="../ctrlProps/ctrlProp63.xml"/><Relationship Id="rId5" Type="http://schemas.openxmlformats.org/officeDocument/2006/relationships/ctrlProp" Target="../ctrlProps/ctrlProp62.xml"/><Relationship Id="rId4" Type="http://schemas.openxmlformats.org/officeDocument/2006/relationships/ctrlProp" Target="../ctrlProps/ctrlProp6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6.xml"/><Relationship Id="rId7" Type="http://schemas.openxmlformats.org/officeDocument/2006/relationships/ctrlProp" Target="../ctrlProps/ctrlProp6.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4"/>
  <sheetViews>
    <sheetView workbookViewId="0">
      <selection activeCell="A26" sqref="A26"/>
    </sheetView>
  </sheetViews>
  <sheetFormatPr defaultRowHeight="14.5" x14ac:dyDescent="0.35"/>
  <cols>
    <col min="1" max="1" width="128.453125" bestFit="1" customWidth="1"/>
  </cols>
  <sheetData>
    <row r="1" spans="1:1" x14ac:dyDescent="0.35">
      <c r="A1" t="s">
        <v>0</v>
      </c>
    </row>
    <row r="2" spans="1:1" x14ac:dyDescent="0.35">
      <c r="A2" t="s">
        <v>1</v>
      </c>
    </row>
    <row r="4" spans="1:1" x14ac:dyDescent="0.35">
      <c r="A4" t="s">
        <v>2</v>
      </c>
    </row>
  </sheetData>
  <customSheetViews>
    <customSheetView guid="{A4B793CE-738E-4476-8B1F-D42BECFCF658}">
      <selection activeCell="A5" sqref="A5"/>
      <pageMargins left="0" right="0" top="0" bottom="0" header="0" footer="0"/>
    </customSheetView>
  </customSheetView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rgb="FFFFC000"/>
    <pageSetUpPr fitToPage="1"/>
  </sheetPr>
  <dimension ref="B1:O54"/>
  <sheetViews>
    <sheetView showGridLines="0" showRowColHeaders="0" topLeftCell="A5" zoomScale="80" zoomScaleNormal="80" workbookViewId="0">
      <selection activeCell="D5" sqref="D5:F5"/>
    </sheetView>
  </sheetViews>
  <sheetFormatPr defaultRowHeight="14.5" x14ac:dyDescent="0.35"/>
  <cols>
    <col min="1" max="1" width="5.54296875" customWidth="1"/>
    <col min="2" max="3" width="1.54296875" customWidth="1"/>
    <col min="4" max="4" width="15.1796875" style="18" customWidth="1"/>
    <col min="5" max="5" width="20.1796875" style="18" customWidth="1"/>
    <col min="6" max="6" width="14.1796875" style="1" customWidth="1"/>
    <col min="7" max="7" width="10" style="1" customWidth="1"/>
    <col min="8" max="9" width="10" customWidth="1"/>
    <col min="10" max="10" width="10" style="1" customWidth="1"/>
    <col min="11" max="12" width="10" customWidth="1"/>
    <col min="13" max="13" width="10" style="1" customWidth="1"/>
    <col min="14" max="15" width="10" customWidth="1"/>
  </cols>
  <sheetData>
    <row r="1" spans="2:15" x14ac:dyDescent="0.35">
      <c r="B1" s="211" t="s">
        <v>88</v>
      </c>
      <c r="C1" s="211"/>
      <c r="D1" s="211"/>
      <c r="E1" s="211"/>
      <c r="F1" s="211"/>
      <c r="G1" s="211"/>
      <c r="H1" s="211"/>
      <c r="I1" s="211"/>
      <c r="J1" s="211"/>
      <c r="K1" s="211"/>
      <c r="L1" s="211"/>
      <c r="M1" s="212" t="s">
        <v>141</v>
      </c>
      <c r="N1" s="212"/>
      <c r="O1" s="212"/>
    </row>
    <row r="2" spans="2:15" x14ac:dyDescent="0.35">
      <c r="B2" s="213" t="s">
        <v>89</v>
      </c>
      <c r="C2" s="213"/>
      <c r="D2" s="213"/>
      <c r="E2" s="213"/>
      <c r="F2" s="213"/>
      <c r="G2" s="213"/>
      <c r="H2" s="213"/>
      <c r="I2" s="213"/>
      <c r="J2" s="213"/>
      <c r="K2" s="213"/>
      <c r="L2" s="213"/>
      <c r="M2" s="303" t="s">
        <v>142</v>
      </c>
      <c r="N2" s="303"/>
      <c r="O2" s="303"/>
    </row>
    <row r="3" spans="2:15" x14ac:dyDescent="0.35">
      <c r="B3" s="117" t="s">
        <v>90</v>
      </c>
      <c r="C3" s="117"/>
      <c r="D3" s="117"/>
      <c r="E3" s="117"/>
      <c r="F3" s="117"/>
      <c r="G3" s="117"/>
      <c r="H3" s="117"/>
      <c r="I3" s="117"/>
      <c r="J3" s="117"/>
      <c r="K3" s="117"/>
      <c r="L3" s="117"/>
      <c r="M3" s="117"/>
      <c r="N3" s="212" t="s">
        <v>143</v>
      </c>
      <c r="O3" s="212"/>
    </row>
    <row r="4" spans="2:15" ht="15" thickBot="1" x14ac:dyDescent="0.4">
      <c r="B4" s="117"/>
      <c r="D4" s="117"/>
      <c r="E4" s="117"/>
      <c r="F4" s="117"/>
      <c r="G4" s="117"/>
      <c r="H4" s="117"/>
      <c r="I4" s="117"/>
      <c r="J4" s="117"/>
      <c r="K4" s="117"/>
      <c r="L4" s="117"/>
      <c r="M4" s="117"/>
      <c r="N4" s="203"/>
      <c r="O4" s="203"/>
    </row>
    <row r="5" spans="2:15" x14ac:dyDescent="0.35">
      <c r="B5" s="304">
        <v>1</v>
      </c>
      <c r="C5" s="305"/>
      <c r="D5" s="308" t="s">
        <v>282</v>
      </c>
      <c r="E5" s="309"/>
      <c r="F5" s="310"/>
      <c r="G5" s="122"/>
      <c r="H5" s="122"/>
      <c r="I5" s="122"/>
      <c r="J5" s="122"/>
      <c r="K5" s="122"/>
      <c r="L5" s="122"/>
      <c r="M5" s="122"/>
      <c r="N5" s="122"/>
      <c r="O5" s="122"/>
    </row>
    <row r="6" spans="2:15" ht="16" thickBot="1" x14ac:dyDescent="0.4">
      <c r="B6" s="306"/>
      <c r="C6" s="307"/>
      <c r="D6" s="142" t="s">
        <v>91</v>
      </c>
      <c r="E6" s="311" t="s">
        <v>92</v>
      </c>
      <c r="F6" s="312"/>
      <c r="G6" s="313" t="s">
        <v>74</v>
      </c>
      <c r="H6" s="219"/>
      <c r="I6" s="219"/>
      <c r="J6" s="219"/>
      <c r="K6" s="219"/>
      <c r="L6" s="219"/>
      <c r="M6" s="219"/>
      <c r="N6" s="219"/>
      <c r="O6" s="219"/>
    </row>
    <row r="7" spans="2:15" x14ac:dyDescent="0.35">
      <c r="B7" s="250">
        <v>2</v>
      </c>
      <c r="C7" s="251"/>
      <c r="D7" s="284" t="s">
        <v>93</v>
      </c>
      <c r="E7" s="285"/>
      <c r="F7" s="286"/>
      <c r="G7" s="287" t="s">
        <v>94</v>
      </c>
      <c r="H7" s="258"/>
      <c r="I7" s="260"/>
      <c r="J7" s="258" t="s">
        <v>95</v>
      </c>
      <c r="K7" s="258"/>
      <c r="L7" s="258"/>
      <c r="M7" s="287" t="s">
        <v>96</v>
      </c>
      <c r="N7" s="258"/>
      <c r="O7" s="260"/>
    </row>
    <row r="8" spans="2:15" x14ac:dyDescent="0.35">
      <c r="B8" s="250"/>
      <c r="C8" s="251"/>
      <c r="D8" s="200" t="s">
        <v>97</v>
      </c>
      <c r="E8" s="220" t="s">
        <v>202</v>
      </c>
      <c r="F8" s="302"/>
      <c r="G8" s="288" t="s">
        <v>99</v>
      </c>
      <c r="H8" s="223"/>
      <c r="I8" s="224"/>
      <c r="J8" s="223" t="s">
        <v>99</v>
      </c>
      <c r="K8" s="223"/>
      <c r="L8" s="223"/>
      <c r="M8" s="288" t="s">
        <v>99</v>
      </c>
      <c r="N8" s="223"/>
      <c r="O8" s="224"/>
    </row>
    <row r="9" spans="2:15" x14ac:dyDescent="0.35">
      <c r="B9" s="250"/>
      <c r="C9" s="251"/>
      <c r="D9" s="200" t="s">
        <v>100</v>
      </c>
      <c r="E9" s="200" t="s">
        <v>101</v>
      </c>
      <c r="F9" s="204" t="s">
        <v>102</v>
      </c>
      <c r="G9" s="288" t="s">
        <v>103</v>
      </c>
      <c r="H9" s="223"/>
      <c r="I9" s="224"/>
      <c r="J9" s="223" t="s">
        <v>103</v>
      </c>
      <c r="K9" s="223"/>
      <c r="L9" s="223"/>
      <c r="M9" s="288" t="s">
        <v>103</v>
      </c>
      <c r="N9" s="223"/>
      <c r="O9" s="224"/>
    </row>
    <row r="10" spans="2:15" x14ac:dyDescent="0.35">
      <c r="B10" s="250"/>
      <c r="C10" s="251"/>
      <c r="D10" s="299" t="s">
        <v>104</v>
      </c>
      <c r="E10" s="300"/>
      <c r="F10" s="301"/>
      <c r="G10" s="289" t="s">
        <v>105</v>
      </c>
      <c r="H10" s="229"/>
      <c r="I10" s="230"/>
      <c r="J10" s="229" t="s">
        <v>105</v>
      </c>
      <c r="K10" s="229"/>
      <c r="L10" s="229"/>
      <c r="M10" s="289" t="s">
        <v>105</v>
      </c>
      <c r="N10" s="229"/>
      <c r="O10" s="230"/>
    </row>
    <row r="11" spans="2:15" x14ac:dyDescent="0.35">
      <c r="B11" s="250"/>
      <c r="C11" s="251"/>
      <c r="D11" s="186" t="s">
        <v>154</v>
      </c>
      <c r="E11" s="221" t="s">
        <v>155</v>
      </c>
      <c r="F11" s="224"/>
      <c r="G11" s="289" t="s">
        <v>155</v>
      </c>
      <c r="H11" s="229"/>
      <c r="I11" s="230"/>
      <c r="J11" s="229" t="s">
        <v>155</v>
      </c>
      <c r="K11" s="229"/>
      <c r="L11" s="229"/>
      <c r="M11" s="289" t="s">
        <v>155</v>
      </c>
      <c r="N11" s="229"/>
      <c r="O11" s="230"/>
    </row>
    <row r="12" spans="2:15" x14ac:dyDescent="0.35">
      <c r="B12" s="250"/>
      <c r="C12" s="251"/>
      <c r="D12" s="119"/>
      <c r="E12" s="120"/>
      <c r="F12" s="124" t="s">
        <v>158</v>
      </c>
      <c r="G12" s="135"/>
      <c r="H12" s="141"/>
      <c r="I12" s="202"/>
      <c r="J12" s="123"/>
      <c r="K12" s="201"/>
      <c r="L12" s="201"/>
      <c r="M12" s="135"/>
      <c r="N12" s="201"/>
      <c r="O12" s="202"/>
    </row>
    <row r="13" spans="2:15" x14ac:dyDescent="0.35">
      <c r="B13" s="250"/>
      <c r="C13" s="251"/>
      <c r="D13" s="241" t="s">
        <v>3</v>
      </c>
      <c r="E13" s="242"/>
      <c r="F13" s="292" t="s">
        <v>106</v>
      </c>
      <c r="G13" s="294" t="s">
        <v>106</v>
      </c>
      <c r="H13" s="236" t="s">
        <v>107</v>
      </c>
      <c r="I13" s="237"/>
      <c r="J13" s="296" t="s">
        <v>106</v>
      </c>
      <c r="K13" s="236" t="s">
        <v>107</v>
      </c>
      <c r="L13" s="298"/>
      <c r="M13" s="294" t="s">
        <v>106</v>
      </c>
      <c r="N13" s="236" t="s">
        <v>107</v>
      </c>
      <c r="O13" s="237"/>
    </row>
    <row r="14" spans="2:15" x14ac:dyDescent="0.35">
      <c r="B14" s="250"/>
      <c r="C14" s="251"/>
      <c r="D14" s="290"/>
      <c r="E14" s="291"/>
      <c r="F14" s="293"/>
      <c r="G14" s="295"/>
      <c r="H14" s="16" t="s">
        <v>108</v>
      </c>
      <c r="I14" s="50" t="s">
        <v>109</v>
      </c>
      <c r="J14" s="297"/>
      <c r="K14" s="125" t="s">
        <v>108</v>
      </c>
      <c r="L14" s="136" t="s">
        <v>109</v>
      </c>
      <c r="M14" s="295"/>
      <c r="N14" s="16" t="s">
        <v>108</v>
      </c>
      <c r="O14" s="50" t="s">
        <v>109</v>
      </c>
    </row>
    <row r="15" spans="2:15" x14ac:dyDescent="0.35">
      <c r="B15" s="238" t="s">
        <v>110</v>
      </c>
      <c r="C15" s="239"/>
      <c r="D15" s="239"/>
      <c r="E15" s="239"/>
      <c r="F15" s="239"/>
      <c r="G15" s="239"/>
      <c r="H15" s="239"/>
      <c r="I15" s="239"/>
      <c r="J15" s="239"/>
      <c r="K15" s="239"/>
      <c r="L15" s="239"/>
      <c r="M15" s="239"/>
      <c r="N15" s="239"/>
      <c r="O15" s="240"/>
    </row>
    <row r="16" spans="2:15" x14ac:dyDescent="0.35">
      <c r="B16" s="231">
        <v>3</v>
      </c>
      <c r="C16" s="232"/>
      <c r="D16" s="233" t="s">
        <v>111</v>
      </c>
      <c r="E16" s="232"/>
      <c r="F16" s="133">
        <v>0</v>
      </c>
      <c r="G16" s="131">
        <v>0</v>
      </c>
      <c r="H16" s="11">
        <f>IF(G16="","",-IF(G16&gt;$F16,((G16-$F16)*'Rent Adjustment Worksheet'!$C$3),0))</f>
        <v>0</v>
      </c>
      <c r="I16" s="127">
        <f>IF(G16="","",IFERROR(-IF(G16&gt;$F16,0,((G16-$F16)*'Rent Adjustment Worksheet'!$C$3)),0))</f>
        <v>0</v>
      </c>
      <c r="J16" s="131">
        <v>0</v>
      </c>
      <c r="K16" s="11">
        <f>IF(J16="","",-IF(J16&gt;$F16,((J16-$F16)*'Rent Adjustment Worksheet'!$C$3),0))</f>
        <v>0</v>
      </c>
      <c r="L16" s="90">
        <f>IF(J16="","",IFERROR(-IF(J16&gt;$F16,0,((J16-$F16)*'Rent Adjustment Worksheet'!$C$3)),0))</f>
        <v>0</v>
      </c>
      <c r="M16" s="129">
        <v>0</v>
      </c>
      <c r="N16" s="11">
        <f>IF(M16="","",-IF(M16&gt;$F16,((M16-$F16)*'Rent Adjustment Worksheet'!$C$3),0))</f>
        <v>0</v>
      </c>
      <c r="O16" s="90">
        <f>IF(M16="","",IFERROR(-IF(M16&gt;$F16,0,((M16-$F16)*'Rent Adjustment Worksheet'!$C$3)),0))</f>
        <v>0</v>
      </c>
    </row>
    <row r="17" spans="2:15" x14ac:dyDescent="0.35">
      <c r="B17" s="231">
        <v>4</v>
      </c>
      <c r="C17" s="232"/>
      <c r="D17" s="233" t="s">
        <v>113</v>
      </c>
      <c r="E17" s="232"/>
      <c r="F17" s="134">
        <v>0</v>
      </c>
      <c r="G17" s="132">
        <v>0</v>
      </c>
      <c r="H17" s="54">
        <f>IF(G17="","",IFERROR(-IF($G$17&gt;$F$17,($G$17-$F$17)*VLOOKUP($D17,'Rent Adjustment Worksheet'!$A:$C,3,0)/10),0))</f>
        <v>0</v>
      </c>
      <c r="I17" s="128">
        <f>IF(G17="","",IFERROR(-IF($G$17&gt;$F$17,0,($G$17-$F$17)*VLOOKUP($D17,'Rent Adjustment Worksheet'!$A:$C,3,0)/10),0))</f>
        <v>0</v>
      </c>
      <c r="J17" s="132">
        <v>0</v>
      </c>
      <c r="K17" s="54">
        <f>IF(J17="","",IFERROR(-IF($J$17&gt;$F$17,($J$17-$F$17)*VLOOKUP($D17,'Rent Adjustment Worksheet'!$A:$C,3,0)/10),0))</f>
        <v>0</v>
      </c>
      <c r="L17" s="56">
        <f>IF(J17="","",IFERROR(-IF($J$17&gt;$F$17,0,($J$17-$F$17)*VLOOKUP($D17,'Rent Adjustment Worksheet'!$A:$C,3,0)/10),0))</f>
        <v>0</v>
      </c>
      <c r="M17" s="130">
        <v>0</v>
      </c>
      <c r="N17" s="54">
        <f>IF(M17="","",IFERROR(-IF($M$17&gt;$F$17,($M$17-$F$17)*VLOOKUP($D17,'Rent Adjustment Worksheet'!$A:$C,3,0)/10),0))</f>
        <v>0</v>
      </c>
      <c r="O17" s="56">
        <f>IF(M17="","",IFERROR(-IF($M$17&gt;$F$17,0,($M$17-$F$17)*VLOOKUP($D17,'Rent Adjustment Worksheet'!$A:$C,3,0)/10),0))</f>
        <v>0</v>
      </c>
    </row>
    <row r="18" spans="2:15" x14ac:dyDescent="0.35">
      <c r="B18" s="231">
        <v>5</v>
      </c>
      <c r="C18" s="232"/>
      <c r="D18" s="233" t="s">
        <v>114</v>
      </c>
      <c r="E18" s="232"/>
      <c r="F18" s="133">
        <v>0</v>
      </c>
      <c r="G18" s="131">
        <v>0</v>
      </c>
      <c r="H18" s="54">
        <f>-IF($G$18&gt;$F$18, VLOOKUP(($G$18-$F$18),'Rent Adjustment Worksheet'!$J:$K,2,FALSE), 0)</f>
        <v>0</v>
      </c>
      <c r="I18" s="128">
        <f>IF($G$18&lt;$F$18, VLOOKUP(($F$18-$G$18),'Rent Adjustment Worksheet'!$J:$K,2,FALSE), 0)</f>
        <v>0</v>
      </c>
      <c r="J18" s="131">
        <v>0</v>
      </c>
      <c r="K18" s="54">
        <f>-IF($J$18&gt;$F$18, VLOOKUP(($J$18-$F$18),'Rent Adjustment Worksheet'!$J:$K,2,FALSE), 0)</f>
        <v>0</v>
      </c>
      <c r="L18" s="56">
        <f>IF($J$18&lt;$F$18, VLOOKUP(($F$18-$J$18),'Rent Adjustment Worksheet'!$J:$K,2,FALSE), 0)</f>
        <v>0</v>
      </c>
      <c r="M18" s="129">
        <v>0</v>
      </c>
      <c r="N18" s="54">
        <f>-IF($M$18&gt;$F$18, VLOOKUP(($M$18-$F$18),'Rent Adjustment Worksheet'!$J:$K,2,FALSE), 0)</f>
        <v>0</v>
      </c>
      <c r="O18" s="56">
        <f>IF($M$18&lt;$F$18, VLOOKUP(($F$18-$M$18),'Rent Adjustment Worksheet'!$J:$K,2,FALSE), 0)</f>
        <v>0</v>
      </c>
    </row>
    <row r="19" spans="2:15" x14ac:dyDescent="0.35">
      <c r="B19" s="231">
        <v>6</v>
      </c>
      <c r="C19" s="232"/>
      <c r="D19" s="233" t="s">
        <v>15</v>
      </c>
      <c r="E19" s="232"/>
      <c r="F19" s="134" t="s">
        <v>115</v>
      </c>
      <c r="G19" s="132" t="s">
        <v>115</v>
      </c>
      <c r="H19" s="54">
        <f>IF(AND($F19="N",G19="Y"),-VLOOKUP($D19,'Rent Adjustment Worksheet'!$B:$C,2,FALSE),0)</f>
        <v>0</v>
      </c>
      <c r="I19" s="128">
        <f>IF(AND($F19="Y",G19="N"),VLOOKUP($D19,'Rent Adjustment Worksheet'!$B:$C,2,FALSE),0)</f>
        <v>0</v>
      </c>
      <c r="J19" s="132" t="s">
        <v>115</v>
      </c>
      <c r="K19" s="54">
        <f>IF(AND($F19="N",J19="Y"),-VLOOKUP($D19,'Rent Adjustment Worksheet'!$B:$C,2,FALSE),0)</f>
        <v>0</v>
      </c>
      <c r="L19" s="56">
        <f>IF(AND($F19="Y",J19="N"),VLOOKUP($D19,'Rent Adjustment Worksheet'!$B:$C,2,FALSE),0)</f>
        <v>0</v>
      </c>
      <c r="M19" s="130" t="s">
        <v>115</v>
      </c>
      <c r="N19" s="54">
        <f>IF(AND($F19="N",M19="Y"),-VLOOKUP($D19,'Rent Adjustment Worksheet'!$B:$C,2,FALSE),0)</f>
        <v>0</v>
      </c>
      <c r="O19" s="56">
        <f>IF(AND($F19="Y",M19="N"),VLOOKUP($D19,'Rent Adjustment Worksheet'!$B:$C,2,FALSE),0)</f>
        <v>0</v>
      </c>
    </row>
    <row r="20" spans="2:15" x14ac:dyDescent="0.35">
      <c r="B20" s="231">
        <v>7</v>
      </c>
      <c r="C20" s="232"/>
      <c r="D20" s="233" t="s">
        <v>17</v>
      </c>
      <c r="E20" s="232"/>
      <c r="F20" s="134" t="s">
        <v>115</v>
      </c>
      <c r="G20" s="132" t="s">
        <v>115</v>
      </c>
      <c r="H20" s="54">
        <f>IF(AND($F20="N",G20="Y"),-VLOOKUP($D20,'Rent Adjustment Worksheet'!$B:$C,2,FALSE),0)</f>
        <v>0</v>
      </c>
      <c r="I20" s="128">
        <f>IF(AND($F20="Y",G20="N"),VLOOKUP($D20,'Rent Adjustment Worksheet'!$B:$C,2,FALSE),0)</f>
        <v>0</v>
      </c>
      <c r="J20" s="132" t="s">
        <v>115</v>
      </c>
      <c r="K20" s="54">
        <f>IF(AND($F20="N",J20="Y"),-VLOOKUP($D20,'Rent Adjustment Worksheet'!$B:$C,2,FALSE),0)</f>
        <v>0</v>
      </c>
      <c r="L20" s="56">
        <f>IF(AND($F20="Y",J20="N"),VLOOKUP($D20,'Rent Adjustment Worksheet'!$B:$C,2,FALSE),0)</f>
        <v>0</v>
      </c>
      <c r="M20" s="130" t="s">
        <v>115</v>
      </c>
      <c r="N20" s="54">
        <f>IF(AND($F20="N",M20="Y"),-VLOOKUP($D20,'Rent Adjustment Worksheet'!$B:$C,2,FALSE),0)</f>
        <v>0</v>
      </c>
      <c r="O20" s="56">
        <f>IF(AND($F20="Y",M20="N"),VLOOKUP($D20,'Rent Adjustment Worksheet'!$B:$C,2,FALSE),0)</f>
        <v>0</v>
      </c>
    </row>
    <row r="21" spans="2:15" x14ac:dyDescent="0.35">
      <c r="B21" s="231">
        <v>8</v>
      </c>
      <c r="C21" s="232"/>
      <c r="D21" s="233" t="s">
        <v>159</v>
      </c>
      <c r="E21" s="232"/>
      <c r="F21" s="134" t="s">
        <v>118</v>
      </c>
      <c r="G21" s="132" t="s">
        <v>118</v>
      </c>
      <c r="H21" s="54">
        <f>SUMIFS(Laundry!$F:$F,Laundry!$A:$A,$G$6,Laundry!$B:$B,$G$7)</f>
        <v>0</v>
      </c>
      <c r="I21" s="56">
        <f>SUMIFS(Laundry!$G:$G,Laundry!$A:$A,$G$6,Laundry!$B:$B,$G$7)</f>
        <v>0</v>
      </c>
      <c r="J21" s="134" t="s">
        <v>118</v>
      </c>
      <c r="K21" s="54">
        <f>SUMIFS(Laundry!$F:$F,Laundry!$A:$A,$G$6,Laundry!$B:$B,$J$7)</f>
        <v>0</v>
      </c>
      <c r="L21" s="56">
        <f>SUMIFS(Laundry!$G:$G,Laundry!$A:$A,$G$6,Laundry!$B:$B,$J$7)</f>
        <v>0</v>
      </c>
      <c r="M21" s="134" t="s">
        <v>118</v>
      </c>
      <c r="N21" s="54">
        <f>SUMIFS(Laundry!$F:$F,Laundry!$A:$A,$G$6,Laundry!$B:$B,$M$7)</f>
        <v>0</v>
      </c>
      <c r="O21" s="56">
        <f>SUMIFS(Laundry!$G:$G,Laundry!$A:$A,$G$6,Laundry!$B:$B,$M$7)</f>
        <v>0</v>
      </c>
    </row>
    <row r="22" spans="2:15" x14ac:dyDescent="0.35">
      <c r="B22" s="231">
        <v>9</v>
      </c>
      <c r="C22" s="232"/>
      <c r="D22" s="233" t="s">
        <v>117</v>
      </c>
      <c r="E22" s="232"/>
      <c r="F22" s="134" t="s">
        <v>118</v>
      </c>
      <c r="G22" s="132" t="s">
        <v>118</v>
      </c>
      <c r="H22" s="54">
        <f>SUMIFS(AC!$F:$F,AC!$A:$A,$G$6,AC!$B:$B,$G$7)</f>
        <v>0</v>
      </c>
      <c r="I22" s="56">
        <f>SUMIFS(AC!$G:$G,AC!$A:$A,$G$6,AC!$B:$B,$G$7)</f>
        <v>0</v>
      </c>
      <c r="J22" s="132" t="s">
        <v>118</v>
      </c>
      <c r="K22" s="54">
        <f>SUMIFS(AC!$F:$F,AC!$A:$A,$G$6,AC!$B:$B,$J$7)</f>
        <v>0</v>
      </c>
      <c r="L22" s="56">
        <f>SUMIFS(AC!$G:$G,AC!$A:$A,$G$6,AC!$B:$B,$J$7)</f>
        <v>0</v>
      </c>
      <c r="M22" s="130" t="s">
        <v>118</v>
      </c>
      <c r="N22" s="54">
        <f>SUMIFS(AC!$F:$F,AC!$A:$A,$G$6,AC!$B:$B,$M$7)</f>
        <v>0</v>
      </c>
      <c r="O22" s="56">
        <f>SUMIFS(AC!$G:$G,AC!$A:$A,$G$6,AC!$B:$B,$M$7)</f>
        <v>0</v>
      </c>
    </row>
    <row r="23" spans="2:15" x14ac:dyDescent="0.35">
      <c r="B23" s="231">
        <v>10</v>
      </c>
      <c r="C23" s="232"/>
      <c r="D23" s="233" t="s">
        <v>28</v>
      </c>
      <c r="E23" s="232"/>
      <c r="F23" s="134" t="s">
        <v>115</v>
      </c>
      <c r="G23" s="132" t="s">
        <v>115</v>
      </c>
      <c r="H23" s="54">
        <f>IF(AND($F23="N",G23="Y"),-VLOOKUP($D23,'Rent Adjustment Worksheet'!$B:$C,2,FALSE),0)</f>
        <v>0</v>
      </c>
      <c r="I23" s="128">
        <f>IF(AND($F23="Y",G23="N"),VLOOKUP($D23,'Rent Adjustment Worksheet'!$B:$C,2,FALSE),0)</f>
        <v>0</v>
      </c>
      <c r="J23" s="132" t="s">
        <v>115</v>
      </c>
      <c r="K23" s="54">
        <f>IF(AND($F23="N",J23="Y"),-VLOOKUP($D23,'Rent Adjustment Worksheet'!$B:$C,2,FALSE),0)</f>
        <v>0</v>
      </c>
      <c r="L23" s="56">
        <f>IF(AND($F23="Y",J23="N"),VLOOKUP($D23,'Rent Adjustment Worksheet'!$B:$C,2,FALSE),0)</f>
        <v>0</v>
      </c>
      <c r="M23" s="130" t="s">
        <v>115</v>
      </c>
      <c r="N23" s="54">
        <f>IF(AND($F23="N",M23="Y"),-VLOOKUP($D23,'Rent Adjustment Worksheet'!$B:$C,2,FALSE),0)</f>
        <v>0</v>
      </c>
      <c r="O23" s="56">
        <f>IF(AND($F23="Y",M23="N"),VLOOKUP($D23,'Rent Adjustment Worksheet'!$B:$C,2,FALSE),0)</f>
        <v>0</v>
      </c>
    </row>
    <row r="24" spans="2:15" x14ac:dyDescent="0.35">
      <c r="B24" s="231">
        <v>11</v>
      </c>
      <c r="C24" s="232"/>
      <c r="D24" s="233" t="s">
        <v>119</v>
      </c>
      <c r="E24" s="232"/>
      <c r="F24" s="134" t="s">
        <v>115</v>
      </c>
      <c r="G24" s="132" t="s">
        <v>115</v>
      </c>
      <c r="H24" s="54">
        <f>IF(AND($F24="N",G24="Y"),-VLOOKUP($D24,'Rent Adjustment Worksheet'!$B:$C,2,FALSE),0)</f>
        <v>0</v>
      </c>
      <c r="I24" s="128">
        <f>IF(AND($F24="Y",G24="N"),VLOOKUP($D24,'Rent Adjustment Worksheet'!$B:$C,2,FALSE),0)</f>
        <v>0</v>
      </c>
      <c r="J24" s="132" t="s">
        <v>115</v>
      </c>
      <c r="K24" s="54">
        <f>IF(AND($F24="N",J24="Y"),-VLOOKUP($D24,'Rent Adjustment Worksheet'!$B:$C,2,FALSE),0)</f>
        <v>0</v>
      </c>
      <c r="L24" s="56">
        <f>IF(AND($F24="Y",J24="N"),VLOOKUP($D24,'Rent Adjustment Worksheet'!$B:$C,2,FALSE),0)</f>
        <v>0</v>
      </c>
      <c r="M24" s="130" t="s">
        <v>115</v>
      </c>
      <c r="N24" s="54">
        <f>IF(AND($F24="N",M24="Y"),-VLOOKUP($D24,'Rent Adjustment Worksheet'!$B:$C,2,FALSE),0)</f>
        <v>0</v>
      </c>
      <c r="O24" s="56">
        <f>IF(AND($F24="Y",M24="N"),VLOOKUP($D24,'Rent Adjustment Worksheet'!$B:$C,2,FALSE),0)</f>
        <v>0</v>
      </c>
    </row>
    <row r="25" spans="2:15" x14ac:dyDescent="0.35">
      <c r="B25" s="231">
        <v>12</v>
      </c>
      <c r="C25" s="232"/>
      <c r="D25" s="233" t="s">
        <v>32</v>
      </c>
      <c r="E25" s="232"/>
      <c r="F25" s="134" t="s">
        <v>115</v>
      </c>
      <c r="G25" s="132" t="s">
        <v>115</v>
      </c>
      <c r="H25" s="54">
        <f>IF(AND($F25="N",G25="Y"),-VLOOKUP($D25,'Rent Adjustment Worksheet'!$B:$C,2,FALSE),0)</f>
        <v>0</v>
      </c>
      <c r="I25" s="128">
        <f>IF(AND($F25="Y",G25="N"),VLOOKUP($D25,'Rent Adjustment Worksheet'!$B:$C,2,FALSE),0)</f>
        <v>0</v>
      </c>
      <c r="J25" s="132" t="s">
        <v>115</v>
      </c>
      <c r="K25" s="54">
        <f>IF(AND($F25="N",J25="Y"),-VLOOKUP($D25,'Rent Adjustment Worksheet'!$B:$C,2,FALSE),0)</f>
        <v>0</v>
      </c>
      <c r="L25" s="56">
        <f>IF(AND($F25="Y",J25="N"),VLOOKUP($D25,'Rent Adjustment Worksheet'!$B:$C,2,FALSE),0)</f>
        <v>0</v>
      </c>
      <c r="M25" s="130" t="s">
        <v>115</v>
      </c>
      <c r="N25" s="54">
        <f>IF(AND($F25="N",M25="Y"),-VLOOKUP($D25,'Rent Adjustment Worksheet'!$B:$C,2,FALSE),0)</f>
        <v>0</v>
      </c>
      <c r="O25" s="56">
        <f>IF(AND($F25="Y",M25="N"),VLOOKUP($D25,'Rent Adjustment Worksheet'!$B:$C,2,FALSE),0)</f>
        <v>0</v>
      </c>
    </row>
    <row r="26" spans="2:15" x14ac:dyDescent="0.35">
      <c r="B26" s="231">
        <v>13</v>
      </c>
      <c r="C26" s="232"/>
      <c r="D26" s="233" t="s">
        <v>34</v>
      </c>
      <c r="E26" s="232"/>
      <c r="F26" s="134" t="s">
        <v>115</v>
      </c>
      <c r="G26" s="132" t="s">
        <v>115</v>
      </c>
      <c r="H26" s="54">
        <f>IF(AND($F26="N",G26="Y"),-VLOOKUP($D26,'Rent Adjustment Worksheet'!$B:$C,2,FALSE),0)</f>
        <v>0</v>
      </c>
      <c r="I26" s="128">
        <f>IF(AND($F26="Y",G26="N"),VLOOKUP($D26,'Rent Adjustment Worksheet'!$B:$C,2,FALSE),0)</f>
        <v>0</v>
      </c>
      <c r="J26" s="132" t="s">
        <v>115</v>
      </c>
      <c r="K26" s="54">
        <f>IF(AND($F26="N",J26="Y"),-VLOOKUP($D26,'Rent Adjustment Worksheet'!$B:$C,2,FALSE),0)</f>
        <v>0</v>
      </c>
      <c r="L26" s="56">
        <f>IF(AND($F26="Y",J26="N"),VLOOKUP($D26,'Rent Adjustment Worksheet'!$B:$C,2,FALSE),0)</f>
        <v>0</v>
      </c>
      <c r="M26" s="130" t="s">
        <v>115</v>
      </c>
      <c r="N26" s="54">
        <f>IF(AND($F26="N",M26="Y"),-VLOOKUP($D26,'Rent Adjustment Worksheet'!$B:$C,2,FALSE),0)</f>
        <v>0</v>
      </c>
      <c r="O26" s="56">
        <f>IF(AND($F26="Y",M26="N"),VLOOKUP($D26,'Rent Adjustment Worksheet'!$B:$C,2,FALSE),0)</f>
        <v>0</v>
      </c>
    </row>
    <row r="27" spans="2:15" x14ac:dyDescent="0.35">
      <c r="B27" s="231">
        <v>14</v>
      </c>
      <c r="C27" s="232"/>
      <c r="D27" s="233" t="s">
        <v>36</v>
      </c>
      <c r="E27" s="232"/>
      <c r="F27" s="134" t="s">
        <v>115</v>
      </c>
      <c r="G27" s="132" t="s">
        <v>115</v>
      </c>
      <c r="H27" s="54">
        <f>IF(AND($F27="N",G27="Y"),-VLOOKUP($D27,'Rent Adjustment Worksheet'!$B:$C,2,FALSE),0)</f>
        <v>0</v>
      </c>
      <c r="I27" s="128">
        <f>IF(AND($F27="Y",G27="N"),VLOOKUP($D27,'Rent Adjustment Worksheet'!$B:$C,2,FALSE),0)</f>
        <v>0</v>
      </c>
      <c r="J27" s="132" t="s">
        <v>115</v>
      </c>
      <c r="K27" s="54">
        <f>IF(AND($F27="N",J27="Y"),-VLOOKUP($D27,'Rent Adjustment Worksheet'!$B:$C,2,FALSE),0)</f>
        <v>0</v>
      </c>
      <c r="L27" s="56">
        <f>IF(AND($F27="Y",J27="N"),VLOOKUP($D27,'Rent Adjustment Worksheet'!$B:$C,2,FALSE),0)</f>
        <v>0</v>
      </c>
      <c r="M27" s="130" t="s">
        <v>115</v>
      </c>
      <c r="N27" s="54">
        <f>IF(AND($F27="N",M27="Y"),-VLOOKUP($D27,'Rent Adjustment Worksheet'!$B:$C,2,FALSE),0)</f>
        <v>0</v>
      </c>
      <c r="O27" s="56">
        <f>IF(AND($F27="Y",M27="N"),VLOOKUP($D27,'Rent Adjustment Worksheet'!$B:$C,2,FALSE),0)</f>
        <v>0</v>
      </c>
    </row>
    <row r="28" spans="2:15" x14ac:dyDescent="0.35">
      <c r="B28" s="231">
        <v>15</v>
      </c>
      <c r="C28" s="232"/>
      <c r="D28" s="233" t="s">
        <v>38</v>
      </c>
      <c r="E28" s="232"/>
      <c r="F28" s="134" t="s">
        <v>115</v>
      </c>
      <c r="G28" s="132" t="s">
        <v>115</v>
      </c>
      <c r="H28" s="54">
        <f>IF(AND($F28="N",G28="Y"),-VLOOKUP($D28,'Rent Adjustment Worksheet'!$B:$C,2,FALSE),0)</f>
        <v>0</v>
      </c>
      <c r="I28" s="128">
        <f>IF(AND($F28="Y",G28="N"),VLOOKUP($D28,'Rent Adjustment Worksheet'!$B:$C,2,FALSE),0)</f>
        <v>0</v>
      </c>
      <c r="J28" s="132" t="s">
        <v>115</v>
      </c>
      <c r="K28" s="54">
        <f>IF(AND($F28="N",J28="Y"),-VLOOKUP($D28,'Rent Adjustment Worksheet'!$B:$C,2,FALSE),0)</f>
        <v>0</v>
      </c>
      <c r="L28" s="56">
        <f>IF(AND($F28="Y",J28="N"),VLOOKUP($D28,'Rent Adjustment Worksheet'!$B:$C,2,FALSE),0)</f>
        <v>0</v>
      </c>
      <c r="M28" s="130" t="s">
        <v>115</v>
      </c>
      <c r="N28" s="54">
        <f>IF(AND($F28="N",M28="Y"),-VLOOKUP($D28,'Rent Adjustment Worksheet'!$B:$C,2,FALSE),0)</f>
        <v>0</v>
      </c>
      <c r="O28" s="56">
        <f>IF(AND($F28="Y",M28="N"),VLOOKUP($D28,'Rent Adjustment Worksheet'!$B:$C,2,FALSE),0)</f>
        <v>0</v>
      </c>
    </row>
    <row r="29" spans="2:15" x14ac:dyDescent="0.35">
      <c r="B29" s="231">
        <v>16</v>
      </c>
      <c r="C29" s="232"/>
      <c r="D29" s="233" t="s">
        <v>39</v>
      </c>
      <c r="E29" s="232"/>
      <c r="F29" s="134" t="s">
        <v>115</v>
      </c>
      <c r="G29" s="132" t="s">
        <v>115</v>
      </c>
      <c r="H29" s="54">
        <f>IF(AND($F29="N",G29="Y"),-VLOOKUP($D29,'Rent Adjustment Worksheet'!$B:$C,2,FALSE),0)</f>
        <v>0</v>
      </c>
      <c r="I29" s="128">
        <f>IF(AND($F29="Y",G29="N"),VLOOKUP($D29,'Rent Adjustment Worksheet'!$B:$C,2,FALSE),0)</f>
        <v>0</v>
      </c>
      <c r="J29" s="132" t="s">
        <v>115</v>
      </c>
      <c r="K29" s="54">
        <f>IF(AND($F29="N",J29="Y"),-VLOOKUP($D29,'Rent Adjustment Worksheet'!$B:$C,2,FALSE),0)</f>
        <v>0</v>
      </c>
      <c r="L29" s="56">
        <f>IF(AND($F29="Y",J29="N"),VLOOKUP($D29,'Rent Adjustment Worksheet'!$B:$C,2,FALSE),0)</f>
        <v>0</v>
      </c>
      <c r="M29" s="130" t="s">
        <v>115</v>
      </c>
      <c r="N29" s="54">
        <f>IF(AND($F29="N",M29="Y"),-VLOOKUP($D29,'Rent Adjustment Worksheet'!$B:$C,2,FALSE),0)</f>
        <v>0</v>
      </c>
      <c r="O29" s="56">
        <f>IF(AND($F29="Y",M29="N"),VLOOKUP($D29,'Rent Adjustment Worksheet'!$B:$C,2,FALSE),0)</f>
        <v>0</v>
      </c>
    </row>
    <row r="30" spans="2:15" x14ac:dyDescent="0.35">
      <c r="B30" s="231">
        <v>17</v>
      </c>
      <c r="C30" s="232"/>
      <c r="D30" s="233" t="s">
        <v>41</v>
      </c>
      <c r="E30" s="232"/>
      <c r="F30" s="134" t="s">
        <v>115</v>
      </c>
      <c r="G30" s="132" t="s">
        <v>115</v>
      </c>
      <c r="H30" s="54">
        <f>IF(AND($F30="N",G30="Y"),-VLOOKUP($D30,'Rent Adjustment Worksheet'!$B:$C,2,FALSE),0)</f>
        <v>0</v>
      </c>
      <c r="I30" s="128">
        <f>IF(AND($F30="Y",G30="N"),VLOOKUP($D30,'Rent Adjustment Worksheet'!$B:$C,2,FALSE),0)</f>
        <v>0</v>
      </c>
      <c r="J30" s="132" t="s">
        <v>115</v>
      </c>
      <c r="K30" s="54">
        <f>IF(AND($F30="N",J30="Y"),-VLOOKUP($D30,'Rent Adjustment Worksheet'!$B:$C,2,FALSE),0)</f>
        <v>0</v>
      </c>
      <c r="L30" s="56">
        <f>IF(AND($F30="Y",J30="N"),VLOOKUP($D30,'Rent Adjustment Worksheet'!$B:$C,2,FALSE),0)</f>
        <v>0</v>
      </c>
      <c r="M30" s="130" t="s">
        <v>115</v>
      </c>
      <c r="N30" s="54">
        <f>IF(AND($F30="N",M30="Y"),-VLOOKUP($D30,'Rent Adjustment Worksheet'!$B:$C,2,FALSE),0)</f>
        <v>0</v>
      </c>
      <c r="O30" s="56">
        <f>IF(AND($F30="Y",M30="N"),VLOOKUP($D30,'Rent Adjustment Worksheet'!$B:$C,2,FALSE),0)</f>
        <v>0</v>
      </c>
    </row>
    <row r="31" spans="2:15" x14ac:dyDescent="0.35">
      <c r="B31" s="231">
        <v>18</v>
      </c>
      <c r="C31" s="232"/>
      <c r="D31" s="233" t="s">
        <v>43</v>
      </c>
      <c r="E31" s="232"/>
      <c r="F31" s="134" t="s">
        <v>115</v>
      </c>
      <c r="G31" s="132" t="s">
        <v>115</v>
      </c>
      <c r="H31" s="54">
        <f>IF(AND($F31="N",G31="Y"),-VLOOKUP($D31,'Rent Adjustment Worksheet'!$B:$C,2,FALSE),0)</f>
        <v>0</v>
      </c>
      <c r="I31" s="128">
        <f>IF(AND($F31="Y",G31="N"),VLOOKUP($D31,'Rent Adjustment Worksheet'!$B:$C,2,FALSE),0)</f>
        <v>0</v>
      </c>
      <c r="J31" s="132" t="s">
        <v>115</v>
      </c>
      <c r="K31" s="54">
        <f>IF(AND($F31="N",J31="Y"),-VLOOKUP($D31,'Rent Adjustment Worksheet'!$B:$C,2,FALSE),0)</f>
        <v>0</v>
      </c>
      <c r="L31" s="56">
        <f>IF(AND($F31="Y",J31="N"),VLOOKUP($D31,'Rent Adjustment Worksheet'!$B:$C,2,FALSE),0)</f>
        <v>0</v>
      </c>
      <c r="M31" s="130" t="s">
        <v>115</v>
      </c>
      <c r="N31" s="54">
        <f>IF(AND($F31="N",M31="Y"),-VLOOKUP($D31,'Rent Adjustment Worksheet'!$B:$C,2,FALSE),0)</f>
        <v>0</v>
      </c>
      <c r="O31" s="56">
        <f>IF(AND($F31="Y",M31="N"),VLOOKUP($D31,'Rent Adjustment Worksheet'!$B:$C,2,FALSE),0)</f>
        <v>0</v>
      </c>
    </row>
    <row r="32" spans="2:15" x14ac:dyDescent="0.35">
      <c r="B32" s="238" t="s">
        <v>120</v>
      </c>
      <c r="C32" s="239"/>
      <c r="D32" s="239"/>
      <c r="E32" s="239"/>
      <c r="F32" s="239"/>
      <c r="G32" s="239"/>
      <c r="H32" s="239"/>
      <c r="I32" s="239"/>
      <c r="J32" s="239"/>
      <c r="K32" s="239"/>
      <c r="L32" s="239"/>
      <c r="M32" s="239"/>
      <c r="N32" s="239"/>
      <c r="O32" s="240"/>
    </row>
    <row r="33" spans="2:15" x14ac:dyDescent="0.35">
      <c r="B33" s="231">
        <v>19</v>
      </c>
      <c r="C33" s="232"/>
      <c r="D33" s="233" t="s">
        <v>122</v>
      </c>
      <c r="E33" s="232"/>
      <c r="F33" s="134" t="s">
        <v>115</v>
      </c>
      <c r="G33" s="132" t="s">
        <v>115</v>
      </c>
      <c r="H33" s="54">
        <f>IF(AND($F33="N",G33="Y"),-VLOOKUP($D33,'Rent Adjustment Worksheet'!$B:$C,2,FALSE),0)</f>
        <v>0</v>
      </c>
      <c r="I33" s="56">
        <f>IF(AND($F33="Y",G33="N"),VLOOKUP($D33,'Rent Adjustment Worksheet'!$B:$C,2,FALSE),0)</f>
        <v>0</v>
      </c>
      <c r="J33" s="130" t="s">
        <v>115</v>
      </c>
      <c r="K33" s="54">
        <f>IF(AND($F33="N",J33="Y"),-VLOOKUP($D33,'Rent Adjustment Worksheet'!$B:$C,2,FALSE),0)</f>
        <v>0</v>
      </c>
      <c r="L33" s="128">
        <f>IF(AND($F33="Y",J33="N"),VLOOKUP($D33,'Rent Adjustment Worksheet'!$B:$C,2,FALSE),0)</f>
        <v>0</v>
      </c>
      <c r="M33" s="132" t="s">
        <v>115</v>
      </c>
      <c r="N33" s="54">
        <f>IF(AND($F33="N",M33="Y"),-VLOOKUP($D33,'Rent Adjustment Worksheet'!$B:$C,2,FALSE),0)</f>
        <v>0</v>
      </c>
      <c r="O33" s="56">
        <f>IF(AND($F33="Y",M33="N"),VLOOKUP($D33,'Rent Adjustment Worksheet'!$B:$C,2,FALSE),0)</f>
        <v>0</v>
      </c>
    </row>
    <row r="34" spans="2:15" x14ac:dyDescent="0.35">
      <c r="B34" s="231">
        <v>20</v>
      </c>
      <c r="C34" s="232"/>
      <c r="D34" s="233" t="s">
        <v>68</v>
      </c>
      <c r="E34" s="232"/>
      <c r="F34" s="134" t="s">
        <v>115</v>
      </c>
      <c r="G34" s="132" t="s">
        <v>115</v>
      </c>
      <c r="H34" s="54">
        <f>IF(AND($F34="N",G34="Y"),-VLOOKUP($G$6,'Utilities Worksheet'!$B$3:$G$10,3,FALSE),0)</f>
        <v>0</v>
      </c>
      <c r="I34" s="56">
        <f>IF(AND($F34="Y",G34="N"),VLOOKUP($G$6,'Utilities Worksheet'!$B$3:$G$10,3,FALSE),0)</f>
        <v>0</v>
      </c>
      <c r="J34" s="130" t="s">
        <v>115</v>
      </c>
      <c r="K34" s="54">
        <f>IF(AND($F34="N",J34="Y"),-VLOOKUP($G$6,'Utilities Worksheet'!$B$3:$G$10,3,FALSE),0)</f>
        <v>0</v>
      </c>
      <c r="L34" s="56">
        <f>IF(AND($F34="Y",J34="N"),VLOOKUP($G$6,'Utilities Worksheet'!$B$3:$G$10,3,FALSE),0)</f>
        <v>0</v>
      </c>
      <c r="M34" s="132" t="s">
        <v>115</v>
      </c>
      <c r="N34" s="54">
        <f>IF(AND($F34="N",M34="Y"),-VLOOKUP($G$6,'Utilities Worksheet'!$B$3:$G$10,3,FALSE),0)</f>
        <v>0</v>
      </c>
      <c r="O34" s="56">
        <f>IF(AND($F34="Y",M34="N"),VLOOKUP($G$6,'Utilities Worksheet'!$B$3:$G$10,3,FALSE),0)</f>
        <v>0</v>
      </c>
    </row>
    <row r="35" spans="2:15" x14ac:dyDescent="0.35">
      <c r="B35" s="231">
        <v>21</v>
      </c>
      <c r="C35" s="232"/>
      <c r="D35" s="233" t="s">
        <v>69</v>
      </c>
      <c r="E35" s="232"/>
      <c r="F35" s="134" t="s">
        <v>115</v>
      </c>
      <c r="G35" s="132" t="s">
        <v>115</v>
      </c>
      <c r="H35" s="54">
        <f>IF(AND($F35="N",G35="Y"),-VLOOKUP($G$6,'Utilities Worksheet'!$B$3:$G$10,4,FALSE),0)</f>
        <v>0</v>
      </c>
      <c r="I35" s="56">
        <f>IF(AND($F35="Y",G35="N"),VLOOKUP($G$6,'Utilities Worksheet'!$B$3:$G$10,4,FALSE),0)</f>
        <v>0</v>
      </c>
      <c r="J35" s="130" t="s">
        <v>115</v>
      </c>
      <c r="K35" s="54">
        <f>IF(AND($F35="N",J35="Y"),-VLOOKUP($G$6,'Utilities Worksheet'!$B$3:$G$10,4,FALSE),0)</f>
        <v>0</v>
      </c>
      <c r="L35" s="56">
        <f>IF(AND($F35="Y",J35="N"),VLOOKUP($G$6,'Utilities Worksheet'!$B$3:$G$10,4,FALSE),0)</f>
        <v>0</v>
      </c>
      <c r="M35" s="132" t="s">
        <v>115</v>
      </c>
      <c r="N35" s="54">
        <f>IF(AND($F35="N",M35="Y"),-VLOOKUP($G$6,'Utilities Worksheet'!$B$3:$G$10,4,FALSE),0)</f>
        <v>0</v>
      </c>
      <c r="O35" s="56">
        <f>IF(AND($F35="Y",M35="N"),VLOOKUP($G$6,'Utilities Worksheet'!$B$3:$G$10,4,FALSE),0)</f>
        <v>0</v>
      </c>
    </row>
    <row r="36" spans="2:15" x14ac:dyDescent="0.35">
      <c r="B36" s="231">
        <v>22</v>
      </c>
      <c r="C36" s="232"/>
      <c r="D36" s="233" t="s">
        <v>70</v>
      </c>
      <c r="E36" s="232"/>
      <c r="F36" s="134" t="s">
        <v>115</v>
      </c>
      <c r="G36" s="132" t="s">
        <v>115</v>
      </c>
      <c r="H36" s="54">
        <f>IF(AND($F36="N",G36="Y"),-VLOOKUP($G$6,'Utilities Worksheet'!$B$3:$G$10,5,FALSE),0)</f>
        <v>0</v>
      </c>
      <c r="I36" s="56">
        <f>IF(AND($F36="Y",G36="N"),VLOOKUP($G$6,'Utilities Worksheet'!$B$3:$G$10,5,FALSE),0)</f>
        <v>0</v>
      </c>
      <c r="J36" s="130" t="s">
        <v>115</v>
      </c>
      <c r="K36" s="54">
        <f>IF(AND($F36="N",J36="Y"),-VLOOKUP($G$6,'Utilities Worksheet'!$B$3:$G$10,5,FALSE),0)</f>
        <v>0</v>
      </c>
      <c r="L36" s="56">
        <f>IF(AND($F36="Y",J36="N"),VLOOKUP($G$6,'Utilities Worksheet'!$B$3:$G$10,5,FALSE),0)</f>
        <v>0</v>
      </c>
      <c r="M36" s="132" t="s">
        <v>115</v>
      </c>
      <c r="N36" s="54">
        <f>IF(AND($F36="N",M36="Y"),-VLOOKUP($G$6,'Utilities Worksheet'!$B$3:$G$10,5,FALSE),0)</f>
        <v>0</v>
      </c>
      <c r="O36" s="56">
        <f>IF(AND($F36="Y",M36="N"),VLOOKUP($G$6,'Utilities Worksheet'!$B$3:$G$10,5,FALSE),0)</f>
        <v>0</v>
      </c>
    </row>
    <row r="37" spans="2:15" x14ac:dyDescent="0.35">
      <c r="B37" s="231">
        <v>23</v>
      </c>
      <c r="C37" s="232"/>
      <c r="D37" s="233" t="s">
        <v>71</v>
      </c>
      <c r="E37" s="232"/>
      <c r="F37" s="134" t="s">
        <v>115</v>
      </c>
      <c r="G37" s="132" t="s">
        <v>115</v>
      </c>
      <c r="H37" s="54">
        <f>IF(AND($F37="N",G37="Y"),-VLOOKUP($G$6,'Utilities Worksheet'!$B$3:$G$10,6,FALSE),0)</f>
        <v>0</v>
      </c>
      <c r="I37" s="56">
        <f>IF(AND($F37="Y",G37="N"),VLOOKUP($G$6,'Utilities Worksheet'!$B$3:$G$10,6,FALSE),0)</f>
        <v>0</v>
      </c>
      <c r="J37" s="130" t="s">
        <v>115</v>
      </c>
      <c r="K37" s="54">
        <f>IF(AND($F37="N",J37="Y"),-VLOOKUP($G$6,'Utilities Worksheet'!$B$3:$G$10,6,FALSE),0)</f>
        <v>0</v>
      </c>
      <c r="L37" s="56">
        <f>IF(AND($F37="Y",J37="N"),VLOOKUP($G$6,'Utilities Worksheet'!$B$3:$G$10,6,FALSE),0)</f>
        <v>0</v>
      </c>
      <c r="M37" s="132" t="s">
        <v>115</v>
      </c>
      <c r="N37" s="54">
        <f>IF(AND($F37="N",M37="Y"),-VLOOKUP($G$6,'Utilities Worksheet'!$B$3:$G$10,6,FALSE),0)</f>
        <v>0</v>
      </c>
      <c r="O37" s="56">
        <f>IF(AND($F37="Y",M37="N"),VLOOKUP($G$6,'Utilities Worksheet'!$B$3:$G$10,6,FALSE),0)</f>
        <v>0</v>
      </c>
    </row>
    <row r="38" spans="2:15" x14ac:dyDescent="0.35">
      <c r="B38" s="231">
        <v>24</v>
      </c>
      <c r="C38" s="232"/>
      <c r="D38" s="233" t="s">
        <v>47</v>
      </c>
      <c r="E38" s="232"/>
      <c r="F38" s="134" t="s">
        <v>115</v>
      </c>
      <c r="G38" s="132" t="s">
        <v>115</v>
      </c>
      <c r="H38" s="54">
        <f>IF(AND($F38="N",G38="Y"),-VLOOKUP($D38,'Rent Adjustment Worksheet'!$B:$C,2,FALSE),0)</f>
        <v>0</v>
      </c>
      <c r="I38" s="56">
        <f>IF(AND($F38="Y",G38="N"),VLOOKUP($D38,'Rent Adjustment Worksheet'!$B:$C,2,FALSE),0)</f>
        <v>0</v>
      </c>
      <c r="J38" s="130" t="s">
        <v>115</v>
      </c>
      <c r="K38" s="54">
        <f>IF(AND($F38="N",J38="Y"),-VLOOKUP($D38,'Rent Adjustment Worksheet'!$B:$C,2,FALSE),0)</f>
        <v>0</v>
      </c>
      <c r="L38" s="128">
        <f>IF(AND($F38="Y",J38="N"),VLOOKUP($D38,'Rent Adjustment Worksheet'!$B:$C,2,FALSE),0)</f>
        <v>0</v>
      </c>
      <c r="M38" s="132" t="s">
        <v>115</v>
      </c>
      <c r="N38" s="54">
        <f>IF(AND($F38="N",M38="Y"),-VLOOKUP($D38,'Rent Adjustment Worksheet'!$B:$C,2,FALSE),0)</f>
        <v>0</v>
      </c>
      <c r="O38" s="56">
        <f>IF(AND($F38="Y",M38="N"),VLOOKUP($D38,'Rent Adjustment Worksheet'!$B:$C,2,FALSE),0)</f>
        <v>0</v>
      </c>
    </row>
    <row r="39" spans="2:15" x14ac:dyDescent="0.35">
      <c r="B39" s="238" t="s">
        <v>123</v>
      </c>
      <c r="C39" s="239"/>
      <c r="D39" s="239"/>
      <c r="E39" s="239"/>
      <c r="F39" s="239"/>
      <c r="G39" s="239"/>
      <c r="H39" s="239"/>
      <c r="I39" s="239"/>
      <c r="J39" s="239"/>
      <c r="K39" s="239"/>
      <c r="L39" s="239"/>
      <c r="M39" s="239"/>
      <c r="N39" s="239"/>
      <c r="O39" s="240"/>
    </row>
    <row r="40" spans="2:15" x14ac:dyDescent="0.35">
      <c r="B40" s="231">
        <v>25</v>
      </c>
      <c r="C40" s="232"/>
      <c r="D40" s="261" t="str">
        <f>IF(OR('Rent Adjustment Worksheet'!$B25="PHA write-in (if Applicable)",'Rent Adjustment Worksheet'!$B25=""),"",'Rent Adjustment Worksheet'!$B25)</f>
        <v/>
      </c>
      <c r="E40" s="262"/>
      <c r="F40" s="134" t="s">
        <v>115</v>
      </c>
      <c r="G40" s="132" t="s">
        <v>115</v>
      </c>
      <c r="H40" s="54">
        <f>IF($D40="",0,IF(AND($F40="N",G40="Y"),-VLOOKUP($D40,'Rent Adjustment Worksheet'!$B:$C,2,FALSE),0))</f>
        <v>0</v>
      </c>
      <c r="I40" s="56">
        <f>IF($D40="",0,IF(AND($F40="Y",G40="N"),VLOOKUP($D40,'Rent Adjustment Worksheet'!$B:$C,2,FALSE),0))</f>
        <v>0</v>
      </c>
      <c r="J40" s="130" t="s">
        <v>115</v>
      </c>
      <c r="K40" s="54">
        <f>IF($D40="",0,IF(AND($F40="N",J40="Y"),-VLOOKUP($D40,'Rent Adjustment Worksheet'!$B:$C,2,FALSE),0))</f>
        <v>0</v>
      </c>
      <c r="L40" s="128">
        <f>IF($D40="",0,IF(AND($F40="Y",J40="N"),VLOOKUP($D40,'Rent Adjustment Worksheet'!$B:$C,2,FALSE),0))</f>
        <v>0</v>
      </c>
      <c r="M40" s="132" t="s">
        <v>115</v>
      </c>
      <c r="N40" s="54">
        <f>IF($D40="",0,IF(AND($F40="N",M40="Y"),-VLOOKUP($D40,'Rent Adjustment Worksheet'!$B:$C,2,FALSE),0))</f>
        <v>0</v>
      </c>
      <c r="O40" s="56">
        <f>IF($D40="",0,IF(AND($F40="Y",M40="N"),VLOOKUP($D40,'Rent Adjustment Worksheet'!$B:$C,2,FALSE),0))</f>
        <v>0</v>
      </c>
    </row>
    <row r="41" spans="2:15" x14ac:dyDescent="0.35">
      <c r="B41" s="231">
        <v>26</v>
      </c>
      <c r="C41" s="232"/>
      <c r="D41" s="261" t="str">
        <f>IF(OR('Rent Adjustment Worksheet'!$B26="PHA write-in (if Applicable)",'Rent Adjustment Worksheet'!$B26=""),"",'Rent Adjustment Worksheet'!$B26)</f>
        <v/>
      </c>
      <c r="E41" s="262"/>
      <c r="F41" s="134" t="s">
        <v>115</v>
      </c>
      <c r="G41" s="132" t="s">
        <v>115</v>
      </c>
      <c r="H41" s="54">
        <f>IF($D41="",0,IF(AND($F41="N",G41="Y"),-VLOOKUP($D41,'Rent Adjustment Worksheet'!$B:$C,2,FALSE),0))</f>
        <v>0</v>
      </c>
      <c r="I41" s="56">
        <f>IF($D41="",0,IF(AND($F41="Y",G41="N"),VLOOKUP($D41,'Rent Adjustment Worksheet'!$B:$C,2,FALSE),0))</f>
        <v>0</v>
      </c>
      <c r="J41" s="130" t="s">
        <v>115</v>
      </c>
      <c r="K41" s="54">
        <f>IF($D41="",0,IF(AND($F41="N",J41="Y"),-VLOOKUP($D41,'Rent Adjustment Worksheet'!$B:$C,2,FALSE),0))</f>
        <v>0</v>
      </c>
      <c r="L41" s="128">
        <f>IF($D41="",0,IF(AND($F41="Y",J41="N"),VLOOKUP($D41,'Rent Adjustment Worksheet'!$B:$C,2,FALSE),0))</f>
        <v>0</v>
      </c>
      <c r="M41" s="132" t="s">
        <v>115</v>
      </c>
      <c r="N41" s="54">
        <f>IF($D41="",0,IF(AND($F41="N",M41="Y"),-VLOOKUP($D41,'Rent Adjustment Worksheet'!$B:$C,2,FALSE),0))</f>
        <v>0</v>
      </c>
      <c r="O41" s="56">
        <f>IF($D41="",0,IF(AND($F41="Y",M41="N"),VLOOKUP($D41,'Rent Adjustment Worksheet'!$B:$C,2,FALSE),0))</f>
        <v>0</v>
      </c>
    </row>
    <row r="42" spans="2:15" x14ac:dyDescent="0.35">
      <c r="B42" s="231">
        <v>27</v>
      </c>
      <c r="C42" s="232"/>
      <c r="D42" s="261" t="str">
        <f>IF(OR('Rent Adjustment Worksheet'!$B27="PHA write-in (if Applicable)",'Rent Adjustment Worksheet'!$B27=""),"",'Rent Adjustment Worksheet'!$B27)</f>
        <v/>
      </c>
      <c r="E42" s="262"/>
      <c r="F42" s="134" t="s">
        <v>115</v>
      </c>
      <c r="G42" s="132" t="s">
        <v>115</v>
      </c>
      <c r="H42" s="54">
        <f>IF($D42="",0,IF(AND($F42="N",G42="Y"),-VLOOKUP($D42,'Rent Adjustment Worksheet'!$B:$C,2,FALSE),0))</f>
        <v>0</v>
      </c>
      <c r="I42" s="56">
        <f>IF($D42="",0,IF(AND($F42="Y",G42="N"),VLOOKUP($D42,'Rent Adjustment Worksheet'!$B:$C,2,FALSE),0))</f>
        <v>0</v>
      </c>
      <c r="J42" s="130" t="s">
        <v>115</v>
      </c>
      <c r="K42" s="54">
        <f>IF($D42="",0,IF(AND($F42="N",J42="Y"),-VLOOKUP($D42,'Rent Adjustment Worksheet'!$B:$C,2,FALSE),0))</f>
        <v>0</v>
      </c>
      <c r="L42" s="128">
        <f>IF($D42="",0,IF(AND($F42="Y",J42="N"),VLOOKUP($D42,'Rent Adjustment Worksheet'!$B:$C,2,FALSE),0))</f>
        <v>0</v>
      </c>
      <c r="M42" s="132" t="s">
        <v>115</v>
      </c>
      <c r="N42" s="54">
        <f>IF($D42="",0,IF(AND($F42="N",M42="Y"),-VLOOKUP($D42,'Rent Adjustment Worksheet'!$B:$C,2,FALSE),0))</f>
        <v>0</v>
      </c>
      <c r="O42" s="56">
        <f>IF($D42="",0,IF(AND($F42="Y",M42="N"),VLOOKUP($D42,'Rent Adjustment Worksheet'!$B:$C,2,FALSE),0))</f>
        <v>0</v>
      </c>
    </row>
    <row r="43" spans="2:15" x14ac:dyDescent="0.35">
      <c r="B43" s="231">
        <v>28</v>
      </c>
      <c r="C43" s="232"/>
      <c r="D43" s="261" t="str">
        <f>IF(OR('Rent Adjustment Worksheet'!$B28="PHA write-in (if Applicable)",'Rent Adjustment Worksheet'!$B28=""),"",'Rent Adjustment Worksheet'!$B28)</f>
        <v/>
      </c>
      <c r="E43" s="262"/>
      <c r="F43" s="134" t="s">
        <v>115</v>
      </c>
      <c r="G43" s="132" t="s">
        <v>115</v>
      </c>
      <c r="H43" s="54">
        <f>IF($D43="",0,IF(AND($F43="N",G43="Y"),-VLOOKUP($D43,'Rent Adjustment Worksheet'!$B:$C,2,FALSE),0))</f>
        <v>0</v>
      </c>
      <c r="I43" s="56">
        <f>IF($D43="",0,IF(AND($F43="Y",G43="N"),VLOOKUP($D43,'Rent Adjustment Worksheet'!$B:$C,2,FALSE),0))</f>
        <v>0</v>
      </c>
      <c r="J43" s="130" t="s">
        <v>115</v>
      </c>
      <c r="K43" s="54">
        <f>IF($D43="",0,IF(AND($F43="N",J43="Y"),-VLOOKUP($D43,'Rent Adjustment Worksheet'!$B:$C,2,FALSE),0))</f>
        <v>0</v>
      </c>
      <c r="L43" s="128">
        <f>IF($D43="",0,IF(AND($F43="Y",J43="N"),VLOOKUP($D43,'Rent Adjustment Worksheet'!$B:$C,2,FALSE),0))</f>
        <v>0</v>
      </c>
      <c r="M43" s="132" t="s">
        <v>115</v>
      </c>
      <c r="N43" s="54">
        <f>IF($D43="",0,IF(AND($F43="N",M43="Y"),-VLOOKUP($D43,'Rent Adjustment Worksheet'!$B:$C,2,FALSE),0))</f>
        <v>0</v>
      </c>
      <c r="O43" s="56">
        <f>IF($D43="",0,IF(AND($F43="Y",M43="N"),VLOOKUP($D43,'Rent Adjustment Worksheet'!$B:$C,2,FALSE),0))</f>
        <v>0</v>
      </c>
    </row>
    <row r="44" spans="2:15" x14ac:dyDescent="0.35">
      <c r="B44" s="231">
        <v>29</v>
      </c>
      <c r="C44" s="232"/>
      <c r="D44" s="261" t="str">
        <f>IF(OR('Rent Adjustment Worksheet'!$B29="PHA write-in (if Applicable)",'Rent Adjustment Worksheet'!$B29=""),"",'Rent Adjustment Worksheet'!$B29)</f>
        <v/>
      </c>
      <c r="E44" s="262"/>
      <c r="F44" s="134" t="s">
        <v>115</v>
      </c>
      <c r="G44" s="132" t="s">
        <v>115</v>
      </c>
      <c r="H44" s="54">
        <f>IF($D44="",0,IF(AND($F44="N",G44="Y"),-VLOOKUP($D44,'Rent Adjustment Worksheet'!$B:$C,2,FALSE),0))</f>
        <v>0</v>
      </c>
      <c r="I44" s="56">
        <f>IF($D44="",0,IF(AND($F44="Y",G44="N"),VLOOKUP($D44,'Rent Adjustment Worksheet'!$B:$C,2,FALSE),0))</f>
        <v>0</v>
      </c>
      <c r="J44" s="130" t="s">
        <v>115</v>
      </c>
      <c r="K44" s="54">
        <f>IF($D44="",0,IF(AND($F44="N",J44="Y"),-VLOOKUP($D44,'Rent Adjustment Worksheet'!$B:$C,2,FALSE),0))</f>
        <v>0</v>
      </c>
      <c r="L44" s="128">
        <f>IF($D44="",0,IF(AND($F44="Y",J44="N"),VLOOKUP($D44,'Rent Adjustment Worksheet'!$B:$C,2,FALSE),0))</f>
        <v>0</v>
      </c>
      <c r="M44" s="132" t="s">
        <v>115</v>
      </c>
      <c r="N44" s="54">
        <f>IF($D44="",0,IF(AND($F44="N",M44="Y"),-VLOOKUP($D44,'Rent Adjustment Worksheet'!$B:$C,2,FALSE),0))</f>
        <v>0</v>
      </c>
      <c r="O44" s="56">
        <f>IF($D44="",0,IF(AND($F44="Y",M44="N"),VLOOKUP($D44,'Rent Adjustment Worksheet'!$B:$C,2,FALSE),0))</f>
        <v>0</v>
      </c>
    </row>
    <row r="45" spans="2:15" x14ac:dyDescent="0.35">
      <c r="B45" s="238" t="s">
        <v>124</v>
      </c>
      <c r="C45" s="239"/>
      <c r="D45" s="239"/>
      <c r="E45" s="239"/>
      <c r="F45" s="239"/>
      <c r="G45" s="239"/>
      <c r="H45" s="239"/>
      <c r="I45" s="239"/>
      <c r="J45" s="239"/>
      <c r="K45" s="239"/>
      <c r="L45" s="239"/>
      <c r="M45" s="239"/>
      <c r="N45" s="239"/>
      <c r="O45" s="240"/>
    </row>
    <row r="46" spans="2:15" x14ac:dyDescent="0.35">
      <c r="B46" s="231">
        <v>30</v>
      </c>
      <c r="C46" s="232"/>
      <c r="D46" s="233" t="s">
        <v>125</v>
      </c>
      <c r="E46" s="232"/>
      <c r="F46" s="52"/>
      <c r="G46" s="139" t="str">
        <f>IF(ISNUMBER(G10)=FALSE,"",G10)</f>
        <v/>
      </c>
      <c r="H46" s="54"/>
      <c r="I46" s="128"/>
      <c r="J46" s="139" t="str">
        <f>IF(ISNUMBER(J10)=FALSE,"",J10)</f>
        <v/>
      </c>
      <c r="K46" s="54"/>
      <c r="L46" s="128"/>
      <c r="M46" s="139" t="str">
        <f>IF(ISNUMBER(M10)=FALSE,"",M10)</f>
        <v/>
      </c>
      <c r="N46" s="54"/>
      <c r="O46" s="56"/>
    </row>
    <row r="47" spans="2:15" x14ac:dyDescent="0.35">
      <c r="B47" s="231">
        <v>31</v>
      </c>
      <c r="C47" s="232"/>
      <c r="D47" s="233" t="s">
        <v>126</v>
      </c>
      <c r="E47" s="232"/>
      <c r="F47" s="52"/>
      <c r="G47" s="57" t="str">
        <f>IF(G46="","",SUM(H47:I47))</f>
        <v/>
      </c>
      <c r="H47" s="58" t="str">
        <f>IF(G46="","",SUM(H16:H44))</f>
        <v/>
      </c>
      <c r="I47" s="137" t="str">
        <f>IF(G46="","",SUM(I16:I44))</f>
        <v/>
      </c>
      <c r="J47" s="140" t="str">
        <f>IF(J46="","",SUM(K47:L47))</f>
        <v/>
      </c>
      <c r="K47" s="58" t="str">
        <f>IF(J46="","",SUM(K16:K44))</f>
        <v/>
      </c>
      <c r="L47" s="137" t="str">
        <f>IF(J46="","",SUM(L16:L44))</f>
        <v/>
      </c>
      <c r="M47" s="140" t="str">
        <f>IF(M46="","",SUM(N47:O47))</f>
        <v/>
      </c>
      <c r="N47" s="58" t="str">
        <f>IF(M46="","",SUM(N16:N44))</f>
        <v/>
      </c>
      <c r="O47" s="59" t="str">
        <f>IF(M46="","",SUM(O16:O44))</f>
        <v/>
      </c>
    </row>
    <row r="48" spans="2:15" x14ac:dyDescent="0.35">
      <c r="B48" s="231">
        <v>32</v>
      </c>
      <c r="C48" s="232"/>
      <c r="D48" s="233" t="s">
        <v>127</v>
      </c>
      <c r="E48" s="232"/>
      <c r="F48" s="52"/>
      <c r="G48" s="57" t="str">
        <f>IF(G46="","",SUM(G46,G47))</f>
        <v/>
      </c>
      <c r="H48" s="61"/>
      <c r="I48" s="138"/>
      <c r="J48" s="140" t="str">
        <f>IF(J46="","",SUM(J46,J47))</f>
        <v/>
      </c>
      <c r="K48" s="61"/>
      <c r="L48" s="138"/>
      <c r="M48" s="140" t="str">
        <f>IF(M46="","",SUM(M46,M47))</f>
        <v/>
      </c>
      <c r="N48" s="61"/>
      <c r="O48" s="63"/>
    </row>
    <row r="49" spans="2:15" x14ac:dyDescent="0.35">
      <c r="B49" s="231">
        <v>33</v>
      </c>
      <c r="C49" s="232"/>
      <c r="D49" s="233" t="s">
        <v>128</v>
      </c>
      <c r="E49" s="232"/>
      <c r="F49" s="102" t="str">
        <f>IFERROR(AVERAGE(G48:M48),"")</f>
        <v/>
      </c>
      <c r="G49" s="101"/>
      <c r="H49" s="65"/>
      <c r="I49" s="66"/>
      <c r="J49" s="64"/>
      <c r="K49" s="65"/>
      <c r="L49" s="66"/>
      <c r="M49" s="64"/>
      <c r="N49" s="65"/>
      <c r="O49" s="67"/>
    </row>
    <row r="50" spans="2:15" x14ac:dyDescent="0.35">
      <c r="B50" s="231">
        <v>34</v>
      </c>
      <c r="C50" s="232"/>
      <c r="D50" s="233" t="s">
        <v>129</v>
      </c>
      <c r="E50" s="232"/>
      <c r="F50" s="143"/>
      <c r="G50" s="91"/>
      <c r="H50" s="92"/>
      <c r="I50" s="92"/>
      <c r="J50" s="64"/>
      <c r="K50" s="65"/>
      <c r="L50" s="66"/>
      <c r="M50" s="64"/>
      <c r="N50" s="65"/>
      <c r="O50" s="67"/>
    </row>
    <row r="51" spans="2:15" ht="15" thickBot="1" x14ac:dyDescent="0.4">
      <c r="B51" s="231">
        <v>35</v>
      </c>
      <c r="C51" s="232"/>
      <c r="D51" s="278" t="s">
        <v>162</v>
      </c>
      <c r="E51" s="279"/>
      <c r="F51" s="144"/>
      <c r="G51" s="91"/>
      <c r="H51" s="92"/>
      <c r="I51" s="64"/>
      <c r="J51" s="64"/>
      <c r="K51" s="65"/>
      <c r="L51" s="66"/>
      <c r="M51" s="64"/>
      <c r="N51" s="65"/>
      <c r="O51" s="67"/>
    </row>
    <row r="52" spans="2:15" s="21" customFormat="1" ht="42" customHeight="1" x14ac:dyDescent="0.35">
      <c r="B52" s="280" t="s">
        <v>131</v>
      </c>
      <c r="C52" s="281"/>
      <c r="D52" s="281"/>
      <c r="E52" s="281"/>
      <c r="F52" s="281"/>
      <c r="G52" s="281"/>
      <c r="H52" s="281"/>
      <c r="I52" s="281"/>
      <c r="J52" s="281"/>
      <c r="K52" s="281"/>
      <c r="L52" s="281"/>
      <c r="M52" s="281"/>
      <c r="N52" s="281"/>
      <c r="O52" s="282"/>
    </row>
    <row r="53" spans="2:15" ht="75" customHeight="1" x14ac:dyDescent="0.35">
      <c r="B53" s="283" t="s">
        <v>284</v>
      </c>
      <c r="C53" s="283"/>
      <c r="D53" s="283"/>
      <c r="E53" s="283"/>
      <c r="F53" s="283"/>
      <c r="G53" s="283"/>
      <c r="H53" s="283"/>
      <c r="I53" s="283"/>
      <c r="J53" s="283"/>
      <c r="K53" s="283"/>
      <c r="L53" s="283"/>
      <c r="M53" s="283"/>
      <c r="N53" s="283"/>
      <c r="O53" s="283"/>
    </row>
    <row r="54" spans="2:15" x14ac:dyDescent="0.35">
      <c r="B54" s="118"/>
      <c r="C54" s="118"/>
      <c r="D54" s="118"/>
      <c r="E54" s="118"/>
      <c r="M54" s="275" t="s">
        <v>164</v>
      </c>
      <c r="N54" s="275"/>
      <c r="O54" s="275"/>
    </row>
  </sheetData>
  <sheetProtection algorithmName="SHA-512" hashValue="D82Gb+iVAKqBhIgqtE2pKYJcnv0VJ9S6EKqdR8pTN7dqGyEVfc7IcU9rTF2MJdJENa58GavHm59ufu0fVFT6xg==" saltValue="fZxiUgeqo+KVTmilxQ7mxQ==" spinCount="100000" sheet="1" selectLockedCells="1"/>
  <protectedRanges>
    <protectedRange sqref="D12:O12" name="Section 2_2_2_1_1"/>
    <protectedRange sqref="G9:O9" name="Section 2_4_1_1"/>
    <protectedRange sqref="E9:F9" name="Section 2_1_1_1_1_1"/>
    <protectedRange sqref="G10:O10" name="Section 2_3_2_1_1_1"/>
    <protectedRange sqref="G11:O11" name="Section 2_2_1_2_1_1"/>
    <protectedRange sqref="D11:F11" name="Section 2_2_2_1_2"/>
  </protectedRanges>
  <customSheetViews>
    <customSheetView guid="{A4B793CE-738E-4476-8B1F-D42BECFCF658}" topLeftCell="A13">
      <selection activeCell="A45" sqref="A45:B52"/>
      <pageMargins left="0" right="0" top="0" bottom="0" header="0" footer="0"/>
    </customSheetView>
  </customSheetViews>
  <mergeCells count="110">
    <mergeCell ref="B39:O39"/>
    <mergeCell ref="B40:C40"/>
    <mergeCell ref="D40:E40"/>
    <mergeCell ref="B45:O45"/>
    <mergeCell ref="B46:C46"/>
    <mergeCell ref="D46:E46"/>
    <mergeCell ref="B52:O52"/>
    <mergeCell ref="M54:O54"/>
    <mergeCell ref="B30:C30"/>
    <mergeCell ref="B50:C50"/>
    <mergeCell ref="D50:E50"/>
    <mergeCell ref="B51:C51"/>
    <mergeCell ref="D51:E51"/>
    <mergeCell ref="B36:C36"/>
    <mergeCell ref="D36:E36"/>
    <mergeCell ref="D38:E38"/>
    <mergeCell ref="B41:C41"/>
    <mergeCell ref="B53:O53"/>
    <mergeCell ref="B37:C37"/>
    <mergeCell ref="D37:E37"/>
    <mergeCell ref="B38:C38"/>
    <mergeCell ref="D41:E41"/>
    <mergeCell ref="B47:C47"/>
    <mergeCell ref="D47:E47"/>
    <mergeCell ref="B21:C21"/>
    <mergeCell ref="B15:O15"/>
    <mergeCell ref="D21:E21"/>
    <mergeCell ref="B17:C17"/>
    <mergeCell ref="D17:E17"/>
    <mergeCell ref="B18:C18"/>
    <mergeCell ref="D35:E35"/>
    <mergeCell ref="D25:E25"/>
    <mergeCell ref="B35:C35"/>
    <mergeCell ref="B32:O32"/>
    <mergeCell ref="B33:C33"/>
    <mergeCell ref="D33:E33"/>
    <mergeCell ref="B34:C34"/>
    <mergeCell ref="D34:E34"/>
    <mergeCell ref="D49:E49"/>
    <mergeCell ref="B43:C43"/>
    <mergeCell ref="D43:E43"/>
    <mergeCell ref="B1:L1"/>
    <mergeCell ref="M1:O1"/>
    <mergeCell ref="E6:F6"/>
    <mergeCell ref="G6:O6"/>
    <mergeCell ref="D7:F7"/>
    <mergeCell ref="G7:I7"/>
    <mergeCell ref="J7:L7"/>
    <mergeCell ref="M7:O7"/>
    <mergeCell ref="B2:L2"/>
    <mergeCell ref="M2:O2"/>
    <mergeCell ref="B7:C14"/>
    <mergeCell ref="D10:F10"/>
    <mergeCell ref="G10:I10"/>
    <mergeCell ref="J10:L10"/>
    <mergeCell ref="M10:O10"/>
    <mergeCell ref="B5:C6"/>
    <mergeCell ref="D5:F5"/>
    <mergeCell ref="G8:I8"/>
    <mergeCell ref="M9:O9"/>
    <mergeCell ref="K13:L13"/>
    <mergeCell ref="G9:I9"/>
    <mergeCell ref="J9:L9"/>
    <mergeCell ref="D13:E14"/>
    <mergeCell ref="F13:F14"/>
    <mergeCell ref="N3:O3"/>
    <mergeCell ref="N13:O13"/>
    <mergeCell ref="E11:F11"/>
    <mergeCell ref="B42:C42"/>
    <mergeCell ref="D42:E42"/>
    <mergeCell ref="B16:C16"/>
    <mergeCell ref="D16:E16"/>
    <mergeCell ref="B22:C22"/>
    <mergeCell ref="D22:E22"/>
    <mergeCell ref="B26:C26"/>
    <mergeCell ref="D26:E26"/>
    <mergeCell ref="B27:C27"/>
    <mergeCell ref="D27:E27"/>
    <mergeCell ref="B28:C28"/>
    <mergeCell ref="D28:E28"/>
    <mergeCell ref="B23:C23"/>
    <mergeCell ref="D23:E23"/>
    <mergeCell ref="B24:C24"/>
    <mergeCell ref="D24:E24"/>
    <mergeCell ref="B25:C25"/>
    <mergeCell ref="J13:J14"/>
    <mergeCell ref="B44:C44"/>
    <mergeCell ref="D44:E44"/>
    <mergeCell ref="D30:E30"/>
    <mergeCell ref="B31:C31"/>
    <mergeCell ref="D31:E31"/>
    <mergeCell ref="B20:C20"/>
    <mergeCell ref="B49:C49"/>
    <mergeCell ref="J8:L8"/>
    <mergeCell ref="M8:O8"/>
    <mergeCell ref="E8:F8"/>
    <mergeCell ref="B48:C48"/>
    <mergeCell ref="D48:E48"/>
    <mergeCell ref="D18:E18"/>
    <mergeCell ref="B19:C19"/>
    <mergeCell ref="D19:E19"/>
    <mergeCell ref="B29:C29"/>
    <mergeCell ref="G11:I11"/>
    <mergeCell ref="J11:L11"/>
    <mergeCell ref="M11:O11"/>
    <mergeCell ref="D20:E20"/>
    <mergeCell ref="G13:G14"/>
    <mergeCell ref="H13:I13"/>
    <mergeCell ref="M13:M14"/>
    <mergeCell ref="D29:E29"/>
  </mergeCells>
  <conditionalFormatting sqref="I16:I31 I33:I38 I40:I44">
    <cfRule type="cellIs" dxfId="35" priority="3" operator="greaterThan">
      <formula>$G$10*0.25</formula>
    </cfRule>
  </conditionalFormatting>
  <conditionalFormatting sqref="L16:L31 B33:O38 L40:L44">
    <cfRule type="cellIs" dxfId="34" priority="4" operator="greaterThan">
      <formula>$J$10*0.25</formula>
    </cfRule>
  </conditionalFormatting>
  <conditionalFormatting sqref="O16:O31 O33:O38 O40:O44">
    <cfRule type="cellIs" dxfId="33" priority="5" operator="greaterThan">
      <formula>$M$10*0.25</formula>
    </cfRule>
  </conditionalFormatting>
  <conditionalFormatting sqref="N16:N31 N33:N38 N40:N44">
    <cfRule type="cellIs" dxfId="32" priority="2" operator="lessThan">
      <formula>-$M$10*0.25</formula>
    </cfRule>
  </conditionalFormatting>
  <conditionalFormatting sqref="K16:K31 K33:K38 K40:K44">
    <cfRule type="cellIs" dxfId="31" priority="1" operator="lessThan">
      <formula>-$J$10*0.25</formula>
    </cfRule>
  </conditionalFormatting>
  <conditionalFormatting sqref="H16:H31 H33:H38 H40:H44">
    <cfRule type="cellIs" dxfId="30" priority="6" operator="lessThan">
      <formula>-$G$10*0.25</formula>
    </cfRule>
  </conditionalFormatting>
  <dataValidations count="2">
    <dataValidation errorStyle="information" allowBlank="1" showInputMessage="1" showErrorMessage="1" errorTitle="Non Valid Adjustment" error="Please Select a Valid PHA Write-in adjustment." sqref="K40:L44 H40:I44 N40:O44" xr:uid="{3C41CFB0-2B5B-4B70-B3EF-F224BDECCFD5}"/>
    <dataValidation allowBlank="1" showErrorMessage="1" promptTitle="Select PHA Write-In" sqref="D40:E44" xr:uid="{79889F05-8DA1-4D42-9E83-E133E4C585B6}"/>
  </dataValidations>
  <pageMargins left="0.7" right="0.7" top="0.75" bottom="0.75" header="0.3" footer="0.3"/>
  <pageSetup scale="6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231" r:id="rId4" name="Check Box 39">
              <controlPr locked="0" defaultSize="0" autoFill="0" autoLine="0" autoPict="0">
                <anchor moveWithCells="1">
                  <from>
                    <xdr:col>7</xdr:col>
                    <xdr:colOff>203200</xdr:colOff>
                    <xdr:row>10</xdr:row>
                    <xdr:rowOff>95250</xdr:rowOff>
                  </from>
                  <to>
                    <xdr:col>7</xdr:col>
                    <xdr:colOff>533400</xdr:colOff>
                    <xdr:row>12</xdr:row>
                    <xdr:rowOff>107950</xdr:rowOff>
                  </to>
                </anchor>
              </controlPr>
            </control>
          </mc:Choice>
        </mc:AlternateContent>
        <mc:AlternateContent xmlns:mc="http://schemas.openxmlformats.org/markup-compatibility/2006">
          <mc:Choice Requires="x14">
            <control shapeId="8232" r:id="rId5" name="Check Box 40">
              <controlPr defaultSize="0" autoFill="0" autoLine="0" autoPict="0">
                <anchor moveWithCells="1">
                  <from>
                    <xdr:col>10</xdr:col>
                    <xdr:colOff>266700</xdr:colOff>
                    <xdr:row>10</xdr:row>
                    <xdr:rowOff>69850</xdr:rowOff>
                  </from>
                  <to>
                    <xdr:col>10</xdr:col>
                    <xdr:colOff>609600</xdr:colOff>
                    <xdr:row>12</xdr:row>
                    <xdr:rowOff>133350</xdr:rowOff>
                  </to>
                </anchor>
              </controlPr>
            </control>
          </mc:Choice>
        </mc:AlternateContent>
        <mc:AlternateContent xmlns:mc="http://schemas.openxmlformats.org/markup-compatibility/2006">
          <mc:Choice Requires="x14">
            <control shapeId="8233" r:id="rId6" name="Check Box 41">
              <controlPr defaultSize="0" autoFill="0" autoLine="0" autoPict="0">
                <anchor moveWithCells="1">
                  <from>
                    <xdr:col>13</xdr:col>
                    <xdr:colOff>241300</xdr:colOff>
                    <xdr:row>10</xdr:row>
                    <xdr:rowOff>95250</xdr:rowOff>
                  </from>
                  <to>
                    <xdr:col>13</xdr:col>
                    <xdr:colOff>571500</xdr:colOff>
                    <xdr:row>12</xdr:row>
                    <xdr:rowOff>107950</xdr:rowOff>
                  </to>
                </anchor>
              </controlPr>
            </control>
          </mc:Choice>
        </mc:AlternateContent>
        <mc:AlternateContent xmlns:mc="http://schemas.openxmlformats.org/markup-compatibility/2006">
          <mc:Choice Requires="x14">
            <control shapeId="8234" r:id="rId7" name="Check Box 42">
              <controlPr locked="0" defaultSize="0" autoFill="0" autoLine="0" autoPict="0">
                <anchor moveWithCells="1">
                  <from>
                    <xdr:col>7</xdr:col>
                    <xdr:colOff>203200</xdr:colOff>
                    <xdr:row>10</xdr:row>
                    <xdr:rowOff>95250</xdr:rowOff>
                  </from>
                  <to>
                    <xdr:col>7</xdr:col>
                    <xdr:colOff>533400</xdr:colOff>
                    <xdr:row>12</xdr:row>
                    <xdr:rowOff>107950</xdr:rowOff>
                  </to>
                </anchor>
              </controlPr>
            </control>
          </mc:Choice>
        </mc:AlternateContent>
        <mc:AlternateContent xmlns:mc="http://schemas.openxmlformats.org/markup-compatibility/2006">
          <mc:Choice Requires="x14">
            <control shapeId="8235" r:id="rId8" name="Check Box 43">
              <controlPr defaultSize="0" autoFill="0" autoLine="0" autoPict="0">
                <anchor moveWithCells="1">
                  <from>
                    <xdr:col>10</xdr:col>
                    <xdr:colOff>266700</xdr:colOff>
                    <xdr:row>10</xdr:row>
                    <xdr:rowOff>69850</xdr:rowOff>
                  </from>
                  <to>
                    <xdr:col>10</xdr:col>
                    <xdr:colOff>609600</xdr:colOff>
                    <xdr:row>12</xdr:row>
                    <xdr:rowOff>133350</xdr:rowOff>
                  </to>
                </anchor>
              </controlPr>
            </control>
          </mc:Choice>
        </mc:AlternateContent>
        <mc:AlternateContent xmlns:mc="http://schemas.openxmlformats.org/markup-compatibility/2006">
          <mc:Choice Requires="x14">
            <control shapeId="8236" r:id="rId9" name="Check Box 44">
              <controlPr defaultSize="0" autoFill="0" autoLine="0" autoPict="0">
                <anchor moveWithCells="1">
                  <from>
                    <xdr:col>13</xdr:col>
                    <xdr:colOff>241300</xdr:colOff>
                    <xdr:row>10</xdr:row>
                    <xdr:rowOff>95250</xdr:rowOff>
                  </from>
                  <to>
                    <xdr:col>13</xdr:col>
                    <xdr:colOff>571500</xdr:colOff>
                    <xdr:row>12</xdr:row>
                    <xdr:rowOff>107950</xdr:rowOff>
                  </to>
                </anchor>
              </controlPr>
            </control>
          </mc:Choice>
        </mc:AlternateContent>
        <mc:AlternateContent xmlns:mc="http://schemas.openxmlformats.org/markup-compatibility/2006">
          <mc:Choice Requires="x14">
            <control shapeId="8237" r:id="rId10" name="Check Box 45">
              <controlPr locked="0" defaultSize="0" autoFill="0" autoLine="0" autoPict="0">
                <anchor moveWithCells="1">
                  <from>
                    <xdr:col>7</xdr:col>
                    <xdr:colOff>203200</xdr:colOff>
                    <xdr:row>10</xdr:row>
                    <xdr:rowOff>95250</xdr:rowOff>
                  </from>
                  <to>
                    <xdr:col>7</xdr:col>
                    <xdr:colOff>533400</xdr:colOff>
                    <xdr:row>12</xdr:row>
                    <xdr:rowOff>107950</xdr:rowOff>
                  </to>
                </anchor>
              </controlPr>
            </control>
          </mc:Choice>
        </mc:AlternateContent>
        <mc:AlternateContent xmlns:mc="http://schemas.openxmlformats.org/markup-compatibility/2006">
          <mc:Choice Requires="x14">
            <control shapeId="8238" r:id="rId11" name="Check Box 46">
              <controlPr defaultSize="0" autoFill="0" autoLine="0" autoPict="0">
                <anchor moveWithCells="1">
                  <from>
                    <xdr:col>10</xdr:col>
                    <xdr:colOff>266700</xdr:colOff>
                    <xdr:row>10</xdr:row>
                    <xdr:rowOff>69850</xdr:rowOff>
                  </from>
                  <to>
                    <xdr:col>10</xdr:col>
                    <xdr:colOff>609600</xdr:colOff>
                    <xdr:row>12</xdr:row>
                    <xdr:rowOff>133350</xdr:rowOff>
                  </to>
                </anchor>
              </controlPr>
            </control>
          </mc:Choice>
        </mc:AlternateContent>
        <mc:AlternateContent xmlns:mc="http://schemas.openxmlformats.org/markup-compatibility/2006">
          <mc:Choice Requires="x14">
            <control shapeId="8239" r:id="rId12" name="Check Box 47">
              <controlPr defaultSize="0" autoFill="0" autoLine="0" autoPict="0">
                <anchor moveWithCells="1">
                  <from>
                    <xdr:col>13</xdr:col>
                    <xdr:colOff>241300</xdr:colOff>
                    <xdr:row>10</xdr:row>
                    <xdr:rowOff>95250</xdr:rowOff>
                  </from>
                  <to>
                    <xdr:col>13</xdr:col>
                    <xdr:colOff>571500</xdr:colOff>
                    <xdr:row>12</xdr:row>
                    <xdr:rowOff>107950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allowBlank="1" showInputMessage="1" showErrorMessage="1" xr:uid="{893E6D54-5670-4DC1-826C-AE514F8C2F5B}">
          <x14:formula1>
            <xm:f>DropDown!$B$2:$B$3</xm:f>
          </x14:formula1>
          <xm:sqref>F40:G44 F19:G20 F23:G31 J19:J20 J40:J44 M40:M44 M23:M31 J23:J31 M19:M20 M33:M38 J33:J38 F33:G38</xm:sqref>
        </x14:dataValidation>
        <x14:dataValidation type="list" allowBlank="1" showInputMessage="1" showErrorMessage="1" xr:uid="{C9339677-F027-4F9F-8E96-3F39863B60E5}">
          <x14:formula1>
            <xm:f>DropDown!$A$2:$A$10</xm:f>
          </x14:formula1>
          <xm:sqref>F18:G18 J18 M18</xm:sqref>
        </x14:dataValidation>
        <x14:dataValidation type="list" allowBlank="1" showInputMessage="1" showErrorMessage="1" xr:uid="{55A07B1E-5568-4D68-9FC2-C0AADEF9C2DF}">
          <x14:formula1>
            <xm:f>DropDown!$E$1:$E$3</xm:f>
          </x14:formula1>
          <xm:sqref>D51:E51</xm:sqref>
        </x14:dataValidation>
        <x14:dataValidation type="list" allowBlank="1" showInputMessage="1" showErrorMessage="1" xr:uid="{11D0AEAD-C94A-4545-B2BC-414AE6894705}">
          <x14:formula1>
            <xm:f>DropDown!$C$2:$C$4</xm:f>
          </x14:formula1>
          <xm:sqref>F22:G22 J22 M22</xm:sqref>
        </x14:dataValidation>
        <x14:dataValidation type="list" allowBlank="1" showInputMessage="1" showErrorMessage="1" xr:uid="{8E40AE97-886A-45D7-B690-1D0282562990}">
          <x14:formula1>
            <xm:f>DropDown!$F$1:$F$6</xm:f>
          </x14:formula1>
          <xm:sqref>G11:O11 E11</xm:sqref>
        </x14:dataValidation>
        <x14:dataValidation type="list" allowBlank="1" showInputMessage="1" showErrorMessage="1" xr:uid="{9B6B0647-4C57-4664-9434-B720DC376AA2}">
          <x14:formula1>
            <xm:f>DropDown!$H$2:$H$5</xm:f>
          </x14:formula1>
          <xm:sqref>F21:G21 J21 M21</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rgb="FFFFC000"/>
    <pageSetUpPr fitToPage="1"/>
  </sheetPr>
  <dimension ref="B1:O54"/>
  <sheetViews>
    <sheetView showGridLines="0" showRowColHeaders="0" topLeftCell="A5" zoomScale="80" zoomScaleNormal="80" workbookViewId="0">
      <selection activeCell="D5" sqref="D5:F5"/>
    </sheetView>
  </sheetViews>
  <sheetFormatPr defaultRowHeight="14.5" x14ac:dyDescent="0.35"/>
  <cols>
    <col min="1" max="1" width="5.54296875" customWidth="1"/>
    <col min="2" max="3" width="1.54296875" customWidth="1"/>
    <col min="4" max="4" width="15.1796875" style="18" customWidth="1"/>
    <col min="5" max="5" width="20.1796875" style="18" customWidth="1"/>
    <col min="6" max="6" width="14.1796875" style="1" customWidth="1"/>
    <col min="7" max="7" width="10" style="1" customWidth="1"/>
    <col min="8" max="9" width="10" customWidth="1"/>
    <col min="10" max="10" width="10" style="1" customWidth="1"/>
    <col min="11" max="12" width="10" customWidth="1"/>
    <col min="13" max="13" width="10" style="1" customWidth="1"/>
    <col min="14" max="15" width="10" customWidth="1"/>
  </cols>
  <sheetData>
    <row r="1" spans="2:15" x14ac:dyDescent="0.35">
      <c r="B1" s="211" t="s">
        <v>88</v>
      </c>
      <c r="C1" s="211"/>
      <c r="D1" s="211"/>
      <c r="E1" s="211"/>
      <c r="F1" s="211"/>
      <c r="G1" s="211"/>
      <c r="H1" s="211"/>
      <c r="I1" s="211"/>
      <c r="J1" s="211"/>
      <c r="K1" s="211"/>
      <c r="L1" s="211"/>
      <c r="M1" s="212" t="s">
        <v>141</v>
      </c>
      <c r="N1" s="212"/>
      <c r="O1" s="212"/>
    </row>
    <row r="2" spans="2:15" x14ac:dyDescent="0.35">
      <c r="B2" s="213" t="s">
        <v>89</v>
      </c>
      <c r="C2" s="213"/>
      <c r="D2" s="213"/>
      <c r="E2" s="213"/>
      <c r="F2" s="213"/>
      <c r="G2" s="213"/>
      <c r="H2" s="213"/>
      <c r="I2" s="213"/>
      <c r="J2" s="213"/>
      <c r="K2" s="213"/>
      <c r="L2" s="213"/>
      <c r="M2" s="303" t="s">
        <v>142</v>
      </c>
      <c r="N2" s="303"/>
      <c r="O2" s="303"/>
    </row>
    <row r="3" spans="2:15" x14ac:dyDescent="0.35">
      <c r="B3" s="117" t="s">
        <v>90</v>
      </c>
      <c r="C3" s="117"/>
      <c r="D3" s="117"/>
      <c r="E3" s="117"/>
      <c r="F3" s="117"/>
      <c r="G3" s="117"/>
      <c r="H3" s="117"/>
      <c r="I3" s="117"/>
      <c r="J3" s="117"/>
      <c r="K3" s="117"/>
      <c r="L3" s="117"/>
      <c r="M3" s="117"/>
      <c r="N3" s="212" t="s">
        <v>143</v>
      </c>
      <c r="O3" s="212"/>
    </row>
    <row r="4" spans="2:15" ht="15" thickBot="1" x14ac:dyDescent="0.4">
      <c r="B4" s="117"/>
      <c r="D4" s="117"/>
      <c r="E4" s="117"/>
      <c r="F4" s="117"/>
      <c r="G4" s="117"/>
      <c r="H4" s="117"/>
      <c r="I4" s="117"/>
      <c r="J4" s="117"/>
      <c r="K4" s="117"/>
      <c r="L4" s="117"/>
      <c r="M4" s="117"/>
      <c r="N4" s="195"/>
      <c r="O4" s="195"/>
    </row>
    <row r="5" spans="2:15" x14ac:dyDescent="0.35">
      <c r="B5" s="304">
        <v>1</v>
      </c>
      <c r="C5" s="305"/>
      <c r="D5" s="308" t="s">
        <v>282</v>
      </c>
      <c r="E5" s="309"/>
      <c r="F5" s="310"/>
      <c r="G5" s="122"/>
      <c r="H5" s="122"/>
      <c r="I5" s="122"/>
      <c r="J5" s="122"/>
      <c r="K5" s="122"/>
      <c r="L5" s="122"/>
      <c r="M5" s="122"/>
      <c r="N5" s="122"/>
      <c r="O5" s="122"/>
    </row>
    <row r="6" spans="2:15" ht="16" thickBot="1" x14ac:dyDescent="0.4">
      <c r="B6" s="306"/>
      <c r="C6" s="307"/>
      <c r="D6" s="142" t="s">
        <v>91</v>
      </c>
      <c r="E6" s="311" t="s">
        <v>92</v>
      </c>
      <c r="F6" s="312"/>
      <c r="G6" s="313" t="s">
        <v>76</v>
      </c>
      <c r="H6" s="219"/>
      <c r="I6" s="219"/>
      <c r="J6" s="219"/>
      <c r="K6" s="219"/>
      <c r="L6" s="219"/>
      <c r="M6" s="219"/>
      <c r="N6" s="219"/>
      <c r="O6" s="219"/>
    </row>
    <row r="7" spans="2:15" x14ac:dyDescent="0.35">
      <c r="B7" s="250">
        <v>2</v>
      </c>
      <c r="C7" s="251"/>
      <c r="D7" s="284" t="s">
        <v>93</v>
      </c>
      <c r="E7" s="285"/>
      <c r="F7" s="286"/>
      <c r="G7" s="287" t="s">
        <v>94</v>
      </c>
      <c r="H7" s="258"/>
      <c r="I7" s="260"/>
      <c r="J7" s="258" t="s">
        <v>95</v>
      </c>
      <c r="K7" s="258"/>
      <c r="L7" s="258"/>
      <c r="M7" s="287" t="s">
        <v>96</v>
      </c>
      <c r="N7" s="258"/>
      <c r="O7" s="260"/>
    </row>
    <row r="8" spans="2:15" x14ac:dyDescent="0.35">
      <c r="B8" s="250"/>
      <c r="C8" s="251"/>
      <c r="D8" s="200" t="s">
        <v>97</v>
      </c>
      <c r="E8" s="220" t="s">
        <v>202</v>
      </c>
      <c r="F8" s="302"/>
      <c r="G8" s="288" t="s">
        <v>99</v>
      </c>
      <c r="H8" s="223"/>
      <c r="I8" s="224"/>
      <c r="J8" s="223" t="s">
        <v>99</v>
      </c>
      <c r="K8" s="223"/>
      <c r="L8" s="223"/>
      <c r="M8" s="288" t="s">
        <v>99</v>
      </c>
      <c r="N8" s="223"/>
      <c r="O8" s="224"/>
    </row>
    <row r="9" spans="2:15" x14ac:dyDescent="0.35">
      <c r="B9" s="250"/>
      <c r="C9" s="251"/>
      <c r="D9" s="200" t="s">
        <v>100</v>
      </c>
      <c r="E9" s="200" t="s">
        <v>101</v>
      </c>
      <c r="F9" s="204" t="s">
        <v>102</v>
      </c>
      <c r="G9" s="288" t="s">
        <v>103</v>
      </c>
      <c r="H9" s="223"/>
      <c r="I9" s="224"/>
      <c r="J9" s="223" t="s">
        <v>103</v>
      </c>
      <c r="K9" s="223"/>
      <c r="L9" s="223"/>
      <c r="M9" s="288" t="s">
        <v>103</v>
      </c>
      <c r="N9" s="223"/>
      <c r="O9" s="224"/>
    </row>
    <row r="10" spans="2:15" x14ac:dyDescent="0.35">
      <c r="B10" s="250"/>
      <c r="C10" s="251"/>
      <c r="D10" s="299" t="s">
        <v>104</v>
      </c>
      <c r="E10" s="300"/>
      <c r="F10" s="301"/>
      <c r="G10" s="289" t="s">
        <v>105</v>
      </c>
      <c r="H10" s="229"/>
      <c r="I10" s="230"/>
      <c r="J10" s="229" t="s">
        <v>105</v>
      </c>
      <c r="K10" s="229"/>
      <c r="L10" s="229"/>
      <c r="M10" s="289" t="s">
        <v>105</v>
      </c>
      <c r="N10" s="229"/>
      <c r="O10" s="230"/>
    </row>
    <row r="11" spans="2:15" x14ac:dyDescent="0.35">
      <c r="B11" s="250"/>
      <c r="C11" s="251"/>
      <c r="D11" s="186" t="s">
        <v>154</v>
      </c>
      <c r="E11" s="221" t="s">
        <v>155</v>
      </c>
      <c r="F11" s="224"/>
      <c r="G11" s="289" t="s">
        <v>155</v>
      </c>
      <c r="H11" s="229"/>
      <c r="I11" s="230"/>
      <c r="J11" s="229" t="s">
        <v>155</v>
      </c>
      <c r="K11" s="229"/>
      <c r="L11" s="229"/>
      <c r="M11" s="289" t="s">
        <v>155</v>
      </c>
      <c r="N11" s="229"/>
      <c r="O11" s="230"/>
    </row>
    <row r="12" spans="2:15" x14ac:dyDescent="0.35">
      <c r="B12" s="250"/>
      <c r="C12" s="251"/>
      <c r="D12" s="119"/>
      <c r="E12" s="120"/>
      <c r="F12" s="124" t="s">
        <v>158</v>
      </c>
      <c r="G12" s="135"/>
      <c r="H12" s="141"/>
      <c r="I12" s="202"/>
      <c r="J12" s="123"/>
      <c r="K12" s="201"/>
      <c r="L12" s="201"/>
      <c r="M12" s="135"/>
      <c r="N12" s="201"/>
      <c r="O12" s="202"/>
    </row>
    <row r="13" spans="2:15" x14ac:dyDescent="0.35">
      <c r="B13" s="250"/>
      <c r="C13" s="251"/>
      <c r="D13" s="241" t="s">
        <v>3</v>
      </c>
      <c r="E13" s="242"/>
      <c r="F13" s="292" t="s">
        <v>106</v>
      </c>
      <c r="G13" s="294" t="s">
        <v>106</v>
      </c>
      <c r="H13" s="236" t="s">
        <v>107</v>
      </c>
      <c r="I13" s="237"/>
      <c r="J13" s="296" t="s">
        <v>106</v>
      </c>
      <c r="K13" s="236" t="s">
        <v>107</v>
      </c>
      <c r="L13" s="298"/>
      <c r="M13" s="294" t="s">
        <v>106</v>
      </c>
      <c r="N13" s="236" t="s">
        <v>107</v>
      </c>
      <c r="O13" s="237"/>
    </row>
    <row r="14" spans="2:15" x14ac:dyDescent="0.35">
      <c r="B14" s="250"/>
      <c r="C14" s="251"/>
      <c r="D14" s="290"/>
      <c r="E14" s="291"/>
      <c r="F14" s="293"/>
      <c r="G14" s="295"/>
      <c r="H14" s="16" t="s">
        <v>108</v>
      </c>
      <c r="I14" s="50" t="s">
        <v>109</v>
      </c>
      <c r="J14" s="297"/>
      <c r="K14" s="125" t="s">
        <v>108</v>
      </c>
      <c r="L14" s="136" t="s">
        <v>109</v>
      </c>
      <c r="M14" s="295"/>
      <c r="N14" s="16" t="s">
        <v>108</v>
      </c>
      <c r="O14" s="50" t="s">
        <v>109</v>
      </c>
    </row>
    <row r="15" spans="2:15" x14ac:dyDescent="0.35">
      <c r="B15" s="238" t="s">
        <v>110</v>
      </c>
      <c r="C15" s="239"/>
      <c r="D15" s="239"/>
      <c r="E15" s="239"/>
      <c r="F15" s="239"/>
      <c r="G15" s="239"/>
      <c r="H15" s="239"/>
      <c r="I15" s="239"/>
      <c r="J15" s="239"/>
      <c r="K15" s="239"/>
      <c r="L15" s="239"/>
      <c r="M15" s="239"/>
      <c r="N15" s="239"/>
      <c r="O15" s="240"/>
    </row>
    <row r="16" spans="2:15" x14ac:dyDescent="0.35">
      <c r="B16" s="231">
        <v>3</v>
      </c>
      <c r="C16" s="232"/>
      <c r="D16" s="233" t="s">
        <v>111</v>
      </c>
      <c r="E16" s="232"/>
      <c r="F16" s="133">
        <v>0</v>
      </c>
      <c r="G16" s="131">
        <v>0</v>
      </c>
      <c r="H16" s="11">
        <f>IF(G16="","",-IF(G16&gt;$F16,((G16-$F16)*'Rent Adjustment Worksheet'!$C$3),0))</f>
        <v>0</v>
      </c>
      <c r="I16" s="127">
        <f>IF(G16="","",IFERROR(-IF(G16&gt;$F16,0,((G16-$F16)*'Rent Adjustment Worksheet'!$C$3)),0))</f>
        <v>0</v>
      </c>
      <c r="J16" s="131">
        <v>0</v>
      </c>
      <c r="K16" s="11">
        <f>IF(J16="","",-IF(J16&gt;$F16,((J16-$F16)*'Rent Adjustment Worksheet'!$C$3),0))</f>
        <v>0</v>
      </c>
      <c r="L16" s="90">
        <f>IF(J16="","",IFERROR(-IF(J16&gt;$F16,0,((J16-$F16)*'Rent Adjustment Worksheet'!$C$3)),0))</f>
        <v>0</v>
      </c>
      <c r="M16" s="129">
        <v>0</v>
      </c>
      <c r="N16" s="11">
        <f>IF(M16="","",-IF(M16&gt;$F16,((M16-$F16)*'Rent Adjustment Worksheet'!$C$3),0))</f>
        <v>0</v>
      </c>
      <c r="O16" s="90">
        <f>IF(M16="","",IFERROR(-IF(M16&gt;$F16,0,((M16-$F16)*'Rent Adjustment Worksheet'!$C$3)),0))</f>
        <v>0</v>
      </c>
    </row>
    <row r="17" spans="2:15" x14ac:dyDescent="0.35">
      <c r="B17" s="231">
        <v>4</v>
      </c>
      <c r="C17" s="232"/>
      <c r="D17" s="233" t="s">
        <v>113</v>
      </c>
      <c r="E17" s="232"/>
      <c r="F17" s="134">
        <v>0</v>
      </c>
      <c r="G17" s="132">
        <v>0</v>
      </c>
      <c r="H17" s="54">
        <f>IF(G17="","",IFERROR(-IF($G$17&gt;$F$17,($G$17-$F$17)*VLOOKUP($D17,'Rent Adjustment Worksheet'!$A:$C,3,0)/10),0))</f>
        <v>0</v>
      </c>
      <c r="I17" s="128">
        <f>IF(G17="","",IFERROR(-IF($G$17&gt;$F$17,0,($G$17-$F$17)*VLOOKUP($D17,'Rent Adjustment Worksheet'!$A:$C,3,0)/10),0))</f>
        <v>0</v>
      </c>
      <c r="J17" s="132">
        <v>0</v>
      </c>
      <c r="K17" s="54">
        <f>IF(J17="","",IFERROR(-IF($J$17&gt;$F$17,($J$17-$F$17)*VLOOKUP($D17,'Rent Adjustment Worksheet'!$A:$C,3,0)/10),0))</f>
        <v>0</v>
      </c>
      <c r="L17" s="56">
        <f>IF(J17="","",IFERROR(-IF($J$17&gt;$F$17,0,($J$17-$F$17)*VLOOKUP($D17,'Rent Adjustment Worksheet'!$A:$C,3,0)/10),0))</f>
        <v>0</v>
      </c>
      <c r="M17" s="130">
        <v>0</v>
      </c>
      <c r="N17" s="54">
        <f>IF(M17="","",IFERROR(-IF($M$17&gt;$F$17,($M$17-$F$17)*VLOOKUP($D17,'Rent Adjustment Worksheet'!$A:$C,3,0)/10),0))</f>
        <v>0</v>
      </c>
      <c r="O17" s="56">
        <f>IF(M17="","",IFERROR(-IF($M$17&gt;$F$17,0,($M$17-$F$17)*VLOOKUP($D17,'Rent Adjustment Worksheet'!$A:$C,3,0)/10),0))</f>
        <v>0</v>
      </c>
    </row>
    <row r="18" spans="2:15" x14ac:dyDescent="0.35">
      <c r="B18" s="231">
        <v>5</v>
      </c>
      <c r="C18" s="232"/>
      <c r="D18" s="233" t="s">
        <v>114</v>
      </c>
      <c r="E18" s="232"/>
      <c r="F18" s="133">
        <v>0</v>
      </c>
      <c r="G18" s="131">
        <v>0</v>
      </c>
      <c r="H18" s="54">
        <f>-IF($G$18&gt;$F$18, VLOOKUP(($G$18-$F$18),'Rent Adjustment Worksheet'!$J:$K,2,FALSE), 0)</f>
        <v>0</v>
      </c>
      <c r="I18" s="128">
        <f>IF($G$18&lt;$F$18, VLOOKUP(($F$18-$G$18),'Rent Adjustment Worksheet'!$J:$K,2,FALSE), 0)</f>
        <v>0</v>
      </c>
      <c r="J18" s="131">
        <v>0</v>
      </c>
      <c r="K18" s="54">
        <f>-IF($J$18&gt;$F$18, VLOOKUP(($J$18-$F$18),'Rent Adjustment Worksheet'!$J:$K,2,FALSE), 0)</f>
        <v>0</v>
      </c>
      <c r="L18" s="56">
        <f>IF($J$18&lt;$F$18, VLOOKUP(($F$18-$J$18),'Rent Adjustment Worksheet'!$J:$K,2,FALSE), 0)</f>
        <v>0</v>
      </c>
      <c r="M18" s="129">
        <v>0</v>
      </c>
      <c r="N18" s="54">
        <f>-IF($M$18&gt;$F$18, VLOOKUP(($M$18-$F$18),'Rent Adjustment Worksheet'!$J:$K,2,FALSE), 0)</f>
        <v>0</v>
      </c>
      <c r="O18" s="56">
        <f>IF($M$18&lt;$F$18, VLOOKUP(($F$18-$M$18),'Rent Adjustment Worksheet'!$J:$K,2,FALSE), 0)</f>
        <v>0</v>
      </c>
    </row>
    <row r="19" spans="2:15" x14ac:dyDescent="0.35">
      <c r="B19" s="231">
        <v>6</v>
      </c>
      <c r="C19" s="232"/>
      <c r="D19" s="233" t="s">
        <v>15</v>
      </c>
      <c r="E19" s="232"/>
      <c r="F19" s="134" t="s">
        <v>115</v>
      </c>
      <c r="G19" s="132" t="s">
        <v>115</v>
      </c>
      <c r="H19" s="54">
        <f>IF(AND($F19="N",G19="Y"),-VLOOKUP($D19,'Rent Adjustment Worksheet'!$B:$C,2,FALSE),0)</f>
        <v>0</v>
      </c>
      <c r="I19" s="128">
        <f>IF(AND($F19="Y",G19="N"),VLOOKUP($D19,'Rent Adjustment Worksheet'!$B:$C,2,FALSE),0)</f>
        <v>0</v>
      </c>
      <c r="J19" s="132" t="s">
        <v>115</v>
      </c>
      <c r="K19" s="54">
        <f>IF(AND($F19="N",J19="Y"),-VLOOKUP($D19,'Rent Adjustment Worksheet'!$B:$C,2,FALSE),0)</f>
        <v>0</v>
      </c>
      <c r="L19" s="56">
        <f>IF(AND($F19="Y",J19="N"),VLOOKUP($D19,'Rent Adjustment Worksheet'!$B:$C,2,FALSE),0)</f>
        <v>0</v>
      </c>
      <c r="M19" s="130" t="s">
        <v>115</v>
      </c>
      <c r="N19" s="54">
        <f>IF(AND($F19="N",M19="Y"),-VLOOKUP($D19,'Rent Adjustment Worksheet'!$B:$C,2,FALSE),0)</f>
        <v>0</v>
      </c>
      <c r="O19" s="56">
        <f>IF(AND($F19="Y",M19="N"),VLOOKUP($D19,'Rent Adjustment Worksheet'!$B:$C,2,FALSE),0)</f>
        <v>0</v>
      </c>
    </row>
    <row r="20" spans="2:15" x14ac:dyDescent="0.35">
      <c r="B20" s="231">
        <v>7</v>
      </c>
      <c r="C20" s="232"/>
      <c r="D20" s="233" t="s">
        <v>17</v>
      </c>
      <c r="E20" s="232"/>
      <c r="F20" s="134" t="s">
        <v>115</v>
      </c>
      <c r="G20" s="132" t="s">
        <v>115</v>
      </c>
      <c r="H20" s="54">
        <f>IF(AND($F20="N",G20="Y"),-VLOOKUP($D20,'Rent Adjustment Worksheet'!$B:$C,2,FALSE),0)</f>
        <v>0</v>
      </c>
      <c r="I20" s="128">
        <f>IF(AND($F20="Y",G20="N"),VLOOKUP($D20,'Rent Adjustment Worksheet'!$B:$C,2,FALSE),0)</f>
        <v>0</v>
      </c>
      <c r="J20" s="132" t="s">
        <v>115</v>
      </c>
      <c r="K20" s="54">
        <f>IF(AND($F20="N",J20="Y"),-VLOOKUP($D20,'Rent Adjustment Worksheet'!$B:$C,2,FALSE),0)</f>
        <v>0</v>
      </c>
      <c r="L20" s="56">
        <f>IF(AND($F20="Y",J20="N"),VLOOKUP($D20,'Rent Adjustment Worksheet'!$B:$C,2,FALSE),0)</f>
        <v>0</v>
      </c>
      <c r="M20" s="130" t="s">
        <v>115</v>
      </c>
      <c r="N20" s="54">
        <f>IF(AND($F20="N",M20="Y"),-VLOOKUP($D20,'Rent Adjustment Worksheet'!$B:$C,2,FALSE),0)</f>
        <v>0</v>
      </c>
      <c r="O20" s="56">
        <f>IF(AND($F20="Y",M20="N"),VLOOKUP($D20,'Rent Adjustment Worksheet'!$B:$C,2,FALSE),0)</f>
        <v>0</v>
      </c>
    </row>
    <row r="21" spans="2:15" x14ac:dyDescent="0.35">
      <c r="B21" s="231">
        <v>8</v>
      </c>
      <c r="C21" s="232"/>
      <c r="D21" s="233" t="s">
        <v>159</v>
      </c>
      <c r="E21" s="232"/>
      <c r="F21" s="134" t="s">
        <v>118</v>
      </c>
      <c r="G21" s="132" t="s">
        <v>118</v>
      </c>
      <c r="H21" s="54">
        <f>SUMIFS(Laundry!$F:$F,Laundry!$A:$A,$G$6,Laundry!$B:$B,$G$7)</f>
        <v>0</v>
      </c>
      <c r="I21" s="56">
        <f>SUMIFS(Laundry!$G:$G,Laundry!$A:$A,$G$6,Laundry!$B:$B,$G$7)</f>
        <v>0</v>
      </c>
      <c r="J21" s="134" t="s">
        <v>118</v>
      </c>
      <c r="K21" s="54">
        <f>SUMIFS(Laundry!$F:$F,Laundry!$A:$A,$G$6,Laundry!$B:$B,$J$7)</f>
        <v>0</v>
      </c>
      <c r="L21" s="56">
        <f>SUMIFS(Laundry!$G:$G,Laundry!$A:$A,$G$6,Laundry!$B:$B,$J$7)</f>
        <v>0</v>
      </c>
      <c r="M21" s="134" t="s">
        <v>118</v>
      </c>
      <c r="N21" s="54">
        <f>SUMIFS(Laundry!$F:$F,Laundry!$A:$A,$G$6,Laundry!$B:$B,$M$7)</f>
        <v>0</v>
      </c>
      <c r="O21" s="56">
        <f>SUMIFS(Laundry!$G:$G,Laundry!$A:$A,$G$6,Laundry!$B:$B,$M$7)</f>
        <v>0</v>
      </c>
    </row>
    <row r="22" spans="2:15" x14ac:dyDescent="0.35">
      <c r="B22" s="231">
        <v>9</v>
      </c>
      <c r="C22" s="232"/>
      <c r="D22" s="233" t="s">
        <v>117</v>
      </c>
      <c r="E22" s="232"/>
      <c r="F22" s="134" t="s">
        <v>118</v>
      </c>
      <c r="G22" s="132" t="s">
        <v>118</v>
      </c>
      <c r="H22" s="54">
        <f>SUMIFS(AC!$F:$F,AC!$A:$A,$G$6,AC!$B:$B,$G$7)</f>
        <v>0</v>
      </c>
      <c r="I22" s="56">
        <f>SUMIFS(AC!$G:$G,AC!$A:$A,$G$6,AC!$B:$B,$G$7)</f>
        <v>0</v>
      </c>
      <c r="J22" s="132" t="s">
        <v>118</v>
      </c>
      <c r="K22" s="54">
        <f>SUMIFS(AC!$F:$F,AC!$A:$A,$G$6,AC!$B:$B,$J$7)</f>
        <v>0</v>
      </c>
      <c r="L22" s="56">
        <f>SUMIFS(AC!$G:$G,AC!$A:$A,$G$6,AC!$B:$B,$J$7)</f>
        <v>0</v>
      </c>
      <c r="M22" s="130" t="s">
        <v>118</v>
      </c>
      <c r="N22" s="54">
        <f>SUMIFS(AC!$F:$F,AC!$A:$A,$G$6,AC!$B:$B,$M$7)</f>
        <v>0</v>
      </c>
      <c r="O22" s="56">
        <f>SUMIFS(AC!$G:$G,AC!$A:$A,$G$6,AC!$B:$B,$M$7)</f>
        <v>0</v>
      </c>
    </row>
    <row r="23" spans="2:15" x14ac:dyDescent="0.35">
      <c r="B23" s="231">
        <v>10</v>
      </c>
      <c r="C23" s="232"/>
      <c r="D23" s="233" t="s">
        <v>28</v>
      </c>
      <c r="E23" s="232"/>
      <c r="F23" s="134" t="s">
        <v>115</v>
      </c>
      <c r="G23" s="132" t="s">
        <v>115</v>
      </c>
      <c r="H23" s="54">
        <f>IF(AND($F23="N",G23="Y"),-VLOOKUP($D23,'Rent Adjustment Worksheet'!$B:$C,2,FALSE),0)</f>
        <v>0</v>
      </c>
      <c r="I23" s="128">
        <f>IF(AND($F23="Y",G23="N"),VLOOKUP($D23,'Rent Adjustment Worksheet'!$B:$C,2,FALSE),0)</f>
        <v>0</v>
      </c>
      <c r="J23" s="132" t="s">
        <v>115</v>
      </c>
      <c r="K23" s="54">
        <f>IF(AND($F23="N",J23="Y"),-VLOOKUP($D23,'Rent Adjustment Worksheet'!$B:$C,2,FALSE),0)</f>
        <v>0</v>
      </c>
      <c r="L23" s="56">
        <f>IF(AND($F23="Y",J23="N"),VLOOKUP($D23,'Rent Adjustment Worksheet'!$B:$C,2,FALSE),0)</f>
        <v>0</v>
      </c>
      <c r="M23" s="130" t="s">
        <v>115</v>
      </c>
      <c r="N23" s="54">
        <f>IF(AND($F23="N",M23="Y"),-VLOOKUP($D23,'Rent Adjustment Worksheet'!$B:$C,2,FALSE),0)</f>
        <v>0</v>
      </c>
      <c r="O23" s="56">
        <f>IF(AND($F23="Y",M23="N"),VLOOKUP($D23,'Rent Adjustment Worksheet'!$B:$C,2,FALSE),0)</f>
        <v>0</v>
      </c>
    </row>
    <row r="24" spans="2:15" x14ac:dyDescent="0.35">
      <c r="B24" s="231">
        <v>11</v>
      </c>
      <c r="C24" s="232"/>
      <c r="D24" s="233" t="s">
        <v>119</v>
      </c>
      <c r="E24" s="232"/>
      <c r="F24" s="134" t="s">
        <v>115</v>
      </c>
      <c r="G24" s="132" t="s">
        <v>115</v>
      </c>
      <c r="H24" s="54">
        <f>IF(AND($F24="N",G24="Y"),-VLOOKUP($D24,'Rent Adjustment Worksheet'!$B:$C,2,FALSE),0)</f>
        <v>0</v>
      </c>
      <c r="I24" s="128">
        <f>IF(AND($F24="Y",G24="N"),VLOOKUP($D24,'Rent Adjustment Worksheet'!$B:$C,2,FALSE),0)</f>
        <v>0</v>
      </c>
      <c r="J24" s="132" t="s">
        <v>115</v>
      </c>
      <c r="K24" s="54">
        <f>IF(AND($F24="N",J24="Y"),-VLOOKUP($D24,'Rent Adjustment Worksheet'!$B:$C,2,FALSE),0)</f>
        <v>0</v>
      </c>
      <c r="L24" s="56">
        <f>IF(AND($F24="Y",J24="N"),VLOOKUP($D24,'Rent Adjustment Worksheet'!$B:$C,2,FALSE),0)</f>
        <v>0</v>
      </c>
      <c r="M24" s="130" t="s">
        <v>115</v>
      </c>
      <c r="N24" s="54">
        <f>IF(AND($F24="N",M24="Y"),-VLOOKUP($D24,'Rent Adjustment Worksheet'!$B:$C,2,FALSE),0)</f>
        <v>0</v>
      </c>
      <c r="O24" s="56">
        <f>IF(AND($F24="Y",M24="N"),VLOOKUP($D24,'Rent Adjustment Worksheet'!$B:$C,2,FALSE),0)</f>
        <v>0</v>
      </c>
    </row>
    <row r="25" spans="2:15" x14ac:dyDescent="0.35">
      <c r="B25" s="231">
        <v>12</v>
      </c>
      <c r="C25" s="232"/>
      <c r="D25" s="233" t="s">
        <v>32</v>
      </c>
      <c r="E25" s="232"/>
      <c r="F25" s="134" t="s">
        <v>115</v>
      </c>
      <c r="G25" s="132" t="s">
        <v>115</v>
      </c>
      <c r="H25" s="54">
        <f>IF(AND($F25="N",G25="Y"),-VLOOKUP($D25,'Rent Adjustment Worksheet'!$B:$C,2,FALSE),0)</f>
        <v>0</v>
      </c>
      <c r="I25" s="128">
        <f>IF(AND($F25="Y",G25="N"),VLOOKUP($D25,'Rent Adjustment Worksheet'!$B:$C,2,FALSE),0)</f>
        <v>0</v>
      </c>
      <c r="J25" s="132" t="s">
        <v>115</v>
      </c>
      <c r="K25" s="54">
        <f>IF(AND($F25="N",J25="Y"),-VLOOKUP($D25,'Rent Adjustment Worksheet'!$B:$C,2,FALSE),0)</f>
        <v>0</v>
      </c>
      <c r="L25" s="56">
        <f>IF(AND($F25="Y",J25="N"),VLOOKUP($D25,'Rent Adjustment Worksheet'!$B:$C,2,FALSE),0)</f>
        <v>0</v>
      </c>
      <c r="M25" s="130" t="s">
        <v>115</v>
      </c>
      <c r="N25" s="54">
        <f>IF(AND($F25="N",M25="Y"),-VLOOKUP($D25,'Rent Adjustment Worksheet'!$B:$C,2,FALSE),0)</f>
        <v>0</v>
      </c>
      <c r="O25" s="56">
        <f>IF(AND($F25="Y",M25="N"),VLOOKUP($D25,'Rent Adjustment Worksheet'!$B:$C,2,FALSE),0)</f>
        <v>0</v>
      </c>
    </row>
    <row r="26" spans="2:15" x14ac:dyDescent="0.35">
      <c r="B26" s="231">
        <v>13</v>
      </c>
      <c r="C26" s="232"/>
      <c r="D26" s="233" t="s">
        <v>34</v>
      </c>
      <c r="E26" s="232"/>
      <c r="F26" s="134" t="s">
        <v>115</v>
      </c>
      <c r="G26" s="132" t="s">
        <v>115</v>
      </c>
      <c r="H26" s="54">
        <f>IF(AND($F26="N",G26="Y"),-VLOOKUP($D26,'Rent Adjustment Worksheet'!$B:$C,2,FALSE),0)</f>
        <v>0</v>
      </c>
      <c r="I26" s="128">
        <f>IF(AND($F26="Y",G26="N"),VLOOKUP($D26,'Rent Adjustment Worksheet'!$B:$C,2,FALSE),0)</f>
        <v>0</v>
      </c>
      <c r="J26" s="132" t="s">
        <v>115</v>
      </c>
      <c r="K26" s="54">
        <f>IF(AND($F26="N",J26="Y"),-VLOOKUP($D26,'Rent Adjustment Worksheet'!$B:$C,2,FALSE),0)</f>
        <v>0</v>
      </c>
      <c r="L26" s="56">
        <f>IF(AND($F26="Y",J26="N"),VLOOKUP($D26,'Rent Adjustment Worksheet'!$B:$C,2,FALSE),0)</f>
        <v>0</v>
      </c>
      <c r="M26" s="130" t="s">
        <v>115</v>
      </c>
      <c r="N26" s="54">
        <f>IF(AND($F26="N",M26="Y"),-VLOOKUP($D26,'Rent Adjustment Worksheet'!$B:$C,2,FALSE),0)</f>
        <v>0</v>
      </c>
      <c r="O26" s="56">
        <f>IF(AND($F26="Y",M26="N"),VLOOKUP($D26,'Rent Adjustment Worksheet'!$B:$C,2,FALSE),0)</f>
        <v>0</v>
      </c>
    </row>
    <row r="27" spans="2:15" x14ac:dyDescent="0.35">
      <c r="B27" s="231">
        <v>14</v>
      </c>
      <c r="C27" s="232"/>
      <c r="D27" s="233" t="s">
        <v>36</v>
      </c>
      <c r="E27" s="232"/>
      <c r="F27" s="134" t="s">
        <v>115</v>
      </c>
      <c r="G27" s="132" t="s">
        <v>115</v>
      </c>
      <c r="H27" s="54">
        <f>IF(AND($F27="N",G27="Y"),-VLOOKUP($D27,'Rent Adjustment Worksheet'!$B:$C,2,FALSE),0)</f>
        <v>0</v>
      </c>
      <c r="I27" s="128">
        <f>IF(AND($F27="Y",G27="N"),VLOOKUP($D27,'Rent Adjustment Worksheet'!$B:$C,2,FALSE),0)</f>
        <v>0</v>
      </c>
      <c r="J27" s="132" t="s">
        <v>115</v>
      </c>
      <c r="K27" s="54">
        <f>IF(AND($F27="N",J27="Y"),-VLOOKUP($D27,'Rent Adjustment Worksheet'!$B:$C,2,FALSE),0)</f>
        <v>0</v>
      </c>
      <c r="L27" s="56">
        <f>IF(AND($F27="Y",J27="N"),VLOOKUP($D27,'Rent Adjustment Worksheet'!$B:$C,2,FALSE),0)</f>
        <v>0</v>
      </c>
      <c r="M27" s="130" t="s">
        <v>115</v>
      </c>
      <c r="N27" s="54">
        <f>IF(AND($F27="N",M27="Y"),-VLOOKUP($D27,'Rent Adjustment Worksheet'!$B:$C,2,FALSE),0)</f>
        <v>0</v>
      </c>
      <c r="O27" s="56">
        <f>IF(AND($F27="Y",M27="N"),VLOOKUP($D27,'Rent Adjustment Worksheet'!$B:$C,2,FALSE),0)</f>
        <v>0</v>
      </c>
    </row>
    <row r="28" spans="2:15" x14ac:dyDescent="0.35">
      <c r="B28" s="231">
        <v>15</v>
      </c>
      <c r="C28" s="232"/>
      <c r="D28" s="233" t="s">
        <v>38</v>
      </c>
      <c r="E28" s="232"/>
      <c r="F28" s="134" t="s">
        <v>115</v>
      </c>
      <c r="G28" s="132" t="s">
        <v>115</v>
      </c>
      <c r="H28" s="54">
        <f>IF(AND($F28="N",G28="Y"),-VLOOKUP($D28,'Rent Adjustment Worksheet'!$B:$C,2,FALSE),0)</f>
        <v>0</v>
      </c>
      <c r="I28" s="128">
        <f>IF(AND($F28="Y",G28="N"),VLOOKUP($D28,'Rent Adjustment Worksheet'!$B:$C,2,FALSE),0)</f>
        <v>0</v>
      </c>
      <c r="J28" s="132" t="s">
        <v>115</v>
      </c>
      <c r="K28" s="54">
        <f>IF(AND($F28="N",J28="Y"),-VLOOKUP($D28,'Rent Adjustment Worksheet'!$B:$C,2,FALSE),0)</f>
        <v>0</v>
      </c>
      <c r="L28" s="56">
        <f>IF(AND($F28="Y",J28="N"),VLOOKUP($D28,'Rent Adjustment Worksheet'!$B:$C,2,FALSE),0)</f>
        <v>0</v>
      </c>
      <c r="M28" s="130" t="s">
        <v>115</v>
      </c>
      <c r="N28" s="54">
        <f>IF(AND($F28="N",M28="Y"),-VLOOKUP($D28,'Rent Adjustment Worksheet'!$B:$C,2,FALSE),0)</f>
        <v>0</v>
      </c>
      <c r="O28" s="56">
        <f>IF(AND($F28="Y",M28="N"),VLOOKUP($D28,'Rent Adjustment Worksheet'!$B:$C,2,FALSE),0)</f>
        <v>0</v>
      </c>
    </row>
    <row r="29" spans="2:15" x14ac:dyDescent="0.35">
      <c r="B29" s="231">
        <v>16</v>
      </c>
      <c r="C29" s="232"/>
      <c r="D29" s="233" t="s">
        <v>39</v>
      </c>
      <c r="E29" s="232"/>
      <c r="F29" s="134" t="s">
        <v>115</v>
      </c>
      <c r="G29" s="132" t="s">
        <v>115</v>
      </c>
      <c r="H29" s="54">
        <f>IF(AND($F29="N",G29="Y"),-VLOOKUP($D29,'Rent Adjustment Worksheet'!$B:$C,2,FALSE),0)</f>
        <v>0</v>
      </c>
      <c r="I29" s="128">
        <f>IF(AND($F29="Y",G29="N"),VLOOKUP($D29,'Rent Adjustment Worksheet'!$B:$C,2,FALSE),0)</f>
        <v>0</v>
      </c>
      <c r="J29" s="132" t="s">
        <v>115</v>
      </c>
      <c r="K29" s="54">
        <f>IF(AND($F29="N",J29="Y"),-VLOOKUP($D29,'Rent Adjustment Worksheet'!$B:$C,2,FALSE),0)</f>
        <v>0</v>
      </c>
      <c r="L29" s="56">
        <f>IF(AND($F29="Y",J29="N"),VLOOKUP($D29,'Rent Adjustment Worksheet'!$B:$C,2,FALSE),0)</f>
        <v>0</v>
      </c>
      <c r="M29" s="130" t="s">
        <v>115</v>
      </c>
      <c r="N29" s="54">
        <f>IF(AND($F29="N",M29="Y"),-VLOOKUP($D29,'Rent Adjustment Worksheet'!$B:$C,2,FALSE),0)</f>
        <v>0</v>
      </c>
      <c r="O29" s="56">
        <f>IF(AND($F29="Y",M29="N"),VLOOKUP($D29,'Rent Adjustment Worksheet'!$B:$C,2,FALSE),0)</f>
        <v>0</v>
      </c>
    </row>
    <row r="30" spans="2:15" x14ac:dyDescent="0.35">
      <c r="B30" s="231">
        <v>17</v>
      </c>
      <c r="C30" s="232"/>
      <c r="D30" s="233" t="s">
        <v>41</v>
      </c>
      <c r="E30" s="232"/>
      <c r="F30" s="134" t="s">
        <v>115</v>
      </c>
      <c r="G30" s="132" t="s">
        <v>115</v>
      </c>
      <c r="H30" s="54">
        <f>IF(AND($F30="N",G30="Y"),-VLOOKUP($D30,'Rent Adjustment Worksheet'!$B:$C,2,FALSE),0)</f>
        <v>0</v>
      </c>
      <c r="I30" s="128">
        <f>IF(AND($F30="Y",G30="N"),VLOOKUP($D30,'Rent Adjustment Worksheet'!$B:$C,2,FALSE),0)</f>
        <v>0</v>
      </c>
      <c r="J30" s="132" t="s">
        <v>115</v>
      </c>
      <c r="K30" s="54">
        <f>IF(AND($F30="N",J30="Y"),-VLOOKUP($D30,'Rent Adjustment Worksheet'!$B:$C,2,FALSE),0)</f>
        <v>0</v>
      </c>
      <c r="L30" s="56">
        <f>IF(AND($F30="Y",J30="N"),VLOOKUP($D30,'Rent Adjustment Worksheet'!$B:$C,2,FALSE),0)</f>
        <v>0</v>
      </c>
      <c r="M30" s="130" t="s">
        <v>115</v>
      </c>
      <c r="N30" s="54">
        <f>IF(AND($F30="N",M30="Y"),-VLOOKUP($D30,'Rent Adjustment Worksheet'!$B:$C,2,FALSE),0)</f>
        <v>0</v>
      </c>
      <c r="O30" s="56">
        <f>IF(AND($F30="Y",M30="N"),VLOOKUP($D30,'Rent Adjustment Worksheet'!$B:$C,2,FALSE),0)</f>
        <v>0</v>
      </c>
    </row>
    <row r="31" spans="2:15" x14ac:dyDescent="0.35">
      <c r="B31" s="231">
        <v>18</v>
      </c>
      <c r="C31" s="232"/>
      <c r="D31" s="233" t="s">
        <v>43</v>
      </c>
      <c r="E31" s="232"/>
      <c r="F31" s="134" t="s">
        <v>115</v>
      </c>
      <c r="G31" s="132" t="s">
        <v>115</v>
      </c>
      <c r="H31" s="54">
        <f>IF(AND($F31="N",G31="Y"),-VLOOKUP($D31,'Rent Adjustment Worksheet'!$B:$C,2,FALSE),0)</f>
        <v>0</v>
      </c>
      <c r="I31" s="128">
        <f>IF(AND($F31="Y",G31="N"),VLOOKUP($D31,'Rent Adjustment Worksheet'!$B:$C,2,FALSE),0)</f>
        <v>0</v>
      </c>
      <c r="J31" s="132" t="s">
        <v>115</v>
      </c>
      <c r="K31" s="54">
        <f>IF(AND($F31="N",J31="Y"),-VLOOKUP($D31,'Rent Adjustment Worksheet'!$B:$C,2,FALSE),0)</f>
        <v>0</v>
      </c>
      <c r="L31" s="56">
        <f>IF(AND($F31="Y",J31="N"),VLOOKUP($D31,'Rent Adjustment Worksheet'!$B:$C,2,FALSE),0)</f>
        <v>0</v>
      </c>
      <c r="M31" s="130" t="s">
        <v>115</v>
      </c>
      <c r="N31" s="54">
        <f>IF(AND($F31="N",M31="Y"),-VLOOKUP($D31,'Rent Adjustment Worksheet'!$B:$C,2,FALSE),0)</f>
        <v>0</v>
      </c>
      <c r="O31" s="56">
        <f>IF(AND($F31="Y",M31="N"),VLOOKUP($D31,'Rent Adjustment Worksheet'!$B:$C,2,FALSE),0)</f>
        <v>0</v>
      </c>
    </row>
    <row r="32" spans="2:15" x14ac:dyDescent="0.35">
      <c r="B32" s="238" t="s">
        <v>120</v>
      </c>
      <c r="C32" s="239"/>
      <c r="D32" s="239"/>
      <c r="E32" s="239"/>
      <c r="F32" s="239"/>
      <c r="G32" s="239"/>
      <c r="H32" s="239"/>
      <c r="I32" s="239"/>
      <c r="J32" s="239"/>
      <c r="K32" s="239"/>
      <c r="L32" s="239"/>
      <c r="M32" s="239"/>
      <c r="N32" s="239"/>
      <c r="O32" s="240"/>
    </row>
    <row r="33" spans="2:15" x14ac:dyDescent="0.35">
      <c r="B33" s="231">
        <v>19</v>
      </c>
      <c r="C33" s="232"/>
      <c r="D33" s="233" t="s">
        <v>122</v>
      </c>
      <c r="E33" s="232"/>
      <c r="F33" s="134" t="s">
        <v>115</v>
      </c>
      <c r="G33" s="132" t="s">
        <v>115</v>
      </c>
      <c r="H33" s="54">
        <f>IF(AND($F33="N",G33="Y"),-VLOOKUP($D33,'Rent Adjustment Worksheet'!$B:$C,2,FALSE),0)</f>
        <v>0</v>
      </c>
      <c r="I33" s="56">
        <f>IF(AND($F33="Y",G33="N"),VLOOKUP($D33,'Rent Adjustment Worksheet'!$B:$C,2,FALSE),0)</f>
        <v>0</v>
      </c>
      <c r="J33" s="130" t="s">
        <v>115</v>
      </c>
      <c r="K33" s="54">
        <f>IF(AND($F33="N",J33="Y"),-VLOOKUP($D33,'Rent Adjustment Worksheet'!$B:$C,2,FALSE),0)</f>
        <v>0</v>
      </c>
      <c r="L33" s="128">
        <f>IF(AND($F33="Y",J33="N"),VLOOKUP($D33,'Rent Adjustment Worksheet'!$B:$C,2,FALSE),0)</f>
        <v>0</v>
      </c>
      <c r="M33" s="132" t="s">
        <v>115</v>
      </c>
      <c r="N33" s="54">
        <f>IF(AND($F33="N",M33="Y"),-VLOOKUP($D33,'Rent Adjustment Worksheet'!$B:$C,2,FALSE),0)</f>
        <v>0</v>
      </c>
      <c r="O33" s="56">
        <f>IF(AND($F33="Y",M33="N"),VLOOKUP($D33,'Rent Adjustment Worksheet'!$B:$C,2,FALSE),0)</f>
        <v>0</v>
      </c>
    </row>
    <row r="34" spans="2:15" x14ac:dyDescent="0.35">
      <c r="B34" s="231">
        <v>20</v>
      </c>
      <c r="C34" s="232"/>
      <c r="D34" s="233" t="s">
        <v>68</v>
      </c>
      <c r="E34" s="232"/>
      <c r="F34" s="134" t="s">
        <v>115</v>
      </c>
      <c r="G34" s="132" t="s">
        <v>115</v>
      </c>
      <c r="H34" s="54">
        <f>IF(AND($F34="N",G34="Y"),-VLOOKUP($G$6,'Utilities Worksheet'!$B$3:$G$10,3,FALSE),0)</f>
        <v>0</v>
      </c>
      <c r="I34" s="56">
        <f>IF(AND($F34="Y",G34="N"),VLOOKUP($G$6,'Utilities Worksheet'!$B$3:$G$10,3,FALSE),0)</f>
        <v>0</v>
      </c>
      <c r="J34" s="130" t="s">
        <v>115</v>
      </c>
      <c r="K34" s="54">
        <f>IF(AND($F34="N",J34="Y"),-VLOOKUP($G$6,'Utilities Worksheet'!$B$3:$G$10,3,FALSE),0)</f>
        <v>0</v>
      </c>
      <c r="L34" s="56">
        <f>IF(AND($F34="Y",J34="N"),VLOOKUP($G$6,'Utilities Worksheet'!$B$3:$G$10,3,FALSE),0)</f>
        <v>0</v>
      </c>
      <c r="M34" s="132" t="s">
        <v>115</v>
      </c>
      <c r="N34" s="54">
        <f>IF(AND($F34="N",M34="Y"),-VLOOKUP($G$6,'Utilities Worksheet'!$B$3:$G$10,3,FALSE),0)</f>
        <v>0</v>
      </c>
      <c r="O34" s="56">
        <f>IF(AND($F34="Y",M34="N"),VLOOKUP($G$6,'Utilities Worksheet'!$B$3:$G$10,3,FALSE),0)</f>
        <v>0</v>
      </c>
    </row>
    <row r="35" spans="2:15" x14ac:dyDescent="0.35">
      <c r="B35" s="231">
        <v>21</v>
      </c>
      <c r="C35" s="232"/>
      <c r="D35" s="233" t="s">
        <v>69</v>
      </c>
      <c r="E35" s="232"/>
      <c r="F35" s="134" t="s">
        <v>115</v>
      </c>
      <c r="G35" s="132" t="s">
        <v>115</v>
      </c>
      <c r="H35" s="54">
        <f>IF(AND($F35="N",G35="Y"),-VLOOKUP($G$6,'Utilities Worksheet'!$B$3:$G$10,4,FALSE),0)</f>
        <v>0</v>
      </c>
      <c r="I35" s="56">
        <f>IF(AND($F35="Y",G35="N"),VLOOKUP($G$6,'Utilities Worksheet'!$B$3:$G$10,4,FALSE),0)</f>
        <v>0</v>
      </c>
      <c r="J35" s="130" t="s">
        <v>115</v>
      </c>
      <c r="K35" s="54">
        <f>IF(AND($F35="N",J35="Y"),-VLOOKUP($G$6,'Utilities Worksheet'!$B$3:$G$10,4,FALSE),0)</f>
        <v>0</v>
      </c>
      <c r="L35" s="56">
        <f>IF(AND($F35="Y",J35="N"),VLOOKUP($G$6,'Utilities Worksheet'!$B$3:$G$10,4,FALSE),0)</f>
        <v>0</v>
      </c>
      <c r="M35" s="132" t="s">
        <v>115</v>
      </c>
      <c r="N35" s="54">
        <f>IF(AND($F35="N",M35="Y"),-VLOOKUP($G$6,'Utilities Worksheet'!$B$3:$G$10,4,FALSE),0)</f>
        <v>0</v>
      </c>
      <c r="O35" s="56">
        <f>IF(AND($F35="Y",M35="N"),VLOOKUP($G$6,'Utilities Worksheet'!$B$3:$G$10,4,FALSE),0)</f>
        <v>0</v>
      </c>
    </row>
    <row r="36" spans="2:15" x14ac:dyDescent="0.35">
      <c r="B36" s="231">
        <v>22</v>
      </c>
      <c r="C36" s="232"/>
      <c r="D36" s="233" t="s">
        <v>70</v>
      </c>
      <c r="E36" s="232"/>
      <c r="F36" s="134" t="s">
        <v>115</v>
      </c>
      <c r="G36" s="132" t="s">
        <v>115</v>
      </c>
      <c r="H36" s="54">
        <f>IF(AND($F36="N",G36="Y"),-VLOOKUP($G$6,'Utilities Worksheet'!$B$3:$G$10,5,FALSE),0)</f>
        <v>0</v>
      </c>
      <c r="I36" s="56">
        <f>IF(AND($F36="Y",G36="N"),VLOOKUP($G$6,'Utilities Worksheet'!$B$3:$G$10,5,FALSE),0)</f>
        <v>0</v>
      </c>
      <c r="J36" s="130" t="s">
        <v>115</v>
      </c>
      <c r="K36" s="54">
        <f>IF(AND($F36="N",J36="Y"),-VLOOKUP($G$6,'Utilities Worksheet'!$B$3:$G$10,5,FALSE),0)</f>
        <v>0</v>
      </c>
      <c r="L36" s="56">
        <f>IF(AND($F36="Y",J36="N"),VLOOKUP($G$6,'Utilities Worksheet'!$B$3:$G$10,5,FALSE),0)</f>
        <v>0</v>
      </c>
      <c r="M36" s="132" t="s">
        <v>115</v>
      </c>
      <c r="N36" s="54">
        <f>IF(AND($F36="N",M36="Y"),-VLOOKUP($G$6,'Utilities Worksheet'!$B$3:$G$10,5,FALSE),0)</f>
        <v>0</v>
      </c>
      <c r="O36" s="56">
        <f>IF(AND($F36="Y",M36="N"),VLOOKUP($G$6,'Utilities Worksheet'!$B$3:$G$10,5,FALSE),0)</f>
        <v>0</v>
      </c>
    </row>
    <row r="37" spans="2:15" x14ac:dyDescent="0.35">
      <c r="B37" s="231">
        <v>23</v>
      </c>
      <c r="C37" s="232"/>
      <c r="D37" s="233" t="s">
        <v>71</v>
      </c>
      <c r="E37" s="232"/>
      <c r="F37" s="134" t="s">
        <v>115</v>
      </c>
      <c r="G37" s="132" t="s">
        <v>115</v>
      </c>
      <c r="H37" s="54">
        <f>IF(AND($F37="N",G37="Y"),-VLOOKUP($G$6,'Utilities Worksheet'!$B$3:$G$10,6,FALSE),0)</f>
        <v>0</v>
      </c>
      <c r="I37" s="56">
        <f>IF(AND($F37="Y",G37="N"),VLOOKUP($G$6,'Utilities Worksheet'!$B$3:$G$10,6,FALSE),0)</f>
        <v>0</v>
      </c>
      <c r="J37" s="130" t="s">
        <v>115</v>
      </c>
      <c r="K37" s="54">
        <f>IF(AND($F37="N",J37="Y"),-VLOOKUP($G$6,'Utilities Worksheet'!$B$3:$G$10,6,FALSE),0)</f>
        <v>0</v>
      </c>
      <c r="L37" s="56">
        <f>IF(AND($F37="Y",J37="N"),VLOOKUP($G$6,'Utilities Worksheet'!$B$3:$G$10,6,FALSE),0)</f>
        <v>0</v>
      </c>
      <c r="M37" s="132" t="s">
        <v>115</v>
      </c>
      <c r="N37" s="54">
        <f>IF(AND($F37="N",M37="Y"),-VLOOKUP($G$6,'Utilities Worksheet'!$B$3:$G$10,6,FALSE),0)</f>
        <v>0</v>
      </c>
      <c r="O37" s="56">
        <f>IF(AND($F37="Y",M37="N"),VLOOKUP($G$6,'Utilities Worksheet'!$B$3:$G$10,6,FALSE),0)</f>
        <v>0</v>
      </c>
    </row>
    <row r="38" spans="2:15" x14ac:dyDescent="0.35">
      <c r="B38" s="231">
        <v>24</v>
      </c>
      <c r="C38" s="232"/>
      <c r="D38" s="233" t="s">
        <v>47</v>
      </c>
      <c r="E38" s="232"/>
      <c r="F38" s="134" t="s">
        <v>115</v>
      </c>
      <c r="G38" s="132" t="s">
        <v>115</v>
      </c>
      <c r="H38" s="54">
        <f>IF(AND($F38="N",G38="Y"),-VLOOKUP($D38,'Rent Adjustment Worksheet'!$B:$C,2,FALSE),0)</f>
        <v>0</v>
      </c>
      <c r="I38" s="56">
        <f>IF(AND($F38="Y",G38="N"),VLOOKUP($D38,'Rent Adjustment Worksheet'!$B:$C,2,FALSE),0)</f>
        <v>0</v>
      </c>
      <c r="J38" s="130" t="s">
        <v>115</v>
      </c>
      <c r="K38" s="54">
        <f>IF(AND($F38="N",J38="Y"),-VLOOKUP($D38,'Rent Adjustment Worksheet'!$B:$C,2,FALSE),0)</f>
        <v>0</v>
      </c>
      <c r="L38" s="128">
        <f>IF(AND($F38="Y",J38="N"),VLOOKUP($D38,'Rent Adjustment Worksheet'!$B:$C,2,FALSE),0)</f>
        <v>0</v>
      </c>
      <c r="M38" s="132" t="s">
        <v>115</v>
      </c>
      <c r="N38" s="54">
        <f>IF(AND($F38="N",M38="Y"),-VLOOKUP($D38,'Rent Adjustment Worksheet'!$B:$C,2,FALSE),0)</f>
        <v>0</v>
      </c>
      <c r="O38" s="56">
        <f>IF(AND($F38="Y",M38="N"),VLOOKUP($D38,'Rent Adjustment Worksheet'!$B:$C,2,FALSE),0)</f>
        <v>0</v>
      </c>
    </row>
    <row r="39" spans="2:15" x14ac:dyDescent="0.35">
      <c r="B39" s="238" t="s">
        <v>123</v>
      </c>
      <c r="C39" s="239"/>
      <c r="D39" s="239"/>
      <c r="E39" s="239"/>
      <c r="F39" s="239"/>
      <c r="G39" s="239"/>
      <c r="H39" s="239"/>
      <c r="I39" s="239"/>
      <c r="J39" s="239"/>
      <c r="K39" s="239"/>
      <c r="L39" s="239"/>
      <c r="M39" s="239"/>
      <c r="N39" s="239"/>
      <c r="O39" s="240"/>
    </row>
    <row r="40" spans="2:15" x14ac:dyDescent="0.35">
      <c r="B40" s="231">
        <v>25</v>
      </c>
      <c r="C40" s="232"/>
      <c r="D40" s="261" t="str">
        <f>IF(OR('Rent Adjustment Worksheet'!$B25="PHA write-in (if Applicable)",'Rent Adjustment Worksheet'!$B25=""),"",'Rent Adjustment Worksheet'!$B25)</f>
        <v/>
      </c>
      <c r="E40" s="262"/>
      <c r="F40" s="134" t="s">
        <v>115</v>
      </c>
      <c r="G40" s="132" t="s">
        <v>115</v>
      </c>
      <c r="H40" s="54">
        <f>IF($D40="",0,IF(AND($F40="N",G40="Y"),-VLOOKUP($D40,'Rent Adjustment Worksheet'!$B:$C,2,FALSE),0))</f>
        <v>0</v>
      </c>
      <c r="I40" s="56">
        <f>IF($D40="",0,IF(AND($F40="Y",G40="N"),VLOOKUP($D40,'Rent Adjustment Worksheet'!$B:$C,2,FALSE),0))</f>
        <v>0</v>
      </c>
      <c r="J40" s="130" t="s">
        <v>115</v>
      </c>
      <c r="K40" s="54">
        <f>IF($D40="",0,IF(AND($F40="N",J40="Y"),-VLOOKUP($D40,'Rent Adjustment Worksheet'!$B:$C,2,FALSE),0))</f>
        <v>0</v>
      </c>
      <c r="L40" s="128">
        <f>IF($D40="",0,IF(AND($F40="Y",J40="N"),VLOOKUP($D40,'Rent Adjustment Worksheet'!$B:$C,2,FALSE),0))</f>
        <v>0</v>
      </c>
      <c r="M40" s="132" t="s">
        <v>115</v>
      </c>
      <c r="N40" s="54">
        <f>IF($D40="",0,IF(AND($F40="N",M40="Y"),-VLOOKUP($D40,'Rent Adjustment Worksheet'!$B:$C,2,FALSE),0))</f>
        <v>0</v>
      </c>
      <c r="O40" s="56">
        <f>IF($D40="",0,IF(AND($F40="Y",M40="N"),VLOOKUP($D40,'Rent Adjustment Worksheet'!$B:$C,2,FALSE),0))</f>
        <v>0</v>
      </c>
    </row>
    <row r="41" spans="2:15" x14ac:dyDescent="0.35">
      <c r="B41" s="231">
        <v>26</v>
      </c>
      <c r="C41" s="232"/>
      <c r="D41" s="261" t="str">
        <f>IF(OR('Rent Adjustment Worksheet'!$B26="PHA write-in (if Applicable)",'Rent Adjustment Worksheet'!$B26=""),"",'Rent Adjustment Worksheet'!$B26)</f>
        <v/>
      </c>
      <c r="E41" s="262"/>
      <c r="F41" s="134" t="s">
        <v>115</v>
      </c>
      <c r="G41" s="132" t="s">
        <v>115</v>
      </c>
      <c r="H41" s="54">
        <f>IF($D41="",0,IF(AND($F41="N",G41="Y"),-VLOOKUP($D41,'Rent Adjustment Worksheet'!$B:$C,2,FALSE),0))</f>
        <v>0</v>
      </c>
      <c r="I41" s="56">
        <f>IF($D41="",0,IF(AND($F41="Y",G41="N"),VLOOKUP($D41,'Rent Adjustment Worksheet'!$B:$C,2,FALSE),0))</f>
        <v>0</v>
      </c>
      <c r="J41" s="130" t="s">
        <v>115</v>
      </c>
      <c r="K41" s="54">
        <f>IF($D41="",0,IF(AND($F41="N",J41="Y"),-VLOOKUP($D41,'Rent Adjustment Worksheet'!$B:$C,2,FALSE),0))</f>
        <v>0</v>
      </c>
      <c r="L41" s="128">
        <f>IF($D41="",0,IF(AND($F41="Y",J41="N"),VLOOKUP($D41,'Rent Adjustment Worksheet'!$B:$C,2,FALSE),0))</f>
        <v>0</v>
      </c>
      <c r="M41" s="132" t="s">
        <v>115</v>
      </c>
      <c r="N41" s="54">
        <f>IF($D41="",0,IF(AND($F41="N",M41="Y"),-VLOOKUP($D41,'Rent Adjustment Worksheet'!$B:$C,2,FALSE),0))</f>
        <v>0</v>
      </c>
      <c r="O41" s="56">
        <f>IF($D41="",0,IF(AND($F41="Y",M41="N"),VLOOKUP($D41,'Rent Adjustment Worksheet'!$B:$C,2,FALSE),0))</f>
        <v>0</v>
      </c>
    </row>
    <row r="42" spans="2:15" x14ac:dyDescent="0.35">
      <c r="B42" s="231">
        <v>27</v>
      </c>
      <c r="C42" s="232"/>
      <c r="D42" s="261" t="str">
        <f>IF(OR('Rent Adjustment Worksheet'!$B27="PHA write-in (if Applicable)",'Rent Adjustment Worksheet'!$B27=""),"",'Rent Adjustment Worksheet'!$B27)</f>
        <v/>
      </c>
      <c r="E42" s="262"/>
      <c r="F42" s="134" t="s">
        <v>115</v>
      </c>
      <c r="G42" s="132" t="s">
        <v>115</v>
      </c>
      <c r="H42" s="54">
        <f>IF($D42="",0,IF(AND($F42="N",G42="Y"),-VLOOKUP($D42,'Rent Adjustment Worksheet'!$B:$C,2,FALSE),0))</f>
        <v>0</v>
      </c>
      <c r="I42" s="56">
        <f>IF($D42="",0,IF(AND($F42="Y",G42="N"),VLOOKUP($D42,'Rent Adjustment Worksheet'!$B:$C,2,FALSE),0))</f>
        <v>0</v>
      </c>
      <c r="J42" s="130" t="s">
        <v>115</v>
      </c>
      <c r="K42" s="54">
        <f>IF($D42="",0,IF(AND($F42="N",J42="Y"),-VLOOKUP($D42,'Rent Adjustment Worksheet'!$B:$C,2,FALSE),0))</f>
        <v>0</v>
      </c>
      <c r="L42" s="128">
        <f>IF($D42="",0,IF(AND($F42="Y",J42="N"),VLOOKUP($D42,'Rent Adjustment Worksheet'!$B:$C,2,FALSE),0))</f>
        <v>0</v>
      </c>
      <c r="M42" s="132" t="s">
        <v>115</v>
      </c>
      <c r="N42" s="54">
        <f>IF($D42="",0,IF(AND($F42="N",M42="Y"),-VLOOKUP($D42,'Rent Adjustment Worksheet'!$B:$C,2,FALSE),0))</f>
        <v>0</v>
      </c>
      <c r="O42" s="56">
        <f>IF($D42="",0,IF(AND($F42="Y",M42="N"),VLOOKUP($D42,'Rent Adjustment Worksheet'!$B:$C,2,FALSE),0))</f>
        <v>0</v>
      </c>
    </row>
    <row r="43" spans="2:15" x14ac:dyDescent="0.35">
      <c r="B43" s="231">
        <v>28</v>
      </c>
      <c r="C43" s="232"/>
      <c r="D43" s="261" t="str">
        <f>IF(OR('Rent Adjustment Worksheet'!$B28="PHA write-in (if Applicable)",'Rent Adjustment Worksheet'!$B28=""),"",'Rent Adjustment Worksheet'!$B28)</f>
        <v/>
      </c>
      <c r="E43" s="262"/>
      <c r="F43" s="134" t="s">
        <v>115</v>
      </c>
      <c r="G43" s="132" t="s">
        <v>115</v>
      </c>
      <c r="H43" s="54">
        <f>IF($D43="",0,IF(AND($F43="N",G43="Y"),-VLOOKUP($D43,'Rent Adjustment Worksheet'!$B:$C,2,FALSE),0))</f>
        <v>0</v>
      </c>
      <c r="I43" s="56">
        <f>IF($D43="",0,IF(AND($F43="Y",G43="N"),VLOOKUP($D43,'Rent Adjustment Worksheet'!$B:$C,2,FALSE),0))</f>
        <v>0</v>
      </c>
      <c r="J43" s="130" t="s">
        <v>115</v>
      </c>
      <c r="K43" s="54">
        <f>IF($D43="",0,IF(AND($F43="N",J43="Y"),-VLOOKUP($D43,'Rent Adjustment Worksheet'!$B:$C,2,FALSE),0))</f>
        <v>0</v>
      </c>
      <c r="L43" s="128">
        <f>IF($D43="",0,IF(AND($F43="Y",J43="N"),VLOOKUP($D43,'Rent Adjustment Worksheet'!$B:$C,2,FALSE),0))</f>
        <v>0</v>
      </c>
      <c r="M43" s="132" t="s">
        <v>115</v>
      </c>
      <c r="N43" s="54">
        <f>IF($D43="",0,IF(AND($F43="N",M43="Y"),-VLOOKUP($D43,'Rent Adjustment Worksheet'!$B:$C,2,FALSE),0))</f>
        <v>0</v>
      </c>
      <c r="O43" s="56">
        <f>IF($D43="",0,IF(AND($F43="Y",M43="N"),VLOOKUP($D43,'Rent Adjustment Worksheet'!$B:$C,2,FALSE),0))</f>
        <v>0</v>
      </c>
    </row>
    <row r="44" spans="2:15" x14ac:dyDescent="0.35">
      <c r="B44" s="231">
        <v>29</v>
      </c>
      <c r="C44" s="232"/>
      <c r="D44" s="261" t="str">
        <f>IF(OR('Rent Adjustment Worksheet'!$B29="PHA write-in (if Applicable)",'Rent Adjustment Worksheet'!$B29=""),"",'Rent Adjustment Worksheet'!$B29)</f>
        <v/>
      </c>
      <c r="E44" s="262"/>
      <c r="F44" s="134" t="s">
        <v>115</v>
      </c>
      <c r="G44" s="132" t="s">
        <v>115</v>
      </c>
      <c r="H44" s="54">
        <f>IF($D44="",0,IF(AND($F44="N",G44="Y"),-VLOOKUP($D44,'Rent Adjustment Worksheet'!$B:$C,2,FALSE),0))</f>
        <v>0</v>
      </c>
      <c r="I44" s="56">
        <f>IF($D44="",0,IF(AND($F44="Y",G44="N"),VLOOKUP($D44,'Rent Adjustment Worksheet'!$B:$C,2,FALSE),0))</f>
        <v>0</v>
      </c>
      <c r="J44" s="130" t="s">
        <v>115</v>
      </c>
      <c r="K44" s="54">
        <f>IF($D44="",0,IF(AND($F44="N",J44="Y"),-VLOOKUP($D44,'Rent Adjustment Worksheet'!$B:$C,2,FALSE),0))</f>
        <v>0</v>
      </c>
      <c r="L44" s="128">
        <f>IF($D44="",0,IF(AND($F44="Y",J44="N"),VLOOKUP($D44,'Rent Adjustment Worksheet'!$B:$C,2,FALSE),0))</f>
        <v>0</v>
      </c>
      <c r="M44" s="132" t="s">
        <v>115</v>
      </c>
      <c r="N44" s="54">
        <f>IF($D44="",0,IF(AND($F44="N",M44="Y"),-VLOOKUP($D44,'Rent Adjustment Worksheet'!$B:$C,2,FALSE),0))</f>
        <v>0</v>
      </c>
      <c r="O44" s="56">
        <f>IF($D44="",0,IF(AND($F44="Y",M44="N"),VLOOKUP($D44,'Rent Adjustment Worksheet'!$B:$C,2,FALSE),0))</f>
        <v>0</v>
      </c>
    </row>
    <row r="45" spans="2:15" x14ac:dyDescent="0.35">
      <c r="B45" s="238" t="s">
        <v>124</v>
      </c>
      <c r="C45" s="239"/>
      <c r="D45" s="239"/>
      <c r="E45" s="239"/>
      <c r="F45" s="239"/>
      <c r="G45" s="239"/>
      <c r="H45" s="239"/>
      <c r="I45" s="239"/>
      <c r="J45" s="239"/>
      <c r="K45" s="239"/>
      <c r="L45" s="239"/>
      <c r="M45" s="239"/>
      <c r="N45" s="239"/>
      <c r="O45" s="240"/>
    </row>
    <row r="46" spans="2:15" x14ac:dyDescent="0.35">
      <c r="B46" s="231">
        <v>30</v>
      </c>
      <c r="C46" s="232"/>
      <c r="D46" s="233" t="s">
        <v>125</v>
      </c>
      <c r="E46" s="232"/>
      <c r="F46" s="52"/>
      <c r="G46" s="139" t="str">
        <f>IF(ISNUMBER(G10)=FALSE,"",G10)</f>
        <v/>
      </c>
      <c r="H46" s="54"/>
      <c r="I46" s="128"/>
      <c r="J46" s="139" t="str">
        <f>IF(ISNUMBER(J10)=FALSE,"",J10)</f>
        <v/>
      </c>
      <c r="K46" s="54"/>
      <c r="L46" s="128"/>
      <c r="M46" s="139" t="str">
        <f>IF(ISNUMBER(M10)=FALSE,"",M10)</f>
        <v/>
      </c>
      <c r="N46" s="54"/>
      <c r="O46" s="56"/>
    </row>
    <row r="47" spans="2:15" x14ac:dyDescent="0.35">
      <c r="B47" s="231">
        <v>31</v>
      </c>
      <c r="C47" s="232"/>
      <c r="D47" s="233" t="s">
        <v>126</v>
      </c>
      <c r="E47" s="232"/>
      <c r="F47" s="52"/>
      <c r="G47" s="57" t="str">
        <f>IF(G46="","",SUM(H47:I47))</f>
        <v/>
      </c>
      <c r="H47" s="58" t="str">
        <f>IF(G46="","",SUM(H16:H44))</f>
        <v/>
      </c>
      <c r="I47" s="137" t="str">
        <f>IF(G46="","",SUM(I16:I44))</f>
        <v/>
      </c>
      <c r="J47" s="140" t="str">
        <f>IF(J46="","",SUM(K47:L47))</f>
        <v/>
      </c>
      <c r="K47" s="58" t="str">
        <f>IF(J46="","",SUM(K16:K44))</f>
        <v/>
      </c>
      <c r="L47" s="137" t="str">
        <f>IF(J46="","",SUM(L16:L44))</f>
        <v/>
      </c>
      <c r="M47" s="140" t="str">
        <f>IF(M46="","",SUM(N47:O47))</f>
        <v/>
      </c>
      <c r="N47" s="58" t="str">
        <f>IF(M46="","",SUM(N16:N44))</f>
        <v/>
      </c>
      <c r="O47" s="59" t="str">
        <f>IF(M46="","",SUM(O16:O44))</f>
        <v/>
      </c>
    </row>
    <row r="48" spans="2:15" x14ac:dyDescent="0.35">
      <c r="B48" s="231">
        <v>32</v>
      </c>
      <c r="C48" s="232"/>
      <c r="D48" s="233" t="s">
        <v>127</v>
      </c>
      <c r="E48" s="232"/>
      <c r="F48" s="52"/>
      <c r="G48" s="57" t="str">
        <f>IF(G46="","",SUM(G46,G47))</f>
        <v/>
      </c>
      <c r="H48" s="61"/>
      <c r="I48" s="138"/>
      <c r="J48" s="140" t="str">
        <f>IF(J46="","",SUM(J46,J47))</f>
        <v/>
      </c>
      <c r="K48" s="61"/>
      <c r="L48" s="138"/>
      <c r="M48" s="140" t="str">
        <f>IF(M46="","",SUM(M46,M47))</f>
        <v/>
      </c>
      <c r="N48" s="61"/>
      <c r="O48" s="63"/>
    </row>
    <row r="49" spans="2:15" x14ac:dyDescent="0.35">
      <c r="B49" s="231">
        <v>33</v>
      </c>
      <c r="C49" s="232"/>
      <c r="D49" s="233" t="s">
        <v>128</v>
      </c>
      <c r="E49" s="232"/>
      <c r="F49" s="102" t="str">
        <f>IFERROR(AVERAGE(G48:M48),"")</f>
        <v/>
      </c>
      <c r="G49" s="101"/>
      <c r="H49" s="65"/>
      <c r="I49" s="66"/>
      <c r="J49" s="64"/>
      <c r="K49" s="65"/>
      <c r="L49" s="66"/>
      <c r="M49" s="64"/>
      <c r="N49" s="65"/>
      <c r="O49" s="67"/>
    </row>
    <row r="50" spans="2:15" x14ac:dyDescent="0.35">
      <c r="B50" s="231">
        <v>34</v>
      </c>
      <c r="C50" s="232"/>
      <c r="D50" s="233" t="s">
        <v>129</v>
      </c>
      <c r="E50" s="232"/>
      <c r="F50" s="143"/>
      <c r="G50" s="91"/>
      <c r="H50" s="92"/>
      <c r="I50" s="92"/>
      <c r="J50" s="64"/>
      <c r="K50" s="65"/>
      <c r="L50" s="66"/>
      <c r="M50" s="64"/>
      <c r="N50" s="65"/>
      <c r="O50" s="67"/>
    </row>
    <row r="51" spans="2:15" ht="15" thickBot="1" x14ac:dyDescent="0.4">
      <c r="B51" s="231">
        <v>35</v>
      </c>
      <c r="C51" s="232"/>
      <c r="D51" s="278" t="s">
        <v>162</v>
      </c>
      <c r="E51" s="279"/>
      <c r="F51" s="144"/>
      <c r="G51" s="91"/>
      <c r="H51" s="92"/>
      <c r="I51" s="64"/>
      <c r="J51" s="64"/>
      <c r="K51" s="65"/>
      <c r="L51" s="66"/>
      <c r="M51" s="64"/>
      <c r="N51" s="65"/>
      <c r="O51" s="67"/>
    </row>
    <row r="52" spans="2:15" s="21" customFormat="1" ht="42" customHeight="1" x14ac:dyDescent="0.35">
      <c r="B52" s="280" t="s">
        <v>131</v>
      </c>
      <c r="C52" s="281"/>
      <c r="D52" s="281"/>
      <c r="E52" s="281"/>
      <c r="F52" s="281"/>
      <c r="G52" s="281"/>
      <c r="H52" s="281"/>
      <c r="I52" s="281"/>
      <c r="J52" s="281"/>
      <c r="K52" s="281"/>
      <c r="L52" s="281"/>
      <c r="M52" s="281"/>
      <c r="N52" s="281"/>
      <c r="O52" s="282"/>
    </row>
    <row r="53" spans="2:15" ht="75" customHeight="1" x14ac:dyDescent="0.35">
      <c r="B53" s="283" t="s">
        <v>284</v>
      </c>
      <c r="C53" s="283"/>
      <c r="D53" s="283"/>
      <c r="E53" s="283"/>
      <c r="F53" s="283"/>
      <c r="G53" s="283"/>
      <c r="H53" s="283"/>
      <c r="I53" s="283"/>
      <c r="J53" s="283"/>
      <c r="K53" s="283"/>
      <c r="L53" s="283"/>
      <c r="M53" s="283"/>
      <c r="N53" s="283"/>
      <c r="O53" s="283"/>
    </row>
    <row r="54" spans="2:15" x14ac:dyDescent="0.35">
      <c r="B54" s="118"/>
      <c r="C54" s="118"/>
      <c r="D54" s="118"/>
      <c r="E54" s="118"/>
      <c r="M54" s="275" t="s">
        <v>164</v>
      </c>
      <c r="N54" s="275"/>
      <c r="O54" s="275"/>
    </row>
  </sheetData>
  <sheetProtection algorithmName="SHA-512" hashValue="316rKuHaKmlt60cO01hGsfhMR1yt+K6KdxOecX2xJPHGaXhKqa6CI9iz6v3R9a82GAgmZ1H2DUvAGDReHJG/yA==" saltValue="liG/8MrlA3yemQ9Le5jalA==" spinCount="100000" sheet="1" selectLockedCells="1"/>
  <protectedRanges>
    <protectedRange sqref="D12:O12" name="Section 2_2_2_1_1"/>
    <protectedRange sqref="G9:O9" name="Section 2_4_1_1"/>
    <protectedRange sqref="E9:F9" name="Section 2_1_1_1_1_1"/>
    <protectedRange sqref="G10:O10" name="Section 2_3_2_1_1_1"/>
    <protectedRange sqref="G11:O11" name="Section 2_2_1_2_1_1"/>
    <protectedRange sqref="D11:F11" name="Section 2_2_2_1_2"/>
  </protectedRanges>
  <customSheetViews>
    <customSheetView guid="{A4B793CE-738E-4476-8B1F-D42BECFCF658}" topLeftCell="A5">
      <selection activeCell="J15" sqref="J15"/>
      <pageMargins left="0" right="0" top="0" bottom="0" header="0" footer="0"/>
      <pageSetup orientation="portrait" r:id="rId1"/>
    </customSheetView>
  </customSheetViews>
  <mergeCells count="110">
    <mergeCell ref="B46:C46"/>
    <mergeCell ref="D46:E46"/>
    <mergeCell ref="B52:O52"/>
    <mergeCell ref="M54:O54"/>
    <mergeCell ref="D31:E31"/>
    <mergeCell ref="B26:C26"/>
    <mergeCell ref="B23:C23"/>
    <mergeCell ref="B51:C51"/>
    <mergeCell ref="D51:E51"/>
    <mergeCell ref="B49:C49"/>
    <mergeCell ref="D49:E49"/>
    <mergeCell ref="B50:C50"/>
    <mergeCell ref="D50:E50"/>
    <mergeCell ref="B48:C48"/>
    <mergeCell ref="D48:E48"/>
    <mergeCell ref="B38:C38"/>
    <mergeCell ref="B37:C37"/>
    <mergeCell ref="B35:C35"/>
    <mergeCell ref="B36:C36"/>
    <mergeCell ref="D38:E38"/>
    <mergeCell ref="D35:E35"/>
    <mergeCell ref="D37:E37"/>
    <mergeCell ref="D36:E36"/>
    <mergeCell ref="B29:C29"/>
    <mergeCell ref="D29:E29"/>
    <mergeCell ref="D26:E26"/>
    <mergeCell ref="B39:O39"/>
    <mergeCell ref="B40:C40"/>
    <mergeCell ref="D40:E40"/>
    <mergeCell ref="B1:L1"/>
    <mergeCell ref="M1:O1"/>
    <mergeCell ref="E6:F6"/>
    <mergeCell ref="G6:O6"/>
    <mergeCell ref="D7:F7"/>
    <mergeCell ref="G7:I7"/>
    <mergeCell ref="J7:L7"/>
    <mergeCell ref="M7:O7"/>
    <mergeCell ref="M2:O2"/>
    <mergeCell ref="B2:L2"/>
    <mergeCell ref="B5:C6"/>
    <mergeCell ref="D5:F5"/>
    <mergeCell ref="N3:O3"/>
    <mergeCell ref="B7:C14"/>
    <mergeCell ref="D10:F10"/>
    <mergeCell ref="E11:F11"/>
    <mergeCell ref="E8:F8"/>
    <mergeCell ref="M8:O8"/>
    <mergeCell ref="G9:I9"/>
    <mergeCell ref="G8:I8"/>
    <mergeCell ref="J8:L8"/>
    <mergeCell ref="M11:O11"/>
    <mergeCell ref="G11:I11"/>
    <mergeCell ref="J11:L11"/>
    <mergeCell ref="M13:M14"/>
    <mergeCell ref="N13:O13"/>
    <mergeCell ref="D25:E25"/>
    <mergeCell ref="D18:E18"/>
    <mergeCell ref="M9:O9"/>
    <mergeCell ref="J9:L9"/>
    <mergeCell ref="D16:E16"/>
    <mergeCell ref="J10:L10"/>
    <mergeCell ref="M10:O10"/>
    <mergeCell ref="G10:I10"/>
    <mergeCell ref="D13:E14"/>
    <mergeCell ref="F13:F14"/>
    <mergeCell ref="G13:G14"/>
    <mergeCell ref="H13:I13"/>
    <mergeCell ref="J13:J14"/>
    <mergeCell ref="K13:L13"/>
    <mergeCell ref="B15:O15"/>
    <mergeCell ref="D21:E21"/>
    <mergeCell ref="D22:E22"/>
    <mergeCell ref="B24:C24"/>
    <mergeCell ref="B25:C25"/>
    <mergeCell ref="D24:E24"/>
    <mergeCell ref="B20:C20"/>
    <mergeCell ref="B16:C16"/>
    <mergeCell ref="D19:E19"/>
    <mergeCell ref="D23:E23"/>
    <mergeCell ref="B17:C17"/>
    <mergeCell ref="B18:C18"/>
    <mergeCell ref="D20:E20"/>
    <mergeCell ref="D17:E17"/>
    <mergeCell ref="B19:C19"/>
    <mergeCell ref="B21:C21"/>
    <mergeCell ref="B22:C22"/>
    <mergeCell ref="B27:C27"/>
    <mergeCell ref="B28:C28"/>
    <mergeCell ref="D27:E27"/>
    <mergeCell ref="D28:E28"/>
    <mergeCell ref="B53:O53"/>
    <mergeCell ref="B32:O32"/>
    <mergeCell ref="B33:C33"/>
    <mergeCell ref="D33:E33"/>
    <mergeCell ref="B41:C41"/>
    <mergeCell ref="D41:E41"/>
    <mergeCell ref="B47:C47"/>
    <mergeCell ref="D47:E47"/>
    <mergeCell ref="B34:C34"/>
    <mergeCell ref="D34:E34"/>
    <mergeCell ref="B43:C43"/>
    <mergeCell ref="D43:E43"/>
    <mergeCell ref="B44:C44"/>
    <mergeCell ref="D44:E44"/>
    <mergeCell ref="B42:C42"/>
    <mergeCell ref="D42:E42"/>
    <mergeCell ref="B30:C30"/>
    <mergeCell ref="D30:E30"/>
    <mergeCell ref="B31:C31"/>
    <mergeCell ref="B45:O45"/>
  </mergeCells>
  <conditionalFormatting sqref="I16:I31 I33:I38 I40:I44">
    <cfRule type="cellIs" dxfId="29" priority="3" operator="greaterThan">
      <formula>$G$10*0.25</formula>
    </cfRule>
  </conditionalFormatting>
  <conditionalFormatting sqref="L16:L31 B33:O38 L40:L44">
    <cfRule type="cellIs" dxfId="28" priority="4" operator="greaterThan">
      <formula>$J$10*0.25</formula>
    </cfRule>
  </conditionalFormatting>
  <conditionalFormatting sqref="O16:O31 O33:O38 O40:O44">
    <cfRule type="cellIs" dxfId="27" priority="5" operator="greaterThan">
      <formula>$M$10*0.25</formula>
    </cfRule>
  </conditionalFormatting>
  <conditionalFormatting sqref="N16:N31 N33:N38 N40:N44">
    <cfRule type="cellIs" dxfId="26" priority="2" operator="lessThan">
      <formula>-$M$10*0.25</formula>
    </cfRule>
  </conditionalFormatting>
  <conditionalFormatting sqref="K16:K31 K33:K38 K40:K44">
    <cfRule type="cellIs" dxfId="25" priority="1" operator="lessThan">
      <formula>-$J$10*0.25</formula>
    </cfRule>
  </conditionalFormatting>
  <conditionalFormatting sqref="H16:H31 H33:H38 H40:H44">
    <cfRule type="cellIs" dxfId="24" priority="6" operator="lessThan">
      <formula>-$G$10*0.25</formula>
    </cfRule>
  </conditionalFormatting>
  <dataValidations count="2">
    <dataValidation allowBlank="1" showErrorMessage="1" promptTitle="Select PHA Write-In" sqref="D40:E44" xr:uid="{15C9F3C2-7FB1-40C3-95B4-1BBD0FE6685F}"/>
    <dataValidation errorStyle="information" allowBlank="1" showInputMessage="1" showErrorMessage="1" errorTitle="Non Valid Adjustment" error="Please Select a Valid PHA Write-in adjustment." sqref="K40:L44 H40:I44 N40:O44" xr:uid="{6858F8AA-FDC3-4BB5-90B8-0891744D9D35}"/>
  </dataValidations>
  <pageMargins left="0.7" right="0.7" top="0.75" bottom="0.75" header="0.3" footer="0.3"/>
  <pageSetup scale="61"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9344" r:id="rId5" name="Check Box 128">
              <controlPr locked="0" defaultSize="0" autoFill="0" autoLine="0" autoPict="0">
                <anchor moveWithCells="1">
                  <from>
                    <xdr:col>7</xdr:col>
                    <xdr:colOff>203200</xdr:colOff>
                    <xdr:row>10</xdr:row>
                    <xdr:rowOff>95250</xdr:rowOff>
                  </from>
                  <to>
                    <xdr:col>7</xdr:col>
                    <xdr:colOff>533400</xdr:colOff>
                    <xdr:row>12</xdr:row>
                    <xdr:rowOff>107950</xdr:rowOff>
                  </to>
                </anchor>
              </controlPr>
            </control>
          </mc:Choice>
        </mc:AlternateContent>
        <mc:AlternateContent xmlns:mc="http://schemas.openxmlformats.org/markup-compatibility/2006">
          <mc:Choice Requires="x14">
            <control shapeId="9345" r:id="rId6" name="Check Box 129">
              <controlPr defaultSize="0" autoFill="0" autoLine="0" autoPict="0">
                <anchor moveWithCells="1">
                  <from>
                    <xdr:col>10</xdr:col>
                    <xdr:colOff>266700</xdr:colOff>
                    <xdr:row>10</xdr:row>
                    <xdr:rowOff>69850</xdr:rowOff>
                  </from>
                  <to>
                    <xdr:col>10</xdr:col>
                    <xdr:colOff>609600</xdr:colOff>
                    <xdr:row>12</xdr:row>
                    <xdr:rowOff>133350</xdr:rowOff>
                  </to>
                </anchor>
              </controlPr>
            </control>
          </mc:Choice>
        </mc:AlternateContent>
        <mc:AlternateContent xmlns:mc="http://schemas.openxmlformats.org/markup-compatibility/2006">
          <mc:Choice Requires="x14">
            <control shapeId="9346" r:id="rId7" name="Check Box 130">
              <controlPr defaultSize="0" autoFill="0" autoLine="0" autoPict="0">
                <anchor moveWithCells="1">
                  <from>
                    <xdr:col>13</xdr:col>
                    <xdr:colOff>241300</xdr:colOff>
                    <xdr:row>10</xdr:row>
                    <xdr:rowOff>95250</xdr:rowOff>
                  </from>
                  <to>
                    <xdr:col>13</xdr:col>
                    <xdr:colOff>571500</xdr:colOff>
                    <xdr:row>12</xdr:row>
                    <xdr:rowOff>107950</xdr:rowOff>
                  </to>
                </anchor>
              </controlPr>
            </control>
          </mc:Choice>
        </mc:AlternateContent>
        <mc:AlternateContent xmlns:mc="http://schemas.openxmlformats.org/markup-compatibility/2006">
          <mc:Choice Requires="x14">
            <control shapeId="9347" r:id="rId8" name="Check Box 131">
              <controlPr locked="0" defaultSize="0" autoFill="0" autoLine="0" autoPict="0">
                <anchor moveWithCells="1">
                  <from>
                    <xdr:col>7</xdr:col>
                    <xdr:colOff>203200</xdr:colOff>
                    <xdr:row>10</xdr:row>
                    <xdr:rowOff>95250</xdr:rowOff>
                  </from>
                  <to>
                    <xdr:col>7</xdr:col>
                    <xdr:colOff>533400</xdr:colOff>
                    <xdr:row>12</xdr:row>
                    <xdr:rowOff>107950</xdr:rowOff>
                  </to>
                </anchor>
              </controlPr>
            </control>
          </mc:Choice>
        </mc:AlternateContent>
        <mc:AlternateContent xmlns:mc="http://schemas.openxmlformats.org/markup-compatibility/2006">
          <mc:Choice Requires="x14">
            <control shapeId="9348" r:id="rId9" name="Check Box 132">
              <controlPr defaultSize="0" autoFill="0" autoLine="0" autoPict="0">
                <anchor moveWithCells="1">
                  <from>
                    <xdr:col>10</xdr:col>
                    <xdr:colOff>266700</xdr:colOff>
                    <xdr:row>10</xdr:row>
                    <xdr:rowOff>69850</xdr:rowOff>
                  </from>
                  <to>
                    <xdr:col>10</xdr:col>
                    <xdr:colOff>609600</xdr:colOff>
                    <xdr:row>12</xdr:row>
                    <xdr:rowOff>133350</xdr:rowOff>
                  </to>
                </anchor>
              </controlPr>
            </control>
          </mc:Choice>
        </mc:AlternateContent>
        <mc:AlternateContent xmlns:mc="http://schemas.openxmlformats.org/markup-compatibility/2006">
          <mc:Choice Requires="x14">
            <control shapeId="9349" r:id="rId10" name="Check Box 133">
              <controlPr defaultSize="0" autoFill="0" autoLine="0" autoPict="0">
                <anchor moveWithCells="1">
                  <from>
                    <xdr:col>13</xdr:col>
                    <xdr:colOff>241300</xdr:colOff>
                    <xdr:row>10</xdr:row>
                    <xdr:rowOff>95250</xdr:rowOff>
                  </from>
                  <to>
                    <xdr:col>13</xdr:col>
                    <xdr:colOff>571500</xdr:colOff>
                    <xdr:row>12</xdr:row>
                    <xdr:rowOff>107950</xdr:rowOff>
                  </to>
                </anchor>
              </controlPr>
            </control>
          </mc:Choice>
        </mc:AlternateContent>
        <mc:AlternateContent xmlns:mc="http://schemas.openxmlformats.org/markup-compatibility/2006">
          <mc:Choice Requires="x14">
            <control shapeId="9350" r:id="rId11" name="Check Box 134">
              <controlPr locked="0" defaultSize="0" autoFill="0" autoLine="0" autoPict="0">
                <anchor moveWithCells="1">
                  <from>
                    <xdr:col>7</xdr:col>
                    <xdr:colOff>203200</xdr:colOff>
                    <xdr:row>10</xdr:row>
                    <xdr:rowOff>95250</xdr:rowOff>
                  </from>
                  <to>
                    <xdr:col>7</xdr:col>
                    <xdr:colOff>533400</xdr:colOff>
                    <xdr:row>12</xdr:row>
                    <xdr:rowOff>107950</xdr:rowOff>
                  </to>
                </anchor>
              </controlPr>
            </control>
          </mc:Choice>
        </mc:AlternateContent>
        <mc:AlternateContent xmlns:mc="http://schemas.openxmlformats.org/markup-compatibility/2006">
          <mc:Choice Requires="x14">
            <control shapeId="9351" r:id="rId12" name="Check Box 135">
              <controlPr defaultSize="0" autoFill="0" autoLine="0" autoPict="0">
                <anchor moveWithCells="1">
                  <from>
                    <xdr:col>10</xdr:col>
                    <xdr:colOff>266700</xdr:colOff>
                    <xdr:row>10</xdr:row>
                    <xdr:rowOff>69850</xdr:rowOff>
                  </from>
                  <to>
                    <xdr:col>10</xdr:col>
                    <xdr:colOff>609600</xdr:colOff>
                    <xdr:row>12</xdr:row>
                    <xdr:rowOff>133350</xdr:rowOff>
                  </to>
                </anchor>
              </controlPr>
            </control>
          </mc:Choice>
        </mc:AlternateContent>
        <mc:AlternateContent xmlns:mc="http://schemas.openxmlformats.org/markup-compatibility/2006">
          <mc:Choice Requires="x14">
            <control shapeId="9352" r:id="rId13" name="Check Box 136">
              <controlPr defaultSize="0" autoFill="0" autoLine="0" autoPict="0">
                <anchor moveWithCells="1">
                  <from>
                    <xdr:col>13</xdr:col>
                    <xdr:colOff>241300</xdr:colOff>
                    <xdr:row>10</xdr:row>
                    <xdr:rowOff>95250</xdr:rowOff>
                  </from>
                  <to>
                    <xdr:col>13</xdr:col>
                    <xdr:colOff>571500</xdr:colOff>
                    <xdr:row>12</xdr:row>
                    <xdr:rowOff>107950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allowBlank="1" showInputMessage="1" showErrorMessage="1" xr:uid="{89CD862E-EB3E-4B22-B0FC-92508613FF85}">
          <x14:formula1>
            <xm:f>DropDown!$B$2:$B$3</xm:f>
          </x14:formula1>
          <xm:sqref>F40:G44 F19:G20 F23:G31 J19:J20 J40:J44 M40:M44 M23:M31 J23:J31 M19:M20 M33:M38 J33:J38 F33:G38</xm:sqref>
        </x14:dataValidation>
        <x14:dataValidation type="list" allowBlank="1" showInputMessage="1" showErrorMessage="1" xr:uid="{CDC64C47-A14B-4E0C-8BD1-6413FA3E9308}">
          <x14:formula1>
            <xm:f>DropDown!$A$2:$A$10</xm:f>
          </x14:formula1>
          <xm:sqref>F18:G18 J18 M18</xm:sqref>
        </x14:dataValidation>
        <x14:dataValidation type="list" allowBlank="1" showInputMessage="1" showErrorMessage="1" xr:uid="{2BC3494F-D3E9-42CC-ADF0-0A72C39C99E6}">
          <x14:formula1>
            <xm:f>DropDown!$E$1:$E$3</xm:f>
          </x14:formula1>
          <xm:sqref>D51:E51</xm:sqref>
        </x14:dataValidation>
        <x14:dataValidation type="list" allowBlank="1" showInputMessage="1" showErrorMessage="1" xr:uid="{B8FEA875-D3BB-48C1-99D3-17859DB8B6AA}">
          <x14:formula1>
            <xm:f>DropDown!$C$2:$C$4</xm:f>
          </x14:formula1>
          <xm:sqref>F22:G22 J22 M22</xm:sqref>
        </x14:dataValidation>
        <x14:dataValidation type="list" allowBlank="1" showInputMessage="1" showErrorMessage="1" xr:uid="{CA27F124-0E98-4980-A15F-5B9EE643CDBE}">
          <x14:formula1>
            <xm:f>DropDown!$F$1:$F$6</xm:f>
          </x14:formula1>
          <xm:sqref>G11:O11 E11</xm:sqref>
        </x14:dataValidation>
        <x14:dataValidation type="list" allowBlank="1" showInputMessage="1" showErrorMessage="1" xr:uid="{AAB8F7F0-38F7-4A28-933D-A171B721127A}">
          <x14:formula1>
            <xm:f>DropDown!$H$2:$H$5</xm:f>
          </x14:formula1>
          <xm:sqref>F21:G21 J21 M21</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rgb="FFFFC000"/>
    <pageSetUpPr fitToPage="1"/>
  </sheetPr>
  <dimension ref="B1:O54"/>
  <sheetViews>
    <sheetView showGridLines="0" showRowColHeaders="0" topLeftCell="A5" zoomScale="80" zoomScaleNormal="80" workbookViewId="0">
      <selection activeCell="D5" sqref="D5:F5"/>
    </sheetView>
  </sheetViews>
  <sheetFormatPr defaultRowHeight="14.5" x14ac:dyDescent="0.35"/>
  <cols>
    <col min="1" max="1" width="5.54296875" customWidth="1"/>
    <col min="2" max="3" width="1.54296875" customWidth="1"/>
    <col min="4" max="4" width="15.1796875" style="18" customWidth="1"/>
    <col min="5" max="5" width="20.1796875" style="18" customWidth="1"/>
    <col min="6" max="6" width="14.1796875" style="1" customWidth="1"/>
    <col min="7" max="7" width="10" style="1" customWidth="1"/>
    <col min="8" max="9" width="10" customWidth="1"/>
    <col min="10" max="10" width="10" style="1" customWidth="1"/>
    <col min="11" max="12" width="10" customWidth="1"/>
    <col min="13" max="13" width="10" style="1" customWidth="1"/>
    <col min="14" max="15" width="10" customWidth="1"/>
  </cols>
  <sheetData>
    <row r="1" spans="2:15" x14ac:dyDescent="0.35">
      <c r="B1" s="211" t="s">
        <v>88</v>
      </c>
      <c r="C1" s="211"/>
      <c r="D1" s="211"/>
      <c r="E1" s="211"/>
      <c r="F1" s="211"/>
      <c r="G1" s="211"/>
      <c r="H1" s="211"/>
      <c r="I1" s="211"/>
      <c r="J1" s="211"/>
      <c r="K1" s="211"/>
      <c r="L1" s="211"/>
      <c r="M1" s="212" t="s">
        <v>141</v>
      </c>
      <c r="N1" s="212"/>
      <c r="O1" s="212"/>
    </row>
    <row r="2" spans="2:15" x14ac:dyDescent="0.35">
      <c r="B2" s="213" t="s">
        <v>89</v>
      </c>
      <c r="C2" s="213"/>
      <c r="D2" s="213"/>
      <c r="E2" s="213"/>
      <c r="F2" s="213"/>
      <c r="G2" s="213"/>
      <c r="H2" s="213"/>
      <c r="I2" s="213"/>
      <c r="J2" s="213"/>
      <c r="K2" s="213"/>
      <c r="L2" s="213"/>
      <c r="M2" s="303" t="s">
        <v>142</v>
      </c>
      <c r="N2" s="303"/>
      <c r="O2" s="303"/>
    </row>
    <row r="3" spans="2:15" x14ac:dyDescent="0.35">
      <c r="B3" s="117" t="s">
        <v>90</v>
      </c>
      <c r="C3" s="117"/>
      <c r="D3" s="117"/>
      <c r="E3" s="117"/>
      <c r="F3" s="117"/>
      <c r="G3" s="117"/>
      <c r="H3" s="117"/>
      <c r="I3" s="117"/>
      <c r="J3" s="117"/>
      <c r="K3" s="117"/>
      <c r="L3" s="117"/>
      <c r="M3" s="117"/>
      <c r="N3" s="212" t="s">
        <v>143</v>
      </c>
      <c r="O3" s="212"/>
    </row>
    <row r="4" spans="2:15" ht="15" thickBot="1" x14ac:dyDescent="0.4">
      <c r="B4" s="117"/>
      <c r="D4" s="117"/>
      <c r="E4" s="117"/>
      <c r="F4" s="117"/>
      <c r="G4" s="117"/>
      <c r="H4" s="117"/>
      <c r="I4" s="117"/>
      <c r="J4" s="117"/>
      <c r="K4" s="117"/>
      <c r="L4" s="117"/>
      <c r="M4" s="117"/>
      <c r="N4" s="195"/>
      <c r="O4" s="195"/>
    </row>
    <row r="5" spans="2:15" x14ac:dyDescent="0.35">
      <c r="B5" s="304">
        <v>1</v>
      </c>
      <c r="C5" s="305"/>
      <c r="D5" s="308" t="s">
        <v>282</v>
      </c>
      <c r="E5" s="309"/>
      <c r="F5" s="310"/>
      <c r="G5" s="122"/>
      <c r="H5" s="122"/>
      <c r="I5" s="122"/>
      <c r="J5" s="122"/>
      <c r="K5" s="122"/>
      <c r="L5" s="122"/>
      <c r="M5" s="122"/>
      <c r="N5" s="122"/>
      <c r="O5" s="122"/>
    </row>
    <row r="6" spans="2:15" ht="16" thickBot="1" x14ac:dyDescent="0.4">
      <c r="B6" s="306"/>
      <c r="C6" s="307"/>
      <c r="D6" s="142" t="s">
        <v>91</v>
      </c>
      <c r="E6" s="311" t="s">
        <v>92</v>
      </c>
      <c r="F6" s="312"/>
      <c r="G6" s="313" t="s">
        <v>78</v>
      </c>
      <c r="H6" s="219"/>
      <c r="I6" s="219"/>
      <c r="J6" s="219"/>
      <c r="K6" s="219"/>
      <c r="L6" s="219"/>
      <c r="M6" s="219"/>
      <c r="N6" s="219"/>
      <c r="O6" s="219"/>
    </row>
    <row r="7" spans="2:15" x14ac:dyDescent="0.35">
      <c r="B7" s="250">
        <v>2</v>
      </c>
      <c r="C7" s="251"/>
      <c r="D7" s="284" t="s">
        <v>93</v>
      </c>
      <c r="E7" s="285"/>
      <c r="F7" s="286"/>
      <c r="G7" s="287" t="s">
        <v>94</v>
      </c>
      <c r="H7" s="258"/>
      <c r="I7" s="260"/>
      <c r="J7" s="258" t="s">
        <v>95</v>
      </c>
      <c r="K7" s="258"/>
      <c r="L7" s="258"/>
      <c r="M7" s="287" t="s">
        <v>96</v>
      </c>
      <c r="N7" s="258"/>
      <c r="O7" s="260"/>
    </row>
    <row r="8" spans="2:15" x14ac:dyDescent="0.35">
      <c r="B8" s="250"/>
      <c r="C8" s="251"/>
      <c r="D8" s="200" t="s">
        <v>97</v>
      </c>
      <c r="E8" s="220" t="s">
        <v>202</v>
      </c>
      <c r="F8" s="302"/>
      <c r="G8" s="288" t="s">
        <v>99</v>
      </c>
      <c r="H8" s="223"/>
      <c r="I8" s="224"/>
      <c r="J8" s="223" t="s">
        <v>99</v>
      </c>
      <c r="K8" s="223"/>
      <c r="L8" s="223"/>
      <c r="M8" s="288" t="s">
        <v>99</v>
      </c>
      <c r="N8" s="223"/>
      <c r="O8" s="224"/>
    </row>
    <row r="9" spans="2:15" x14ac:dyDescent="0.35">
      <c r="B9" s="250"/>
      <c r="C9" s="251"/>
      <c r="D9" s="200" t="s">
        <v>100</v>
      </c>
      <c r="E9" s="200" t="s">
        <v>101</v>
      </c>
      <c r="F9" s="204" t="s">
        <v>102</v>
      </c>
      <c r="G9" s="288" t="s">
        <v>103</v>
      </c>
      <c r="H9" s="223"/>
      <c r="I9" s="224"/>
      <c r="J9" s="223" t="s">
        <v>103</v>
      </c>
      <c r="K9" s="223"/>
      <c r="L9" s="223"/>
      <c r="M9" s="288" t="s">
        <v>103</v>
      </c>
      <c r="N9" s="223"/>
      <c r="O9" s="224"/>
    </row>
    <row r="10" spans="2:15" x14ac:dyDescent="0.35">
      <c r="B10" s="250"/>
      <c r="C10" s="251"/>
      <c r="D10" s="299" t="s">
        <v>104</v>
      </c>
      <c r="E10" s="300"/>
      <c r="F10" s="301"/>
      <c r="G10" s="289" t="s">
        <v>105</v>
      </c>
      <c r="H10" s="229"/>
      <c r="I10" s="230"/>
      <c r="J10" s="229" t="s">
        <v>105</v>
      </c>
      <c r="K10" s="229"/>
      <c r="L10" s="229"/>
      <c r="M10" s="289" t="s">
        <v>105</v>
      </c>
      <c r="N10" s="229"/>
      <c r="O10" s="230"/>
    </row>
    <row r="11" spans="2:15" x14ac:dyDescent="0.35">
      <c r="B11" s="250"/>
      <c r="C11" s="251"/>
      <c r="D11" s="186" t="s">
        <v>154</v>
      </c>
      <c r="E11" s="221" t="s">
        <v>155</v>
      </c>
      <c r="F11" s="224"/>
      <c r="G11" s="289" t="s">
        <v>155</v>
      </c>
      <c r="H11" s="229"/>
      <c r="I11" s="230"/>
      <c r="J11" s="229" t="s">
        <v>155</v>
      </c>
      <c r="K11" s="229"/>
      <c r="L11" s="229"/>
      <c r="M11" s="289" t="s">
        <v>155</v>
      </c>
      <c r="N11" s="229"/>
      <c r="O11" s="230"/>
    </row>
    <row r="12" spans="2:15" x14ac:dyDescent="0.35">
      <c r="B12" s="250"/>
      <c r="C12" s="251"/>
      <c r="D12" s="119"/>
      <c r="E12" s="120"/>
      <c r="F12" s="124" t="s">
        <v>158</v>
      </c>
      <c r="G12" s="135"/>
      <c r="H12" s="141"/>
      <c r="I12" s="202"/>
      <c r="J12" s="123"/>
      <c r="K12" s="201"/>
      <c r="L12" s="201"/>
      <c r="M12" s="135"/>
      <c r="N12" s="201"/>
      <c r="O12" s="202"/>
    </row>
    <row r="13" spans="2:15" x14ac:dyDescent="0.35">
      <c r="B13" s="250"/>
      <c r="C13" s="251"/>
      <c r="D13" s="241" t="s">
        <v>3</v>
      </c>
      <c r="E13" s="242"/>
      <c r="F13" s="292" t="s">
        <v>106</v>
      </c>
      <c r="G13" s="294" t="s">
        <v>106</v>
      </c>
      <c r="H13" s="236" t="s">
        <v>107</v>
      </c>
      <c r="I13" s="237"/>
      <c r="J13" s="296" t="s">
        <v>106</v>
      </c>
      <c r="K13" s="236" t="s">
        <v>107</v>
      </c>
      <c r="L13" s="298"/>
      <c r="M13" s="294" t="s">
        <v>106</v>
      </c>
      <c r="N13" s="236" t="s">
        <v>107</v>
      </c>
      <c r="O13" s="237"/>
    </row>
    <row r="14" spans="2:15" x14ac:dyDescent="0.35">
      <c r="B14" s="250"/>
      <c r="C14" s="251"/>
      <c r="D14" s="290"/>
      <c r="E14" s="291"/>
      <c r="F14" s="293"/>
      <c r="G14" s="295"/>
      <c r="H14" s="16" t="s">
        <v>108</v>
      </c>
      <c r="I14" s="50" t="s">
        <v>109</v>
      </c>
      <c r="J14" s="297"/>
      <c r="K14" s="125" t="s">
        <v>108</v>
      </c>
      <c r="L14" s="136" t="s">
        <v>109</v>
      </c>
      <c r="M14" s="295"/>
      <c r="N14" s="16" t="s">
        <v>108</v>
      </c>
      <c r="O14" s="50" t="s">
        <v>109</v>
      </c>
    </row>
    <row r="15" spans="2:15" x14ac:dyDescent="0.35">
      <c r="B15" s="238" t="s">
        <v>110</v>
      </c>
      <c r="C15" s="239"/>
      <c r="D15" s="239"/>
      <c r="E15" s="239"/>
      <c r="F15" s="239"/>
      <c r="G15" s="239"/>
      <c r="H15" s="239"/>
      <c r="I15" s="239"/>
      <c r="J15" s="239"/>
      <c r="K15" s="239"/>
      <c r="L15" s="239"/>
      <c r="M15" s="239"/>
      <c r="N15" s="239"/>
      <c r="O15" s="240"/>
    </row>
    <row r="16" spans="2:15" x14ac:dyDescent="0.35">
      <c r="B16" s="231">
        <v>3</v>
      </c>
      <c r="C16" s="232"/>
      <c r="D16" s="233" t="s">
        <v>111</v>
      </c>
      <c r="E16" s="232"/>
      <c r="F16" s="133">
        <v>0</v>
      </c>
      <c r="G16" s="131">
        <v>0</v>
      </c>
      <c r="H16" s="11">
        <f>IF(G16="","",-IF(G16&gt;$F16,((G16-$F16)*'Rent Adjustment Worksheet'!$C$3),0))</f>
        <v>0</v>
      </c>
      <c r="I16" s="127">
        <f>IF(G16="","",IFERROR(-IF(G16&gt;$F16,0,((G16-$F16)*'Rent Adjustment Worksheet'!$C$3)),0))</f>
        <v>0</v>
      </c>
      <c r="J16" s="131">
        <v>0</v>
      </c>
      <c r="K16" s="11">
        <f>IF(J16="","",-IF(J16&gt;$F16,((J16-$F16)*'Rent Adjustment Worksheet'!$C$3),0))</f>
        <v>0</v>
      </c>
      <c r="L16" s="90">
        <f>IF(J16="","",IFERROR(-IF(J16&gt;$F16,0,((J16-$F16)*'Rent Adjustment Worksheet'!$C$3)),0))</f>
        <v>0</v>
      </c>
      <c r="M16" s="129">
        <v>0</v>
      </c>
      <c r="N16" s="11">
        <f>IF(M16="","",-IF(M16&gt;$F16,((M16-$F16)*'Rent Adjustment Worksheet'!$C$3),0))</f>
        <v>0</v>
      </c>
      <c r="O16" s="90">
        <f>IF(M16="","",IFERROR(-IF(M16&gt;$F16,0,((M16-$F16)*'Rent Adjustment Worksheet'!$C$3)),0))</f>
        <v>0</v>
      </c>
    </row>
    <row r="17" spans="2:15" x14ac:dyDescent="0.35">
      <c r="B17" s="231">
        <v>4</v>
      </c>
      <c r="C17" s="232"/>
      <c r="D17" s="233" t="s">
        <v>113</v>
      </c>
      <c r="E17" s="232"/>
      <c r="F17" s="134">
        <v>0</v>
      </c>
      <c r="G17" s="132">
        <v>0</v>
      </c>
      <c r="H17" s="54">
        <f>IF(G17="","",IFERROR(-IF($G$17&gt;$F$17,($G$17-$F$17)*VLOOKUP($D17,'Rent Adjustment Worksheet'!$A:$C,3,0)/10),0))</f>
        <v>0</v>
      </c>
      <c r="I17" s="128">
        <f>IF(G17="","",IFERROR(-IF($G$17&gt;$F$17,0,($G$17-$F$17)*VLOOKUP($D17,'Rent Adjustment Worksheet'!$A:$C,3,0)/10),0))</f>
        <v>0</v>
      </c>
      <c r="J17" s="132">
        <v>0</v>
      </c>
      <c r="K17" s="54">
        <f>IF(J17="","",IFERROR(-IF($J$17&gt;$F$17,($J$17-$F$17)*VLOOKUP($D17,'Rent Adjustment Worksheet'!$A:$C,3,0)/10),0))</f>
        <v>0</v>
      </c>
      <c r="L17" s="56">
        <f>IF(J17="","",IFERROR(-IF($J$17&gt;$F$17,0,($J$17-$F$17)*VLOOKUP($D17,'Rent Adjustment Worksheet'!$A:$C,3,0)/10),0))</f>
        <v>0</v>
      </c>
      <c r="M17" s="130">
        <v>0</v>
      </c>
      <c r="N17" s="54">
        <f>IF(M17="","",IFERROR(-IF($M$17&gt;$F$17,($M$17-$F$17)*VLOOKUP($D17,'Rent Adjustment Worksheet'!$A:$C,3,0)/10),0))</f>
        <v>0</v>
      </c>
      <c r="O17" s="56">
        <f>IF(M17="","",IFERROR(-IF($M$17&gt;$F$17,0,($M$17-$F$17)*VLOOKUP($D17,'Rent Adjustment Worksheet'!$A:$C,3,0)/10),0))</f>
        <v>0</v>
      </c>
    </row>
    <row r="18" spans="2:15" x14ac:dyDescent="0.35">
      <c r="B18" s="231">
        <v>5</v>
      </c>
      <c r="C18" s="232"/>
      <c r="D18" s="233" t="s">
        <v>114</v>
      </c>
      <c r="E18" s="232"/>
      <c r="F18" s="133">
        <v>0</v>
      </c>
      <c r="G18" s="131">
        <v>0</v>
      </c>
      <c r="H18" s="54">
        <f>-IF($G$18&gt;$F$18, VLOOKUP(($G$18-$F$18),'Rent Adjustment Worksheet'!$J:$K,2,FALSE), 0)</f>
        <v>0</v>
      </c>
      <c r="I18" s="128">
        <f>IF($G$18&lt;$F$18, VLOOKUP(($F$18-$G$18),'Rent Adjustment Worksheet'!$J:$K,2,FALSE), 0)</f>
        <v>0</v>
      </c>
      <c r="J18" s="131">
        <v>0</v>
      </c>
      <c r="K18" s="54">
        <f>-IF($J$18&gt;$F$18, VLOOKUP(($J$18-$F$18),'Rent Adjustment Worksheet'!$J:$K,2,FALSE), 0)</f>
        <v>0</v>
      </c>
      <c r="L18" s="56">
        <f>IF($J$18&lt;$F$18, VLOOKUP(($F$18-$J$18),'Rent Adjustment Worksheet'!$J:$K,2,FALSE), 0)</f>
        <v>0</v>
      </c>
      <c r="M18" s="129">
        <v>0</v>
      </c>
      <c r="N18" s="54">
        <f>-IF($M$18&gt;$F$18, VLOOKUP(($M$18-$F$18),'Rent Adjustment Worksheet'!$J:$K,2,FALSE), 0)</f>
        <v>0</v>
      </c>
      <c r="O18" s="56">
        <f>IF($M$18&lt;$F$18, VLOOKUP(($F$18-$M$18),'Rent Adjustment Worksheet'!$J:$K,2,FALSE), 0)</f>
        <v>0</v>
      </c>
    </row>
    <row r="19" spans="2:15" x14ac:dyDescent="0.35">
      <c r="B19" s="231">
        <v>6</v>
      </c>
      <c r="C19" s="232"/>
      <c r="D19" s="233" t="s">
        <v>15</v>
      </c>
      <c r="E19" s="232"/>
      <c r="F19" s="134" t="s">
        <v>115</v>
      </c>
      <c r="G19" s="132" t="s">
        <v>115</v>
      </c>
      <c r="H19" s="54">
        <f>IF(AND($F19="N",G19="Y"),-VLOOKUP($D19,'Rent Adjustment Worksheet'!$B:$C,2,FALSE),0)</f>
        <v>0</v>
      </c>
      <c r="I19" s="128">
        <f>IF(AND($F19="Y",G19="N"),VLOOKUP($D19,'Rent Adjustment Worksheet'!$B:$C,2,FALSE),0)</f>
        <v>0</v>
      </c>
      <c r="J19" s="132" t="s">
        <v>115</v>
      </c>
      <c r="K19" s="54">
        <f>IF(AND($F19="N",J19="Y"),-VLOOKUP($D19,'Rent Adjustment Worksheet'!$B:$C,2,FALSE),0)</f>
        <v>0</v>
      </c>
      <c r="L19" s="56">
        <f>IF(AND($F19="Y",J19="N"),VLOOKUP($D19,'Rent Adjustment Worksheet'!$B:$C,2,FALSE),0)</f>
        <v>0</v>
      </c>
      <c r="M19" s="130" t="s">
        <v>115</v>
      </c>
      <c r="N19" s="54">
        <f>IF(AND($F19="N",M19="Y"),-VLOOKUP($D19,'Rent Adjustment Worksheet'!$B:$C,2,FALSE),0)</f>
        <v>0</v>
      </c>
      <c r="O19" s="56">
        <f>IF(AND($F19="Y",M19="N"),VLOOKUP($D19,'Rent Adjustment Worksheet'!$B:$C,2,FALSE),0)</f>
        <v>0</v>
      </c>
    </row>
    <row r="20" spans="2:15" x14ac:dyDescent="0.35">
      <c r="B20" s="231">
        <v>7</v>
      </c>
      <c r="C20" s="232"/>
      <c r="D20" s="233" t="s">
        <v>17</v>
      </c>
      <c r="E20" s="232"/>
      <c r="F20" s="134" t="s">
        <v>115</v>
      </c>
      <c r="G20" s="132" t="s">
        <v>115</v>
      </c>
      <c r="H20" s="54">
        <f>IF(AND($F20="N",G20="Y"),-VLOOKUP($D20,'Rent Adjustment Worksheet'!$B:$C,2,FALSE),0)</f>
        <v>0</v>
      </c>
      <c r="I20" s="128">
        <f>IF(AND($F20="Y",G20="N"),VLOOKUP($D20,'Rent Adjustment Worksheet'!$B:$C,2,FALSE),0)</f>
        <v>0</v>
      </c>
      <c r="J20" s="132" t="s">
        <v>115</v>
      </c>
      <c r="K20" s="54">
        <f>IF(AND($F20="N",J20="Y"),-VLOOKUP($D20,'Rent Adjustment Worksheet'!$B:$C,2,FALSE),0)</f>
        <v>0</v>
      </c>
      <c r="L20" s="56">
        <f>IF(AND($F20="Y",J20="N"),VLOOKUP($D20,'Rent Adjustment Worksheet'!$B:$C,2,FALSE),0)</f>
        <v>0</v>
      </c>
      <c r="M20" s="130" t="s">
        <v>115</v>
      </c>
      <c r="N20" s="54">
        <f>IF(AND($F20="N",M20="Y"),-VLOOKUP($D20,'Rent Adjustment Worksheet'!$B:$C,2,FALSE),0)</f>
        <v>0</v>
      </c>
      <c r="O20" s="56">
        <f>IF(AND($F20="Y",M20="N"),VLOOKUP($D20,'Rent Adjustment Worksheet'!$B:$C,2,FALSE),0)</f>
        <v>0</v>
      </c>
    </row>
    <row r="21" spans="2:15" x14ac:dyDescent="0.35">
      <c r="B21" s="231">
        <v>8</v>
      </c>
      <c r="C21" s="232"/>
      <c r="D21" s="233" t="s">
        <v>159</v>
      </c>
      <c r="E21" s="232"/>
      <c r="F21" s="134" t="s">
        <v>118</v>
      </c>
      <c r="G21" s="132" t="s">
        <v>118</v>
      </c>
      <c r="H21" s="54">
        <f>SUMIFS(Laundry!$F:$F,Laundry!$A:$A,$G$6,Laundry!$B:$B,$G$7)</f>
        <v>0</v>
      </c>
      <c r="I21" s="56">
        <f>SUMIFS(Laundry!$G:$G,Laundry!$A:$A,$G$6,Laundry!$B:$B,$G$7)</f>
        <v>0</v>
      </c>
      <c r="J21" s="134" t="s">
        <v>118</v>
      </c>
      <c r="K21" s="54">
        <f>SUMIFS(Laundry!$F:$F,Laundry!$A:$A,$G$6,Laundry!$B:$B,$J$7)</f>
        <v>0</v>
      </c>
      <c r="L21" s="56">
        <f>SUMIFS(Laundry!$G:$G,Laundry!$A:$A,$G$6,Laundry!$B:$B,$J$7)</f>
        <v>0</v>
      </c>
      <c r="M21" s="134" t="s">
        <v>118</v>
      </c>
      <c r="N21" s="54">
        <f>SUMIFS(Laundry!$F:$F,Laundry!$A:$A,$G$6,Laundry!$B:$B,$M$7)</f>
        <v>0</v>
      </c>
      <c r="O21" s="56">
        <f>SUMIFS(Laundry!$G:$G,Laundry!$A:$A,$G$6,Laundry!$B:$B,$M$7)</f>
        <v>0</v>
      </c>
    </row>
    <row r="22" spans="2:15" x14ac:dyDescent="0.35">
      <c r="B22" s="231">
        <v>9</v>
      </c>
      <c r="C22" s="232"/>
      <c r="D22" s="233" t="s">
        <v>117</v>
      </c>
      <c r="E22" s="232"/>
      <c r="F22" s="134" t="s">
        <v>118</v>
      </c>
      <c r="G22" s="132" t="s">
        <v>118</v>
      </c>
      <c r="H22" s="54">
        <f>SUMIFS(AC!$F:$F,AC!$A:$A,$G$6,AC!$B:$B,$G$7)</f>
        <v>0</v>
      </c>
      <c r="I22" s="56">
        <f>SUMIFS(AC!$G:$G,AC!$A:$A,$G$6,AC!$B:$B,$G$7)</f>
        <v>0</v>
      </c>
      <c r="J22" s="132" t="s">
        <v>118</v>
      </c>
      <c r="K22" s="54">
        <f>SUMIFS(AC!$F:$F,AC!$A:$A,$G$6,AC!$B:$B,$J$7)</f>
        <v>0</v>
      </c>
      <c r="L22" s="56">
        <f>SUMIFS(AC!$G:$G,AC!$A:$A,$G$6,AC!$B:$B,$J$7)</f>
        <v>0</v>
      </c>
      <c r="M22" s="130" t="s">
        <v>118</v>
      </c>
      <c r="N22" s="54">
        <f>SUMIFS(AC!$F:$F,AC!$A:$A,$G$6,AC!$B:$B,$M$7)</f>
        <v>0</v>
      </c>
      <c r="O22" s="56">
        <f>SUMIFS(AC!$G:$G,AC!$A:$A,$G$6,AC!$B:$B,$M$7)</f>
        <v>0</v>
      </c>
    </row>
    <row r="23" spans="2:15" x14ac:dyDescent="0.35">
      <c r="B23" s="231">
        <v>10</v>
      </c>
      <c r="C23" s="232"/>
      <c r="D23" s="233" t="s">
        <v>28</v>
      </c>
      <c r="E23" s="232"/>
      <c r="F23" s="134" t="s">
        <v>115</v>
      </c>
      <c r="G23" s="132" t="s">
        <v>115</v>
      </c>
      <c r="H23" s="54">
        <f>IF(AND($F23="N",G23="Y"),-VLOOKUP($D23,'Rent Adjustment Worksheet'!$B:$C,2,FALSE),0)</f>
        <v>0</v>
      </c>
      <c r="I23" s="128">
        <f>IF(AND($F23="Y",G23="N"),VLOOKUP($D23,'Rent Adjustment Worksheet'!$B:$C,2,FALSE),0)</f>
        <v>0</v>
      </c>
      <c r="J23" s="132" t="s">
        <v>115</v>
      </c>
      <c r="K23" s="54">
        <f>IF(AND($F23="N",J23="Y"),-VLOOKUP($D23,'Rent Adjustment Worksheet'!$B:$C,2,FALSE),0)</f>
        <v>0</v>
      </c>
      <c r="L23" s="56">
        <f>IF(AND($F23="Y",J23="N"),VLOOKUP($D23,'Rent Adjustment Worksheet'!$B:$C,2,FALSE),0)</f>
        <v>0</v>
      </c>
      <c r="M23" s="130" t="s">
        <v>115</v>
      </c>
      <c r="N23" s="54">
        <f>IF(AND($F23="N",M23="Y"),-VLOOKUP($D23,'Rent Adjustment Worksheet'!$B:$C,2,FALSE),0)</f>
        <v>0</v>
      </c>
      <c r="O23" s="56">
        <f>IF(AND($F23="Y",M23="N"),VLOOKUP($D23,'Rent Adjustment Worksheet'!$B:$C,2,FALSE),0)</f>
        <v>0</v>
      </c>
    </row>
    <row r="24" spans="2:15" x14ac:dyDescent="0.35">
      <c r="B24" s="231">
        <v>11</v>
      </c>
      <c r="C24" s="232"/>
      <c r="D24" s="233" t="s">
        <v>119</v>
      </c>
      <c r="E24" s="232"/>
      <c r="F24" s="134" t="s">
        <v>115</v>
      </c>
      <c r="G24" s="132" t="s">
        <v>115</v>
      </c>
      <c r="H24" s="54">
        <f>IF(AND($F24="N",G24="Y"),-VLOOKUP($D24,'Rent Adjustment Worksheet'!$B:$C,2,FALSE),0)</f>
        <v>0</v>
      </c>
      <c r="I24" s="128">
        <f>IF(AND($F24="Y",G24="N"),VLOOKUP($D24,'Rent Adjustment Worksheet'!$B:$C,2,FALSE),0)</f>
        <v>0</v>
      </c>
      <c r="J24" s="132" t="s">
        <v>115</v>
      </c>
      <c r="K24" s="54">
        <f>IF(AND($F24="N",J24="Y"),-VLOOKUP($D24,'Rent Adjustment Worksheet'!$B:$C,2,FALSE),0)</f>
        <v>0</v>
      </c>
      <c r="L24" s="56">
        <f>IF(AND($F24="Y",J24="N"),VLOOKUP($D24,'Rent Adjustment Worksheet'!$B:$C,2,FALSE),0)</f>
        <v>0</v>
      </c>
      <c r="M24" s="130" t="s">
        <v>115</v>
      </c>
      <c r="N24" s="54">
        <f>IF(AND($F24="N",M24="Y"),-VLOOKUP($D24,'Rent Adjustment Worksheet'!$B:$C,2,FALSE),0)</f>
        <v>0</v>
      </c>
      <c r="O24" s="56">
        <f>IF(AND($F24="Y",M24="N"),VLOOKUP($D24,'Rent Adjustment Worksheet'!$B:$C,2,FALSE),0)</f>
        <v>0</v>
      </c>
    </row>
    <row r="25" spans="2:15" x14ac:dyDescent="0.35">
      <c r="B25" s="231">
        <v>12</v>
      </c>
      <c r="C25" s="232"/>
      <c r="D25" s="233" t="s">
        <v>32</v>
      </c>
      <c r="E25" s="232"/>
      <c r="F25" s="134" t="s">
        <v>115</v>
      </c>
      <c r="G25" s="132" t="s">
        <v>115</v>
      </c>
      <c r="H25" s="54">
        <f>IF(AND($F25="N",G25="Y"),-VLOOKUP($D25,'Rent Adjustment Worksheet'!$B:$C,2,FALSE),0)</f>
        <v>0</v>
      </c>
      <c r="I25" s="128">
        <f>IF(AND($F25="Y",G25="N"),VLOOKUP($D25,'Rent Adjustment Worksheet'!$B:$C,2,FALSE),0)</f>
        <v>0</v>
      </c>
      <c r="J25" s="132" t="s">
        <v>115</v>
      </c>
      <c r="K25" s="54">
        <f>IF(AND($F25="N",J25="Y"),-VLOOKUP($D25,'Rent Adjustment Worksheet'!$B:$C,2,FALSE),0)</f>
        <v>0</v>
      </c>
      <c r="L25" s="56">
        <f>IF(AND($F25="Y",J25="N"),VLOOKUP($D25,'Rent Adjustment Worksheet'!$B:$C,2,FALSE),0)</f>
        <v>0</v>
      </c>
      <c r="M25" s="130" t="s">
        <v>115</v>
      </c>
      <c r="N25" s="54">
        <f>IF(AND($F25="N",M25="Y"),-VLOOKUP($D25,'Rent Adjustment Worksheet'!$B:$C,2,FALSE),0)</f>
        <v>0</v>
      </c>
      <c r="O25" s="56">
        <f>IF(AND($F25="Y",M25="N"),VLOOKUP($D25,'Rent Adjustment Worksheet'!$B:$C,2,FALSE),0)</f>
        <v>0</v>
      </c>
    </row>
    <row r="26" spans="2:15" x14ac:dyDescent="0.35">
      <c r="B26" s="231">
        <v>13</v>
      </c>
      <c r="C26" s="232"/>
      <c r="D26" s="233" t="s">
        <v>34</v>
      </c>
      <c r="E26" s="232"/>
      <c r="F26" s="134" t="s">
        <v>115</v>
      </c>
      <c r="G26" s="132" t="s">
        <v>115</v>
      </c>
      <c r="H26" s="54">
        <f>IF(AND($F26="N",G26="Y"),-VLOOKUP($D26,'Rent Adjustment Worksheet'!$B:$C,2,FALSE),0)</f>
        <v>0</v>
      </c>
      <c r="I26" s="128">
        <f>IF(AND($F26="Y",G26="N"),VLOOKUP($D26,'Rent Adjustment Worksheet'!$B:$C,2,FALSE),0)</f>
        <v>0</v>
      </c>
      <c r="J26" s="132" t="s">
        <v>115</v>
      </c>
      <c r="K26" s="54">
        <f>IF(AND($F26="N",J26="Y"),-VLOOKUP($D26,'Rent Adjustment Worksheet'!$B:$C,2,FALSE),0)</f>
        <v>0</v>
      </c>
      <c r="L26" s="56">
        <f>IF(AND($F26="Y",J26="N"),VLOOKUP($D26,'Rent Adjustment Worksheet'!$B:$C,2,FALSE),0)</f>
        <v>0</v>
      </c>
      <c r="M26" s="130" t="s">
        <v>115</v>
      </c>
      <c r="N26" s="54">
        <f>IF(AND($F26="N",M26="Y"),-VLOOKUP($D26,'Rent Adjustment Worksheet'!$B:$C,2,FALSE),0)</f>
        <v>0</v>
      </c>
      <c r="O26" s="56">
        <f>IF(AND($F26="Y",M26="N"),VLOOKUP($D26,'Rent Adjustment Worksheet'!$B:$C,2,FALSE),0)</f>
        <v>0</v>
      </c>
    </row>
    <row r="27" spans="2:15" x14ac:dyDescent="0.35">
      <c r="B27" s="231">
        <v>14</v>
      </c>
      <c r="C27" s="232"/>
      <c r="D27" s="233" t="s">
        <v>36</v>
      </c>
      <c r="E27" s="232"/>
      <c r="F27" s="134" t="s">
        <v>115</v>
      </c>
      <c r="G27" s="132" t="s">
        <v>115</v>
      </c>
      <c r="H27" s="54">
        <f>IF(AND($F27="N",G27="Y"),-VLOOKUP($D27,'Rent Adjustment Worksheet'!$B:$C,2,FALSE),0)</f>
        <v>0</v>
      </c>
      <c r="I27" s="128">
        <f>IF(AND($F27="Y",G27="N"),VLOOKUP($D27,'Rent Adjustment Worksheet'!$B:$C,2,FALSE),0)</f>
        <v>0</v>
      </c>
      <c r="J27" s="132" t="s">
        <v>115</v>
      </c>
      <c r="K27" s="54">
        <f>IF(AND($F27="N",J27="Y"),-VLOOKUP($D27,'Rent Adjustment Worksheet'!$B:$C,2,FALSE),0)</f>
        <v>0</v>
      </c>
      <c r="L27" s="56">
        <f>IF(AND($F27="Y",J27="N"),VLOOKUP($D27,'Rent Adjustment Worksheet'!$B:$C,2,FALSE),0)</f>
        <v>0</v>
      </c>
      <c r="M27" s="130" t="s">
        <v>115</v>
      </c>
      <c r="N27" s="54">
        <f>IF(AND($F27="N",M27="Y"),-VLOOKUP($D27,'Rent Adjustment Worksheet'!$B:$C,2,FALSE),0)</f>
        <v>0</v>
      </c>
      <c r="O27" s="56">
        <f>IF(AND($F27="Y",M27="N"),VLOOKUP($D27,'Rent Adjustment Worksheet'!$B:$C,2,FALSE),0)</f>
        <v>0</v>
      </c>
    </row>
    <row r="28" spans="2:15" x14ac:dyDescent="0.35">
      <c r="B28" s="231">
        <v>15</v>
      </c>
      <c r="C28" s="232"/>
      <c r="D28" s="233" t="s">
        <v>38</v>
      </c>
      <c r="E28" s="232"/>
      <c r="F28" s="134" t="s">
        <v>115</v>
      </c>
      <c r="G28" s="132" t="s">
        <v>115</v>
      </c>
      <c r="H28" s="54">
        <f>IF(AND($F28="N",G28="Y"),-VLOOKUP($D28,'Rent Adjustment Worksheet'!$B:$C,2,FALSE),0)</f>
        <v>0</v>
      </c>
      <c r="I28" s="128">
        <f>IF(AND($F28="Y",G28="N"),VLOOKUP($D28,'Rent Adjustment Worksheet'!$B:$C,2,FALSE),0)</f>
        <v>0</v>
      </c>
      <c r="J28" s="132" t="s">
        <v>115</v>
      </c>
      <c r="K28" s="54">
        <f>IF(AND($F28="N",J28="Y"),-VLOOKUP($D28,'Rent Adjustment Worksheet'!$B:$C,2,FALSE),0)</f>
        <v>0</v>
      </c>
      <c r="L28" s="56">
        <f>IF(AND($F28="Y",J28="N"),VLOOKUP($D28,'Rent Adjustment Worksheet'!$B:$C,2,FALSE),0)</f>
        <v>0</v>
      </c>
      <c r="M28" s="130" t="s">
        <v>115</v>
      </c>
      <c r="N28" s="54">
        <f>IF(AND($F28="N",M28="Y"),-VLOOKUP($D28,'Rent Adjustment Worksheet'!$B:$C,2,FALSE),0)</f>
        <v>0</v>
      </c>
      <c r="O28" s="56">
        <f>IF(AND($F28="Y",M28="N"),VLOOKUP($D28,'Rent Adjustment Worksheet'!$B:$C,2,FALSE),0)</f>
        <v>0</v>
      </c>
    </row>
    <row r="29" spans="2:15" x14ac:dyDescent="0.35">
      <c r="B29" s="231">
        <v>16</v>
      </c>
      <c r="C29" s="232"/>
      <c r="D29" s="233" t="s">
        <v>39</v>
      </c>
      <c r="E29" s="232"/>
      <c r="F29" s="134" t="s">
        <v>115</v>
      </c>
      <c r="G29" s="132" t="s">
        <v>115</v>
      </c>
      <c r="H29" s="54">
        <f>IF(AND($F29="N",G29="Y"),-VLOOKUP($D29,'Rent Adjustment Worksheet'!$B:$C,2,FALSE),0)</f>
        <v>0</v>
      </c>
      <c r="I29" s="128">
        <f>IF(AND($F29="Y",G29="N"),VLOOKUP($D29,'Rent Adjustment Worksheet'!$B:$C,2,FALSE),0)</f>
        <v>0</v>
      </c>
      <c r="J29" s="132" t="s">
        <v>115</v>
      </c>
      <c r="K29" s="54">
        <f>IF(AND($F29="N",J29="Y"),-VLOOKUP($D29,'Rent Adjustment Worksheet'!$B:$C,2,FALSE),0)</f>
        <v>0</v>
      </c>
      <c r="L29" s="56">
        <f>IF(AND($F29="Y",J29="N"),VLOOKUP($D29,'Rent Adjustment Worksheet'!$B:$C,2,FALSE),0)</f>
        <v>0</v>
      </c>
      <c r="M29" s="130" t="s">
        <v>115</v>
      </c>
      <c r="N29" s="54">
        <f>IF(AND($F29="N",M29="Y"),-VLOOKUP($D29,'Rent Adjustment Worksheet'!$B:$C,2,FALSE),0)</f>
        <v>0</v>
      </c>
      <c r="O29" s="56">
        <f>IF(AND($F29="Y",M29="N"),VLOOKUP($D29,'Rent Adjustment Worksheet'!$B:$C,2,FALSE),0)</f>
        <v>0</v>
      </c>
    </row>
    <row r="30" spans="2:15" x14ac:dyDescent="0.35">
      <c r="B30" s="231">
        <v>17</v>
      </c>
      <c r="C30" s="232"/>
      <c r="D30" s="233" t="s">
        <v>41</v>
      </c>
      <c r="E30" s="232"/>
      <c r="F30" s="134" t="s">
        <v>115</v>
      </c>
      <c r="G30" s="132" t="s">
        <v>115</v>
      </c>
      <c r="H30" s="54">
        <f>IF(AND($F30="N",G30="Y"),-VLOOKUP($D30,'Rent Adjustment Worksheet'!$B:$C,2,FALSE),0)</f>
        <v>0</v>
      </c>
      <c r="I30" s="128">
        <f>IF(AND($F30="Y",G30="N"),VLOOKUP($D30,'Rent Adjustment Worksheet'!$B:$C,2,FALSE),0)</f>
        <v>0</v>
      </c>
      <c r="J30" s="132" t="s">
        <v>115</v>
      </c>
      <c r="K30" s="54">
        <f>IF(AND($F30="N",J30="Y"),-VLOOKUP($D30,'Rent Adjustment Worksheet'!$B:$C,2,FALSE),0)</f>
        <v>0</v>
      </c>
      <c r="L30" s="56">
        <f>IF(AND($F30="Y",J30="N"),VLOOKUP($D30,'Rent Adjustment Worksheet'!$B:$C,2,FALSE),0)</f>
        <v>0</v>
      </c>
      <c r="M30" s="130" t="s">
        <v>115</v>
      </c>
      <c r="N30" s="54">
        <f>IF(AND($F30="N",M30="Y"),-VLOOKUP($D30,'Rent Adjustment Worksheet'!$B:$C,2,FALSE),0)</f>
        <v>0</v>
      </c>
      <c r="O30" s="56">
        <f>IF(AND($F30="Y",M30="N"),VLOOKUP($D30,'Rent Adjustment Worksheet'!$B:$C,2,FALSE),0)</f>
        <v>0</v>
      </c>
    </row>
    <row r="31" spans="2:15" x14ac:dyDescent="0.35">
      <c r="B31" s="231">
        <v>18</v>
      </c>
      <c r="C31" s="232"/>
      <c r="D31" s="233" t="s">
        <v>43</v>
      </c>
      <c r="E31" s="232"/>
      <c r="F31" s="134" t="s">
        <v>115</v>
      </c>
      <c r="G31" s="132" t="s">
        <v>115</v>
      </c>
      <c r="H31" s="54">
        <f>IF(AND($F31="N",G31="Y"),-VLOOKUP($D31,'Rent Adjustment Worksheet'!$B:$C,2,FALSE),0)</f>
        <v>0</v>
      </c>
      <c r="I31" s="128">
        <f>IF(AND($F31="Y",G31="N"),VLOOKUP($D31,'Rent Adjustment Worksheet'!$B:$C,2,FALSE),0)</f>
        <v>0</v>
      </c>
      <c r="J31" s="132" t="s">
        <v>115</v>
      </c>
      <c r="K31" s="54">
        <f>IF(AND($F31="N",J31="Y"),-VLOOKUP($D31,'Rent Adjustment Worksheet'!$B:$C,2,FALSE),0)</f>
        <v>0</v>
      </c>
      <c r="L31" s="56">
        <f>IF(AND($F31="Y",J31="N"),VLOOKUP($D31,'Rent Adjustment Worksheet'!$B:$C,2,FALSE),0)</f>
        <v>0</v>
      </c>
      <c r="M31" s="130" t="s">
        <v>115</v>
      </c>
      <c r="N31" s="54">
        <f>IF(AND($F31="N",M31="Y"),-VLOOKUP($D31,'Rent Adjustment Worksheet'!$B:$C,2,FALSE),0)</f>
        <v>0</v>
      </c>
      <c r="O31" s="56">
        <f>IF(AND($F31="Y",M31="N"),VLOOKUP($D31,'Rent Adjustment Worksheet'!$B:$C,2,FALSE),0)</f>
        <v>0</v>
      </c>
    </row>
    <row r="32" spans="2:15" x14ac:dyDescent="0.35">
      <c r="B32" s="238" t="s">
        <v>120</v>
      </c>
      <c r="C32" s="239"/>
      <c r="D32" s="239"/>
      <c r="E32" s="239"/>
      <c r="F32" s="239"/>
      <c r="G32" s="239"/>
      <c r="H32" s="239"/>
      <c r="I32" s="239"/>
      <c r="J32" s="239"/>
      <c r="K32" s="239"/>
      <c r="L32" s="239"/>
      <c r="M32" s="239"/>
      <c r="N32" s="239"/>
      <c r="O32" s="240"/>
    </row>
    <row r="33" spans="2:15" x14ac:dyDescent="0.35">
      <c r="B33" s="231">
        <v>19</v>
      </c>
      <c r="C33" s="232"/>
      <c r="D33" s="233" t="s">
        <v>122</v>
      </c>
      <c r="E33" s="232"/>
      <c r="F33" s="134" t="s">
        <v>115</v>
      </c>
      <c r="G33" s="132" t="s">
        <v>115</v>
      </c>
      <c r="H33" s="54">
        <f>IF(AND($F33="N",G33="Y"),-VLOOKUP($D33,'Rent Adjustment Worksheet'!$B:$C,2,FALSE),0)</f>
        <v>0</v>
      </c>
      <c r="I33" s="56">
        <f>IF(AND($F33="Y",G33="N"),VLOOKUP($D33,'Rent Adjustment Worksheet'!$B:$C,2,FALSE),0)</f>
        <v>0</v>
      </c>
      <c r="J33" s="130" t="s">
        <v>115</v>
      </c>
      <c r="K33" s="54">
        <f>IF(AND($F33="N",J33="Y"),-VLOOKUP($D33,'Rent Adjustment Worksheet'!$B:$C,2,FALSE),0)</f>
        <v>0</v>
      </c>
      <c r="L33" s="128">
        <f>IF(AND($F33="Y",J33="N"),VLOOKUP($D33,'Rent Adjustment Worksheet'!$B:$C,2,FALSE),0)</f>
        <v>0</v>
      </c>
      <c r="M33" s="132" t="s">
        <v>115</v>
      </c>
      <c r="N33" s="54">
        <f>IF(AND($F33="N",M33="Y"),-VLOOKUP($D33,'Rent Adjustment Worksheet'!$B:$C,2,FALSE),0)</f>
        <v>0</v>
      </c>
      <c r="O33" s="56">
        <f>IF(AND($F33="Y",M33="N"),VLOOKUP($D33,'Rent Adjustment Worksheet'!$B:$C,2,FALSE),0)</f>
        <v>0</v>
      </c>
    </row>
    <row r="34" spans="2:15" x14ac:dyDescent="0.35">
      <c r="B34" s="231">
        <v>20</v>
      </c>
      <c r="C34" s="232"/>
      <c r="D34" s="233" t="s">
        <v>68</v>
      </c>
      <c r="E34" s="232"/>
      <c r="F34" s="134" t="s">
        <v>115</v>
      </c>
      <c r="G34" s="132" t="s">
        <v>115</v>
      </c>
      <c r="H34" s="54">
        <f>IF(AND($F34="N",G34="Y"),-VLOOKUP($G$6,'Utilities Worksheet'!$B$3:$G$10,3,FALSE),0)</f>
        <v>0</v>
      </c>
      <c r="I34" s="56">
        <f>IF(AND($F34="Y",G34="N"),VLOOKUP($G$6,'Utilities Worksheet'!$B$3:$G$10,3,FALSE),0)</f>
        <v>0</v>
      </c>
      <c r="J34" s="130" t="s">
        <v>115</v>
      </c>
      <c r="K34" s="54">
        <f>IF(AND($F34="N",J34="Y"),-VLOOKUP($G$6,'Utilities Worksheet'!$B$3:$G$10,3,FALSE),0)</f>
        <v>0</v>
      </c>
      <c r="L34" s="56">
        <f>IF(AND($F34="Y",J34="N"),VLOOKUP($G$6,'Utilities Worksheet'!$B$3:$G$10,3,FALSE),0)</f>
        <v>0</v>
      </c>
      <c r="M34" s="132" t="s">
        <v>115</v>
      </c>
      <c r="N34" s="54">
        <f>IF(AND($F34="N",M34="Y"),-VLOOKUP($G$6,'Utilities Worksheet'!$B$3:$G$10,3,FALSE),0)</f>
        <v>0</v>
      </c>
      <c r="O34" s="56">
        <f>IF(AND($F34="Y",M34="N"),VLOOKUP($G$6,'Utilities Worksheet'!$B$3:$G$10,3,FALSE),0)</f>
        <v>0</v>
      </c>
    </row>
    <row r="35" spans="2:15" x14ac:dyDescent="0.35">
      <c r="B35" s="231">
        <v>21</v>
      </c>
      <c r="C35" s="232"/>
      <c r="D35" s="233" t="s">
        <v>69</v>
      </c>
      <c r="E35" s="232"/>
      <c r="F35" s="134" t="s">
        <v>115</v>
      </c>
      <c r="G35" s="132" t="s">
        <v>115</v>
      </c>
      <c r="H35" s="54">
        <f>IF(AND($F35="N",G35="Y"),-VLOOKUP($G$6,'Utilities Worksheet'!$B$3:$G$10,4,FALSE),0)</f>
        <v>0</v>
      </c>
      <c r="I35" s="56">
        <f>IF(AND($F35="Y",G35="N"),VLOOKUP($G$6,'Utilities Worksheet'!$B$3:$G$10,4,FALSE),0)</f>
        <v>0</v>
      </c>
      <c r="J35" s="130" t="s">
        <v>115</v>
      </c>
      <c r="K35" s="54">
        <f>IF(AND($F35="N",J35="Y"),-VLOOKUP($G$6,'Utilities Worksheet'!$B$3:$G$10,4,FALSE),0)</f>
        <v>0</v>
      </c>
      <c r="L35" s="56">
        <f>IF(AND($F35="Y",J35="N"),VLOOKUP($G$6,'Utilities Worksheet'!$B$3:$G$10,4,FALSE),0)</f>
        <v>0</v>
      </c>
      <c r="M35" s="132" t="s">
        <v>115</v>
      </c>
      <c r="N35" s="54">
        <f>IF(AND($F35="N",M35="Y"),-VLOOKUP($G$6,'Utilities Worksheet'!$B$3:$G$10,4,FALSE),0)</f>
        <v>0</v>
      </c>
      <c r="O35" s="56">
        <f>IF(AND($F35="Y",M35="N"),VLOOKUP($G$6,'Utilities Worksheet'!$B$3:$G$10,4,FALSE),0)</f>
        <v>0</v>
      </c>
    </row>
    <row r="36" spans="2:15" x14ac:dyDescent="0.35">
      <c r="B36" s="231">
        <v>22</v>
      </c>
      <c r="C36" s="232"/>
      <c r="D36" s="233" t="s">
        <v>70</v>
      </c>
      <c r="E36" s="232"/>
      <c r="F36" s="134" t="s">
        <v>115</v>
      </c>
      <c r="G36" s="132" t="s">
        <v>115</v>
      </c>
      <c r="H36" s="54">
        <f>IF(AND($F36="N",G36="Y"),-VLOOKUP($G$6,'Utilities Worksheet'!$B$3:$G$10,5,FALSE),0)</f>
        <v>0</v>
      </c>
      <c r="I36" s="56">
        <f>IF(AND($F36="Y",G36="N"),VLOOKUP($G$6,'Utilities Worksheet'!$B$3:$G$10,5,FALSE),0)</f>
        <v>0</v>
      </c>
      <c r="J36" s="130" t="s">
        <v>115</v>
      </c>
      <c r="K36" s="54">
        <f>IF(AND($F36="N",J36="Y"),-VLOOKUP($G$6,'Utilities Worksheet'!$B$3:$G$10,5,FALSE),0)</f>
        <v>0</v>
      </c>
      <c r="L36" s="56">
        <f>IF(AND($F36="Y",J36="N"),VLOOKUP($G$6,'Utilities Worksheet'!$B$3:$G$10,5,FALSE),0)</f>
        <v>0</v>
      </c>
      <c r="M36" s="132" t="s">
        <v>115</v>
      </c>
      <c r="N36" s="54">
        <f>IF(AND($F36="N",M36="Y"),-VLOOKUP($G$6,'Utilities Worksheet'!$B$3:$G$10,5,FALSE),0)</f>
        <v>0</v>
      </c>
      <c r="O36" s="56">
        <f>IF(AND($F36="Y",M36="N"),VLOOKUP($G$6,'Utilities Worksheet'!$B$3:$G$10,5,FALSE),0)</f>
        <v>0</v>
      </c>
    </row>
    <row r="37" spans="2:15" x14ac:dyDescent="0.35">
      <c r="B37" s="231">
        <v>23</v>
      </c>
      <c r="C37" s="232"/>
      <c r="D37" s="233" t="s">
        <v>71</v>
      </c>
      <c r="E37" s="232"/>
      <c r="F37" s="134" t="s">
        <v>115</v>
      </c>
      <c r="G37" s="132" t="s">
        <v>115</v>
      </c>
      <c r="H37" s="54">
        <f>IF(AND($F37="N",G37="Y"),-VLOOKUP($G$6,'Utilities Worksheet'!$B$3:$G$10,6,FALSE),0)</f>
        <v>0</v>
      </c>
      <c r="I37" s="56">
        <f>IF(AND($F37="Y",G37="N"),VLOOKUP($G$6,'Utilities Worksheet'!$B$3:$G$10,6,FALSE),0)</f>
        <v>0</v>
      </c>
      <c r="J37" s="130" t="s">
        <v>115</v>
      </c>
      <c r="K37" s="54">
        <f>IF(AND($F37="N",J37="Y"),-VLOOKUP($G$6,'Utilities Worksheet'!$B$3:$G$10,6,FALSE),0)</f>
        <v>0</v>
      </c>
      <c r="L37" s="56">
        <f>IF(AND($F37="Y",J37="N"),VLOOKUP($G$6,'Utilities Worksheet'!$B$3:$G$10,6,FALSE),0)</f>
        <v>0</v>
      </c>
      <c r="M37" s="132" t="s">
        <v>115</v>
      </c>
      <c r="N37" s="54">
        <f>IF(AND($F37="N",M37="Y"),-VLOOKUP($G$6,'Utilities Worksheet'!$B$3:$G$10,6,FALSE),0)</f>
        <v>0</v>
      </c>
      <c r="O37" s="56">
        <f>IF(AND($F37="Y",M37="N"),VLOOKUP($G$6,'Utilities Worksheet'!$B$3:$G$10,6,FALSE),0)</f>
        <v>0</v>
      </c>
    </row>
    <row r="38" spans="2:15" x14ac:dyDescent="0.35">
      <c r="B38" s="231">
        <v>24</v>
      </c>
      <c r="C38" s="232"/>
      <c r="D38" s="233" t="s">
        <v>47</v>
      </c>
      <c r="E38" s="232"/>
      <c r="F38" s="134" t="s">
        <v>115</v>
      </c>
      <c r="G38" s="132" t="s">
        <v>115</v>
      </c>
      <c r="H38" s="54">
        <f>IF(AND($F38="N",G38="Y"),-VLOOKUP($D38,'Rent Adjustment Worksheet'!$B:$C,2,FALSE),0)</f>
        <v>0</v>
      </c>
      <c r="I38" s="56">
        <f>IF(AND($F38="Y",G38="N"),VLOOKUP($D38,'Rent Adjustment Worksheet'!$B:$C,2,FALSE),0)</f>
        <v>0</v>
      </c>
      <c r="J38" s="130" t="s">
        <v>115</v>
      </c>
      <c r="K38" s="54">
        <f>IF(AND($F38="N",J38="Y"),-VLOOKUP($D38,'Rent Adjustment Worksheet'!$B:$C,2,FALSE),0)</f>
        <v>0</v>
      </c>
      <c r="L38" s="128">
        <f>IF(AND($F38="Y",J38="N"),VLOOKUP($D38,'Rent Adjustment Worksheet'!$B:$C,2,FALSE),0)</f>
        <v>0</v>
      </c>
      <c r="M38" s="132" t="s">
        <v>115</v>
      </c>
      <c r="N38" s="54">
        <f>IF(AND($F38="N",M38="Y"),-VLOOKUP($D38,'Rent Adjustment Worksheet'!$B:$C,2,FALSE),0)</f>
        <v>0</v>
      </c>
      <c r="O38" s="56">
        <f>IF(AND($F38="Y",M38="N"),VLOOKUP($D38,'Rent Adjustment Worksheet'!$B:$C,2,FALSE),0)</f>
        <v>0</v>
      </c>
    </row>
    <row r="39" spans="2:15" x14ac:dyDescent="0.35">
      <c r="B39" s="238" t="s">
        <v>123</v>
      </c>
      <c r="C39" s="239"/>
      <c r="D39" s="239"/>
      <c r="E39" s="239"/>
      <c r="F39" s="239"/>
      <c r="G39" s="239"/>
      <c r="H39" s="239"/>
      <c r="I39" s="239"/>
      <c r="J39" s="239"/>
      <c r="K39" s="239"/>
      <c r="L39" s="239"/>
      <c r="M39" s="239"/>
      <c r="N39" s="239"/>
      <c r="O39" s="240"/>
    </row>
    <row r="40" spans="2:15" x14ac:dyDescent="0.35">
      <c r="B40" s="231">
        <v>25</v>
      </c>
      <c r="C40" s="232"/>
      <c r="D40" s="261" t="str">
        <f>IF(OR('Rent Adjustment Worksheet'!$B25="PHA write-in (if Applicable)",'Rent Adjustment Worksheet'!$B25=""),"",'Rent Adjustment Worksheet'!$B25)</f>
        <v/>
      </c>
      <c r="E40" s="262"/>
      <c r="F40" s="134" t="s">
        <v>115</v>
      </c>
      <c r="G40" s="132" t="s">
        <v>115</v>
      </c>
      <c r="H40" s="54">
        <f>IF($D40="",0,IF(AND($F40="N",G40="Y"),-VLOOKUP($D40,'Rent Adjustment Worksheet'!$B:$C,2,FALSE),0))</f>
        <v>0</v>
      </c>
      <c r="I40" s="56">
        <f>IF($D40="",0,IF(AND($F40="Y",G40="N"),VLOOKUP($D40,'Rent Adjustment Worksheet'!$B:$C,2,FALSE),0))</f>
        <v>0</v>
      </c>
      <c r="J40" s="130" t="s">
        <v>115</v>
      </c>
      <c r="K40" s="54">
        <f>IF($D40="",0,IF(AND($F40="N",J40="Y"),-VLOOKUP($D40,'Rent Adjustment Worksheet'!$B:$C,2,FALSE),0))</f>
        <v>0</v>
      </c>
      <c r="L40" s="128">
        <f>IF($D40="",0,IF(AND($F40="Y",J40="N"),VLOOKUP($D40,'Rent Adjustment Worksheet'!$B:$C,2,FALSE),0))</f>
        <v>0</v>
      </c>
      <c r="M40" s="132" t="s">
        <v>115</v>
      </c>
      <c r="N40" s="54">
        <f>IF($D40="",0,IF(AND($F40="N",M40="Y"),-VLOOKUP($D40,'Rent Adjustment Worksheet'!$B:$C,2,FALSE),0))</f>
        <v>0</v>
      </c>
      <c r="O40" s="56">
        <f>IF($D40="",0,IF(AND($F40="Y",M40="N"),VLOOKUP($D40,'Rent Adjustment Worksheet'!$B:$C,2,FALSE),0))</f>
        <v>0</v>
      </c>
    </row>
    <row r="41" spans="2:15" x14ac:dyDescent="0.35">
      <c r="B41" s="231">
        <v>26</v>
      </c>
      <c r="C41" s="232"/>
      <c r="D41" s="261" t="str">
        <f>IF(OR('Rent Adjustment Worksheet'!$B26="PHA write-in (if Applicable)",'Rent Adjustment Worksheet'!$B26=""),"",'Rent Adjustment Worksheet'!$B26)</f>
        <v/>
      </c>
      <c r="E41" s="262"/>
      <c r="F41" s="134" t="s">
        <v>115</v>
      </c>
      <c r="G41" s="132" t="s">
        <v>115</v>
      </c>
      <c r="H41" s="54">
        <f>IF($D41="",0,IF(AND($F41="N",G41="Y"),-VLOOKUP($D41,'Rent Adjustment Worksheet'!$B:$C,2,FALSE),0))</f>
        <v>0</v>
      </c>
      <c r="I41" s="56">
        <f>IF($D41="",0,IF(AND($F41="Y",G41="N"),VLOOKUP($D41,'Rent Adjustment Worksheet'!$B:$C,2,FALSE),0))</f>
        <v>0</v>
      </c>
      <c r="J41" s="130" t="s">
        <v>115</v>
      </c>
      <c r="K41" s="54">
        <f>IF($D41="",0,IF(AND($F41="N",J41="Y"),-VLOOKUP($D41,'Rent Adjustment Worksheet'!$B:$C,2,FALSE),0))</f>
        <v>0</v>
      </c>
      <c r="L41" s="128">
        <f>IF($D41="",0,IF(AND($F41="Y",J41="N"),VLOOKUP($D41,'Rent Adjustment Worksheet'!$B:$C,2,FALSE),0))</f>
        <v>0</v>
      </c>
      <c r="M41" s="132" t="s">
        <v>115</v>
      </c>
      <c r="N41" s="54">
        <f>IF($D41="",0,IF(AND($F41="N",M41="Y"),-VLOOKUP($D41,'Rent Adjustment Worksheet'!$B:$C,2,FALSE),0))</f>
        <v>0</v>
      </c>
      <c r="O41" s="56">
        <f>IF($D41="",0,IF(AND($F41="Y",M41="N"),VLOOKUP($D41,'Rent Adjustment Worksheet'!$B:$C,2,FALSE),0))</f>
        <v>0</v>
      </c>
    </row>
    <row r="42" spans="2:15" x14ac:dyDescent="0.35">
      <c r="B42" s="231">
        <v>27</v>
      </c>
      <c r="C42" s="232"/>
      <c r="D42" s="261" t="str">
        <f>IF(OR('Rent Adjustment Worksheet'!$B27="PHA write-in (if Applicable)",'Rent Adjustment Worksheet'!$B27=""),"",'Rent Adjustment Worksheet'!$B27)</f>
        <v/>
      </c>
      <c r="E42" s="262"/>
      <c r="F42" s="134" t="s">
        <v>115</v>
      </c>
      <c r="G42" s="132" t="s">
        <v>115</v>
      </c>
      <c r="H42" s="54">
        <f>IF($D42="",0,IF(AND($F42="N",G42="Y"),-VLOOKUP($D42,'Rent Adjustment Worksheet'!$B:$C,2,FALSE),0))</f>
        <v>0</v>
      </c>
      <c r="I42" s="56">
        <f>IF($D42="",0,IF(AND($F42="Y",G42="N"),VLOOKUP($D42,'Rent Adjustment Worksheet'!$B:$C,2,FALSE),0))</f>
        <v>0</v>
      </c>
      <c r="J42" s="130" t="s">
        <v>115</v>
      </c>
      <c r="K42" s="54">
        <f>IF($D42="",0,IF(AND($F42="N",J42="Y"),-VLOOKUP($D42,'Rent Adjustment Worksheet'!$B:$C,2,FALSE),0))</f>
        <v>0</v>
      </c>
      <c r="L42" s="128">
        <f>IF($D42="",0,IF(AND($F42="Y",J42="N"),VLOOKUP($D42,'Rent Adjustment Worksheet'!$B:$C,2,FALSE),0))</f>
        <v>0</v>
      </c>
      <c r="M42" s="132" t="s">
        <v>115</v>
      </c>
      <c r="N42" s="54">
        <f>IF($D42="",0,IF(AND($F42="N",M42="Y"),-VLOOKUP($D42,'Rent Adjustment Worksheet'!$B:$C,2,FALSE),0))</f>
        <v>0</v>
      </c>
      <c r="O42" s="56">
        <f>IF($D42="",0,IF(AND($F42="Y",M42="N"),VLOOKUP($D42,'Rent Adjustment Worksheet'!$B:$C,2,FALSE),0))</f>
        <v>0</v>
      </c>
    </row>
    <row r="43" spans="2:15" x14ac:dyDescent="0.35">
      <c r="B43" s="231">
        <v>28</v>
      </c>
      <c r="C43" s="232"/>
      <c r="D43" s="261" t="str">
        <f>IF(OR('Rent Adjustment Worksheet'!$B28="PHA write-in (if Applicable)",'Rent Adjustment Worksheet'!$B28=""),"",'Rent Adjustment Worksheet'!$B28)</f>
        <v/>
      </c>
      <c r="E43" s="262"/>
      <c r="F43" s="134" t="s">
        <v>115</v>
      </c>
      <c r="G43" s="132" t="s">
        <v>115</v>
      </c>
      <c r="H43" s="54">
        <f>IF($D43="",0,IF(AND($F43="N",G43="Y"),-VLOOKUP($D43,'Rent Adjustment Worksheet'!$B:$C,2,FALSE),0))</f>
        <v>0</v>
      </c>
      <c r="I43" s="56">
        <f>IF($D43="",0,IF(AND($F43="Y",G43="N"),VLOOKUP($D43,'Rent Adjustment Worksheet'!$B:$C,2,FALSE),0))</f>
        <v>0</v>
      </c>
      <c r="J43" s="130" t="s">
        <v>115</v>
      </c>
      <c r="K43" s="54">
        <f>IF($D43="",0,IF(AND($F43="N",J43="Y"),-VLOOKUP($D43,'Rent Adjustment Worksheet'!$B:$C,2,FALSE),0))</f>
        <v>0</v>
      </c>
      <c r="L43" s="128">
        <f>IF($D43="",0,IF(AND($F43="Y",J43="N"),VLOOKUP($D43,'Rent Adjustment Worksheet'!$B:$C,2,FALSE),0))</f>
        <v>0</v>
      </c>
      <c r="M43" s="132" t="s">
        <v>115</v>
      </c>
      <c r="N43" s="54">
        <f>IF($D43="",0,IF(AND($F43="N",M43="Y"),-VLOOKUP($D43,'Rent Adjustment Worksheet'!$B:$C,2,FALSE),0))</f>
        <v>0</v>
      </c>
      <c r="O43" s="56">
        <f>IF($D43="",0,IF(AND($F43="Y",M43="N"),VLOOKUP($D43,'Rent Adjustment Worksheet'!$B:$C,2,FALSE),0))</f>
        <v>0</v>
      </c>
    </row>
    <row r="44" spans="2:15" x14ac:dyDescent="0.35">
      <c r="B44" s="231">
        <v>29</v>
      </c>
      <c r="C44" s="232"/>
      <c r="D44" s="261" t="str">
        <f>IF(OR('Rent Adjustment Worksheet'!$B29="PHA write-in (if Applicable)",'Rent Adjustment Worksheet'!$B29=""),"",'Rent Adjustment Worksheet'!$B29)</f>
        <v/>
      </c>
      <c r="E44" s="262"/>
      <c r="F44" s="134" t="s">
        <v>115</v>
      </c>
      <c r="G44" s="132" t="s">
        <v>115</v>
      </c>
      <c r="H44" s="54">
        <f>IF($D44="",0,IF(AND($F44="N",G44="Y"),-VLOOKUP($D44,'Rent Adjustment Worksheet'!$B:$C,2,FALSE),0))</f>
        <v>0</v>
      </c>
      <c r="I44" s="56">
        <f>IF($D44="",0,IF(AND($F44="Y",G44="N"),VLOOKUP($D44,'Rent Adjustment Worksheet'!$B:$C,2,FALSE),0))</f>
        <v>0</v>
      </c>
      <c r="J44" s="130" t="s">
        <v>115</v>
      </c>
      <c r="K44" s="54">
        <f>IF($D44="",0,IF(AND($F44="N",J44="Y"),-VLOOKUP($D44,'Rent Adjustment Worksheet'!$B:$C,2,FALSE),0))</f>
        <v>0</v>
      </c>
      <c r="L44" s="128">
        <f>IF($D44="",0,IF(AND($F44="Y",J44="N"),VLOOKUP($D44,'Rent Adjustment Worksheet'!$B:$C,2,FALSE),0))</f>
        <v>0</v>
      </c>
      <c r="M44" s="132" t="s">
        <v>115</v>
      </c>
      <c r="N44" s="54">
        <f>IF($D44="",0,IF(AND($F44="N",M44="Y"),-VLOOKUP($D44,'Rent Adjustment Worksheet'!$B:$C,2,FALSE),0))</f>
        <v>0</v>
      </c>
      <c r="O44" s="56">
        <f>IF($D44="",0,IF(AND($F44="Y",M44="N"),VLOOKUP($D44,'Rent Adjustment Worksheet'!$B:$C,2,FALSE),0))</f>
        <v>0</v>
      </c>
    </row>
    <row r="45" spans="2:15" x14ac:dyDescent="0.35">
      <c r="B45" s="238" t="s">
        <v>124</v>
      </c>
      <c r="C45" s="239"/>
      <c r="D45" s="239"/>
      <c r="E45" s="239"/>
      <c r="F45" s="239"/>
      <c r="G45" s="239"/>
      <c r="H45" s="239"/>
      <c r="I45" s="239"/>
      <c r="J45" s="239"/>
      <c r="K45" s="239"/>
      <c r="L45" s="239"/>
      <c r="M45" s="239"/>
      <c r="N45" s="239"/>
      <c r="O45" s="240"/>
    </row>
    <row r="46" spans="2:15" x14ac:dyDescent="0.35">
      <c r="B46" s="231">
        <v>30</v>
      </c>
      <c r="C46" s="232"/>
      <c r="D46" s="233" t="s">
        <v>125</v>
      </c>
      <c r="E46" s="232"/>
      <c r="F46" s="52"/>
      <c r="G46" s="139" t="str">
        <f>IF(ISNUMBER(G10)=FALSE,"",G10)</f>
        <v/>
      </c>
      <c r="H46" s="54"/>
      <c r="I46" s="128"/>
      <c r="J46" s="139" t="str">
        <f>IF(ISNUMBER(J10)=FALSE,"",J10)</f>
        <v/>
      </c>
      <c r="K46" s="54"/>
      <c r="L46" s="128"/>
      <c r="M46" s="139" t="str">
        <f>IF(ISNUMBER(M10)=FALSE,"",M10)</f>
        <v/>
      </c>
      <c r="N46" s="54"/>
      <c r="O46" s="56"/>
    </row>
    <row r="47" spans="2:15" x14ac:dyDescent="0.35">
      <c r="B47" s="231">
        <v>31</v>
      </c>
      <c r="C47" s="232"/>
      <c r="D47" s="233" t="s">
        <v>126</v>
      </c>
      <c r="E47" s="232"/>
      <c r="F47" s="52"/>
      <c r="G47" s="57" t="str">
        <f>IF(G46="","",SUM(H47:I47))</f>
        <v/>
      </c>
      <c r="H47" s="58" t="str">
        <f>IF(G46="","",SUM(H16:H44))</f>
        <v/>
      </c>
      <c r="I47" s="137" t="str">
        <f>IF(G46="","",SUM(I16:I44))</f>
        <v/>
      </c>
      <c r="J47" s="140" t="str">
        <f>IF(J46="","",SUM(K47:L47))</f>
        <v/>
      </c>
      <c r="K47" s="58" t="str">
        <f>IF(J46="","",SUM(K16:K44))</f>
        <v/>
      </c>
      <c r="L47" s="137" t="str">
        <f>IF(J46="","",SUM(L16:L44))</f>
        <v/>
      </c>
      <c r="M47" s="140" t="str">
        <f>IF(M46="","",SUM(N47:O47))</f>
        <v/>
      </c>
      <c r="N47" s="58" t="str">
        <f>IF(M46="","",SUM(N16:N44))</f>
        <v/>
      </c>
      <c r="O47" s="59" t="str">
        <f>IF(M46="","",SUM(O16:O44))</f>
        <v/>
      </c>
    </row>
    <row r="48" spans="2:15" x14ac:dyDescent="0.35">
      <c r="B48" s="231">
        <v>32</v>
      </c>
      <c r="C48" s="232"/>
      <c r="D48" s="233" t="s">
        <v>127</v>
      </c>
      <c r="E48" s="232"/>
      <c r="F48" s="52"/>
      <c r="G48" s="57" t="str">
        <f>IF(G46="","",SUM(G46,G47))</f>
        <v/>
      </c>
      <c r="H48" s="61"/>
      <c r="I48" s="138"/>
      <c r="J48" s="140" t="str">
        <f>IF(J46="","",SUM(J46,J47))</f>
        <v/>
      </c>
      <c r="K48" s="61"/>
      <c r="L48" s="138"/>
      <c r="M48" s="140" t="str">
        <f>IF(M46="","",SUM(M46,M47))</f>
        <v/>
      </c>
      <c r="N48" s="61"/>
      <c r="O48" s="63"/>
    </row>
    <row r="49" spans="2:15" x14ac:dyDescent="0.35">
      <c r="B49" s="231">
        <v>33</v>
      </c>
      <c r="C49" s="232"/>
      <c r="D49" s="233" t="s">
        <v>128</v>
      </c>
      <c r="E49" s="232"/>
      <c r="F49" s="102" t="str">
        <f>IFERROR(AVERAGE(G48:M48),"")</f>
        <v/>
      </c>
      <c r="G49" s="101"/>
      <c r="H49" s="65"/>
      <c r="I49" s="66"/>
      <c r="J49" s="64"/>
      <c r="K49" s="65"/>
      <c r="L49" s="66"/>
      <c r="M49" s="64"/>
      <c r="N49" s="65"/>
      <c r="O49" s="67"/>
    </row>
    <row r="50" spans="2:15" x14ac:dyDescent="0.35">
      <c r="B50" s="231">
        <v>34</v>
      </c>
      <c r="C50" s="232"/>
      <c r="D50" s="233" t="s">
        <v>129</v>
      </c>
      <c r="E50" s="232"/>
      <c r="F50" s="143"/>
      <c r="G50" s="91"/>
      <c r="H50" s="92"/>
      <c r="I50" s="92"/>
      <c r="J50" s="64"/>
      <c r="K50" s="65"/>
      <c r="L50" s="66"/>
      <c r="M50" s="64"/>
      <c r="N50" s="65"/>
      <c r="O50" s="67"/>
    </row>
    <row r="51" spans="2:15" ht="15" thickBot="1" x14ac:dyDescent="0.4">
      <c r="B51" s="231">
        <v>35</v>
      </c>
      <c r="C51" s="232"/>
      <c r="D51" s="278" t="s">
        <v>162</v>
      </c>
      <c r="E51" s="279"/>
      <c r="F51" s="144"/>
      <c r="G51" s="91"/>
      <c r="H51" s="92"/>
      <c r="I51" s="64"/>
      <c r="J51" s="64"/>
      <c r="K51" s="65"/>
      <c r="L51" s="66"/>
      <c r="M51" s="64"/>
      <c r="N51" s="65"/>
      <c r="O51" s="67"/>
    </row>
    <row r="52" spans="2:15" s="21" customFormat="1" ht="42" customHeight="1" x14ac:dyDescent="0.35">
      <c r="B52" s="280" t="s">
        <v>131</v>
      </c>
      <c r="C52" s="281"/>
      <c r="D52" s="281"/>
      <c r="E52" s="281"/>
      <c r="F52" s="281"/>
      <c r="G52" s="281"/>
      <c r="H52" s="281"/>
      <c r="I52" s="281"/>
      <c r="J52" s="281"/>
      <c r="K52" s="281"/>
      <c r="L52" s="281"/>
      <c r="M52" s="281"/>
      <c r="N52" s="281"/>
      <c r="O52" s="282"/>
    </row>
    <row r="53" spans="2:15" ht="75" customHeight="1" x14ac:dyDescent="0.35">
      <c r="B53" s="283" t="s">
        <v>284</v>
      </c>
      <c r="C53" s="283"/>
      <c r="D53" s="283"/>
      <c r="E53" s="283"/>
      <c r="F53" s="283"/>
      <c r="G53" s="283"/>
      <c r="H53" s="283"/>
      <c r="I53" s="283"/>
      <c r="J53" s="283"/>
      <c r="K53" s="283"/>
      <c r="L53" s="283"/>
      <c r="M53" s="283"/>
      <c r="N53" s="283"/>
      <c r="O53" s="283"/>
    </row>
    <row r="54" spans="2:15" x14ac:dyDescent="0.35">
      <c r="B54" s="118"/>
      <c r="C54" s="118"/>
      <c r="D54" s="118"/>
      <c r="E54" s="118"/>
      <c r="M54" s="275" t="s">
        <v>164</v>
      </c>
      <c r="N54" s="275"/>
      <c r="O54" s="275"/>
    </row>
  </sheetData>
  <sheetProtection algorithmName="SHA-512" hashValue="dLTCYQTfMNsgZIg42DhZa442eBWxtUPwhtR6H3uzURJEtf2QFLin1YmzmMLyXlfmFdKP/m8t6laPFTdUsgiNjw==" saltValue="38W8xAKTOvRJATtyyI5mSQ==" spinCount="100000" sheet="1" selectLockedCells="1"/>
  <protectedRanges>
    <protectedRange sqref="D12:O12" name="Section 2_2_2_1_1"/>
    <protectedRange sqref="G9:O9" name="Section 2_4_1_1"/>
    <protectedRange sqref="E9:F9" name="Section 2_1_1_1_1_1"/>
    <protectedRange sqref="G10:O10" name="Section 2_3_2_1_1_1"/>
    <protectedRange sqref="G11:O11" name="Section 2_2_1_2_1_1"/>
    <protectedRange sqref="D11:F11" name="Section 2_2_2_1_2"/>
  </protectedRanges>
  <customSheetViews>
    <customSheetView guid="{A4B793CE-738E-4476-8B1F-D42BECFCF658}" topLeftCell="A25">
      <selection activeCell="A53" sqref="A53:N53"/>
      <pageMargins left="0" right="0" top="0" bottom="0" header="0" footer="0"/>
    </customSheetView>
  </customSheetViews>
  <mergeCells count="110">
    <mergeCell ref="B52:O52"/>
    <mergeCell ref="M54:O54"/>
    <mergeCell ref="B43:C43"/>
    <mergeCell ref="D43:E43"/>
    <mergeCell ref="B44:C44"/>
    <mergeCell ref="D44:E44"/>
    <mergeCell ref="B53:O53"/>
    <mergeCell ref="G11:I11"/>
    <mergeCell ref="J11:L11"/>
    <mergeCell ref="M11:O11"/>
    <mergeCell ref="G13:G14"/>
    <mergeCell ref="H13:I13"/>
    <mergeCell ref="J13:J14"/>
    <mergeCell ref="D18:E18"/>
    <mergeCell ref="B19:C19"/>
    <mergeCell ref="D19:E19"/>
    <mergeCell ref="B15:O15"/>
    <mergeCell ref="D17:E17"/>
    <mergeCell ref="B18:C18"/>
    <mergeCell ref="E11:F11"/>
    <mergeCell ref="B50:C50"/>
    <mergeCell ref="D50:E50"/>
    <mergeCell ref="B51:C51"/>
    <mergeCell ref="D51:E51"/>
    <mergeCell ref="B49:C49"/>
    <mergeCell ref="D49:E49"/>
    <mergeCell ref="B48:C48"/>
    <mergeCell ref="D48:E48"/>
    <mergeCell ref="D38:E38"/>
    <mergeCell ref="B38:C38"/>
    <mergeCell ref="B47:C47"/>
    <mergeCell ref="D47:E47"/>
    <mergeCell ref="B39:O39"/>
    <mergeCell ref="B40:C40"/>
    <mergeCell ref="D40:E40"/>
    <mergeCell ref="B45:O45"/>
    <mergeCell ref="B46:C46"/>
    <mergeCell ref="D46:E46"/>
    <mergeCell ref="B41:C41"/>
    <mergeCell ref="D41:E41"/>
    <mergeCell ref="B1:L1"/>
    <mergeCell ref="M1:O1"/>
    <mergeCell ref="E6:F6"/>
    <mergeCell ref="G6:O6"/>
    <mergeCell ref="D7:F7"/>
    <mergeCell ref="G7:I7"/>
    <mergeCell ref="J7:L7"/>
    <mergeCell ref="M7:O7"/>
    <mergeCell ref="B2:L2"/>
    <mergeCell ref="M2:O2"/>
    <mergeCell ref="B7:C14"/>
    <mergeCell ref="D10:F10"/>
    <mergeCell ref="G10:I10"/>
    <mergeCell ref="J10:L10"/>
    <mergeCell ref="M10:O10"/>
    <mergeCell ref="D13:E14"/>
    <mergeCell ref="F13:F14"/>
    <mergeCell ref="E8:F8"/>
    <mergeCell ref="M9:O9"/>
    <mergeCell ref="G8:I8"/>
    <mergeCell ref="J8:L8"/>
    <mergeCell ref="M8:O8"/>
    <mergeCell ref="G9:I9"/>
    <mergeCell ref="J9:L9"/>
    <mergeCell ref="B25:C25"/>
    <mergeCell ref="B20:C20"/>
    <mergeCell ref="D20:E20"/>
    <mergeCell ref="B21:C21"/>
    <mergeCell ref="D21:E21"/>
    <mergeCell ref="B17:C17"/>
    <mergeCell ref="N13:O13"/>
    <mergeCell ref="B23:C23"/>
    <mergeCell ref="D23:E23"/>
    <mergeCell ref="B24:C24"/>
    <mergeCell ref="D24:E24"/>
    <mergeCell ref="D25:E25"/>
    <mergeCell ref="K13:L13"/>
    <mergeCell ref="B32:O32"/>
    <mergeCell ref="B33:C33"/>
    <mergeCell ref="B36:C36"/>
    <mergeCell ref="D36:E36"/>
    <mergeCell ref="B37:C37"/>
    <mergeCell ref="D37:E37"/>
    <mergeCell ref="D33:E33"/>
    <mergeCell ref="B35:C35"/>
    <mergeCell ref="D35:E35"/>
    <mergeCell ref="N3:O3"/>
    <mergeCell ref="M13:M14"/>
    <mergeCell ref="B5:C6"/>
    <mergeCell ref="D5:F5"/>
    <mergeCell ref="B42:C42"/>
    <mergeCell ref="D42:E42"/>
    <mergeCell ref="B16:C16"/>
    <mergeCell ref="D16:E16"/>
    <mergeCell ref="B22:C22"/>
    <mergeCell ref="D22:E22"/>
    <mergeCell ref="B26:C26"/>
    <mergeCell ref="D26:E26"/>
    <mergeCell ref="B27:C27"/>
    <mergeCell ref="D27:E27"/>
    <mergeCell ref="B28:C28"/>
    <mergeCell ref="D28:E28"/>
    <mergeCell ref="B29:C29"/>
    <mergeCell ref="D29:E29"/>
    <mergeCell ref="B30:C30"/>
    <mergeCell ref="D30:E30"/>
    <mergeCell ref="B31:C31"/>
    <mergeCell ref="D31:E31"/>
    <mergeCell ref="B34:C34"/>
    <mergeCell ref="D34:E34"/>
  </mergeCells>
  <conditionalFormatting sqref="I16:I31 I33:I38 I40:I44">
    <cfRule type="cellIs" dxfId="23" priority="3" operator="greaterThan">
      <formula>$G$10*0.25</formula>
    </cfRule>
  </conditionalFormatting>
  <conditionalFormatting sqref="L16:L31 B33:O38 L40:L44">
    <cfRule type="cellIs" dxfId="22" priority="4" operator="greaterThan">
      <formula>$J$10*0.25</formula>
    </cfRule>
  </conditionalFormatting>
  <conditionalFormatting sqref="O16:O31 O33:O38 O40:O44">
    <cfRule type="cellIs" dxfId="21" priority="5" operator="greaterThan">
      <formula>$M$10*0.25</formula>
    </cfRule>
  </conditionalFormatting>
  <conditionalFormatting sqref="N16:N31 N33:N38 N40:N44">
    <cfRule type="cellIs" dxfId="20" priority="2" operator="lessThan">
      <formula>-$M$10*0.25</formula>
    </cfRule>
  </conditionalFormatting>
  <conditionalFormatting sqref="K16:K31 K33:K38 K40:K44">
    <cfRule type="cellIs" dxfId="19" priority="1" operator="lessThan">
      <formula>-$J$10*0.25</formula>
    </cfRule>
  </conditionalFormatting>
  <conditionalFormatting sqref="H16:H31 H33:H38 H40:H44">
    <cfRule type="cellIs" dxfId="18" priority="6" operator="lessThan">
      <formula>-$G$10*0.25</formula>
    </cfRule>
  </conditionalFormatting>
  <dataValidations count="2">
    <dataValidation errorStyle="information" allowBlank="1" showInputMessage="1" showErrorMessage="1" errorTitle="Non Valid Adjustment" error="Please Select a Valid PHA Write-in adjustment." sqref="K40:L44 H40:I44 N40:O44" xr:uid="{2EC49F01-F5C7-4942-A3CB-9681113F7F26}"/>
    <dataValidation allowBlank="1" showErrorMessage="1" promptTitle="Select PHA Write-In" sqref="D40:E44" xr:uid="{32FB0A55-AAC4-49B5-B100-866334934CD3}"/>
  </dataValidations>
  <pageMargins left="0.7" right="0.7" top="0.75" bottom="0.75" header="0.3" footer="0.3"/>
  <pageSetup scale="6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52" r:id="rId4" name="Check Box 112">
              <controlPr locked="0" defaultSize="0" autoFill="0" autoLine="0" autoPict="0">
                <anchor moveWithCells="1">
                  <from>
                    <xdr:col>7</xdr:col>
                    <xdr:colOff>203200</xdr:colOff>
                    <xdr:row>10</xdr:row>
                    <xdr:rowOff>95250</xdr:rowOff>
                  </from>
                  <to>
                    <xdr:col>7</xdr:col>
                    <xdr:colOff>533400</xdr:colOff>
                    <xdr:row>12</xdr:row>
                    <xdr:rowOff>107950</xdr:rowOff>
                  </to>
                </anchor>
              </controlPr>
            </control>
          </mc:Choice>
        </mc:AlternateContent>
        <mc:AlternateContent xmlns:mc="http://schemas.openxmlformats.org/markup-compatibility/2006">
          <mc:Choice Requires="x14">
            <control shapeId="10353" r:id="rId5" name="Check Box 113">
              <controlPr defaultSize="0" autoFill="0" autoLine="0" autoPict="0">
                <anchor moveWithCells="1">
                  <from>
                    <xdr:col>10</xdr:col>
                    <xdr:colOff>266700</xdr:colOff>
                    <xdr:row>10</xdr:row>
                    <xdr:rowOff>69850</xdr:rowOff>
                  </from>
                  <to>
                    <xdr:col>10</xdr:col>
                    <xdr:colOff>609600</xdr:colOff>
                    <xdr:row>12</xdr:row>
                    <xdr:rowOff>133350</xdr:rowOff>
                  </to>
                </anchor>
              </controlPr>
            </control>
          </mc:Choice>
        </mc:AlternateContent>
        <mc:AlternateContent xmlns:mc="http://schemas.openxmlformats.org/markup-compatibility/2006">
          <mc:Choice Requires="x14">
            <control shapeId="10354" r:id="rId6" name="Check Box 114">
              <controlPr defaultSize="0" autoFill="0" autoLine="0" autoPict="0">
                <anchor moveWithCells="1">
                  <from>
                    <xdr:col>13</xdr:col>
                    <xdr:colOff>241300</xdr:colOff>
                    <xdr:row>10</xdr:row>
                    <xdr:rowOff>95250</xdr:rowOff>
                  </from>
                  <to>
                    <xdr:col>13</xdr:col>
                    <xdr:colOff>571500</xdr:colOff>
                    <xdr:row>12</xdr:row>
                    <xdr:rowOff>107950</xdr:rowOff>
                  </to>
                </anchor>
              </controlPr>
            </control>
          </mc:Choice>
        </mc:AlternateContent>
        <mc:AlternateContent xmlns:mc="http://schemas.openxmlformats.org/markup-compatibility/2006">
          <mc:Choice Requires="x14">
            <control shapeId="10355" r:id="rId7" name="Check Box 115">
              <controlPr locked="0" defaultSize="0" autoFill="0" autoLine="0" autoPict="0">
                <anchor moveWithCells="1">
                  <from>
                    <xdr:col>7</xdr:col>
                    <xdr:colOff>203200</xdr:colOff>
                    <xdr:row>10</xdr:row>
                    <xdr:rowOff>95250</xdr:rowOff>
                  </from>
                  <to>
                    <xdr:col>7</xdr:col>
                    <xdr:colOff>533400</xdr:colOff>
                    <xdr:row>12</xdr:row>
                    <xdr:rowOff>107950</xdr:rowOff>
                  </to>
                </anchor>
              </controlPr>
            </control>
          </mc:Choice>
        </mc:AlternateContent>
        <mc:AlternateContent xmlns:mc="http://schemas.openxmlformats.org/markup-compatibility/2006">
          <mc:Choice Requires="x14">
            <control shapeId="10356" r:id="rId8" name="Check Box 116">
              <controlPr defaultSize="0" autoFill="0" autoLine="0" autoPict="0">
                <anchor moveWithCells="1">
                  <from>
                    <xdr:col>10</xdr:col>
                    <xdr:colOff>266700</xdr:colOff>
                    <xdr:row>10</xdr:row>
                    <xdr:rowOff>69850</xdr:rowOff>
                  </from>
                  <to>
                    <xdr:col>10</xdr:col>
                    <xdr:colOff>609600</xdr:colOff>
                    <xdr:row>12</xdr:row>
                    <xdr:rowOff>133350</xdr:rowOff>
                  </to>
                </anchor>
              </controlPr>
            </control>
          </mc:Choice>
        </mc:AlternateContent>
        <mc:AlternateContent xmlns:mc="http://schemas.openxmlformats.org/markup-compatibility/2006">
          <mc:Choice Requires="x14">
            <control shapeId="10357" r:id="rId9" name="Check Box 117">
              <controlPr defaultSize="0" autoFill="0" autoLine="0" autoPict="0">
                <anchor moveWithCells="1">
                  <from>
                    <xdr:col>13</xdr:col>
                    <xdr:colOff>241300</xdr:colOff>
                    <xdr:row>10</xdr:row>
                    <xdr:rowOff>95250</xdr:rowOff>
                  </from>
                  <to>
                    <xdr:col>13</xdr:col>
                    <xdr:colOff>571500</xdr:colOff>
                    <xdr:row>12</xdr:row>
                    <xdr:rowOff>107950</xdr:rowOff>
                  </to>
                </anchor>
              </controlPr>
            </control>
          </mc:Choice>
        </mc:AlternateContent>
        <mc:AlternateContent xmlns:mc="http://schemas.openxmlformats.org/markup-compatibility/2006">
          <mc:Choice Requires="x14">
            <control shapeId="10358" r:id="rId10" name="Check Box 118">
              <controlPr locked="0" defaultSize="0" autoFill="0" autoLine="0" autoPict="0">
                <anchor moveWithCells="1">
                  <from>
                    <xdr:col>7</xdr:col>
                    <xdr:colOff>203200</xdr:colOff>
                    <xdr:row>10</xdr:row>
                    <xdr:rowOff>95250</xdr:rowOff>
                  </from>
                  <to>
                    <xdr:col>7</xdr:col>
                    <xdr:colOff>533400</xdr:colOff>
                    <xdr:row>12</xdr:row>
                    <xdr:rowOff>107950</xdr:rowOff>
                  </to>
                </anchor>
              </controlPr>
            </control>
          </mc:Choice>
        </mc:AlternateContent>
        <mc:AlternateContent xmlns:mc="http://schemas.openxmlformats.org/markup-compatibility/2006">
          <mc:Choice Requires="x14">
            <control shapeId="10359" r:id="rId11" name="Check Box 119">
              <controlPr defaultSize="0" autoFill="0" autoLine="0" autoPict="0">
                <anchor moveWithCells="1">
                  <from>
                    <xdr:col>10</xdr:col>
                    <xdr:colOff>266700</xdr:colOff>
                    <xdr:row>10</xdr:row>
                    <xdr:rowOff>69850</xdr:rowOff>
                  </from>
                  <to>
                    <xdr:col>10</xdr:col>
                    <xdr:colOff>609600</xdr:colOff>
                    <xdr:row>12</xdr:row>
                    <xdr:rowOff>133350</xdr:rowOff>
                  </to>
                </anchor>
              </controlPr>
            </control>
          </mc:Choice>
        </mc:AlternateContent>
        <mc:AlternateContent xmlns:mc="http://schemas.openxmlformats.org/markup-compatibility/2006">
          <mc:Choice Requires="x14">
            <control shapeId="10360" r:id="rId12" name="Check Box 120">
              <controlPr defaultSize="0" autoFill="0" autoLine="0" autoPict="0">
                <anchor moveWithCells="1">
                  <from>
                    <xdr:col>13</xdr:col>
                    <xdr:colOff>241300</xdr:colOff>
                    <xdr:row>10</xdr:row>
                    <xdr:rowOff>95250</xdr:rowOff>
                  </from>
                  <to>
                    <xdr:col>13</xdr:col>
                    <xdr:colOff>571500</xdr:colOff>
                    <xdr:row>12</xdr:row>
                    <xdr:rowOff>107950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allowBlank="1" showInputMessage="1" showErrorMessage="1" xr:uid="{A3F7C4A2-B187-4B89-8F54-934AD1857502}">
          <x14:formula1>
            <xm:f>DropDown!$B$2:$B$3</xm:f>
          </x14:formula1>
          <xm:sqref>F40:G44 F19:G20 F23:G31 J19:J20 J40:J44 M40:M44 M23:M31 J23:J31 M19:M20 M33:M38 J33:J38 F33:G38</xm:sqref>
        </x14:dataValidation>
        <x14:dataValidation type="list" allowBlank="1" showInputMessage="1" showErrorMessage="1" xr:uid="{CAF9E94E-72EE-4434-8E5D-5D0765142C52}">
          <x14:formula1>
            <xm:f>DropDown!$A$2:$A$10</xm:f>
          </x14:formula1>
          <xm:sqref>F18:G18 J18 M18</xm:sqref>
        </x14:dataValidation>
        <x14:dataValidation type="list" allowBlank="1" showInputMessage="1" showErrorMessage="1" xr:uid="{9912DE10-7A7D-4CF9-9FD3-73075D29160B}">
          <x14:formula1>
            <xm:f>DropDown!$E$1:$E$3</xm:f>
          </x14:formula1>
          <xm:sqref>D51:E51</xm:sqref>
        </x14:dataValidation>
        <x14:dataValidation type="list" allowBlank="1" showInputMessage="1" showErrorMessage="1" xr:uid="{FA4A96C6-A158-439F-BAF7-72A4FFAA22B3}">
          <x14:formula1>
            <xm:f>DropDown!$C$2:$C$4</xm:f>
          </x14:formula1>
          <xm:sqref>F22:G22 J22 M22</xm:sqref>
        </x14:dataValidation>
        <x14:dataValidation type="list" allowBlank="1" showInputMessage="1" showErrorMessage="1" xr:uid="{8B2D6CCD-A373-4920-8068-BC1C2AA4F091}">
          <x14:formula1>
            <xm:f>DropDown!$F$1:$F$6</xm:f>
          </x14:formula1>
          <xm:sqref>G11:O11 E11</xm:sqref>
        </x14:dataValidation>
        <x14:dataValidation type="list" allowBlank="1" showInputMessage="1" showErrorMessage="1" xr:uid="{3A411BD3-BE29-4C14-B8EF-A8A0967A050F}">
          <x14:formula1>
            <xm:f>DropDown!$H$2:$H$5</xm:f>
          </x14:formula1>
          <xm:sqref>F21:G21 J21 M21</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3">
    <tabColor rgb="FFFFC000"/>
    <pageSetUpPr fitToPage="1"/>
  </sheetPr>
  <dimension ref="B1:O54"/>
  <sheetViews>
    <sheetView showGridLines="0" showRowColHeaders="0" topLeftCell="A5" zoomScale="80" zoomScaleNormal="80" workbookViewId="0">
      <selection activeCell="D5" sqref="D5:F5"/>
    </sheetView>
  </sheetViews>
  <sheetFormatPr defaultRowHeight="14.5" x14ac:dyDescent="0.35"/>
  <cols>
    <col min="1" max="1" width="5.54296875" customWidth="1"/>
    <col min="2" max="3" width="1.54296875" customWidth="1"/>
    <col min="4" max="4" width="15.1796875" style="18" customWidth="1"/>
    <col min="5" max="5" width="20.1796875" style="18" customWidth="1"/>
    <col min="6" max="6" width="14.1796875" style="1" customWidth="1"/>
    <col min="7" max="7" width="10" style="1" customWidth="1"/>
    <col min="8" max="9" width="10" customWidth="1"/>
    <col min="10" max="10" width="10" style="1" customWidth="1"/>
    <col min="11" max="12" width="10" customWidth="1"/>
    <col min="13" max="13" width="10" style="1" customWidth="1"/>
    <col min="14" max="15" width="10" customWidth="1"/>
  </cols>
  <sheetData>
    <row r="1" spans="2:15" x14ac:dyDescent="0.35">
      <c r="B1" s="211" t="s">
        <v>88</v>
      </c>
      <c r="C1" s="211"/>
      <c r="D1" s="211"/>
      <c r="E1" s="211"/>
      <c r="F1" s="211"/>
      <c r="G1" s="211"/>
      <c r="H1" s="211"/>
      <c r="I1" s="211"/>
      <c r="J1" s="211"/>
      <c r="K1" s="211"/>
      <c r="L1" s="211"/>
      <c r="M1" s="212" t="s">
        <v>141</v>
      </c>
      <c r="N1" s="212"/>
      <c r="O1" s="212"/>
    </row>
    <row r="2" spans="2:15" x14ac:dyDescent="0.35">
      <c r="B2" s="213" t="s">
        <v>89</v>
      </c>
      <c r="C2" s="213"/>
      <c r="D2" s="213"/>
      <c r="E2" s="213"/>
      <c r="F2" s="213"/>
      <c r="G2" s="213"/>
      <c r="H2" s="213"/>
      <c r="I2" s="213"/>
      <c r="J2" s="213"/>
      <c r="K2" s="213"/>
      <c r="L2" s="213"/>
      <c r="M2" s="303" t="s">
        <v>142</v>
      </c>
      <c r="N2" s="303"/>
      <c r="O2" s="303"/>
    </row>
    <row r="3" spans="2:15" x14ac:dyDescent="0.35">
      <c r="B3" s="117" t="s">
        <v>90</v>
      </c>
      <c r="C3" s="117"/>
      <c r="D3" s="117"/>
      <c r="E3" s="117"/>
      <c r="F3" s="117"/>
      <c r="G3" s="117"/>
      <c r="H3" s="117"/>
      <c r="I3" s="117"/>
      <c r="J3" s="117"/>
      <c r="K3" s="117"/>
      <c r="L3" s="117"/>
      <c r="M3" s="117"/>
      <c r="N3" s="212" t="s">
        <v>143</v>
      </c>
      <c r="O3" s="212"/>
    </row>
    <row r="4" spans="2:15" ht="15" thickBot="1" x14ac:dyDescent="0.4">
      <c r="B4" s="117"/>
      <c r="D4" s="117"/>
      <c r="E4" s="117"/>
      <c r="F4" s="117"/>
      <c r="G4" s="117"/>
      <c r="H4" s="117"/>
      <c r="I4" s="117"/>
      <c r="J4" s="117"/>
      <c r="K4" s="117"/>
      <c r="L4" s="117"/>
      <c r="M4" s="117"/>
      <c r="N4" s="195"/>
      <c r="O4" s="195"/>
    </row>
    <row r="5" spans="2:15" x14ac:dyDescent="0.35">
      <c r="B5" s="304">
        <v>1</v>
      </c>
      <c r="C5" s="305"/>
      <c r="D5" s="308" t="s">
        <v>282</v>
      </c>
      <c r="E5" s="309"/>
      <c r="F5" s="310"/>
      <c r="G5" s="122"/>
      <c r="H5" s="122"/>
      <c r="I5" s="122"/>
      <c r="J5" s="122"/>
      <c r="K5" s="122"/>
      <c r="L5" s="122"/>
      <c r="M5" s="122"/>
      <c r="N5" s="122"/>
      <c r="O5" s="122"/>
    </row>
    <row r="6" spans="2:15" ht="16" thickBot="1" x14ac:dyDescent="0.4">
      <c r="B6" s="306"/>
      <c r="C6" s="307"/>
      <c r="D6" s="142" t="s">
        <v>91</v>
      </c>
      <c r="E6" s="311" t="s">
        <v>92</v>
      </c>
      <c r="F6" s="312"/>
      <c r="G6" s="313" t="s">
        <v>80</v>
      </c>
      <c r="H6" s="219"/>
      <c r="I6" s="219"/>
      <c r="J6" s="219"/>
      <c r="K6" s="219"/>
      <c r="L6" s="219"/>
      <c r="M6" s="219"/>
      <c r="N6" s="219"/>
      <c r="O6" s="219"/>
    </row>
    <row r="7" spans="2:15" x14ac:dyDescent="0.35">
      <c r="B7" s="250">
        <v>2</v>
      </c>
      <c r="C7" s="251"/>
      <c r="D7" s="284" t="s">
        <v>93</v>
      </c>
      <c r="E7" s="285"/>
      <c r="F7" s="286"/>
      <c r="G7" s="287" t="s">
        <v>94</v>
      </c>
      <c r="H7" s="258"/>
      <c r="I7" s="260"/>
      <c r="J7" s="258" t="s">
        <v>95</v>
      </c>
      <c r="K7" s="258"/>
      <c r="L7" s="258"/>
      <c r="M7" s="287" t="s">
        <v>96</v>
      </c>
      <c r="N7" s="258"/>
      <c r="O7" s="260"/>
    </row>
    <row r="8" spans="2:15" x14ac:dyDescent="0.35">
      <c r="B8" s="250"/>
      <c r="C8" s="251"/>
      <c r="D8" s="200" t="s">
        <v>97</v>
      </c>
      <c r="E8" s="220" t="s">
        <v>202</v>
      </c>
      <c r="F8" s="302"/>
      <c r="G8" s="288" t="s">
        <v>99</v>
      </c>
      <c r="H8" s="223"/>
      <c r="I8" s="224"/>
      <c r="J8" s="223" t="s">
        <v>99</v>
      </c>
      <c r="K8" s="223"/>
      <c r="L8" s="223"/>
      <c r="M8" s="288" t="s">
        <v>99</v>
      </c>
      <c r="N8" s="223"/>
      <c r="O8" s="224"/>
    </row>
    <row r="9" spans="2:15" x14ac:dyDescent="0.35">
      <c r="B9" s="250"/>
      <c r="C9" s="251"/>
      <c r="D9" s="200" t="s">
        <v>100</v>
      </c>
      <c r="E9" s="200" t="s">
        <v>101</v>
      </c>
      <c r="F9" s="204" t="s">
        <v>102</v>
      </c>
      <c r="G9" s="288" t="s">
        <v>103</v>
      </c>
      <c r="H9" s="223"/>
      <c r="I9" s="224"/>
      <c r="J9" s="223" t="s">
        <v>103</v>
      </c>
      <c r="K9" s="223"/>
      <c r="L9" s="223"/>
      <c r="M9" s="288" t="s">
        <v>103</v>
      </c>
      <c r="N9" s="223"/>
      <c r="O9" s="224"/>
    </row>
    <row r="10" spans="2:15" x14ac:dyDescent="0.35">
      <c r="B10" s="250"/>
      <c r="C10" s="251"/>
      <c r="D10" s="299" t="s">
        <v>104</v>
      </c>
      <c r="E10" s="300"/>
      <c r="F10" s="301"/>
      <c r="G10" s="289" t="s">
        <v>105</v>
      </c>
      <c r="H10" s="229"/>
      <c r="I10" s="230"/>
      <c r="J10" s="229" t="s">
        <v>105</v>
      </c>
      <c r="K10" s="229"/>
      <c r="L10" s="229"/>
      <c r="M10" s="289" t="s">
        <v>105</v>
      </c>
      <c r="N10" s="229"/>
      <c r="O10" s="230"/>
    </row>
    <row r="11" spans="2:15" x14ac:dyDescent="0.35">
      <c r="B11" s="250"/>
      <c r="C11" s="251"/>
      <c r="D11" s="186" t="s">
        <v>154</v>
      </c>
      <c r="E11" s="221" t="s">
        <v>155</v>
      </c>
      <c r="F11" s="224"/>
      <c r="G11" s="289" t="s">
        <v>155</v>
      </c>
      <c r="H11" s="229"/>
      <c r="I11" s="230"/>
      <c r="J11" s="229" t="s">
        <v>155</v>
      </c>
      <c r="K11" s="229"/>
      <c r="L11" s="229"/>
      <c r="M11" s="289" t="s">
        <v>155</v>
      </c>
      <c r="N11" s="229"/>
      <c r="O11" s="230"/>
    </row>
    <row r="12" spans="2:15" x14ac:dyDescent="0.35">
      <c r="B12" s="250"/>
      <c r="C12" s="251"/>
      <c r="D12" s="119"/>
      <c r="E12" s="120"/>
      <c r="F12" s="124" t="s">
        <v>158</v>
      </c>
      <c r="G12" s="135"/>
      <c r="H12" s="141"/>
      <c r="I12" s="202"/>
      <c r="J12" s="123"/>
      <c r="K12" s="201"/>
      <c r="L12" s="201"/>
      <c r="M12" s="135"/>
      <c r="N12" s="201"/>
      <c r="O12" s="202"/>
    </row>
    <row r="13" spans="2:15" x14ac:dyDescent="0.35">
      <c r="B13" s="250"/>
      <c r="C13" s="251"/>
      <c r="D13" s="241" t="s">
        <v>3</v>
      </c>
      <c r="E13" s="242"/>
      <c r="F13" s="292" t="s">
        <v>106</v>
      </c>
      <c r="G13" s="294" t="s">
        <v>106</v>
      </c>
      <c r="H13" s="236" t="s">
        <v>107</v>
      </c>
      <c r="I13" s="237"/>
      <c r="J13" s="296" t="s">
        <v>106</v>
      </c>
      <c r="K13" s="236" t="s">
        <v>107</v>
      </c>
      <c r="L13" s="298"/>
      <c r="M13" s="294" t="s">
        <v>106</v>
      </c>
      <c r="N13" s="236" t="s">
        <v>107</v>
      </c>
      <c r="O13" s="237"/>
    </row>
    <row r="14" spans="2:15" x14ac:dyDescent="0.35">
      <c r="B14" s="250"/>
      <c r="C14" s="251"/>
      <c r="D14" s="290"/>
      <c r="E14" s="291"/>
      <c r="F14" s="293"/>
      <c r="G14" s="295"/>
      <c r="H14" s="16" t="s">
        <v>108</v>
      </c>
      <c r="I14" s="50" t="s">
        <v>109</v>
      </c>
      <c r="J14" s="297"/>
      <c r="K14" s="125" t="s">
        <v>108</v>
      </c>
      <c r="L14" s="136" t="s">
        <v>109</v>
      </c>
      <c r="M14" s="295"/>
      <c r="N14" s="16" t="s">
        <v>108</v>
      </c>
      <c r="O14" s="50" t="s">
        <v>109</v>
      </c>
    </row>
    <row r="15" spans="2:15" x14ac:dyDescent="0.35">
      <c r="B15" s="238" t="s">
        <v>110</v>
      </c>
      <c r="C15" s="239"/>
      <c r="D15" s="239"/>
      <c r="E15" s="239"/>
      <c r="F15" s="239"/>
      <c r="G15" s="239"/>
      <c r="H15" s="239"/>
      <c r="I15" s="239"/>
      <c r="J15" s="239"/>
      <c r="K15" s="239"/>
      <c r="L15" s="239"/>
      <c r="M15" s="239"/>
      <c r="N15" s="239"/>
      <c r="O15" s="240"/>
    </row>
    <row r="16" spans="2:15" x14ac:dyDescent="0.35">
      <c r="B16" s="231">
        <v>3</v>
      </c>
      <c r="C16" s="232"/>
      <c r="D16" s="233" t="s">
        <v>111</v>
      </c>
      <c r="E16" s="232"/>
      <c r="F16" s="133">
        <v>0</v>
      </c>
      <c r="G16" s="131">
        <v>0</v>
      </c>
      <c r="H16" s="11">
        <f>IF(G16="","",-IF(G16&gt;$F16,((G16-$F16)*'Rent Adjustment Worksheet'!$C$3),0))</f>
        <v>0</v>
      </c>
      <c r="I16" s="127">
        <f>IF(G16="","",IFERROR(-IF(G16&gt;$F16,0,((G16-$F16)*'Rent Adjustment Worksheet'!$C$3)),0))</f>
        <v>0</v>
      </c>
      <c r="J16" s="131">
        <v>0</v>
      </c>
      <c r="K16" s="11">
        <f>IF(J16="","",-IF(J16&gt;$F16,((J16-$F16)*'Rent Adjustment Worksheet'!$C$3),0))</f>
        <v>0</v>
      </c>
      <c r="L16" s="90">
        <f>IF(J16="","",IFERROR(-IF(J16&gt;$F16,0,((J16-$F16)*'Rent Adjustment Worksheet'!$C$3)),0))</f>
        <v>0</v>
      </c>
      <c r="M16" s="129">
        <v>0</v>
      </c>
      <c r="N16" s="11">
        <f>IF(M16="","",-IF(M16&gt;$F16,((M16-$F16)*'Rent Adjustment Worksheet'!$C$3),0))</f>
        <v>0</v>
      </c>
      <c r="O16" s="90">
        <f>IF(M16="","",IFERROR(-IF(M16&gt;$F16,0,((M16-$F16)*'Rent Adjustment Worksheet'!$C$3)),0))</f>
        <v>0</v>
      </c>
    </row>
    <row r="17" spans="2:15" x14ac:dyDescent="0.35">
      <c r="B17" s="231">
        <v>4</v>
      </c>
      <c r="C17" s="232"/>
      <c r="D17" s="233" t="s">
        <v>113</v>
      </c>
      <c r="E17" s="232"/>
      <c r="F17" s="134">
        <v>0</v>
      </c>
      <c r="G17" s="132">
        <v>0</v>
      </c>
      <c r="H17" s="54">
        <f>IF(G17="","",IFERROR(-IF($G$17&gt;$F$17,($G$17-$F$17)*VLOOKUP($D17,'Rent Adjustment Worksheet'!$A:$C,3,0)/10),0))</f>
        <v>0</v>
      </c>
      <c r="I17" s="128">
        <f>IF(G17="","",IFERROR(-IF($G$17&gt;$F$17,0,($G$17-$F$17)*VLOOKUP($D17,'Rent Adjustment Worksheet'!$A:$C,3,0)/10),0))</f>
        <v>0</v>
      </c>
      <c r="J17" s="132">
        <v>0</v>
      </c>
      <c r="K17" s="54">
        <f>IF(J17="","",IFERROR(-IF($J$17&gt;$F$17,($J$17-$F$17)*VLOOKUP($D17,'Rent Adjustment Worksheet'!$A:$C,3,0)/10),0))</f>
        <v>0</v>
      </c>
      <c r="L17" s="56">
        <f>IF(J17="","",IFERROR(-IF($J$17&gt;$F$17,0,($J$17-$F$17)*VLOOKUP($D17,'Rent Adjustment Worksheet'!$A:$C,3,0)/10),0))</f>
        <v>0</v>
      </c>
      <c r="M17" s="130">
        <v>0</v>
      </c>
      <c r="N17" s="54">
        <f>IF(M17="","",IFERROR(-IF($M$17&gt;$F$17,($M$17-$F$17)*VLOOKUP($D17,'Rent Adjustment Worksheet'!$A:$C,3,0)/10),0))</f>
        <v>0</v>
      </c>
      <c r="O17" s="56">
        <f>IF(M17="","",IFERROR(-IF($M$17&gt;$F$17,0,($M$17-$F$17)*VLOOKUP($D17,'Rent Adjustment Worksheet'!$A:$C,3,0)/10),0))</f>
        <v>0</v>
      </c>
    </row>
    <row r="18" spans="2:15" x14ac:dyDescent="0.35">
      <c r="B18" s="231">
        <v>5</v>
      </c>
      <c r="C18" s="232"/>
      <c r="D18" s="233" t="s">
        <v>114</v>
      </c>
      <c r="E18" s="232"/>
      <c r="F18" s="133">
        <v>0</v>
      </c>
      <c r="G18" s="131">
        <v>0</v>
      </c>
      <c r="H18" s="54">
        <f>-IF($G$18&gt;$F$18, VLOOKUP(($G$18-$F$18),'Rent Adjustment Worksheet'!$J:$K,2,FALSE), 0)</f>
        <v>0</v>
      </c>
      <c r="I18" s="128">
        <f>IF($G$18&lt;$F$18, VLOOKUP(($F$18-$G$18),'Rent Adjustment Worksheet'!$J:$K,2,FALSE), 0)</f>
        <v>0</v>
      </c>
      <c r="J18" s="131">
        <v>0</v>
      </c>
      <c r="K18" s="54">
        <f>-IF($J$18&gt;$F$18, VLOOKUP(($J$18-$F$18),'Rent Adjustment Worksheet'!$J:$K,2,FALSE), 0)</f>
        <v>0</v>
      </c>
      <c r="L18" s="56">
        <f>IF($J$18&lt;$F$18, VLOOKUP(($F$18-$J$18),'Rent Adjustment Worksheet'!$J:$K,2,FALSE), 0)</f>
        <v>0</v>
      </c>
      <c r="M18" s="129">
        <v>0</v>
      </c>
      <c r="N18" s="54">
        <f>-IF($M$18&gt;$F$18, VLOOKUP(($M$18-$F$18),'Rent Adjustment Worksheet'!$J:$K,2,FALSE), 0)</f>
        <v>0</v>
      </c>
      <c r="O18" s="56">
        <f>IF($M$18&lt;$F$18, VLOOKUP(($F$18-$M$18),'Rent Adjustment Worksheet'!$J:$K,2,FALSE), 0)</f>
        <v>0</v>
      </c>
    </row>
    <row r="19" spans="2:15" x14ac:dyDescent="0.35">
      <c r="B19" s="231">
        <v>6</v>
      </c>
      <c r="C19" s="232"/>
      <c r="D19" s="233" t="s">
        <v>15</v>
      </c>
      <c r="E19" s="232"/>
      <c r="F19" s="134" t="s">
        <v>115</v>
      </c>
      <c r="G19" s="132" t="s">
        <v>115</v>
      </c>
      <c r="H19" s="54">
        <f>IF(AND($F19="N",G19="Y"),-VLOOKUP($D19,'Rent Adjustment Worksheet'!$B:$C,2,FALSE),0)</f>
        <v>0</v>
      </c>
      <c r="I19" s="128">
        <f>IF(AND($F19="Y",G19="N"),VLOOKUP($D19,'Rent Adjustment Worksheet'!$B:$C,2,FALSE),0)</f>
        <v>0</v>
      </c>
      <c r="J19" s="132" t="s">
        <v>115</v>
      </c>
      <c r="K19" s="54">
        <f>IF(AND($F19="N",J19="Y"),-VLOOKUP($D19,'Rent Adjustment Worksheet'!$B:$C,2,FALSE),0)</f>
        <v>0</v>
      </c>
      <c r="L19" s="56">
        <f>IF(AND($F19="Y",J19="N"),VLOOKUP($D19,'Rent Adjustment Worksheet'!$B:$C,2,FALSE),0)</f>
        <v>0</v>
      </c>
      <c r="M19" s="130" t="s">
        <v>115</v>
      </c>
      <c r="N19" s="54">
        <f>IF(AND($F19="N",M19="Y"),-VLOOKUP($D19,'Rent Adjustment Worksheet'!$B:$C,2,FALSE),0)</f>
        <v>0</v>
      </c>
      <c r="O19" s="56">
        <f>IF(AND($F19="Y",M19="N"),VLOOKUP($D19,'Rent Adjustment Worksheet'!$B:$C,2,FALSE),0)</f>
        <v>0</v>
      </c>
    </row>
    <row r="20" spans="2:15" x14ac:dyDescent="0.35">
      <c r="B20" s="231">
        <v>7</v>
      </c>
      <c r="C20" s="232"/>
      <c r="D20" s="233" t="s">
        <v>17</v>
      </c>
      <c r="E20" s="232"/>
      <c r="F20" s="134" t="s">
        <v>115</v>
      </c>
      <c r="G20" s="132" t="s">
        <v>115</v>
      </c>
      <c r="H20" s="54">
        <f>IF(AND($F20="N",G20="Y"),-VLOOKUP($D20,'Rent Adjustment Worksheet'!$B:$C,2,FALSE),0)</f>
        <v>0</v>
      </c>
      <c r="I20" s="128">
        <f>IF(AND($F20="Y",G20="N"),VLOOKUP($D20,'Rent Adjustment Worksheet'!$B:$C,2,FALSE),0)</f>
        <v>0</v>
      </c>
      <c r="J20" s="132" t="s">
        <v>115</v>
      </c>
      <c r="K20" s="54">
        <f>IF(AND($F20="N",J20="Y"),-VLOOKUP($D20,'Rent Adjustment Worksheet'!$B:$C,2,FALSE),0)</f>
        <v>0</v>
      </c>
      <c r="L20" s="56">
        <f>IF(AND($F20="Y",J20="N"),VLOOKUP($D20,'Rent Adjustment Worksheet'!$B:$C,2,FALSE),0)</f>
        <v>0</v>
      </c>
      <c r="M20" s="130" t="s">
        <v>115</v>
      </c>
      <c r="N20" s="54">
        <f>IF(AND($F20="N",M20="Y"),-VLOOKUP($D20,'Rent Adjustment Worksheet'!$B:$C,2,FALSE),0)</f>
        <v>0</v>
      </c>
      <c r="O20" s="56">
        <f>IF(AND($F20="Y",M20="N"),VLOOKUP($D20,'Rent Adjustment Worksheet'!$B:$C,2,FALSE),0)</f>
        <v>0</v>
      </c>
    </row>
    <row r="21" spans="2:15" x14ac:dyDescent="0.35">
      <c r="B21" s="231">
        <v>8</v>
      </c>
      <c r="C21" s="232"/>
      <c r="D21" s="233" t="s">
        <v>159</v>
      </c>
      <c r="E21" s="232"/>
      <c r="F21" s="134" t="s">
        <v>118</v>
      </c>
      <c r="G21" s="132" t="s">
        <v>118</v>
      </c>
      <c r="H21" s="54">
        <f>SUMIFS(Laundry!$F:$F,Laundry!$A:$A,$G$6,Laundry!$B:$B,$G$7)</f>
        <v>0</v>
      </c>
      <c r="I21" s="56">
        <f>SUMIFS(Laundry!$G:$G,Laundry!$A:$A,$G$6,Laundry!$B:$B,$G$7)</f>
        <v>0</v>
      </c>
      <c r="J21" s="134" t="s">
        <v>118</v>
      </c>
      <c r="K21" s="54">
        <f>SUMIFS(Laundry!$F:$F,Laundry!$A:$A,$G$6,Laundry!$B:$B,$J$7)</f>
        <v>0</v>
      </c>
      <c r="L21" s="56">
        <f>SUMIFS(Laundry!$G:$G,Laundry!$A:$A,$G$6,Laundry!$B:$B,$J$7)</f>
        <v>0</v>
      </c>
      <c r="M21" s="134" t="s">
        <v>118</v>
      </c>
      <c r="N21" s="54">
        <f>SUMIFS(Laundry!$F:$F,Laundry!$A:$A,$G$6,Laundry!$B:$B,$M$7)</f>
        <v>0</v>
      </c>
      <c r="O21" s="56">
        <f>SUMIFS(Laundry!$G:$G,Laundry!$A:$A,$G$6,Laundry!$B:$B,$M$7)</f>
        <v>0</v>
      </c>
    </row>
    <row r="22" spans="2:15" x14ac:dyDescent="0.35">
      <c r="B22" s="231">
        <v>9</v>
      </c>
      <c r="C22" s="232"/>
      <c r="D22" s="233" t="s">
        <v>117</v>
      </c>
      <c r="E22" s="232"/>
      <c r="F22" s="134" t="s">
        <v>118</v>
      </c>
      <c r="G22" s="132" t="s">
        <v>118</v>
      </c>
      <c r="H22" s="54">
        <f>SUMIFS(AC!$F:$F,AC!$A:$A,$G$6,AC!$B:$B,$G$7)</f>
        <v>0</v>
      </c>
      <c r="I22" s="56">
        <f>SUMIFS(AC!$G:$G,AC!$A:$A,$G$6,AC!$B:$B,$G$7)</f>
        <v>0</v>
      </c>
      <c r="J22" s="132" t="s">
        <v>118</v>
      </c>
      <c r="K22" s="54">
        <f>SUMIFS(AC!$F:$F,AC!$A:$A,$G$6,AC!$B:$B,$J$7)</f>
        <v>0</v>
      </c>
      <c r="L22" s="56">
        <f>SUMIFS(AC!$G:$G,AC!$A:$A,$G$6,AC!$B:$B,$J$7)</f>
        <v>0</v>
      </c>
      <c r="M22" s="130" t="s">
        <v>118</v>
      </c>
      <c r="N22" s="54">
        <f>SUMIFS(AC!$F:$F,AC!$A:$A,$G$6,AC!$B:$B,$M$7)</f>
        <v>0</v>
      </c>
      <c r="O22" s="56">
        <f>SUMIFS(AC!$G:$G,AC!$A:$A,$G$6,AC!$B:$B,$M$7)</f>
        <v>0</v>
      </c>
    </row>
    <row r="23" spans="2:15" x14ac:dyDescent="0.35">
      <c r="B23" s="231">
        <v>10</v>
      </c>
      <c r="C23" s="232"/>
      <c r="D23" s="233" t="s">
        <v>28</v>
      </c>
      <c r="E23" s="232"/>
      <c r="F23" s="134" t="s">
        <v>115</v>
      </c>
      <c r="G23" s="132" t="s">
        <v>115</v>
      </c>
      <c r="H23" s="54">
        <f>IF(AND($F23="N",G23="Y"),-VLOOKUP($D23,'Rent Adjustment Worksheet'!$B:$C,2,FALSE),0)</f>
        <v>0</v>
      </c>
      <c r="I23" s="128">
        <f>IF(AND($F23="Y",G23="N"),VLOOKUP($D23,'Rent Adjustment Worksheet'!$B:$C,2,FALSE),0)</f>
        <v>0</v>
      </c>
      <c r="J23" s="132" t="s">
        <v>115</v>
      </c>
      <c r="K23" s="54">
        <f>IF(AND($F23="N",J23="Y"),-VLOOKUP($D23,'Rent Adjustment Worksheet'!$B:$C,2,FALSE),0)</f>
        <v>0</v>
      </c>
      <c r="L23" s="56">
        <f>IF(AND($F23="Y",J23="N"),VLOOKUP($D23,'Rent Adjustment Worksheet'!$B:$C,2,FALSE),0)</f>
        <v>0</v>
      </c>
      <c r="M23" s="130" t="s">
        <v>115</v>
      </c>
      <c r="N23" s="54">
        <f>IF(AND($F23="N",M23="Y"),-VLOOKUP($D23,'Rent Adjustment Worksheet'!$B:$C,2,FALSE),0)</f>
        <v>0</v>
      </c>
      <c r="O23" s="56">
        <f>IF(AND($F23="Y",M23="N"),VLOOKUP($D23,'Rent Adjustment Worksheet'!$B:$C,2,FALSE),0)</f>
        <v>0</v>
      </c>
    </row>
    <row r="24" spans="2:15" x14ac:dyDescent="0.35">
      <c r="B24" s="231">
        <v>11</v>
      </c>
      <c r="C24" s="232"/>
      <c r="D24" s="233" t="s">
        <v>119</v>
      </c>
      <c r="E24" s="232"/>
      <c r="F24" s="134" t="s">
        <v>115</v>
      </c>
      <c r="G24" s="132" t="s">
        <v>115</v>
      </c>
      <c r="H24" s="54">
        <f>IF(AND($F24="N",G24="Y"),-VLOOKUP($D24,'Rent Adjustment Worksheet'!$B:$C,2,FALSE),0)</f>
        <v>0</v>
      </c>
      <c r="I24" s="128">
        <f>IF(AND($F24="Y",G24="N"),VLOOKUP($D24,'Rent Adjustment Worksheet'!$B:$C,2,FALSE),0)</f>
        <v>0</v>
      </c>
      <c r="J24" s="132" t="s">
        <v>115</v>
      </c>
      <c r="K24" s="54">
        <f>IF(AND($F24="N",J24="Y"),-VLOOKUP($D24,'Rent Adjustment Worksheet'!$B:$C,2,FALSE),0)</f>
        <v>0</v>
      </c>
      <c r="L24" s="56">
        <f>IF(AND($F24="Y",J24="N"),VLOOKUP($D24,'Rent Adjustment Worksheet'!$B:$C,2,FALSE),0)</f>
        <v>0</v>
      </c>
      <c r="M24" s="130" t="s">
        <v>115</v>
      </c>
      <c r="N24" s="54">
        <f>IF(AND($F24="N",M24="Y"),-VLOOKUP($D24,'Rent Adjustment Worksheet'!$B:$C,2,FALSE),0)</f>
        <v>0</v>
      </c>
      <c r="O24" s="56">
        <f>IF(AND($F24="Y",M24="N"),VLOOKUP($D24,'Rent Adjustment Worksheet'!$B:$C,2,FALSE),0)</f>
        <v>0</v>
      </c>
    </row>
    <row r="25" spans="2:15" x14ac:dyDescent="0.35">
      <c r="B25" s="231">
        <v>12</v>
      </c>
      <c r="C25" s="232"/>
      <c r="D25" s="233" t="s">
        <v>32</v>
      </c>
      <c r="E25" s="232"/>
      <c r="F25" s="134" t="s">
        <v>115</v>
      </c>
      <c r="G25" s="132" t="s">
        <v>115</v>
      </c>
      <c r="H25" s="54">
        <f>IF(AND($F25="N",G25="Y"),-VLOOKUP($D25,'Rent Adjustment Worksheet'!$B:$C,2,FALSE),0)</f>
        <v>0</v>
      </c>
      <c r="I25" s="128">
        <f>IF(AND($F25="Y",G25="N"),VLOOKUP($D25,'Rent Adjustment Worksheet'!$B:$C,2,FALSE),0)</f>
        <v>0</v>
      </c>
      <c r="J25" s="132" t="s">
        <v>115</v>
      </c>
      <c r="K25" s="54">
        <f>IF(AND($F25="N",J25="Y"),-VLOOKUP($D25,'Rent Adjustment Worksheet'!$B:$C,2,FALSE),0)</f>
        <v>0</v>
      </c>
      <c r="L25" s="56">
        <f>IF(AND($F25="Y",J25="N"),VLOOKUP($D25,'Rent Adjustment Worksheet'!$B:$C,2,FALSE),0)</f>
        <v>0</v>
      </c>
      <c r="M25" s="130" t="s">
        <v>115</v>
      </c>
      <c r="N25" s="54">
        <f>IF(AND($F25="N",M25="Y"),-VLOOKUP($D25,'Rent Adjustment Worksheet'!$B:$C,2,FALSE),0)</f>
        <v>0</v>
      </c>
      <c r="O25" s="56">
        <f>IF(AND($F25="Y",M25="N"),VLOOKUP($D25,'Rent Adjustment Worksheet'!$B:$C,2,FALSE),0)</f>
        <v>0</v>
      </c>
    </row>
    <row r="26" spans="2:15" x14ac:dyDescent="0.35">
      <c r="B26" s="231">
        <v>13</v>
      </c>
      <c r="C26" s="232"/>
      <c r="D26" s="233" t="s">
        <v>34</v>
      </c>
      <c r="E26" s="232"/>
      <c r="F26" s="134" t="s">
        <v>115</v>
      </c>
      <c r="G26" s="132" t="s">
        <v>115</v>
      </c>
      <c r="H26" s="54">
        <f>IF(AND($F26="N",G26="Y"),-VLOOKUP($D26,'Rent Adjustment Worksheet'!$B:$C,2,FALSE),0)</f>
        <v>0</v>
      </c>
      <c r="I26" s="128">
        <f>IF(AND($F26="Y",G26="N"),VLOOKUP($D26,'Rent Adjustment Worksheet'!$B:$C,2,FALSE),0)</f>
        <v>0</v>
      </c>
      <c r="J26" s="132" t="s">
        <v>115</v>
      </c>
      <c r="K26" s="54">
        <f>IF(AND($F26="N",J26="Y"),-VLOOKUP($D26,'Rent Adjustment Worksheet'!$B:$C,2,FALSE),0)</f>
        <v>0</v>
      </c>
      <c r="L26" s="56">
        <f>IF(AND($F26="Y",J26="N"),VLOOKUP($D26,'Rent Adjustment Worksheet'!$B:$C,2,FALSE),0)</f>
        <v>0</v>
      </c>
      <c r="M26" s="130" t="s">
        <v>115</v>
      </c>
      <c r="N26" s="54">
        <f>IF(AND($F26="N",M26="Y"),-VLOOKUP($D26,'Rent Adjustment Worksheet'!$B:$C,2,FALSE),0)</f>
        <v>0</v>
      </c>
      <c r="O26" s="56">
        <f>IF(AND($F26="Y",M26="N"),VLOOKUP($D26,'Rent Adjustment Worksheet'!$B:$C,2,FALSE),0)</f>
        <v>0</v>
      </c>
    </row>
    <row r="27" spans="2:15" x14ac:dyDescent="0.35">
      <c r="B27" s="231">
        <v>14</v>
      </c>
      <c r="C27" s="232"/>
      <c r="D27" s="233" t="s">
        <v>36</v>
      </c>
      <c r="E27" s="232"/>
      <c r="F27" s="134" t="s">
        <v>115</v>
      </c>
      <c r="G27" s="132" t="s">
        <v>115</v>
      </c>
      <c r="H27" s="54">
        <f>IF(AND($F27="N",G27="Y"),-VLOOKUP($D27,'Rent Adjustment Worksheet'!$B:$C,2,FALSE),0)</f>
        <v>0</v>
      </c>
      <c r="I27" s="128">
        <f>IF(AND($F27="Y",G27="N"),VLOOKUP($D27,'Rent Adjustment Worksheet'!$B:$C,2,FALSE),0)</f>
        <v>0</v>
      </c>
      <c r="J27" s="132" t="s">
        <v>115</v>
      </c>
      <c r="K27" s="54">
        <f>IF(AND($F27="N",J27="Y"),-VLOOKUP($D27,'Rent Adjustment Worksheet'!$B:$C,2,FALSE),0)</f>
        <v>0</v>
      </c>
      <c r="L27" s="56">
        <f>IF(AND($F27="Y",J27="N"),VLOOKUP($D27,'Rent Adjustment Worksheet'!$B:$C,2,FALSE),0)</f>
        <v>0</v>
      </c>
      <c r="M27" s="130" t="s">
        <v>115</v>
      </c>
      <c r="N27" s="54">
        <f>IF(AND($F27="N",M27="Y"),-VLOOKUP($D27,'Rent Adjustment Worksheet'!$B:$C,2,FALSE),0)</f>
        <v>0</v>
      </c>
      <c r="O27" s="56">
        <f>IF(AND($F27="Y",M27="N"),VLOOKUP($D27,'Rent Adjustment Worksheet'!$B:$C,2,FALSE),0)</f>
        <v>0</v>
      </c>
    </row>
    <row r="28" spans="2:15" x14ac:dyDescent="0.35">
      <c r="B28" s="231">
        <v>15</v>
      </c>
      <c r="C28" s="232"/>
      <c r="D28" s="233" t="s">
        <v>38</v>
      </c>
      <c r="E28" s="232"/>
      <c r="F28" s="134" t="s">
        <v>115</v>
      </c>
      <c r="G28" s="132" t="s">
        <v>115</v>
      </c>
      <c r="H28" s="54">
        <f>IF(AND($F28="N",G28="Y"),-VLOOKUP($D28,'Rent Adjustment Worksheet'!$B:$C,2,FALSE),0)</f>
        <v>0</v>
      </c>
      <c r="I28" s="128">
        <f>IF(AND($F28="Y",G28="N"),VLOOKUP($D28,'Rent Adjustment Worksheet'!$B:$C,2,FALSE),0)</f>
        <v>0</v>
      </c>
      <c r="J28" s="132" t="s">
        <v>115</v>
      </c>
      <c r="K28" s="54">
        <f>IF(AND($F28="N",J28="Y"),-VLOOKUP($D28,'Rent Adjustment Worksheet'!$B:$C,2,FALSE),0)</f>
        <v>0</v>
      </c>
      <c r="L28" s="56">
        <f>IF(AND($F28="Y",J28="N"),VLOOKUP($D28,'Rent Adjustment Worksheet'!$B:$C,2,FALSE),0)</f>
        <v>0</v>
      </c>
      <c r="M28" s="130" t="s">
        <v>115</v>
      </c>
      <c r="N28" s="54">
        <f>IF(AND($F28="N",M28="Y"),-VLOOKUP($D28,'Rent Adjustment Worksheet'!$B:$C,2,FALSE),0)</f>
        <v>0</v>
      </c>
      <c r="O28" s="56">
        <f>IF(AND($F28="Y",M28="N"),VLOOKUP($D28,'Rent Adjustment Worksheet'!$B:$C,2,FALSE),0)</f>
        <v>0</v>
      </c>
    </row>
    <row r="29" spans="2:15" x14ac:dyDescent="0.35">
      <c r="B29" s="231">
        <v>16</v>
      </c>
      <c r="C29" s="232"/>
      <c r="D29" s="233" t="s">
        <v>39</v>
      </c>
      <c r="E29" s="232"/>
      <c r="F29" s="134" t="s">
        <v>115</v>
      </c>
      <c r="G29" s="132" t="s">
        <v>115</v>
      </c>
      <c r="H29" s="54">
        <f>IF(AND($F29="N",G29="Y"),-VLOOKUP($D29,'Rent Adjustment Worksheet'!$B:$C,2,FALSE),0)</f>
        <v>0</v>
      </c>
      <c r="I29" s="128">
        <f>IF(AND($F29="Y",G29="N"),VLOOKUP($D29,'Rent Adjustment Worksheet'!$B:$C,2,FALSE),0)</f>
        <v>0</v>
      </c>
      <c r="J29" s="132" t="s">
        <v>115</v>
      </c>
      <c r="K29" s="54">
        <f>IF(AND($F29="N",J29="Y"),-VLOOKUP($D29,'Rent Adjustment Worksheet'!$B:$C,2,FALSE),0)</f>
        <v>0</v>
      </c>
      <c r="L29" s="56">
        <f>IF(AND($F29="Y",J29="N"),VLOOKUP($D29,'Rent Adjustment Worksheet'!$B:$C,2,FALSE),0)</f>
        <v>0</v>
      </c>
      <c r="M29" s="130" t="s">
        <v>115</v>
      </c>
      <c r="N29" s="54">
        <f>IF(AND($F29="N",M29="Y"),-VLOOKUP($D29,'Rent Adjustment Worksheet'!$B:$C,2,FALSE),0)</f>
        <v>0</v>
      </c>
      <c r="O29" s="56">
        <f>IF(AND($F29="Y",M29="N"),VLOOKUP($D29,'Rent Adjustment Worksheet'!$B:$C,2,FALSE),0)</f>
        <v>0</v>
      </c>
    </row>
    <row r="30" spans="2:15" x14ac:dyDescent="0.35">
      <c r="B30" s="231">
        <v>17</v>
      </c>
      <c r="C30" s="232"/>
      <c r="D30" s="233" t="s">
        <v>41</v>
      </c>
      <c r="E30" s="232"/>
      <c r="F30" s="134" t="s">
        <v>115</v>
      </c>
      <c r="G30" s="132" t="s">
        <v>115</v>
      </c>
      <c r="H30" s="54">
        <f>IF(AND($F30="N",G30="Y"),-VLOOKUP($D30,'Rent Adjustment Worksheet'!$B:$C,2,FALSE),0)</f>
        <v>0</v>
      </c>
      <c r="I30" s="128">
        <f>IF(AND($F30="Y",G30="N"),VLOOKUP($D30,'Rent Adjustment Worksheet'!$B:$C,2,FALSE),0)</f>
        <v>0</v>
      </c>
      <c r="J30" s="132" t="s">
        <v>115</v>
      </c>
      <c r="K30" s="54">
        <f>IF(AND($F30="N",J30="Y"),-VLOOKUP($D30,'Rent Adjustment Worksheet'!$B:$C,2,FALSE),0)</f>
        <v>0</v>
      </c>
      <c r="L30" s="56">
        <f>IF(AND($F30="Y",J30="N"),VLOOKUP($D30,'Rent Adjustment Worksheet'!$B:$C,2,FALSE),0)</f>
        <v>0</v>
      </c>
      <c r="M30" s="130" t="s">
        <v>115</v>
      </c>
      <c r="N30" s="54">
        <f>IF(AND($F30="N",M30="Y"),-VLOOKUP($D30,'Rent Adjustment Worksheet'!$B:$C,2,FALSE),0)</f>
        <v>0</v>
      </c>
      <c r="O30" s="56">
        <f>IF(AND($F30="Y",M30="N"),VLOOKUP($D30,'Rent Adjustment Worksheet'!$B:$C,2,FALSE),0)</f>
        <v>0</v>
      </c>
    </row>
    <row r="31" spans="2:15" x14ac:dyDescent="0.35">
      <c r="B31" s="231">
        <v>18</v>
      </c>
      <c r="C31" s="232"/>
      <c r="D31" s="233" t="s">
        <v>43</v>
      </c>
      <c r="E31" s="232"/>
      <c r="F31" s="134" t="s">
        <v>115</v>
      </c>
      <c r="G31" s="132" t="s">
        <v>115</v>
      </c>
      <c r="H31" s="54">
        <f>IF(AND($F31="N",G31="Y"),-VLOOKUP($D31,'Rent Adjustment Worksheet'!$B:$C,2,FALSE),0)</f>
        <v>0</v>
      </c>
      <c r="I31" s="128">
        <f>IF(AND($F31="Y",G31="N"),VLOOKUP($D31,'Rent Adjustment Worksheet'!$B:$C,2,FALSE),0)</f>
        <v>0</v>
      </c>
      <c r="J31" s="132" t="s">
        <v>115</v>
      </c>
      <c r="K31" s="54">
        <f>IF(AND($F31="N",J31="Y"),-VLOOKUP($D31,'Rent Adjustment Worksheet'!$B:$C,2,FALSE),0)</f>
        <v>0</v>
      </c>
      <c r="L31" s="56">
        <f>IF(AND($F31="Y",J31="N"),VLOOKUP($D31,'Rent Adjustment Worksheet'!$B:$C,2,FALSE),0)</f>
        <v>0</v>
      </c>
      <c r="M31" s="130" t="s">
        <v>115</v>
      </c>
      <c r="N31" s="54">
        <f>IF(AND($F31="N",M31="Y"),-VLOOKUP($D31,'Rent Adjustment Worksheet'!$B:$C,2,FALSE),0)</f>
        <v>0</v>
      </c>
      <c r="O31" s="56">
        <f>IF(AND($F31="Y",M31="N"),VLOOKUP($D31,'Rent Adjustment Worksheet'!$B:$C,2,FALSE),0)</f>
        <v>0</v>
      </c>
    </row>
    <row r="32" spans="2:15" x14ac:dyDescent="0.35">
      <c r="B32" s="238" t="s">
        <v>120</v>
      </c>
      <c r="C32" s="239"/>
      <c r="D32" s="239"/>
      <c r="E32" s="239"/>
      <c r="F32" s="239"/>
      <c r="G32" s="239"/>
      <c r="H32" s="239"/>
      <c r="I32" s="239"/>
      <c r="J32" s="239"/>
      <c r="K32" s="239"/>
      <c r="L32" s="239"/>
      <c r="M32" s="239"/>
      <c r="N32" s="239"/>
      <c r="O32" s="240"/>
    </row>
    <row r="33" spans="2:15" x14ac:dyDescent="0.35">
      <c r="B33" s="231">
        <v>19</v>
      </c>
      <c r="C33" s="232"/>
      <c r="D33" s="233" t="s">
        <v>122</v>
      </c>
      <c r="E33" s="232"/>
      <c r="F33" s="134" t="s">
        <v>115</v>
      </c>
      <c r="G33" s="132" t="s">
        <v>115</v>
      </c>
      <c r="H33" s="54">
        <f>IF(AND($F33="N",G33="Y"),-VLOOKUP($D33,'Rent Adjustment Worksheet'!$B:$C,2,FALSE),0)</f>
        <v>0</v>
      </c>
      <c r="I33" s="56">
        <f>IF(AND($F33="Y",G33="N"),VLOOKUP($D33,'Rent Adjustment Worksheet'!$B:$C,2,FALSE),0)</f>
        <v>0</v>
      </c>
      <c r="J33" s="130" t="s">
        <v>115</v>
      </c>
      <c r="K33" s="54">
        <f>IF(AND($F33="N",J33="Y"),-VLOOKUP($D33,'Rent Adjustment Worksheet'!$B:$C,2,FALSE),0)</f>
        <v>0</v>
      </c>
      <c r="L33" s="128">
        <f>IF(AND($F33="Y",J33="N"),VLOOKUP($D33,'Rent Adjustment Worksheet'!$B:$C,2,FALSE),0)</f>
        <v>0</v>
      </c>
      <c r="M33" s="132" t="s">
        <v>115</v>
      </c>
      <c r="N33" s="54">
        <f>IF(AND($F33="N",M33="Y"),-VLOOKUP($D33,'Rent Adjustment Worksheet'!$B:$C,2,FALSE),0)</f>
        <v>0</v>
      </c>
      <c r="O33" s="56">
        <f>IF(AND($F33="Y",M33="N"),VLOOKUP($D33,'Rent Adjustment Worksheet'!$B:$C,2,FALSE),0)</f>
        <v>0</v>
      </c>
    </row>
    <row r="34" spans="2:15" x14ac:dyDescent="0.35">
      <c r="B34" s="231">
        <v>20</v>
      </c>
      <c r="C34" s="232"/>
      <c r="D34" s="233" t="s">
        <v>68</v>
      </c>
      <c r="E34" s="232"/>
      <c r="F34" s="134" t="s">
        <v>115</v>
      </c>
      <c r="G34" s="132" t="s">
        <v>115</v>
      </c>
      <c r="H34" s="54">
        <f>IF(AND($F34="N",G34="Y"),-VLOOKUP($G$6,'Utilities Worksheet'!$B$3:$G$10,3,FALSE),0)</f>
        <v>0</v>
      </c>
      <c r="I34" s="56">
        <f>IF(AND($F34="Y",G34="N"),VLOOKUP($G$6,'Utilities Worksheet'!$B$3:$G$10,3,FALSE),0)</f>
        <v>0</v>
      </c>
      <c r="J34" s="130" t="s">
        <v>115</v>
      </c>
      <c r="K34" s="54">
        <f>IF(AND($F34="N",J34="Y"),-VLOOKUP($G$6,'Utilities Worksheet'!$B$3:$G$10,3,FALSE),0)</f>
        <v>0</v>
      </c>
      <c r="L34" s="56">
        <f>IF(AND($F34="Y",J34="N"),VLOOKUP($G$6,'Utilities Worksheet'!$B$3:$G$10,3,FALSE),0)</f>
        <v>0</v>
      </c>
      <c r="M34" s="132" t="s">
        <v>115</v>
      </c>
      <c r="N34" s="54">
        <f>IF(AND($F34="N",M34="Y"),-VLOOKUP($G$6,'Utilities Worksheet'!$B$3:$G$10,3,FALSE),0)</f>
        <v>0</v>
      </c>
      <c r="O34" s="56">
        <f>IF(AND($F34="Y",M34="N"),VLOOKUP($G$6,'Utilities Worksheet'!$B$3:$G$10,3,FALSE),0)</f>
        <v>0</v>
      </c>
    </row>
    <row r="35" spans="2:15" x14ac:dyDescent="0.35">
      <c r="B35" s="231">
        <v>21</v>
      </c>
      <c r="C35" s="232"/>
      <c r="D35" s="233" t="s">
        <v>69</v>
      </c>
      <c r="E35" s="232"/>
      <c r="F35" s="134" t="s">
        <v>115</v>
      </c>
      <c r="G35" s="132" t="s">
        <v>115</v>
      </c>
      <c r="H35" s="54">
        <f>IF(AND($F35="N",G35="Y"),-VLOOKUP($G$6,'Utilities Worksheet'!$B$3:$G$10,4,FALSE),0)</f>
        <v>0</v>
      </c>
      <c r="I35" s="56">
        <f>IF(AND($F35="Y",G35="N"),VLOOKUP($G$6,'Utilities Worksheet'!$B$3:$G$10,4,FALSE),0)</f>
        <v>0</v>
      </c>
      <c r="J35" s="130" t="s">
        <v>115</v>
      </c>
      <c r="K35" s="54">
        <f>IF(AND($F35="N",J35="Y"),-VLOOKUP($G$6,'Utilities Worksheet'!$B$3:$G$10,4,FALSE),0)</f>
        <v>0</v>
      </c>
      <c r="L35" s="56">
        <f>IF(AND($F35="Y",J35="N"),VLOOKUP($G$6,'Utilities Worksheet'!$B$3:$G$10,4,FALSE),0)</f>
        <v>0</v>
      </c>
      <c r="M35" s="132" t="s">
        <v>115</v>
      </c>
      <c r="N35" s="54">
        <f>IF(AND($F35="N",M35="Y"),-VLOOKUP($G$6,'Utilities Worksheet'!$B$3:$G$10,4,FALSE),0)</f>
        <v>0</v>
      </c>
      <c r="O35" s="56">
        <f>IF(AND($F35="Y",M35="N"),VLOOKUP($G$6,'Utilities Worksheet'!$B$3:$G$10,4,FALSE),0)</f>
        <v>0</v>
      </c>
    </row>
    <row r="36" spans="2:15" x14ac:dyDescent="0.35">
      <c r="B36" s="231">
        <v>22</v>
      </c>
      <c r="C36" s="232"/>
      <c r="D36" s="233" t="s">
        <v>70</v>
      </c>
      <c r="E36" s="232"/>
      <c r="F36" s="134" t="s">
        <v>115</v>
      </c>
      <c r="G36" s="132" t="s">
        <v>115</v>
      </c>
      <c r="H36" s="54">
        <f>IF(AND($F36="N",G36="Y"),-VLOOKUP($G$6,'Utilities Worksheet'!$B$3:$G$10,5,FALSE),0)</f>
        <v>0</v>
      </c>
      <c r="I36" s="56">
        <f>IF(AND($F36="Y",G36="N"),VLOOKUP($G$6,'Utilities Worksheet'!$B$3:$G$10,5,FALSE),0)</f>
        <v>0</v>
      </c>
      <c r="J36" s="130" t="s">
        <v>115</v>
      </c>
      <c r="K36" s="54">
        <f>IF(AND($F36="N",J36="Y"),-VLOOKUP($G$6,'Utilities Worksheet'!$B$3:$G$10,5,FALSE),0)</f>
        <v>0</v>
      </c>
      <c r="L36" s="56">
        <f>IF(AND($F36="Y",J36="N"),VLOOKUP($G$6,'Utilities Worksheet'!$B$3:$G$10,5,FALSE),0)</f>
        <v>0</v>
      </c>
      <c r="M36" s="132" t="s">
        <v>115</v>
      </c>
      <c r="N36" s="54">
        <f>IF(AND($F36="N",M36="Y"),-VLOOKUP($G$6,'Utilities Worksheet'!$B$3:$G$10,5,FALSE),0)</f>
        <v>0</v>
      </c>
      <c r="O36" s="56">
        <f>IF(AND($F36="Y",M36="N"),VLOOKUP($G$6,'Utilities Worksheet'!$B$3:$G$10,5,FALSE),0)</f>
        <v>0</v>
      </c>
    </row>
    <row r="37" spans="2:15" x14ac:dyDescent="0.35">
      <c r="B37" s="231">
        <v>23</v>
      </c>
      <c r="C37" s="232"/>
      <c r="D37" s="233" t="s">
        <v>71</v>
      </c>
      <c r="E37" s="232"/>
      <c r="F37" s="134" t="s">
        <v>115</v>
      </c>
      <c r="G37" s="132" t="s">
        <v>115</v>
      </c>
      <c r="H37" s="54">
        <f>IF(AND($F37="N",G37="Y"),-VLOOKUP($G$6,'Utilities Worksheet'!$B$3:$G$10,6,FALSE),0)</f>
        <v>0</v>
      </c>
      <c r="I37" s="56">
        <f>IF(AND($F37="Y",G37="N"),VLOOKUP($G$6,'Utilities Worksheet'!$B$3:$G$10,6,FALSE),0)</f>
        <v>0</v>
      </c>
      <c r="J37" s="130" t="s">
        <v>115</v>
      </c>
      <c r="K37" s="54">
        <f>IF(AND($F37="N",J37="Y"),-VLOOKUP($G$6,'Utilities Worksheet'!$B$3:$G$10,6,FALSE),0)</f>
        <v>0</v>
      </c>
      <c r="L37" s="56">
        <f>IF(AND($F37="Y",J37="N"),VLOOKUP($G$6,'Utilities Worksheet'!$B$3:$G$10,6,FALSE),0)</f>
        <v>0</v>
      </c>
      <c r="M37" s="132" t="s">
        <v>115</v>
      </c>
      <c r="N37" s="54">
        <f>IF(AND($F37="N",M37="Y"),-VLOOKUP($G$6,'Utilities Worksheet'!$B$3:$G$10,6,FALSE),0)</f>
        <v>0</v>
      </c>
      <c r="O37" s="56">
        <f>IF(AND($F37="Y",M37="N"),VLOOKUP($G$6,'Utilities Worksheet'!$B$3:$G$10,6,FALSE),0)</f>
        <v>0</v>
      </c>
    </row>
    <row r="38" spans="2:15" x14ac:dyDescent="0.35">
      <c r="B38" s="231">
        <v>24</v>
      </c>
      <c r="C38" s="232"/>
      <c r="D38" s="233" t="s">
        <v>47</v>
      </c>
      <c r="E38" s="232"/>
      <c r="F38" s="134" t="s">
        <v>115</v>
      </c>
      <c r="G38" s="132" t="s">
        <v>115</v>
      </c>
      <c r="H38" s="54">
        <f>IF(AND($F38="N",G38="Y"),-VLOOKUP($D38,'Rent Adjustment Worksheet'!$B:$C,2,FALSE),0)</f>
        <v>0</v>
      </c>
      <c r="I38" s="56">
        <f>IF(AND($F38="Y",G38="N"),VLOOKUP($D38,'Rent Adjustment Worksheet'!$B:$C,2,FALSE),0)</f>
        <v>0</v>
      </c>
      <c r="J38" s="130" t="s">
        <v>115</v>
      </c>
      <c r="K38" s="54">
        <f>IF(AND($F38="N",J38="Y"),-VLOOKUP($D38,'Rent Adjustment Worksheet'!$B:$C,2,FALSE),0)</f>
        <v>0</v>
      </c>
      <c r="L38" s="128">
        <f>IF(AND($F38="Y",J38="N"),VLOOKUP($D38,'Rent Adjustment Worksheet'!$B:$C,2,FALSE),0)</f>
        <v>0</v>
      </c>
      <c r="M38" s="132" t="s">
        <v>115</v>
      </c>
      <c r="N38" s="54">
        <f>IF(AND($F38="N",M38="Y"),-VLOOKUP($D38,'Rent Adjustment Worksheet'!$B:$C,2,FALSE),0)</f>
        <v>0</v>
      </c>
      <c r="O38" s="56">
        <f>IF(AND($F38="Y",M38="N"),VLOOKUP($D38,'Rent Adjustment Worksheet'!$B:$C,2,FALSE),0)</f>
        <v>0</v>
      </c>
    </row>
    <row r="39" spans="2:15" x14ac:dyDescent="0.35">
      <c r="B39" s="238" t="s">
        <v>123</v>
      </c>
      <c r="C39" s="239"/>
      <c r="D39" s="239"/>
      <c r="E39" s="239"/>
      <c r="F39" s="239"/>
      <c r="G39" s="239"/>
      <c r="H39" s="239"/>
      <c r="I39" s="239"/>
      <c r="J39" s="239"/>
      <c r="K39" s="239"/>
      <c r="L39" s="239"/>
      <c r="M39" s="239"/>
      <c r="N39" s="239"/>
      <c r="O39" s="240"/>
    </row>
    <row r="40" spans="2:15" x14ac:dyDescent="0.35">
      <c r="B40" s="231">
        <v>25</v>
      </c>
      <c r="C40" s="232"/>
      <c r="D40" s="261" t="str">
        <f>IF(OR('Rent Adjustment Worksheet'!$B25="PHA write-in (if Applicable)",'Rent Adjustment Worksheet'!$B25=""),"",'Rent Adjustment Worksheet'!$B25)</f>
        <v/>
      </c>
      <c r="E40" s="262"/>
      <c r="F40" s="134" t="s">
        <v>115</v>
      </c>
      <c r="G40" s="132" t="s">
        <v>115</v>
      </c>
      <c r="H40" s="54">
        <f>IF($D40="",0,IF(AND($F40="N",G40="Y"),-VLOOKUP($D40,'Rent Adjustment Worksheet'!$B:$C,2,FALSE),0))</f>
        <v>0</v>
      </c>
      <c r="I40" s="56">
        <f>IF($D40="",0,IF(AND($F40="Y",G40="N"),VLOOKUP($D40,'Rent Adjustment Worksheet'!$B:$C,2,FALSE),0))</f>
        <v>0</v>
      </c>
      <c r="J40" s="130" t="s">
        <v>115</v>
      </c>
      <c r="K40" s="54">
        <f>IF($D40="",0,IF(AND($F40="N",J40="Y"),-VLOOKUP($D40,'Rent Adjustment Worksheet'!$B:$C,2,FALSE),0))</f>
        <v>0</v>
      </c>
      <c r="L40" s="128">
        <f>IF($D40="",0,IF(AND($F40="Y",J40="N"),VLOOKUP($D40,'Rent Adjustment Worksheet'!$B:$C,2,FALSE),0))</f>
        <v>0</v>
      </c>
      <c r="M40" s="132" t="s">
        <v>115</v>
      </c>
      <c r="N40" s="54">
        <f>IF($D40="",0,IF(AND($F40="N",M40="Y"),-VLOOKUP($D40,'Rent Adjustment Worksheet'!$B:$C,2,FALSE),0))</f>
        <v>0</v>
      </c>
      <c r="O40" s="56">
        <f>IF($D40="",0,IF(AND($F40="Y",M40="N"),VLOOKUP($D40,'Rent Adjustment Worksheet'!$B:$C,2,FALSE),0))</f>
        <v>0</v>
      </c>
    </row>
    <row r="41" spans="2:15" x14ac:dyDescent="0.35">
      <c r="B41" s="231">
        <v>26</v>
      </c>
      <c r="C41" s="232"/>
      <c r="D41" s="261" t="str">
        <f>IF(OR('Rent Adjustment Worksheet'!$B26="PHA write-in (if Applicable)",'Rent Adjustment Worksheet'!$B26=""),"",'Rent Adjustment Worksheet'!$B26)</f>
        <v/>
      </c>
      <c r="E41" s="262"/>
      <c r="F41" s="134" t="s">
        <v>115</v>
      </c>
      <c r="G41" s="132" t="s">
        <v>115</v>
      </c>
      <c r="H41" s="54">
        <f>IF($D41="",0,IF(AND($F41="N",G41="Y"),-VLOOKUP($D41,'Rent Adjustment Worksheet'!$B:$C,2,FALSE),0))</f>
        <v>0</v>
      </c>
      <c r="I41" s="56">
        <f>IF($D41="",0,IF(AND($F41="Y",G41="N"),VLOOKUP($D41,'Rent Adjustment Worksheet'!$B:$C,2,FALSE),0))</f>
        <v>0</v>
      </c>
      <c r="J41" s="130" t="s">
        <v>115</v>
      </c>
      <c r="K41" s="54">
        <f>IF($D41="",0,IF(AND($F41="N",J41="Y"),-VLOOKUP($D41,'Rent Adjustment Worksheet'!$B:$C,2,FALSE),0))</f>
        <v>0</v>
      </c>
      <c r="L41" s="128">
        <f>IF($D41="",0,IF(AND($F41="Y",J41="N"),VLOOKUP($D41,'Rent Adjustment Worksheet'!$B:$C,2,FALSE),0))</f>
        <v>0</v>
      </c>
      <c r="M41" s="132" t="s">
        <v>115</v>
      </c>
      <c r="N41" s="54">
        <f>IF($D41="",0,IF(AND($F41="N",M41="Y"),-VLOOKUP($D41,'Rent Adjustment Worksheet'!$B:$C,2,FALSE),0))</f>
        <v>0</v>
      </c>
      <c r="O41" s="56">
        <f>IF($D41="",0,IF(AND($F41="Y",M41="N"),VLOOKUP($D41,'Rent Adjustment Worksheet'!$B:$C,2,FALSE),0))</f>
        <v>0</v>
      </c>
    </row>
    <row r="42" spans="2:15" x14ac:dyDescent="0.35">
      <c r="B42" s="231">
        <v>27</v>
      </c>
      <c r="C42" s="232"/>
      <c r="D42" s="261" t="str">
        <f>IF(OR('Rent Adjustment Worksheet'!$B27="PHA write-in (if Applicable)",'Rent Adjustment Worksheet'!$B27=""),"",'Rent Adjustment Worksheet'!$B27)</f>
        <v/>
      </c>
      <c r="E42" s="262"/>
      <c r="F42" s="134" t="s">
        <v>115</v>
      </c>
      <c r="G42" s="132" t="s">
        <v>115</v>
      </c>
      <c r="H42" s="54">
        <f>IF($D42="",0,IF(AND($F42="N",G42="Y"),-VLOOKUP($D42,'Rent Adjustment Worksheet'!$B:$C,2,FALSE),0))</f>
        <v>0</v>
      </c>
      <c r="I42" s="56">
        <f>IF($D42="",0,IF(AND($F42="Y",G42="N"),VLOOKUP($D42,'Rent Adjustment Worksheet'!$B:$C,2,FALSE),0))</f>
        <v>0</v>
      </c>
      <c r="J42" s="130" t="s">
        <v>115</v>
      </c>
      <c r="K42" s="54">
        <f>IF($D42="",0,IF(AND($F42="N",J42="Y"),-VLOOKUP($D42,'Rent Adjustment Worksheet'!$B:$C,2,FALSE),0))</f>
        <v>0</v>
      </c>
      <c r="L42" s="128">
        <f>IF($D42="",0,IF(AND($F42="Y",J42="N"),VLOOKUP($D42,'Rent Adjustment Worksheet'!$B:$C,2,FALSE),0))</f>
        <v>0</v>
      </c>
      <c r="M42" s="132" t="s">
        <v>115</v>
      </c>
      <c r="N42" s="54">
        <f>IF($D42="",0,IF(AND($F42="N",M42="Y"),-VLOOKUP($D42,'Rent Adjustment Worksheet'!$B:$C,2,FALSE),0))</f>
        <v>0</v>
      </c>
      <c r="O42" s="56">
        <f>IF($D42="",0,IF(AND($F42="Y",M42="N"),VLOOKUP($D42,'Rent Adjustment Worksheet'!$B:$C,2,FALSE),0))</f>
        <v>0</v>
      </c>
    </row>
    <row r="43" spans="2:15" x14ac:dyDescent="0.35">
      <c r="B43" s="231">
        <v>28</v>
      </c>
      <c r="C43" s="232"/>
      <c r="D43" s="261" t="str">
        <f>IF(OR('Rent Adjustment Worksheet'!$B28="PHA write-in (if Applicable)",'Rent Adjustment Worksheet'!$B28=""),"",'Rent Adjustment Worksheet'!$B28)</f>
        <v/>
      </c>
      <c r="E43" s="262"/>
      <c r="F43" s="134" t="s">
        <v>115</v>
      </c>
      <c r="G43" s="132" t="s">
        <v>115</v>
      </c>
      <c r="H43" s="54">
        <f>IF($D43="",0,IF(AND($F43="N",G43="Y"),-VLOOKUP($D43,'Rent Adjustment Worksheet'!$B:$C,2,FALSE),0))</f>
        <v>0</v>
      </c>
      <c r="I43" s="56">
        <f>IF($D43="",0,IF(AND($F43="Y",G43="N"),VLOOKUP($D43,'Rent Adjustment Worksheet'!$B:$C,2,FALSE),0))</f>
        <v>0</v>
      </c>
      <c r="J43" s="130" t="s">
        <v>115</v>
      </c>
      <c r="K43" s="54">
        <f>IF($D43="",0,IF(AND($F43="N",J43="Y"),-VLOOKUP($D43,'Rent Adjustment Worksheet'!$B:$C,2,FALSE),0))</f>
        <v>0</v>
      </c>
      <c r="L43" s="128">
        <f>IF($D43="",0,IF(AND($F43="Y",J43="N"),VLOOKUP($D43,'Rent Adjustment Worksheet'!$B:$C,2,FALSE),0))</f>
        <v>0</v>
      </c>
      <c r="M43" s="132" t="s">
        <v>115</v>
      </c>
      <c r="N43" s="54">
        <f>IF($D43="",0,IF(AND($F43="N",M43="Y"),-VLOOKUP($D43,'Rent Adjustment Worksheet'!$B:$C,2,FALSE),0))</f>
        <v>0</v>
      </c>
      <c r="O43" s="56">
        <f>IF($D43="",0,IF(AND($F43="Y",M43="N"),VLOOKUP($D43,'Rent Adjustment Worksheet'!$B:$C,2,FALSE),0))</f>
        <v>0</v>
      </c>
    </row>
    <row r="44" spans="2:15" x14ac:dyDescent="0.35">
      <c r="B44" s="231">
        <v>29</v>
      </c>
      <c r="C44" s="232"/>
      <c r="D44" s="261" t="str">
        <f>IF(OR('Rent Adjustment Worksheet'!$B29="PHA write-in (if Applicable)",'Rent Adjustment Worksheet'!$B29=""),"",'Rent Adjustment Worksheet'!$B29)</f>
        <v/>
      </c>
      <c r="E44" s="262"/>
      <c r="F44" s="134" t="s">
        <v>115</v>
      </c>
      <c r="G44" s="132" t="s">
        <v>115</v>
      </c>
      <c r="H44" s="54">
        <f>IF($D44="",0,IF(AND($F44="N",G44="Y"),-VLOOKUP($D44,'Rent Adjustment Worksheet'!$B:$C,2,FALSE),0))</f>
        <v>0</v>
      </c>
      <c r="I44" s="56">
        <f>IF($D44="",0,IF(AND($F44="Y",G44="N"),VLOOKUP($D44,'Rent Adjustment Worksheet'!$B:$C,2,FALSE),0))</f>
        <v>0</v>
      </c>
      <c r="J44" s="130" t="s">
        <v>115</v>
      </c>
      <c r="K44" s="54">
        <f>IF($D44="",0,IF(AND($F44="N",J44="Y"),-VLOOKUP($D44,'Rent Adjustment Worksheet'!$B:$C,2,FALSE),0))</f>
        <v>0</v>
      </c>
      <c r="L44" s="128">
        <f>IF($D44="",0,IF(AND($F44="Y",J44="N"),VLOOKUP($D44,'Rent Adjustment Worksheet'!$B:$C,2,FALSE),0))</f>
        <v>0</v>
      </c>
      <c r="M44" s="132" t="s">
        <v>115</v>
      </c>
      <c r="N44" s="54">
        <f>IF($D44="",0,IF(AND($F44="N",M44="Y"),-VLOOKUP($D44,'Rent Adjustment Worksheet'!$B:$C,2,FALSE),0))</f>
        <v>0</v>
      </c>
      <c r="O44" s="56">
        <f>IF($D44="",0,IF(AND($F44="Y",M44="N"),VLOOKUP($D44,'Rent Adjustment Worksheet'!$B:$C,2,FALSE),0))</f>
        <v>0</v>
      </c>
    </row>
    <row r="45" spans="2:15" x14ac:dyDescent="0.35">
      <c r="B45" s="238" t="s">
        <v>124</v>
      </c>
      <c r="C45" s="239"/>
      <c r="D45" s="239"/>
      <c r="E45" s="239"/>
      <c r="F45" s="239"/>
      <c r="G45" s="239"/>
      <c r="H45" s="239"/>
      <c r="I45" s="239"/>
      <c r="J45" s="239"/>
      <c r="K45" s="239"/>
      <c r="L45" s="239"/>
      <c r="M45" s="239"/>
      <c r="N45" s="239"/>
      <c r="O45" s="240"/>
    </row>
    <row r="46" spans="2:15" x14ac:dyDescent="0.35">
      <c r="B46" s="231">
        <v>30</v>
      </c>
      <c r="C46" s="232"/>
      <c r="D46" s="233" t="s">
        <v>125</v>
      </c>
      <c r="E46" s="232"/>
      <c r="F46" s="52"/>
      <c r="G46" s="139" t="str">
        <f>IF(ISNUMBER(G10)=FALSE,"",G10)</f>
        <v/>
      </c>
      <c r="H46" s="54"/>
      <c r="I46" s="128"/>
      <c r="J46" s="139" t="str">
        <f>IF(ISNUMBER(J10)=FALSE,"",J10)</f>
        <v/>
      </c>
      <c r="K46" s="54"/>
      <c r="L46" s="128"/>
      <c r="M46" s="139" t="str">
        <f>IF(ISNUMBER(M10)=FALSE,"",M10)</f>
        <v/>
      </c>
      <c r="N46" s="54"/>
      <c r="O46" s="56"/>
    </row>
    <row r="47" spans="2:15" x14ac:dyDescent="0.35">
      <c r="B47" s="231">
        <v>31</v>
      </c>
      <c r="C47" s="232"/>
      <c r="D47" s="233" t="s">
        <v>126</v>
      </c>
      <c r="E47" s="232"/>
      <c r="F47" s="52"/>
      <c r="G47" s="57" t="str">
        <f>IF(G46="","",SUM(H47:I47))</f>
        <v/>
      </c>
      <c r="H47" s="58" t="str">
        <f>IF(G46="","",SUM(H16:H44))</f>
        <v/>
      </c>
      <c r="I47" s="137" t="str">
        <f>IF(G46="","",SUM(I16:I44))</f>
        <v/>
      </c>
      <c r="J47" s="140" t="str">
        <f>IF(J46="","",SUM(K47:L47))</f>
        <v/>
      </c>
      <c r="K47" s="58" t="str">
        <f>IF(J46="","",SUM(K16:K44))</f>
        <v/>
      </c>
      <c r="L47" s="137" t="str">
        <f>IF(J46="","",SUM(L16:L44))</f>
        <v/>
      </c>
      <c r="M47" s="140" t="str">
        <f>IF(M46="","",SUM(N47:O47))</f>
        <v/>
      </c>
      <c r="N47" s="58" t="str">
        <f>IF(M46="","",SUM(N16:N44))</f>
        <v/>
      </c>
      <c r="O47" s="59" t="str">
        <f>IF(M46="","",SUM(O16:O44))</f>
        <v/>
      </c>
    </row>
    <row r="48" spans="2:15" x14ac:dyDescent="0.35">
      <c r="B48" s="231">
        <v>32</v>
      </c>
      <c r="C48" s="232"/>
      <c r="D48" s="233" t="s">
        <v>127</v>
      </c>
      <c r="E48" s="232"/>
      <c r="F48" s="52"/>
      <c r="G48" s="57" t="str">
        <f>IF(G46="","",SUM(G46,G47))</f>
        <v/>
      </c>
      <c r="H48" s="61"/>
      <c r="I48" s="138"/>
      <c r="J48" s="140" t="str">
        <f>IF(J46="","",SUM(J46,J47))</f>
        <v/>
      </c>
      <c r="K48" s="61"/>
      <c r="L48" s="138"/>
      <c r="M48" s="140" t="str">
        <f>IF(M46="","",SUM(M46,M47))</f>
        <v/>
      </c>
      <c r="N48" s="61"/>
      <c r="O48" s="63"/>
    </row>
    <row r="49" spans="2:15" x14ac:dyDescent="0.35">
      <c r="B49" s="231">
        <v>33</v>
      </c>
      <c r="C49" s="232"/>
      <c r="D49" s="233" t="s">
        <v>128</v>
      </c>
      <c r="E49" s="232"/>
      <c r="F49" s="102" t="str">
        <f>IFERROR(AVERAGE(G48:M48),"")</f>
        <v/>
      </c>
      <c r="G49" s="101"/>
      <c r="H49" s="65"/>
      <c r="I49" s="66"/>
      <c r="J49" s="64"/>
      <c r="K49" s="65"/>
      <c r="L49" s="66"/>
      <c r="M49" s="64"/>
      <c r="N49" s="65"/>
      <c r="O49" s="67"/>
    </row>
    <row r="50" spans="2:15" x14ac:dyDescent="0.35">
      <c r="B50" s="231">
        <v>34</v>
      </c>
      <c r="C50" s="232"/>
      <c r="D50" s="233" t="s">
        <v>129</v>
      </c>
      <c r="E50" s="232"/>
      <c r="F50" s="143"/>
      <c r="G50" s="91"/>
      <c r="H50" s="92"/>
      <c r="I50" s="92"/>
      <c r="J50" s="64"/>
      <c r="K50" s="65"/>
      <c r="L50" s="66"/>
      <c r="M50" s="64"/>
      <c r="N50" s="65"/>
      <c r="O50" s="67"/>
    </row>
    <row r="51" spans="2:15" ht="15" thickBot="1" x14ac:dyDescent="0.4">
      <c r="B51" s="231">
        <v>35</v>
      </c>
      <c r="C51" s="232"/>
      <c r="D51" s="278" t="s">
        <v>162</v>
      </c>
      <c r="E51" s="279"/>
      <c r="F51" s="144"/>
      <c r="G51" s="91"/>
      <c r="H51" s="92"/>
      <c r="I51" s="64"/>
      <c r="J51" s="64"/>
      <c r="K51" s="65"/>
      <c r="L51" s="66"/>
      <c r="M51" s="64"/>
      <c r="N51" s="65"/>
      <c r="O51" s="67"/>
    </row>
    <row r="52" spans="2:15" s="21" customFormat="1" ht="42" customHeight="1" x14ac:dyDescent="0.35">
      <c r="B52" s="280" t="s">
        <v>131</v>
      </c>
      <c r="C52" s="281"/>
      <c r="D52" s="281"/>
      <c r="E52" s="281"/>
      <c r="F52" s="281"/>
      <c r="G52" s="281"/>
      <c r="H52" s="281"/>
      <c r="I52" s="281"/>
      <c r="J52" s="281"/>
      <c r="K52" s="281"/>
      <c r="L52" s="281"/>
      <c r="M52" s="281"/>
      <c r="N52" s="281"/>
      <c r="O52" s="282"/>
    </row>
    <row r="53" spans="2:15" ht="75" customHeight="1" x14ac:dyDescent="0.35">
      <c r="B53" s="283" t="s">
        <v>284</v>
      </c>
      <c r="C53" s="283"/>
      <c r="D53" s="283"/>
      <c r="E53" s="283"/>
      <c r="F53" s="283"/>
      <c r="G53" s="283"/>
      <c r="H53" s="283"/>
      <c r="I53" s="283"/>
      <c r="J53" s="283"/>
      <c r="K53" s="283"/>
      <c r="L53" s="283"/>
      <c r="M53" s="283"/>
      <c r="N53" s="283"/>
      <c r="O53" s="283"/>
    </row>
    <row r="54" spans="2:15" x14ac:dyDescent="0.35">
      <c r="B54" s="118"/>
      <c r="C54" s="118"/>
      <c r="D54" s="118"/>
      <c r="E54" s="118"/>
      <c r="M54" s="275" t="s">
        <v>164</v>
      </c>
      <c r="N54" s="275"/>
      <c r="O54" s="275"/>
    </row>
  </sheetData>
  <sheetProtection algorithmName="SHA-512" hashValue="0iN9gbqCffqLrBYkG1hXPocXiyhgxhKK0o7pilVe/nAG7D0iAPrGDQ0TnIbIT5n51ih4CnamzUIs8Yj45rW4og==" saltValue="7lz75L5wtBkDwI+ZbWFZYA==" spinCount="100000" sheet="1" selectLockedCells="1"/>
  <protectedRanges>
    <protectedRange sqref="D12:O12" name="Section 2_2_2_1_1"/>
    <protectedRange sqref="G9:O9" name="Section 2_4_1_1"/>
    <protectedRange sqref="E9:F9" name="Section 2_1_1_1_1_1"/>
    <protectedRange sqref="G10:O10" name="Section 2_3_2_1_1_1"/>
    <protectedRange sqref="G11:O11" name="Section 2_2_1_2_1_1"/>
    <protectedRange sqref="D11:F11" name="Section 2_2_2_1_2"/>
  </protectedRanges>
  <customSheetViews>
    <customSheetView guid="{A4B793CE-738E-4476-8B1F-D42BECFCF658}" topLeftCell="A25">
      <selection activeCell="A45" sqref="A45:B52"/>
      <pageMargins left="0" right="0" top="0" bottom="0" header="0" footer="0"/>
    </customSheetView>
  </customSheetViews>
  <mergeCells count="110">
    <mergeCell ref="B39:O39"/>
    <mergeCell ref="B40:C40"/>
    <mergeCell ref="D40:E40"/>
    <mergeCell ref="B45:O45"/>
    <mergeCell ref="B46:C46"/>
    <mergeCell ref="D46:E46"/>
    <mergeCell ref="B52:O52"/>
    <mergeCell ref="M54:O54"/>
    <mergeCell ref="B30:C30"/>
    <mergeCell ref="B50:C50"/>
    <mergeCell ref="D50:E50"/>
    <mergeCell ref="B51:C51"/>
    <mergeCell ref="D51:E51"/>
    <mergeCell ref="B36:C36"/>
    <mergeCell ref="D36:E36"/>
    <mergeCell ref="D38:E38"/>
    <mergeCell ref="B41:C41"/>
    <mergeCell ref="B53:O53"/>
    <mergeCell ref="B37:C37"/>
    <mergeCell ref="D37:E37"/>
    <mergeCell ref="B38:C38"/>
    <mergeCell ref="D41:E41"/>
    <mergeCell ref="B47:C47"/>
    <mergeCell ref="D47:E47"/>
    <mergeCell ref="B21:C21"/>
    <mergeCell ref="B15:O15"/>
    <mergeCell ref="D21:E21"/>
    <mergeCell ref="B17:C17"/>
    <mergeCell ref="D17:E17"/>
    <mergeCell ref="B18:C18"/>
    <mergeCell ref="D35:E35"/>
    <mergeCell ref="D25:E25"/>
    <mergeCell ref="B35:C35"/>
    <mergeCell ref="B32:O32"/>
    <mergeCell ref="B33:C33"/>
    <mergeCell ref="D33:E33"/>
    <mergeCell ref="B34:C34"/>
    <mergeCell ref="D34:E34"/>
    <mergeCell ref="D49:E49"/>
    <mergeCell ref="B43:C43"/>
    <mergeCell ref="D43:E43"/>
    <mergeCell ref="B1:L1"/>
    <mergeCell ref="M1:O1"/>
    <mergeCell ref="E6:F6"/>
    <mergeCell ref="G6:O6"/>
    <mergeCell ref="D7:F7"/>
    <mergeCell ref="G7:I7"/>
    <mergeCell ref="J7:L7"/>
    <mergeCell ref="M7:O7"/>
    <mergeCell ref="B2:L2"/>
    <mergeCell ref="M2:O2"/>
    <mergeCell ref="B7:C14"/>
    <mergeCell ref="D10:F10"/>
    <mergeCell ref="G10:I10"/>
    <mergeCell ref="J10:L10"/>
    <mergeCell ref="M10:O10"/>
    <mergeCell ref="B5:C6"/>
    <mergeCell ref="D5:F5"/>
    <mergeCell ref="G8:I8"/>
    <mergeCell ref="M9:O9"/>
    <mergeCell ref="K13:L13"/>
    <mergeCell ref="G9:I9"/>
    <mergeCell ref="J9:L9"/>
    <mergeCell ref="D13:E14"/>
    <mergeCell ref="F13:F14"/>
    <mergeCell ref="N3:O3"/>
    <mergeCell ref="N13:O13"/>
    <mergeCell ref="E11:F11"/>
    <mergeCell ref="B42:C42"/>
    <mergeCell ref="D42:E42"/>
    <mergeCell ref="B16:C16"/>
    <mergeCell ref="D16:E16"/>
    <mergeCell ref="B22:C22"/>
    <mergeCell ref="D22:E22"/>
    <mergeCell ref="B26:C26"/>
    <mergeCell ref="D26:E26"/>
    <mergeCell ref="B27:C27"/>
    <mergeCell ref="D27:E27"/>
    <mergeCell ref="B28:C28"/>
    <mergeCell ref="D28:E28"/>
    <mergeCell ref="B23:C23"/>
    <mergeCell ref="D23:E23"/>
    <mergeCell ref="B24:C24"/>
    <mergeCell ref="D24:E24"/>
    <mergeCell ref="B25:C25"/>
    <mergeCell ref="J13:J14"/>
    <mergeCell ref="B44:C44"/>
    <mergeCell ref="D44:E44"/>
    <mergeCell ref="D30:E30"/>
    <mergeCell ref="B31:C31"/>
    <mergeCell ref="D31:E31"/>
    <mergeCell ref="B20:C20"/>
    <mergeCell ref="B49:C49"/>
    <mergeCell ref="J8:L8"/>
    <mergeCell ref="M8:O8"/>
    <mergeCell ref="E8:F8"/>
    <mergeCell ref="B48:C48"/>
    <mergeCell ref="D48:E48"/>
    <mergeCell ref="D18:E18"/>
    <mergeCell ref="B19:C19"/>
    <mergeCell ref="D19:E19"/>
    <mergeCell ref="B29:C29"/>
    <mergeCell ref="G11:I11"/>
    <mergeCell ref="J11:L11"/>
    <mergeCell ref="M11:O11"/>
    <mergeCell ref="D20:E20"/>
    <mergeCell ref="G13:G14"/>
    <mergeCell ref="H13:I13"/>
    <mergeCell ref="M13:M14"/>
    <mergeCell ref="D29:E29"/>
  </mergeCells>
  <conditionalFormatting sqref="I16:I31 I33:I38 I40:I44">
    <cfRule type="cellIs" dxfId="17" priority="3" operator="greaterThan">
      <formula>$G$10*0.25</formula>
    </cfRule>
  </conditionalFormatting>
  <conditionalFormatting sqref="L16:L31 B33:O38 L40:L44">
    <cfRule type="cellIs" dxfId="16" priority="4" operator="greaterThan">
      <formula>$J$10*0.25</formula>
    </cfRule>
  </conditionalFormatting>
  <conditionalFormatting sqref="O16:O31 O33:O38 O40:O44">
    <cfRule type="cellIs" dxfId="15" priority="5" operator="greaterThan">
      <formula>$M$10*0.25</formula>
    </cfRule>
  </conditionalFormatting>
  <conditionalFormatting sqref="N16:N31 N33:N38 N40:N44">
    <cfRule type="cellIs" dxfId="14" priority="2" operator="lessThan">
      <formula>-$M$10*0.25</formula>
    </cfRule>
  </conditionalFormatting>
  <conditionalFormatting sqref="K16:K31 K33:K38 K40:K44">
    <cfRule type="cellIs" dxfId="13" priority="1" operator="lessThan">
      <formula>-$J$10*0.25</formula>
    </cfRule>
  </conditionalFormatting>
  <conditionalFormatting sqref="H16:H31 H33:H38 H40:H44">
    <cfRule type="cellIs" dxfId="12" priority="6" operator="lessThan">
      <formula>-$G$10*0.25</formula>
    </cfRule>
  </conditionalFormatting>
  <dataValidations count="2">
    <dataValidation errorStyle="information" allowBlank="1" showInputMessage="1" showErrorMessage="1" errorTitle="Non Valid Adjustment" error="Please Select a Valid PHA Write-in adjustment." sqref="K40:L44 H40:I44 N40:O44" xr:uid="{400E9E2C-4C35-4CF0-B249-85EE9B7A1C67}"/>
    <dataValidation allowBlank="1" showErrorMessage="1" promptTitle="Select PHA Write-In" sqref="D40:E44" xr:uid="{BFDFA6FE-D22D-41A4-A7CD-B02A773A5D97}"/>
  </dataValidations>
  <pageMargins left="0.7" right="0.7" top="0.75" bottom="0.75" header="0.3" footer="0.3"/>
  <pageSetup scale="6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497" r:id="rId4" name="Check Box 233">
              <controlPr locked="0" defaultSize="0" autoFill="0" autoLine="0" autoPict="0">
                <anchor moveWithCells="1">
                  <from>
                    <xdr:col>7</xdr:col>
                    <xdr:colOff>203200</xdr:colOff>
                    <xdr:row>10</xdr:row>
                    <xdr:rowOff>95250</xdr:rowOff>
                  </from>
                  <to>
                    <xdr:col>7</xdr:col>
                    <xdr:colOff>533400</xdr:colOff>
                    <xdr:row>12</xdr:row>
                    <xdr:rowOff>107950</xdr:rowOff>
                  </to>
                </anchor>
              </controlPr>
            </control>
          </mc:Choice>
        </mc:AlternateContent>
        <mc:AlternateContent xmlns:mc="http://schemas.openxmlformats.org/markup-compatibility/2006">
          <mc:Choice Requires="x14">
            <control shapeId="11498" r:id="rId5" name="Check Box 234">
              <controlPr defaultSize="0" autoFill="0" autoLine="0" autoPict="0">
                <anchor moveWithCells="1">
                  <from>
                    <xdr:col>10</xdr:col>
                    <xdr:colOff>266700</xdr:colOff>
                    <xdr:row>10</xdr:row>
                    <xdr:rowOff>69850</xdr:rowOff>
                  </from>
                  <to>
                    <xdr:col>10</xdr:col>
                    <xdr:colOff>609600</xdr:colOff>
                    <xdr:row>12</xdr:row>
                    <xdr:rowOff>133350</xdr:rowOff>
                  </to>
                </anchor>
              </controlPr>
            </control>
          </mc:Choice>
        </mc:AlternateContent>
        <mc:AlternateContent xmlns:mc="http://schemas.openxmlformats.org/markup-compatibility/2006">
          <mc:Choice Requires="x14">
            <control shapeId="11499" r:id="rId6" name="Check Box 235">
              <controlPr defaultSize="0" autoFill="0" autoLine="0" autoPict="0">
                <anchor moveWithCells="1">
                  <from>
                    <xdr:col>13</xdr:col>
                    <xdr:colOff>241300</xdr:colOff>
                    <xdr:row>10</xdr:row>
                    <xdr:rowOff>95250</xdr:rowOff>
                  </from>
                  <to>
                    <xdr:col>13</xdr:col>
                    <xdr:colOff>571500</xdr:colOff>
                    <xdr:row>12</xdr:row>
                    <xdr:rowOff>107950</xdr:rowOff>
                  </to>
                </anchor>
              </controlPr>
            </control>
          </mc:Choice>
        </mc:AlternateContent>
        <mc:AlternateContent xmlns:mc="http://schemas.openxmlformats.org/markup-compatibility/2006">
          <mc:Choice Requires="x14">
            <control shapeId="11500" r:id="rId7" name="Check Box 236">
              <controlPr locked="0" defaultSize="0" autoFill="0" autoLine="0" autoPict="0">
                <anchor moveWithCells="1">
                  <from>
                    <xdr:col>7</xdr:col>
                    <xdr:colOff>203200</xdr:colOff>
                    <xdr:row>10</xdr:row>
                    <xdr:rowOff>95250</xdr:rowOff>
                  </from>
                  <to>
                    <xdr:col>7</xdr:col>
                    <xdr:colOff>533400</xdr:colOff>
                    <xdr:row>12</xdr:row>
                    <xdr:rowOff>107950</xdr:rowOff>
                  </to>
                </anchor>
              </controlPr>
            </control>
          </mc:Choice>
        </mc:AlternateContent>
        <mc:AlternateContent xmlns:mc="http://schemas.openxmlformats.org/markup-compatibility/2006">
          <mc:Choice Requires="x14">
            <control shapeId="11501" r:id="rId8" name="Check Box 237">
              <controlPr defaultSize="0" autoFill="0" autoLine="0" autoPict="0">
                <anchor moveWithCells="1">
                  <from>
                    <xdr:col>10</xdr:col>
                    <xdr:colOff>266700</xdr:colOff>
                    <xdr:row>10</xdr:row>
                    <xdr:rowOff>69850</xdr:rowOff>
                  </from>
                  <to>
                    <xdr:col>10</xdr:col>
                    <xdr:colOff>609600</xdr:colOff>
                    <xdr:row>12</xdr:row>
                    <xdr:rowOff>133350</xdr:rowOff>
                  </to>
                </anchor>
              </controlPr>
            </control>
          </mc:Choice>
        </mc:AlternateContent>
        <mc:AlternateContent xmlns:mc="http://schemas.openxmlformats.org/markup-compatibility/2006">
          <mc:Choice Requires="x14">
            <control shapeId="11502" r:id="rId9" name="Check Box 238">
              <controlPr defaultSize="0" autoFill="0" autoLine="0" autoPict="0">
                <anchor moveWithCells="1">
                  <from>
                    <xdr:col>13</xdr:col>
                    <xdr:colOff>241300</xdr:colOff>
                    <xdr:row>10</xdr:row>
                    <xdr:rowOff>95250</xdr:rowOff>
                  </from>
                  <to>
                    <xdr:col>13</xdr:col>
                    <xdr:colOff>571500</xdr:colOff>
                    <xdr:row>12</xdr:row>
                    <xdr:rowOff>107950</xdr:rowOff>
                  </to>
                </anchor>
              </controlPr>
            </control>
          </mc:Choice>
        </mc:AlternateContent>
        <mc:AlternateContent xmlns:mc="http://schemas.openxmlformats.org/markup-compatibility/2006">
          <mc:Choice Requires="x14">
            <control shapeId="11503" r:id="rId10" name="Check Box 239">
              <controlPr locked="0" defaultSize="0" autoFill="0" autoLine="0" autoPict="0">
                <anchor moveWithCells="1">
                  <from>
                    <xdr:col>7</xdr:col>
                    <xdr:colOff>203200</xdr:colOff>
                    <xdr:row>10</xdr:row>
                    <xdr:rowOff>95250</xdr:rowOff>
                  </from>
                  <to>
                    <xdr:col>7</xdr:col>
                    <xdr:colOff>533400</xdr:colOff>
                    <xdr:row>12</xdr:row>
                    <xdr:rowOff>107950</xdr:rowOff>
                  </to>
                </anchor>
              </controlPr>
            </control>
          </mc:Choice>
        </mc:AlternateContent>
        <mc:AlternateContent xmlns:mc="http://schemas.openxmlformats.org/markup-compatibility/2006">
          <mc:Choice Requires="x14">
            <control shapeId="11504" r:id="rId11" name="Check Box 240">
              <controlPr defaultSize="0" autoFill="0" autoLine="0" autoPict="0">
                <anchor moveWithCells="1">
                  <from>
                    <xdr:col>10</xdr:col>
                    <xdr:colOff>266700</xdr:colOff>
                    <xdr:row>10</xdr:row>
                    <xdr:rowOff>69850</xdr:rowOff>
                  </from>
                  <to>
                    <xdr:col>10</xdr:col>
                    <xdr:colOff>609600</xdr:colOff>
                    <xdr:row>12</xdr:row>
                    <xdr:rowOff>133350</xdr:rowOff>
                  </to>
                </anchor>
              </controlPr>
            </control>
          </mc:Choice>
        </mc:AlternateContent>
        <mc:AlternateContent xmlns:mc="http://schemas.openxmlformats.org/markup-compatibility/2006">
          <mc:Choice Requires="x14">
            <control shapeId="11505" r:id="rId12" name="Check Box 241">
              <controlPr defaultSize="0" autoFill="0" autoLine="0" autoPict="0">
                <anchor moveWithCells="1">
                  <from>
                    <xdr:col>13</xdr:col>
                    <xdr:colOff>241300</xdr:colOff>
                    <xdr:row>10</xdr:row>
                    <xdr:rowOff>95250</xdr:rowOff>
                  </from>
                  <to>
                    <xdr:col>13</xdr:col>
                    <xdr:colOff>571500</xdr:colOff>
                    <xdr:row>12</xdr:row>
                    <xdr:rowOff>107950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allowBlank="1" showInputMessage="1" showErrorMessage="1" xr:uid="{58D5D865-53FC-4E35-BD96-3BEB31DEB170}">
          <x14:formula1>
            <xm:f>DropDown!$A$2:$A$10</xm:f>
          </x14:formula1>
          <xm:sqref>F18:G18 J18 M18</xm:sqref>
        </x14:dataValidation>
        <x14:dataValidation type="list" allowBlank="1" showInputMessage="1" showErrorMessage="1" xr:uid="{327D052F-9583-4AF5-84BE-AC9C3D0FF9EA}">
          <x14:formula1>
            <xm:f>DropDown!$B$2:$B$3</xm:f>
          </x14:formula1>
          <xm:sqref>F40:G44 F19:G20 F23:G31 J19:J20 J40:J44 M40:M44 M23:M31 J23:J31 M19:M20 M33:M38 J33:J38 F33:G38</xm:sqref>
        </x14:dataValidation>
        <x14:dataValidation type="list" allowBlank="1" showInputMessage="1" showErrorMessage="1" xr:uid="{D53DE72A-251C-44CF-89BD-8D446B0C2777}">
          <x14:formula1>
            <xm:f>DropDown!$E$1:$E$3</xm:f>
          </x14:formula1>
          <xm:sqref>D51:E51</xm:sqref>
        </x14:dataValidation>
        <x14:dataValidation type="list" allowBlank="1" showInputMessage="1" showErrorMessage="1" xr:uid="{50ECB5EC-6A07-4E12-8D2B-899053358D12}">
          <x14:formula1>
            <xm:f>DropDown!$C$2:$C$4</xm:f>
          </x14:formula1>
          <xm:sqref>F22:G22 J22 M22</xm:sqref>
        </x14:dataValidation>
        <x14:dataValidation type="list" allowBlank="1" showInputMessage="1" showErrorMessage="1" xr:uid="{787188B7-A806-4868-A676-C3378155C874}">
          <x14:formula1>
            <xm:f>DropDown!$F$1:$F$6</xm:f>
          </x14:formula1>
          <xm:sqref>G11:O11 E11</xm:sqref>
        </x14:dataValidation>
        <x14:dataValidation type="list" allowBlank="1" showInputMessage="1" showErrorMessage="1" xr:uid="{5BCECB0A-025D-44F9-A220-9A4A5FE6BE92}">
          <x14:formula1>
            <xm:f>DropDown!$H$2:$H$5</xm:f>
          </x14:formula1>
          <xm:sqref>F21:G21 J21 M21</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tabColor rgb="FFFFC000"/>
    <pageSetUpPr fitToPage="1"/>
  </sheetPr>
  <dimension ref="B1:O54"/>
  <sheetViews>
    <sheetView showGridLines="0" showRowColHeaders="0" topLeftCell="A5" zoomScale="80" zoomScaleNormal="80" workbookViewId="0">
      <selection activeCell="D5" sqref="D5:F5"/>
    </sheetView>
  </sheetViews>
  <sheetFormatPr defaultRowHeight="14.5" x14ac:dyDescent="0.35"/>
  <cols>
    <col min="1" max="1" width="5.54296875" customWidth="1"/>
    <col min="2" max="3" width="1.54296875" customWidth="1"/>
    <col min="4" max="4" width="15.1796875" style="18" customWidth="1"/>
    <col min="5" max="5" width="20.1796875" style="18" customWidth="1"/>
    <col min="6" max="6" width="14.1796875" style="1" customWidth="1"/>
    <col min="7" max="7" width="10" style="1" customWidth="1"/>
    <col min="8" max="9" width="10" customWidth="1"/>
    <col min="10" max="10" width="10" style="1" customWidth="1"/>
    <col min="11" max="12" width="10" customWidth="1"/>
    <col min="13" max="13" width="10" style="1" customWidth="1"/>
    <col min="14" max="15" width="10" customWidth="1"/>
  </cols>
  <sheetData>
    <row r="1" spans="2:15" x14ac:dyDescent="0.35">
      <c r="B1" s="211" t="s">
        <v>88</v>
      </c>
      <c r="C1" s="211"/>
      <c r="D1" s="211"/>
      <c r="E1" s="211"/>
      <c r="F1" s="211"/>
      <c r="G1" s="211"/>
      <c r="H1" s="211"/>
      <c r="I1" s="211"/>
      <c r="J1" s="211"/>
      <c r="K1" s="211"/>
      <c r="L1" s="211"/>
      <c r="M1" s="212" t="s">
        <v>141</v>
      </c>
      <c r="N1" s="212"/>
      <c r="O1" s="212"/>
    </row>
    <row r="2" spans="2:15" x14ac:dyDescent="0.35">
      <c r="B2" s="213" t="s">
        <v>89</v>
      </c>
      <c r="C2" s="213"/>
      <c r="D2" s="213"/>
      <c r="E2" s="213"/>
      <c r="F2" s="213"/>
      <c r="G2" s="213"/>
      <c r="H2" s="213"/>
      <c r="I2" s="213"/>
      <c r="J2" s="213"/>
      <c r="K2" s="213"/>
      <c r="L2" s="213"/>
      <c r="M2" s="303" t="s">
        <v>142</v>
      </c>
      <c r="N2" s="303"/>
      <c r="O2" s="303"/>
    </row>
    <row r="3" spans="2:15" x14ac:dyDescent="0.35">
      <c r="B3" s="117" t="s">
        <v>90</v>
      </c>
      <c r="C3" s="117"/>
      <c r="D3" s="117"/>
      <c r="E3" s="117"/>
      <c r="F3" s="117"/>
      <c r="G3" s="117"/>
      <c r="H3" s="117"/>
      <c r="I3" s="117"/>
      <c r="J3" s="117"/>
      <c r="K3" s="117"/>
      <c r="L3" s="117"/>
      <c r="M3" s="117"/>
      <c r="N3" s="212" t="s">
        <v>143</v>
      </c>
      <c r="O3" s="212"/>
    </row>
    <row r="4" spans="2:15" ht="15" thickBot="1" x14ac:dyDescent="0.4">
      <c r="B4" s="117"/>
      <c r="D4" s="117"/>
      <c r="E4" s="117"/>
      <c r="F4" s="117"/>
      <c r="G4" s="117"/>
      <c r="H4" s="117"/>
      <c r="I4" s="117"/>
      <c r="J4" s="117"/>
      <c r="K4" s="117"/>
      <c r="L4" s="117"/>
      <c r="M4" s="117"/>
      <c r="N4" s="195"/>
      <c r="O4" s="195"/>
    </row>
    <row r="5" spans="2:15" x14ac:dyDescent="0.35">
      <c r="B5" s="304">
        <v>1</v>
      </c>
      <c r="C5" s="305"/>
      <c r="D5" s="308" t="s">
        <v>282</v>
      </c>
      <c r="E5" s="309"/>
      <c r="F5" s="310"/>
      <c r="G5" s="122"/>
      <c r="H5" s="122"/>
      <c r="I5" s="122"/>
      <c r="J5" s="122"/>
      <c r="K5" s="122"/>
      <c r="L5" s="122"/>
      <c r="M5" s="122"/>
      <c r="N5" s="122"/>
      <c r="O5" s="122"/>
    </row>
    <row r="6" spans="2:15" ht="16" thickBot="1" x14ac:dyDescent="0.4">
      <c r="B6" s="306"/>
      <c r="C6" s="307"/>
      <c r="D6" s="142" t="s">
        <v>91</v>
      </c>
      <c r="E6" s="311" t="s">
        <v>92</v>
      </c>
      <c r="F6" s="312"/>
      <c r="G6" s="313" t="s">
        <v>82</v>
      </c>
      <c r="H6" s="219"/>
      <c r="I6" s="219"/>
      <c r="J6" s="219"/>
      <c r="K6" s="219"/>
      <c r="L6" s="219"/>
      <c r="M6" s="219"/>
      <c r="N6" s="219"/>
      <c r="O6" s="219"/>
    </row>
    <row r="7" spans="2:15" x14ac:dyDescent="0.35">
      <c r="B7" s="250">
        <v>2</v>
      </c>
      <c r="C7" s="251"/>
      <c r="D7" s="284" t="s">
        <v>93</v>
      </c>
      <c r="E7" s="285"/>
      <c r="F7" s="286"/>
      <c r="G7" s="287" t="s">
        <v>94</v>
      </c>
      <c r="H7" s="258"/>
      <c r="I7" s="260"/>
      <c r="J7" s="258" t="s">
        <v>95</v>
      </c>
      <c r="K7" s="258"/>
      <c r="L7" s="258"/>
      <c r="M7" s="287" t="s">
        <v>96</v>
      </c>
      <c r="N7" s="258"/>
      <c r="O7" s="260"/>
    </row>
    <row r="8" spans="2:15" x14ac:dyDescent="0.35">
      <c r="B8" s="250"/>
      <c r="C8" s="251"/>
      <c r="D8" s="200" t="s">
        <v>97</v>
      </c>
      <c r="E8" s="220" t="s">
        <v>202</v>
      </c>
      <c r="F8" s="302"/>
      <c r="G8" s="288" t="s">
        <v>99</v>
      </c>
      <c r="H8" s="223"/>
      <c r="I8" s="224"/>
      <c r="J8" s="223" t="s">
        <v>99</v>
      </c>
      <c r="K8" s="223"/>
      <c r="L8" s="223"/>
      <c r="M8" s="288" t="s">
        <v>99</v>
      </c>
      <c r="N8" s="223"/>
      <c r="O8" s="224"/>
    </row>
    <row r="9" spans="2:15" x14ac:dyDescent="0.35">
      <c r="B9" s="250"/>
      <c r="C9" s="251"/>
      <c r="D9" s="200" t="s">
        <v>100</v>
      </c>
      <c r="E9" s="200" t="s">
        <v>101</v>
      </c>
      <c r="F9" s="204" t="s">
        <v>102</v>
      </c>
      <c r="G9" s="288" t="s">
        <v>103</v>
      </c>
      <c r="H9" s="223"/>
      <c r="I9" s="224"/>
      <c r="J9" s="223" t="s">
        <v>103</v>
      </c>
      <c r="K9" s="223"/>
      <c r="L9" s="223"/>
      <c r="M9" s="288" t="s">
        <v>103</v>
      </c>
      <c r="N9" s="223"/>
      <c r="O9" s="224"/>
    </row>
    <row r="10" spans="2:15" x14ac:dyDescent="0.35">
      <c r="B10" s="250"/>
      <c r="C10" s="251"/>
      <c r="D10" s="299" t="s">
        <v>104</v>
      </c>
      <c r="E10" s="300"/>
      <c r="F10" s="301"/>
      <c r="G10" s="289" t="s">
        <v>105</v>
      </c>
      <c r="H10" s="229"/>
      <c r="I10" s="230"/>
      <c r="J10" s="229" t="s">
        <v>105</v>
      </c>
      <c r="K10" s="229"/>
      <c r="L10" s="229"/>
      <c r="M10" s="289" t="s">
        <v>105</v>
      </c>
      <c r="N10" s="229"/>
      <c r="O10" s="230"/>
    </row>
    <row r="11" spans="2:15" x14ac:dyDescent="0.35">
      <c r="B11" s="250"/>
      <c r="C11" s="251"/>
      <c r="D11" s="186" t="s">
        <v>154</v>
      </c>
      <c r="E11" s="221" t="s">
        <v>155</v>
      </c>
      <c r="F11" s="224"/>
      <c r="G11" s="289" t="s">
        <v>155</v>
      </c>
      <c r="H11" s="229"/>
      <c r="I11" s="230"/>
      <c r="J11" s="229" t="s">
        <v>155</v>
      </c>
      <c r="K11" s="229"/>
      <c r="L11" s="229"/>
      <c r="M11" s="289" t="s">
        <v>155</v>
      </c>
      <c r="N11" s="229"/>
      <c r="O11" s="230"/>
    </row>
    <row r="12" spans="2:15" x14ac:dyDescent="0.35">
      <c r="B12" s="250"/>
      <c r="C12" s="251"/>
      <c r="D12" s="119"/>
      <c r="E12" s="120"/>
      <c r="F12" s="124" t="s">
        <v>158</v>
      </c>
      <c r="G12" s="135"/>
      <c r="H12" s="141"/>
      <c r="I12" s="202"/>
      <c r="J12" s="123"/>
      <c r="K12" s="201"/>
      <c r="L12" s="201"/>
      <c r="M12" s="135"/>
      <c r="N12" s="201"/>
      <c r="O12" s="202"/>
    </row>
    <row r="13" spans="2:15" x14ac:dyDescent="0.35">
      <c r="B13" s="250"/>
      <c r="C13" s="251"/>
      <c r="D13" s="241" t="s">
        <v>3</v>
      </c>
      <c r="E13" s="242"/>
      <c r="F13" s="292" t="s">
        <v>106</v>
      </c>
      <c r="G13" s="294" t="s">
        <v>106</v>
      </c>
      <c r="H13" s="236" t="s">
        <v>107</v>
      </c>
      <c r="I13" s="237"/>
      <c r="J13" s="296" t="s">
        <v>106</v>
      </c>
      <c r="K13" s="236" t="s">
        <v>107</v>
      </c>
      <c r="L13" s="298"/>
      <c r="M13" s="294" t="s">
        <v>106</v>
      </c>
      <c r="N13" s="236" t="s">
        <v>107</v>
      </c>
      <c r="O13" s="237"/>
    </row>
    <row r="14" spans="2:15" x14ac:dyDescent="0.35">
      <c r="B14" s="250"/>
      <c r="C14" s="251"/>
      <c r="D14" s="290"/>
      <c r="E14" s="291"/>
      <c r="F14" s="293"/>
      <c r="G14" s="295"/>
      <c r="H14" s="16" t="s">
        <v>108</v>
      </c>
      <c r="I14" s="50" t="s">
        <v>109</v>
      </c>
      <c r="J14" s="297"/>
      <c r="K14" s="125" t="s">
        <v>108</v>
      </c>
      <c r="L14" s="136" t="s">
        <v>109</v>
      </c>
      <c r="M14" s="295"/>
      <c r="N14" s="16" t="s">
        <v>108</v>
      </c>
      <c r="O14" s="50" t="s">
        <v>109</v>
      </c>
    </row>
    <row r="15" spans="2:15" x14ac:dyDescent="0.35">
      <c r="B15" s="238" t="s">
        <v>110</v>
      </c>
      <c r="C15" s="239"/>
      <c r="D15" s="239"/>
      <c r="E15" s="239"/>
      <c r="F15" s="239"/>
      <c r="G15" s="239"/>
      <c r="H15" s="239"/>
      <c r="I15" s="239"/>
      <c r="J15" s="239"/>
      <c r="K15" s="239"/>
      <c r="L15" s="239"/>
      <c r="M15" s="239"/>
      <c r="N15" s="239"/>
      <c r="O15" s="240"/>
    </row>
    <row r="16" spans="2:15" x14ac:dyDescent="0.35">
      <c r="B16" s="231">
        <v>3</v>
      </c>
      <c r="C16" s="232"/>
      <c r="D16" s="233" t="s">
        <v>111</v>
      </c>
      <c r="E16" s="232"/>
      <c r="F16" s="133">
        <v>0</v>
      </c>
      <c r="G16" s="131">
        <v>0</v>
      </c>
      <c r="H16" s="11">
        <f>IF(G16="","",-IF(G16&gt;$F16,((G16-$F16)*'Rent Adjustment Worksheet'!$C$3),0))</f>
        <v>0</v>
      </c>
      <c r="I16" s="127">
        <f>IF(G16="","",IFERROR(-IF(G16&gt;$F16,0,((G16-$F16)*'Rent Adjustment Worksheet'!$C$3)),0))</f>
        <v>0</v>
      </c>
      <c r="J16" s="131">
        <v>0</v>
      </c>
      <c r="K16" s="11">
        <f>IF(J16="","",-IF(J16&gt;$F16,((J16-$F16)*'Rent Adjustment Worksheet'!$C$3),0))</f>
        <v>0</v>
      </c>
      <c r="L16" s="90">
        <f>IF(J16="","",IFERROR(-IF(J16&gt;$F16,0,((J16-$F16)*'Rent Adjustment Worksheet'!$C$3)),0))</f>
        <v>0</v>
      </c>
      <c r="M16" s="129">
        <v>0</v>
      </c>
      <c r="N16" s="11">
        <f>IF(M16="","",-IF(M16&gt;$F16,((M16-$F16)*'Rent Adjustment Worksheet'!$C$3),0))</f>
        <v>0</v>
      </c>
      <c r="O16" s="90">
        <f>IF(M16="","",IFERROR(-IF(M16&gt;$F16,0,((M16-$F16)*'Rent Adjustment Worksheet'!$C$3)),0))</f>
        <v>0</v>
      </c>
    </row>
    <row r="17" spans="2:15" x14ac:dyDescent="0.35">
      <c r="B17" s="231">
        <v>4</v>
      </c>
      <c r="C17" s="232"/>
      <c r="D17" s="233" t="s">
        <v>113</v>
      </c>
      <c r="E17" s="232"/>
      <c r="F17" s="134">
        <v>0</v>
      </c>
      <c r="G17" s="132">
        <v>0</v>
      </c>
      <c r="H17" s="54">
        <f>IF(G17="","",IFERROR(-IF($G$17&gt;$F$17,($G$17-$F$17)*VLOOKUP($D17,'Rent Adjustment Worksheet'!$A:$C,3,0)/10),0))</f>
        <v>0</v>
      </c>
      <c r="I17" s="128">
        <f>IF(G17="","",IFERROR(-IF($G$17&gt;$F$17,0,($G$17-$F$17)*VLOOKUP($D17,'Rent Adjustment Worksheet'!$A:$C,3,0)/10),0))</f>
        <v>0</v>
      </c>
      <c r="J17" s="132">
        <v>0</v>
      </c>
      <c r="K17" s="54">
        <f>IF(J17="","",IFERROR(-IF($J$17&gt;$F$17,($J$17-$F$17)*VLOOKUP($D17,'Rent Adjustment Worksheet'!$A:$C,3,0)/10),0))</f>
        <v>0</v>
      </c>
      <c r="L17" s="56">
        <f>IF(J17="","",IFERROR(-IF($J$17&gt;$F$17,0,($J$17-$F$17)*VLOOKUP($D17,'Rent Adjustment Worksheet'!$A:$C,3,0)/10),0))</f>
        <v>0</v>
      </c>
      <c r="M17" s="130">
        <v>0</v>
      </c>
      <c r="N17" s="54">
        <f>IF(M17="","",IFERROR(-IF($M$17&gt;$F$17,($M$17-$F$17)*VLOOKUP($D17,'Rent Adjustment Worksheet'!$A:$C,3,0)/10),0))</f>
        <v>0</v>
      </c>
      <c r="O17" s="56">
        <f>IF(M17="","",IFERROR(-IF($M$17&gt;$F$17,0,($M$17-$F$17)*VLOOKUP($D17,'Rent Adjustment Worksheet'!$A:$C,3,0)/10),0))</f>
        <v>0</v>
      </c>
    </row>
    <row r="18" spans="2:15" x14ac:dyDescent="0.35">
      <c r="B18" s="231">
        <v>5</v>
      </c>
      <c r="C18" s="232"/>
      <c r="D18" s="233" t="s">
        <v>114</v>
      </c>
      <c r="E18" s="232"/>
      <c r="F18" s="133">
        <v>0</v>
      </c>
      <c r="G18" s="131">
        <v>0</v>
      </c>
      <c r="H18" s="54">
        <f>-IF($G$18&gt;$F$18, VLOOKUP(($G$18-$F$18),'Rent Adjustment Worksheet'!$J:$K,2,FALSE), 0)</f>
        <v>0</v>
      </c>
      <c r="I18" s="128">
        <f>IF($G$18&lt;$F$18, VLOOKUP(($F$18-$G$18),'Rent Adjustment Worksheet'!$J:$K,2,FALSE), 0)</f>
        <v>0</v>
      </c>
      <c r="J18" s="131">
        <v>0</v>
      </c>
      <c r="K18" s="54">
        <f>-IF($J$18&gt;$F$18, VLOOKUP(($J$18-$F$18),'Rent Adjustment Worksheet'!$J:$K,2,FALSE), 0)</f>
        <v>0</v>
      </c>
      <c r="L18" s="56">
        <f>IF($J$18&lt;$F$18, VLOOKUP(($F$18-$J$18),'Rent Adjustment Worksheet'!$J:$K,2,FALSE), 0)</f>
        <v>0</v>
      </c>
      <c r="M18" s="129">
        <v>0</v>
      </c>
      <c r="N18" s="54">
        <f>-IF($M$18&gt;$F$18, VLOOKUP(($M$18-$F$18),'Rent Adjustment Worksheet'!$J:$K,2,FALSE), 0)</f>
        <v>0</v>
      </c>
      <c r="O18" s="56">
        <f>IF($M$18&lt;$F$18, VLOOKUP(($F$18-$M$18),'Rent Adjustment Worksheet'!$J:$K,2,FALSE), 0)</f>
        <v>0</v>
      </c>
    </row>
    <row r="19" spans="2:15" x14ac:dyDescent="0.35">
      <c r="B19" s="231">
        <v>6</v>
      </c>
      <c r="C19" s="232"/>
      <c r="D19" s="233" t="s">
        <v>15</v>
      </c>
      <c r="E19" s="232"/>
      <c r="F19" s="134" t="s">
        <v>115</v>
      </c>
      <c r="G19" s="132" t="s">
        <v>115</v>
      </c>
      <c r="H19" s="54">
        <f>IF(AND($F19="N",G19="Y"),-VLOOKUP($D19,'Rent Adjustment Worksheet'!$B:$C,2,FALSE),0)</f>
        <v>0</v>
      </c>
      <c r="I19" s="128">
        <f>IF(AND($F19="Y",G19="N"),VLOOKUP($D19,'Rent Adjustment Worksheet'!$B:$C,2,FALSE),0)</f>
        <v>0</v>
      </c>
      <c r="J19" s="132" t="s">
        <v>115</v>
      </c>
      <c r="K19" s="54">
        <f>IF(AND($F19="N",J19="Y"),-VLOOKUP($D19,'Rent Adjustment Worksheet'!$B:$C,2,FALSE),0)</f>
        <v>0</v>
      </c>
      <c r="L19" s="56">
        <f>IF(AND($F19="Y",J19="N"),VLOOKUP($D19,'Rent Adjustment Worksheet'!$B:$C,2,FALSE),0)</f>
        <v>0</v>
      </c>
      <c r="M19" s="130" t="s">
        <v>115</v>
      </c>
      <c r="N19" s="54">
        <f>IF(AND($F19="N",M19="Y"),-VLOOKUP($D19,'Rent Adjustment Worksheet'!$B:$C,2,FALSE),0)</f>
        <v>0</v>
      </c>
      <c r="O19" s="56">
        <f>IF(AND($F19="Y",M19="N"),VLOOKUP($D19,'Rent Adjustment Worksheet'!$B:$C,2,FALSE),0)</f>
        <v>0</v>
      </c>
    </row>
    <row r="20" spans="2:15" x14ac:dyDescent="0.35">
      <c r="B20" s="231">
        <v>7</v>
      </c>
      <c r="C20" s="232"/>
      <c r="D20" s="233" t="s">
        <v>17</v>
      </c>
      <c r="E20" s="232"/>
      <c r="F20" s="134" t="s">
        <v>115</v>
      </c>
      <c r="G20" s="132" t="s">
        <v>115</v>
      </c>
      <c r="H20" s="54">
        <f>IF(AND($F20="N",G20="Y"),-VLOOKUP($D20,'Rent Adjustment Worksheet'!$B:$C,2,FALSE),0)</f>
        <v>0</v>
      </c>
      <c r="I20" s="128">
        <f>IF(AND($F20="Y",G20="N"),VLOOKUP($D20,'Rent Adjustment Worksheet'!$B:$C,2,FALSE),0)</f>
        <v>0</v>
      </c>
      <c r="J20" s="132" t="s">
        <v>115</v>
      </c>
      <c r="K20" s="54">
        <f>IF(AND($F20="N",J20="Y"),-VLOOKUP($D20,'Rent Adjustment Worksheet'!$B:$C,2,FALSE),0)</f>
        <v>0</v>
      </c>
      <c r="L20" s="56">
        <f>IF(AND($F20="Y",J20="N"),VLOOKUP($D20,'Rent Adjustment Worksheet'!$B:$C,2,FALSE),0)</f>
        <v>0</v>
      </c>
      <c r="M20" s="130" t="s">
        <v>115</v>
      </c>
      <c r="N20" s="54">
        <f>IF(AND($F20="N",M20="Y"),-VLOOKUP($D20,'Rent Adjustment Worksheet'!$B:$C,2,FALSE),0)</f>
        <v>0</v>
      </c>
      <c r="O20" s="56">
        <f>IF(AND($F20="Y",M20="N"),VLOOKUP($D20,'Rent Adjustment Worksheet'!$B:$C,2,FALSE),0)</f>
        <v>0</v>
      </c>
    </row>
    <row r="21" spans="2:15" x14ac:dyDescent="0.35">
      <c r="B21" s="231">
        <v>8</v>
      </c>
      <c r="C21" s="232"/>
      <c r="D21" s="233" t="s">
        <v>159</v>
      </c>
      <c r="E21" s="232"/>
      <c r="F21" s="134" t="s">
        <v>118</v>
      </c>
      <c r="G21" s="132" t="s">
        <v>118</v>
      </c>
      <c r="H21" s="54">
        <f>SUMIFS(Laundry!$F:$F,Laundry!$A:$A,$G$6,Laundry!$B:$B,$G$7)</f>
        <v>0</v>
      </c>
      <c r="I21" s="56">
        <f>SUMIFS(Laundry!$G:$G,Laundry!$A:$A,$G$6,Laundry!$B:$B,$G$7)</f>
        <v>0</v>
      </c>
      <c r="J21" s="134" t="s">
        <v>118</v>
      </c>
      <c r="K21" s="54">
        <f>SUMIFS(Laundry!$F:$F,Laundry!$A:$A,$G$6,Laundry!$B:$B,$J$7)</f>
        <v>0</v>
      </c>
      <c r="L21" s="56">
        <f>SUMIFS(Laundry!$G:$G,Laundry!$A:$A,$G$6,Laundry!$B:$B,$J$7)</f>
        <v>0</v>
      </c>
      <c r="M21" s="134" t="s">
        <v>118</v>
      </c>
      <c r="N21" s="54">
        <f>SUMIFS(Laundry!$F:$F,Laundry!$A:$A,$G$6,Laundry!$B:$B,$M$7)</f>
        <v>0</v>
      </c>
      <c r="O21" s="56">
        <f>SUMIFS(Laundry!$G:$G,Laundry!$A:$A,$G$6,Laundry!$B:$B,$M$7)</f>
        <v>0</v>
      </c>
    </row>
    <row r="22" spans="2:15" x14ac:dyDescent="0.35">
      <c r="B22" s="231">
        <v>9</v>
      </c>
      <c r="C22" s="232"/>
      <c r="D22" s="233" t="s">
        <v>117</v>
      </c>
      <c r="E22" s="232"/>
      <c r="F22" s="134" t="s">
        <v>118</v>
      </c>
      <c r="G22" s="132" t="s">
        <v>118</v>
      </c>
      <c r="H22" s="54">
        <f>SUMIFS(AC!$F:$F,AC!$A:$A,$G$6,AC!$B:$B,$G$7)</f>
        <v>0</v>
      </c>
      <c r="I22" s="56">
        <f>SUMIFS(AC!$G:$G,AC!$A:$A,$G$6,AC!$B:$B,$G$7)</f>
        <v>0</v>
      </c>
      <c r="J22" s="132" t="s">
        <v>118</v>
      </c>
      <c r="K22" s="54">
        <f>SUMIFS(AC!$F:$F,AC!$A:$A,$G$6,AC!$B:$B,$J$7)</f>
        <v>0</v>
      </c>
      <c r="L22" s="56">
        <f>SUMIFS(AC!$G:$G,AC!$A:$A,$G$6,AC!$B:$B,$J$7)</f>
        <v>0</v>
      </c>
      <c r="M22" s="130" t="s">
        <v>118</v>
      </c>
      <c r="N22" s="54">
        <f>SUMIFS(AC!$F:$F,AC!$A:$A,$G$6,AC!$B:$B,$M$7)</f>
        <v>0</v>
      </c>
      <c r="O22" s="56">
        <f>SUMIFS(AC!$G:$G,AC!$A:$A,$G$6,AC!$B:$B,$M$7)</f>
        <v>0</v>
      </c>
    </row>
    <row r="23" spans="2:15" x14ac:dyDescent="0.35">
      <c r="B23" s="231">
        <v>10</v>
      </c>
      <c r="C23" s="232"/>
      <c r="D23" s="233" t="s">
        <v>28</v>
      </c>
      <c r="E23" s="232"/>
      <c r="F23" s="134" t="s">
        <v>115</v>
      </c>
      <c r="G23" s="132" t="s">
        <v>115</v>
      </c>
      <c r="H23" s="54">
        <f>IF(AND($F23="N",G23="Y"),-VLOOKUP($D23,'Rent Adjustment Worksheet'!$B:$C,2,FALSE),0)</f>
        <v>0</v>
      </c>
      <c r="I23" s="128">
        <f>IF(AND($F23="Y",G23="N"),VLOOKUP($D23,'Rent Adjustment Worksheet'!$B:$C,2,FALSE),0)</f>
        <v>0</v>
      </c>
      <c r="J23" s="132" t="s">
        <v>115</v>
      </c>
      <c r="K23" s="54">
        <f>IF(AND($F23="N",J23="Y"),-VLOOKUP($D23,'Rent Adjustment Worksheet'!$B:$C,2,FALSE),0)</f>
        <v>0</v>
      </c>
      <c r="L23" s="56">
        <f>IF(AND($F23="Y",J23="N"),VLOOKUP($D23,'Rent Adjustment Worksheet'!$B:$C,2,FALSE),0)</f>
        <v>0</v>
      </c>
      <c r="M23" s="130" t="s">
        <v>115</v>
      </c>
      <c r="N23" s="54">
        <f>IF(AND($F23="N",M23="Y"),-VLOOKUP($D23,'Rent Adjustment Worksheet'!$B:$C,2,FALSE),0)</f>
        <v>0</v>
      </c>
      <c r="O23" s="56">
        <f>IF(AND($F23="Y",M23="N"),VLOOKUP($D23,'Rent Adjustment Worksheet'!$B:$C,2,FALSE),0)</f>
        <v>0</v>
      </c>
    </row>
    <row r="24" spans="2:15" x14ac:dyDescent="0.35">
      <c r="B24" s="231">
        <v>11</v>
      </c>
      <c r="C24" s="232"/>
      <c r="D24" s="233" t="s">
        <v>119</v>
      </c>
      <c r="E24" s="232"/>
      <c r="F24" s="134" t="s">
        <v>115</v>
      </c>
      <c r="G24" s="132" t="s">
        <v>115</v>
      </c>
      <c r="H24" s="54">
        <f>IF(AND($F24="N",G24="Y"),-VLOOKUP($D24,'Rent Adjustment Worksheet'!$B:$C,2,FALSE),0)</f>
        <v>0</v>
      </c>
      <c r="I24" s="128">
        <f>IF(AND($F24="Y",G24="N"),VLOOKUP($D24,'Rent Adjustment Worksheet'!$B:$C,2,FALSE),0)</f>
        <v>0</v>
      </c>
      <c r="J24" s="132" t="s">
        <v>115</v>
      </c>
      <c r="K24" s="54">
        <f>IF(AND($F24="N",J24="Y"),-VLOOKUP($D24,'Rent Adjustment Worksheet'!$B:$C,2,FALSE),0)</f>
        <v>0</v>
      </c>
      <c r="L24" s="56">
        <f>IF(AND($F24="Y",J24="N"),VLOOKUP($D24,'Rent Adjustment Worksheet'!$B:$C,2,FALSE),0)</f>
        <v>0</v>
      </c>
      <c r="M24" s="130" t="s">
        <v>115</v>
      </c>
      <c r="N24" s="54">
        <f>IF(AND($F24="N",M24="Y"),-VLOOKUP($D24,'Rent Adjustment Worksheet'!$B:$C,2,FALSE),0)</f>
        <v>0</v>
      </c>
      <c r="O24" s="56">
        <f>IF(AND($F24="Y",M24="N"),VLOOKUP($D24,'Rent Adjustment Worksheet'!$B:$C,2,FALSE),0)</f>
        <v>0</v>
      </c>
    </row>
    <row r="25" spans="2:15" x14ac:dyDescent="0.35">
      <c r="B25" s="231">
        <v>12</v>
      </c>
      <c r="C25" s="232"/>
      <c r="D25" s="233" t="s">
        <v>32</v>
      </c>
      <c r="E25" s="232"/>
      <c r="F25" s="134" t="s">
        <v>115</v>
      </c>
      <c r="G25" s="132" t="s">
        <v>115</v>
      </c>
      <c r="H25" s="54">
        <f>IF(AND($F25="N",G25="Y"),-VLOOKUP($D25,'Rent Adjustment Worksheet'!$B:$C,2,FALSE),0)</f>
        <v>0</v>
      </c>
      <c r="I25" s="128">
        <f>IF(AND($F25="Y",G25="N"),VLOOKUP($D25,'Rent Adjustment Worksheet'!$B:$C,2,FALSE),0)</f>
        <v>0</v>
      </c>
      <c r="J25" s="132" t="s">
        <v>115</v>
      </c>
      <c r="K25" s="54">
        <f>IF(AND($F25="N",J25="Y"),-VLOOKUP($D25,'Rent Adjustment Worksheet'!$B:$C,2,FALSE),0)</f>
        <v>0</v>
      </c>
      <c r="L25" s="56">
        <f>IF(AND($F25="Y",J25="N"),VLOOKUP($D25,'Rent Adjustment Worksheet'!$B:$C,2,FALSE),0)</f>
        <v>0</v>
      </c>
      <c r="M25" s="130" t="s">
        <v>115</v>
      </c>
      <c r="N25" s="54">
        <f>IF(AND($F25="N",M25="Y"),-VLOOKUP($D25,'Rent Adjustment Worksheet'!$B:$C,2,FALSE),0)</f>
        <v>0</v>
      </c>
      <c r="O25" s="56">
        <f>IF(AND($F25="Y",M25="N"),VLOOKUP($D25,'Rent Adjustment Worksheet'!$B:$C,2,FALSE),0)</f>
        <v>0</v>
      </c>
    </row>
    <row r="26" spans="2:15" x14ac:dyDescent="0.35">
      <c r="B26" s="231">
        <v>13</v>
      </c>
      <c r="C26" s="232"/>
      <c r="D26" s="233" t="s">
        <v>34</v>
      </c>
      <c r="E26" s="232"/>
      <c r="F26" s="134" t="s">
        <v>115</v>
      </c>
      <c r="G26" s="132" t="s">
        <v>115</v>
      </c>
      <c r="H26" s="54">
        <f>IF(AND($F26="N",G26="Y"),-VLOOKUP($D26,'Rent Adjustment Worksheet'!$B:$C,2,FALSE),0)</f>
        <v>0</v>
      </c>
      <c r="I26" s="128">
        <f>IF(AND($F26="Y",G26="N"),VLOOKUP($D26,'Rent Adjustment Worksheet'!$B:$C,2,FALSE),0)</f>
        <v>0</v>
      </c>
      <c r="J26" s="132" t="s">
        <v>115</v>
      </c>
      <c r="K26" s="54">
        <f>IF(AND($F26="N",J26="Y"),-VLOOKUP($D26,'Rent Adjustment Worksheet'!$B:$C,2,FALSE),0)</f>
        <v>0</v>
      </c>
      <c r="L26" s="56">
        <f>IF(AND($F26="Y",J26="N"),VLOOKUP($D26,'Rent Adjustment Worksheet'!$B:$C,2,FALSE),0)</f>
        <v>0</v>
      </c>
      <c r="M26" s="130" t="s">
        <v>115</v>
      </c>
      <c r="N26" s="54">
        <f>IF(AND($F26="N",M26="Y"),-VLOOKUP($D26,'Rent Adjustment Worksheet'!$B:$C,2,FALSE),0)</f>
        <v>0</v>
      </c>
      <c r="O26" s="56">
        <f>IF(AND($F26="Y",M26="N"),VLOOKUP($D26,'Rent Adjustment Worksheet'!$B:$C,2,FALSE),0)</f>
        <v>0</v>
      </c>
    </row>
    <row r="27" spans="2:15" x14ac:dyDescent="0.35">
      <c r="B27" s="231">
        <v>14</v>
      </c>
      <c r="C27" s="232"/>
      <c r="D27" s="233" t="s">
        <v>36</v>
      </c>
      <c r="E27" s="232"/>
      <c r="F27" s="134" t="s">
        <v>115</v>
      </c>
      <c r="G27" s="132" t="s">
        <v>115</v>
      </c>
      <c r="H27" s="54">
        <f>IF(AND($F27="N",G27="Y"),-VLOOKUP($D27,'Rent Adjustment Worksheet'!$B:$C,2,FALSE),0)</f>
        <v>0</v>
      </c>
      <c r="I27" s="128">
        <f>IF(AND($F27="Y",G27="N"),VLOOKUP($D27,'Rent Adjustment Worksheet'!$B:$C,2,FALSE),0)</f>
        <v>0</v>
      </c>
      <c r="J27" s="132" t="s">
        <v>115</v>
      </c>
      <c r="K27" s="54">
        <f>IF(AND($F27="N",J27="Y"),-VLOOKUP($D27,'Rent Adjustment Worksheet'!$B:$C,2,FALSE),0)</f>
        <v>0</v>
      </c>
      <c r="L27" s="56">
        <f>IF(AND($F27="Y",J27="N"),VLOOKUP($D27,'Rent Adjustment Worksheet'!$B:$C,2,FALSE),0)</f>
        <v>0</v>
      </c>
      <c r="M27" s="130" t="s">
        <v>115</v>
      </c>
      <c r="N27" s="54">
        <f>IF(AND($F27="N",M27="Y"),-VLOOKUP($D27,'Rent Adjustment Worksheet'!$B:$C,2,FALSE),0)</f>
        <v>0</v>
      </c>
      <c r="O27" s="56">
        <f>IF(AND($F27="Y",M27="N"),VLOOKUP($D27,'Rent Adjustment Worksheet'!$B:$C,2,FALSE),0)</f>
        <v>0</v>
      </c>
    </row>
    <row r="28" spans="2:15" x14ac:dyDescent="0.35">
      <c r="B28" s="231">
        <v>15</v>
      </c>
      <c r="C28" s="232"/>
      <c r="D28" s="233" t="s">
        <v>38</v>
      </c>
      <c r="E28" s="232"/>
      <c r="F28" s="134" t="s">
        <v>115</v>
      </c>
      <c r="G28" s="132" t="s">
        <v>115</v>
      </c>
      <c r="H28" s="54">
        <f>IF(AND($F28="N",G28="Y"),-VLOOKUP($D28,'Rent Adjustment Worksheet'!$B:$C,2,FALSE),0)</f>
        <v>0</v>
      </c>
      <c r="I28" s="128">
        <f>IF(AND($F28="Y",G28="N"),VLOOKUP($D28,'Rent Adjustment Worksheet'!$B:$C,2,FALSE),0)</f>
        <v>0</v>
      </c>
      <c r="J28" s="132" t="s">
        <v>115</v>
      </c>
      <c r="K28" s="54">
        <f>IF(AND($F28="N",J28="Y"),-VLOOKUP($D28,'Rent Adjustment Worksheet'!$B:$C,2,FALSE),0)</f>
        <v>0</v>
      </c>
      <c r="L28" s="56">
        <f>IF(AND($F28="Y",J28="N"),VLOOKUP($D28,'Rent Adjustment Worksheet'!$B:$C,2,FALSE),0)</f>
        <v>0</v>
      </c>
      <c r="M28" s="130" t="s">
        <v>115</v>
      </c>
      <c r="N28" s="54">
        <f>IF(AND($F28="N",M28="Y"),-VLOOKUP($D28,'Rent Adjustment Worksheet'!$B:$C,2,FALSE),0)</f>
        <v>0</v>
      </c>
      <c r="O28" s="56">
        <f>IF(AND($F28="Y",M28="N"),VLOOKUP($D28,'Rent Adjustment Worksheet'!$B:$C,2,FALSE),0)</f>
        <v>0</v>
      </c>
    </row>
    <row r="29" spans="2:15" x14ac:dyDescent="0.35">
      <c r="B29" s="231">
        <v>16</v>
      </c>
      <c r="C29" s="232"/>
      <c r="D29" s="233" t="s">
        <v>39</v>
      </c>
      <c r="E29" s="232"/>
      <c r="F29" s="134" t="s">
        <v>115</v>
      </c>
      <c r="G29" s="132" t="s">
        <v>115</v>
      </c>
      <c r="H29" s="54">
        <f>IF(AND($F29="N",G29="Y"),-VLOOKUP($D29,'Rent Adjustment Worksheet'!$B:$C,2,FALSE),0)</f>
        <v>0</v>
      </c>
      <c r="I29" s="128">
        <f>IF(AND($F29="Y",G29="N"),VLOOKUP($D29,'Rent Adjustment Worksheet'!$B:$C,2,FALSE),0)</f>
        <v>0</v>
      </c>
      <c r="J29" s="132" t="s">
        <v>115</v>
      </c>
      <c r="K29" s="54">
        <f>IF(AND($F29="N",J29="Y"),-VLOOKUP($D29,'Rent Adjustment Worksheet'!$B:$C,2,FALSE),0)</f>
        <v>0</v>
      </c>
      <c r="L29" s="56">
        <f>IF(AND($F29="Y",J29="N"),VLOOKUP($D29,'Rent Adjustment Worksheet'!$B:$C,2,FALSE),0)</f>
        <v>0</v>
      </c>
      <c r="M29" s="130" t="s">
        <v>115</v>
      </c>
      <c r="N29" s="54">
        <f>IF(AND($F29="N",M29="Y"),-VLOOKUP($D29,'Rent Adjustment Worksheet'!$B:$C,2,FALSE),0)</f>
        <v>0</v>
      </c>
      <c r="O29" s="56">
        <f>IF(AND($F29="Y",M29="N"),VLOOKUP($D29,'Rent Adjustment Worksheet'!$B:$C,2,FALSE),0)</f>
        <v>0</v>
      </c>
    </row>
    <row r="30" spans="2:15" x14ac:dyDescent="0.35">
      <c r="B30" s="231">
        <v>17</v>
      </c>
      <c r="C30" s="232"/>
      <c r="D30" s="233" t="s">
        <v>41</v>
      </c>
      <c r="E30" s="232"/>
      <c r="F30" s="134" t="s">
        <v>115</v>
      </c>
      <c r="G30" s="132" t="s">
        <v>115</v>
      </c>
      <c r="H30" s="54">
        <f>IF(AND($F30="N",G30="Y"),-VLOOKUP($D30,'Rent Adjustment Worksheet'!$B:$C,2,FALSE),0)</f>
        <v>0</v>
      </c>
      <c r="I30" s="128">
        <f>IF(AND($F30="Y",G30="N"),VLOOKUP($D30,'Rent Adjustment Worksheet'!$B:$C,2,FALSE),0)</f>
        <v>0</v>
      </c>
      <c r="J30" s="132" t="s">
        <v>115</v>
      </c>
      <c r="K30" s="54">
        <f>IF(AND($F30="N",J30="Y"),-VLOOKUP($D30,'Rent Adjustment Worksheet'!$B:$C,2,FALSE),0)</f>
        <v>0</v>
      </c>
      <c r="L30" s="56">
        <f>IF(AND($F30="Y",J30="N"),VLOOKUP($D30,'Rent Adjustment Worksheet'!$B:$C,2,FALSE),0)</f>
        <v>0</v>
      </c>
      <c r="M30" s="130" t="s">
        <v>115</v>
      </c>
      <c r="N30" s="54">
        <f>IF(AND($F30="N",M30="Y"),-VLOOKUP($D30,'Rent Adjustment Worksheet'!$B:$C,2,FALSE),0)</f>
        <v>0</v>
      </c>
      <c r="O30" s="56">
        <f>IF(AND($F30="Y",M30="N"),VLOOKUP($D30,'Rent Adjustment Worksheet'!$B:$C,2,FALSE),0)</f>
        <v>0</v>
      </c>
    </row>
    <row r="31" spans="2:15" x14ac:dyDescent="0.35">
      <c r="B31" s="231">
        <v>18</v>
      </c>
      <c r="C31" s="232"/>
      <c r="D31" s="233" t="s">
        <v>43</v>
      </c>
      <c r="E31" s="232"/>
      <c r="F31" s="134" t="s">
        <v>115</v>
      </c>
      <c r="G31" s="132" t="s">
        <v>115</v>
      </c>
      <c r="H31" s="54">
        <f>IF(AND($F31="N",G31="Y"),-VLOOKUP($D31,'Rent Adjustment Worksheet'!$B:$C,2,FALSE),0)</f>
        <v>0</v>
      </c>
      <c r="I31" s="128">
        <f>IF(AND($F31="Y",G31="N"),VLOOKUP($D31,'Rent Adjustment Worksheet'!$B:$C,2,FALSE),0)</f>
        <v>0</v>
      </c>
      <c r="J31" s="132" t="s">
        <v>115</v>
      </c>
      <c r="K31" s="54">
        <f>IF(AND($F31="N",J31="Y"),-VLOOKUP($D31,'Rent Adjustment Worksheet'!$B:$C,2,FALSE),0)</f>
        <v>0</v>
      </c>
      <c r="L31" s="56">
        <f>IF(AND($F31="Y",J31="N"),VLOOKUP($D31,'Rent Adjustment Worksheet'!$B:$C,2,FALSE),0)</f>
        <v>0</v>
      </c>
      <c r="M31" s="130" t="s">
        <v>115</v>
      </c>
      <c r="N31" s="54">
        <f>IF(AND($F31="N",M31="Y"),-VLOOKUP($D31,'Rent Adjustment Worksheet'!$B:$C,2,FALSE),0)</f>
        <v>0</v>
      </c>
      <c r="O31" s="56">
        <f>IF(AND($F31="Y",M31="N"),VLOOKUP($D31,'Rent Adjustment Worksheet'!$B:$C,2,FALSE),0)</f>
        <v>0</v>
      </c>
    </row>
    <row r="32" spans="2:15" x14ac:dyDescent="0.35">
      <c r="B32" s="238" t="s">
        <v>120</v>
      </c>
      <c r="C32" s="239"/>
      <c r="D32" s="239"/>
      <c r="E32" s="239"/>
      <c r="F32" s="239"/>
      <c r="G32" s="239"/>
      <c r="H32" s="239"/>
      <c r="I32" s="239"/>
      <c r="J32" s="239"/>
      <c r="K32" s="239"/>
      <c r="L32" s="239"/>
      <c r="M32" s="239"/>
      <c r="N32" s="239"/>
      <c r="O32" s="240"/>
    </row>
    <row r="33" spans="2:15" x14ac:dyDescent="0.35">
      <c r="B33" s="231">
        <v>19</v>
      </c>
      <c r="C33" s="232"/>
      <c r="D33" s="233" t="s">
        <v>122</v>
      </c>
      <c r="E33" s="232"/>
      <c r="F33" s="134" t="s">
        <v>115</v>
      </c>
      <c r="G33" s="132" t="s">
        <v>115</v>
      </c>
      <c r="H33" s="54">
        <f>IF(AND($F33="N",G33="Y"),-VLOOKUP($D33,'Rent Adjustment Worksheet'!$B:$C,2,FALSE),0)</f>
        <v>0</v>
      </c>
      <c r="I33" s="56">
        <f>IF(AND($F33="Y",G33="N"),VLOOKUP($D33,'Rent Adjustment Worksheet'!$B:$C,2,FALSE),0)</f>
        <v>0</v>
      </c>
      <c r="J33" s="130" t="s">
        <v>115</v>
      </c>
      <c r="K33" s="54">
        <f>IF(AND($F33="N",J33="Y"),-VLOOKUP($D33,'Rent Adjustment Worksheet'!$B:$C,2,FALSE),0)</f>
        <v>0</v>
      </c>
      <c r="L33" s="128">
        <f>IF(AND($F33="Y",J33="N"),VLOOKUP($D33,'Rent Adjustment Worksheet'!$B:$C,2,FALSE),0)</f>
        <v>0</v>
      </c>
      <c r="M33" s="132" t="s">
        <v>115</v>
      </c>
      <c r="N33" s="54">
        <f>IF(AND($F33="N",M33="Y"),-VLOOKUP($D33,'Rent Adjustment Worksheet'!$B:$C,2,FALSE),0)</f>
        <v>0</v>
      </c>
      <c r="O33" s="56">
        <f>IF(AND($F33="Y",M33="N"),VLOOKUP($D33,'Rent Adjustment Worksheet'!$B:$C,2,FALSE),0)</f>
        <v>0</v>
      </c>
    </row>
    <row r="34" spans="2:15" x14ac:dyDescent="0.35">
      <c r="B34" s="231">
        <v>20</v>
      </c>
      <c r="C34" s="232"/>
      <c r="D34" s="233" t="s">
        <v>68</v>
      </c>
      <c r="E34" s="232"/>
      <c r="F34" s="134" t="s">
        <v>115</v>
      </c>
      <c r="G34" s="132" t="s">
        <v>115</v>
      </c>
      <c r="H34" s="54">
        <f>IF(AND($F34="N",G34="Y"),-VLOOKUP($G$6,'Utilities Worksheet'!$B$3:$G$10,3,FALSE),0)</f>
        <v>0</v>
      </c>
      <c r="I34" s="56">
        <f>IF(AND($F34="Y",G34="N"),VLOOKUP($G$6,'Utilities Worksheet'!$B$3:$G$10,3,FALSE),0)</f>
        <v>0</v>
      </c>
      <c r="J34" s="130" t="s">
        <v>115</v>
      </c>
      <c r="K34" s="54">
        <f>IF(AND($F34="N",J34="Y"),-VLOOKUP($G$6,'Utilities Worksheet'!$B$3:$G$10,3,FALSE),0)</f>
        <v>0</v>
      </c>
      <c r="L34" s="56">
        <f>IF(AND($F34="Y",J34="N"),VLOOKUP($G$6,'Utilities Worksheet'!$B$3:$G$10,3,FALSE),0)</f>
        <v>0</v>
      </c>
      <c r="M34" s="132" t="s">
        <v>115</v>
      </c>
      <c r="N34" s="54">
        <f>IF(AND($F34="N",M34="Y"),-VLOOKUP($G$6,'Utilities Worksheet'!$B$3:$G$10,3,FALSE),0)</f>
        <v>0</v>
      </c>
      <c r="O34" s="56">
        <f>IF(AND($F34="Y",M34="N"),VLOOKUP($G$6,'Utilities Worksheet'!$B$3:$G$10,3,FALSE),0)</f>
        <v>0</v>
      </c>
    </row>
    <row r="35" spans="2:15" x14ac:dyDescent="0.35">
      <c r="B35" s="231">
        <v>21</v>
      </c>
      <c r="C35" s="232"/>
      <c r="D35" s="233" t="s">
        <v>69</v>
      </c>
      <c r="E35" s="232"/>
      <c r="F35" s="134" t="s">
        <v>115</v>
      </c>
      <c r="G35" s="132" t="s">
        <v>115</v>
      </c>
      <c r="H35" s="54">
        <f>IF(AND($F35="N",G35="Y"),-VLOOKUP($G$6,'Utilities Worksheet'!$B$3:$G$10,4,FALSE),0)</f>
        <v>0</v>
      </c>
      <c r="I35" s="56">
        <f>IF(AND($F35="Y",G35="N"),VLOOKUP($G$6,'Utilities Worksheet'!$B$3:$G$10,4,FALSE),0)</f>
        <v>0</v>
      </c>
      <c r="J35" s="130" t="s">
        <v>115</v>
      </c>
      <c r="K35" s="54">
        <f>IF(AND($F35="N",J35="Y"),-VLOOKUP($G$6,'Utilities Worksheet'!$B$3:$G$10,4,FALSE),0)</f>
        <v>0</v>
      </c>
      <c r="L35" s="56">
        <f>IF(AND($F35="Y",J35="N"),VLOOKUP($G$6,'Utilities Worksheet'!$B$3:$G$10,4,FALSE),0)</f>
        <v>0</v>
      </c>
      <c r="M35" s="132" t="s">
        <v>115</v>
      </c>
      <c r="N35" s="54">
        <f>IF(AND($F35="N",M35="Y"),-VLOOKUP($G$6,'Utilities Worksheet'!$B$3:$G$10,4,FALSE),0)</f>
        <v>0</v>
      </c>
      <c r="O35" s="56">
        <f>IF(AND($F35="Y",M35="N"),VLOOKUP($G$6,'Utilities Worksheet'!$B$3:$G$10,4,FALSE),0)</f>
        <v>0</v>
      </c>
    </row>
    <row r="36" spans="2:15" x14ac:dyDescent="0.35">
      <c r="B36" s="231">
        <v>22</v>
      </c>
      <c r="C36" s="232"/>
      <c r="D36" s="233" t="s">
        <v>70</v>
      </c>
      <c r="E36" s="232"/>
      <c r="F36" s="134" t="s">
        <v>115</v>
      </c>
      <c r="G36" s="132" t="s">
        <v>115</v>
      </c>
      <c r="H36" s="54">
        <f>IF(AND($F36="N",G36="Y"),-VLOOKUP($G$6,'Utilities Worksheet'!$B$3:$G$10,5,FALSE),0)</f>
        <v>0</v>
      </c>
      <c r="I36" s="56">
        <f>IF(AND($F36="Y",G36="N"),VLOOKUP($G$6,'Utilities Worksheet'!$B$3:$G$10,5,FALSE),0)</f>
        <v>0</v>
      </c>
      <c r="J36" s="130" t="s">
        <v>115</v>
      </c>
      <c r="K36" s="54">
        <f>IF(AND($F36="N",J36="Y"),-VLOOKUP($G$6,'Utilities Worksheet'!$B$3:$G$10,5,FALSE),0)</f>
        <v>0</v>
      </c>
      <c r="L36" s="56">
        <f>IF(AND($F36="Y",J36="N"),VLOOKUP($G$6,'Utilities Worksheet'!$B$3:$G$10,5,FALSE),0)</f>
        <v>0</v>
      </c>
      <c r="M36" s="132" t="s">
        <v>115</v>
      </c>
      <c r="N36" s="54">
        <f>IF(AND($F36="N",M36="Y"),-VLOOKUP($G$6,'Utilities Worksheet'!$B$3:$G$10,5,FALSE),0)</f>
        <v>0</v>
      </c>
      <c r="O36" s="56">
        <f>IF(AND($F36="Y",M36="N"),VLOOKUP($G$6,'Utilities Worksheet'!$B$3:$G$10,5,FALSE),0)</f>
        <v>0</v>
      </c>
    </row>
    <row r="37" spans="2:15" x14ac:dyDescent="0.35">
      <c r="B37" s="231">
        <v>23</v>
      </c>
      <c r="C37" s="232"/>
      <c r="D37" s="233" t="s">
        <v>71</v>
      </c>
      <c r="E37" s="232"/>
      <c r="F37" s="134" t="s">
        <v>115</v>
      </c>
      <c r="G37" s="132" t="s">
        <v>115</v>
      </c>
      <c r="H37" s="54">
        <f>IF(AND($F37="N",G37="Y"),-VLOOKUP($G$6,'Utilities Worksheet'!$B$3:$G$10,6,FALSE),0)</f>
        <v>0</v>
      </c>
      <c r="I37" s="56">
        <f>IF(AND($F37="Y",G37="N"),VLOOKUP($G$6,'Utilities Worksheet'!$B$3:$G$10,6,FALSE),0)</f>
        <v>0</v>
      </c>
      <c r="J37" s="130" t="s">
        <v>115</v>
      </c>
      <c r="K37" s="54">
        <f>IF(AND($F37="N",J37="Y"),-VLOOKUP($G$6,'Utilities Worksheet'!$B$3:$G$10,6,FALSE),0)</f>
        <v>0</v>
      </c>
      <c r="L37" s="56">
        <f>IF(AND($F37="Y",J37="N"),VLOOKUP($G$6,'Utilities Worksheet'!$B$3:$G$10,6,FALSE),0)</f>
        <v>0</v>
      </c>
      <c r="M37" s="132" t="s">
        <v>115</v>
      </c>
      <c r="N37" s="54">
        <f>IF(AND($F37="N",M37="Y"),-VLOOKUP($G$6,'Utilities Worksheet'!$B$3:$G$10,6,FALSE),0)</f>
        <v>0</v>
      </c>
      <c r="O37" s="56">
        <f>IF(AND($F37="Y",M37="N"),VLOOKUP($G$6,'Utilities Worksheet'!$B$3:$G$10,6,FALSE),0)</f>
        <v>0</v>
      </c>
    </row>
    <row r="38" spans="2:15" x14ac:dyDescent="0.35">
      <c r="B38" s="231">
        <v>24</v>
      </c>
      <c r="C38" s="232"/>
      <c r="D38" s="233" t="s">
        <v>47</v>
      </c>
      <c r="E38" s="232"/>
      <c r="F38" s="134" t="s">
        <v>115</v>
      </c>
      <c r="G38" s="132" t="s">
        <v>115</v>
      </c>
      <c r="H38" s="54">
        <f>IF(AND($F38="N",G38="Y"),-VLOOKUP($D38,'Rent Adjustment Worksheet'!$B:$C,2,FALSE),0)</f>
        <v>0</v>
      </c>
      <c r="I38" s="56">
        <f>IF(AND($F38="Y",G38="N"),VLOOKUP($D38,'Rent Adjustment Worksheet'!$B:$C,2,FALSE),0)</f>
        <v>0</v>
      </c>
      <c r="J38" s="130" t="s">
        <v>115</v>
      </c>
      <c r="K38" s="54">
        <f>IF(AND($F38="N",J38="Y"),-VLOOKUP($D38,'Rent Adjustment Worksheet'!$B:$C,2,FALSE),0)</f>
        <v>0</v>
      </c>
      <c r="L38" s="128">
        <f>IF(AND($F38="Y",J38="N"),VLOOKUP($D38,'Rent Adjustment Worksheet'!$B:$C,2,FALSE),0)</f>
        <v>0</v>
      </c>
      <c r="M38" s="132" t="s">
        <v>115</v>
      </c>
      <c r="N38" s="54">
        <f>IF(AND($F38="N",M38="Y"),-VLOOKUP($D38,'Rent Adjustment Worksheet'!$B:$C,2,FALSE),0)</f>
        <v>0</v>
      </c>
      <c r="O38" s="56">
        <f>IF(AND($F38="Y",M38="N"),VLOOKUP($D38,'Rent Adjustment Worksheet'!$B:$C,2,FALSE),0)</f>
        <v>0</v>
      </c>
    </row>
    <row r="39" spans="2:15" x14ac:dyDescent="0.35">
      <c r="B39" s="238" t="s">
        <v>123</v>
      </c>
      <c r="C39" s="239"/>
      <c r="D39" s="239"/>
      <c r="E39" s="239"/>
      <c r="F39" s="239"/>
      <c r="G39" s="239"/>
      <c r="H39" s="239"/>
      <c r="I39" s="239"/>
      <c r="J39" s="239"/>
      <c r="K39" s="239"/>
      <c r="L39" s="239"/>
      <c r="M39" s="239"/>
      <c r="N39" s="239"/>
      <c r="O39" s="240"/>
    </row>
    <row r="40" spans="2:15" x14ac:dyDescent="0.35">
      <c r="B40" s="231">
        <v>25</v>
      </c>
      <c r="C40" s="232"/>
      <c r="D40" s="261" t="str">
        <f>IF(OR('Rent Adjustment Worksheet'!$B25="PHA write-in (if Applicable)",'Rent Adjustment Worksheet'!$B25=""),"",'Rent Adjustment Worksheet'!$B25)</f>
        <v/>
      </c>
      <c r="E40" s="262"/>
      <c r="F40" s="134" t="s">
        <v>115</v>
      </c>
      <c r="G40" s="132" t="s">
        <v>115</v>
      </c>
      <c r="H40" s="54">
        <f>IF($D40="",0,IF(AND($F40="N",G40="Y"),-VLOOKUP($D40,'Rent Adjustment Worksheet'!$B:$C,2,FALSE),0))</f>
        <v>0</v>
      </c>
      <c r="I40" s="56">
        <f>IF($D40="",0,IF(AND($F40="Y",G40="N"),VLOOKUP($D40,'Rent Adjustment Worksheet'!$B:$C,2,FALSE),0))</f>
        <v>0</v>
      </c>
      <c r="J40" s="130" t="s">
        <v>115</v>
      </c>
      <c r="K40" s="54">
        <f>IF($D40="",0,IF(AND($F40="N",J40="Y"),-VLOOKUP($D40,'Rent Adjustment Worksheet'!$B:$C,2,FALSE),0))</f>
        <v>0</v>
      </c>
      <c r="L40" s="128">
        <f>IF($D40="",0,IF(AND($F40="Y",J40="N"),VLOOKUP($D40,'Rent Adjustment Worksheet'!$B:$C,2,FALSE),0))</f>
        <v>0</v>
      </c>
      <c r="M40" s="132" t="s">
        <v>115</v>
      </c>
      <c r="N40" s="54">
        <f>IF($D40="",0,IF(AND($F40="N",M40="Y"),-VLOOKUP($D40,'Rent Adjustment Worksheet'!$B:$C,2,FALSE),0))</f>
        <v>0</v>
      </c>
      <c r="O40" s="56">
        <f>IF($D40="",0,IF(AND($F40="Y",M40="N"),VLOOKUP($D40,'Rent Adjustment Worksheet'!$B:$C,2,FALSE),0))</f>
        <v>0</v>
      </c>
    </row>
    <row r="41" spans="2:15" x14ac:dyDescent="0.35">
      <c r="B41" s="231">
        <v>26</v>
      </c>
      <c r="C41" s="232"/>
      <c r="D41" s="261" t="str">
        <f>IF(OR('Rent Adjustment Worksheet'!$B26="PHA write-in (if Applicable)",'Rent Adjustment Worksheet'!$B26=""),"",'Rent Adjustment Worksheet'!$B26)</f>
        <v/>
      </c>
      <c r="E41" s="262"/>
      <c r="F41" s="134" t="s">
        <v>115</v>
      </c>
      <c r="G41" s="132" t="s">
        <v>115</v>
      </c>
      <c r="H41" s="54">
        <f>IF($D41="",0,IF(AND($F41="N",G41="Y"),-VLOOKUP($D41,'Rent Adjustment Worksheet'!$B:$C,2,FALSE),0))</f>
        <v>0</v>
      </c>
      <c r="I41" s="56">
        <f>IF($D41="",0,IF(AND($F41="Y",G41="N"),VLOOKUP($D41,'Rent Adjustment Worksheet'!$B:$C,2,FALSE),0))</f>
        <v>0</v>
      </c>
      <c r="J41" s="130" t="s">
        <v>115</v>
      </c>
      <c r="K41" s="54">
        <f>IF($D41="",0,IF(AND($F41="N",J41="Y"),-VLOOKUP($D41,'Rent Adjustment Worksheet'!$B:$C,2,FALSE),0))</f>
        <v>0</v>
      </c>
      <c r="L41" s="128">
        <f>IF($D41="",0,IF(AND($F41="Y",J41="N"),VLOOKUP($D41,'Rent Adjustment Worksheet'!$B:$C,2,FALSE),0))</f>
        <v>0</v>
      </c>
      <c r="M41" s="132" t="s">
        <v>115</v>
      </c>
      <c r="N41" s="54">
        <f>IF($D41="",0,IF(AND($F41="N",M41="Y"),-VLOOKUP($D41,'Rent Adjustment Worksheet'!$B:$C,2,FALSE),0))</f>
        <v>0</v>
      </c>
      <c r="O41" s="56">
        <f>IF($D41="",0,IF(AND($F41="Y",M41="N"),VLOOKUP($D41,'Rent Adjustment Worksheet'!$B:$C,2,FALSE),0))</f>
        <v>0</v>
      </c>
    </row>
    <row r="42" spans="2:15" x14ac:dyDescent="0.35">
      <c r="B42" s="231">
        <v>27</v>
      </c>
      <c r="C42" s="232"/>
      <c r="D42" s="261" t="str">
        <f>IF(OR('Rent Adjustment Worksheet'!$B27="PHA write-in (if Applicable)",'Rent Adjustment Worksheet'!$B27=""),"",'Rent Adjustment Worksheet'!$B27)</f>
        <v/>
      </c>
      <c r="E42" s="262"/>
      <c r="F42" s="134" t="s">
        <v>115</v>
      </c>
      <c r="G42" s="132" t="s">
        <v>115</v>
      </c>
      <c r="H42" s="54">
        <f>IF($D42="",0,IF(AND($F42="N",G42="Y"),-VLOOKUP($D42,'Rent Adjustment Worksheet'!$B:$C,2,FALSE),0))</f>
        <v>0</v>
      </c>
      <c r="I42" s="56">
        <f>IF($D42="",0,IF(AND($F42="Y",G42="N"),VLOOKUP($D42,'Rent Adjustment Worksheet'!$B:$C,2,FALSE),0))</f>
        <v>0</v>
      </c>
      <c r="J42" s="130" t="s">
        <v>115</v>
      </c>
      <c r="K42" s="54">
        <f>IF($D42="",0,IF(AND($F42="N",J42="Y"),-VLOOKUP($D42,'Rent Adjustment Worksheet'!$B:$C,2,FALSE),0))</f>
        <v>0</v>
      </c>
      <c r="L42" s="128">
        <f>IF($D42="",0,IF(AND($F42="Y",J42="N"),VLOOKUP($D42,'Rent Adjustment Worksheet'!$B:$C,2,FALSE),0))</f>
        <v>0</v>
      </c>
      <c r="M42" s="132" t="s">
        <v>115</v>
      </c>
      <c r="N42" s="54">
        <f>IF($D42="",0,IF(AND($F42="N",M42="Y"),-VLOOKUP($D42,'Rent Adjustment Worksheet'!$B:$C,2,FALSE),0))</f>
        <v>0</v>
      </c>
      <c r="O42" s="56">
        <f>IF($D42="",0,IF(AND($F42="Y",M42="N"),VLOOKUP($D42,'Rent Adjustment Worksheet'!$B:$C,2,FALSE),0))</f>
        <v>0</v>
      </c>
    </row>
    <row r="43" spans="2:15" x14ac:dyDescent="0.35">
      <c r="B43" s="231">
        <v>28</v>
      </c>
      <c r="C43" s="232"/>
      <c r="D43" s="261" t="str">
        <f>IF(OR('Rent Adjustment Worksheet'!$B28="PHA write-in (if Applicable)",'Rent Adjustment Worksheet'!$B28=""),"",'Rent Adjustment Worksheet'!$B28)</f>
        <v/>
      </c>
      <c r="E43" s="262"/>
      <c r="F43" s="134" t="s">
        <v>115</v>
      </c>
      <c r="G43" s="132" t="s">
        <v>115</v>
      </c>
      <c r="H43" s="54">
        <f>IF($D43="",0,IF(AND($F43="N",G43="Y"),-VLOOKUP($D43,'Rent Adjustment Worksheet'!$B:$C,2,FALSE),0))</f>
        <v>0</v>
      </c>
      <c r="I43" s="56">
        <f>IF($D43="",0,IF(AND($F43="Y",G43="N"),VLOOKUP($D43,'Rent Adjustment Worksheet'!$B:$C,2,FALSE),0))</f>
        <v>0</v>
      </c>
      <c r="J43" s="130" t="s">
        <v>115</v>
      </c>
      <c r="K43" s="54">
        <f>IF($D43="",0,IF(AND($F43="N",J43="Y"),-VLOOKUP($D43,'Rent Adjustment Worksheet'!$B:$C,2,FALSE),0))</f>
        <v>0</v>
      </c>
      <c r="L43" s="128">
        <f>IF($D43="",0,IF(AND($F43="Y",J43="N"),VLOOKUP($D43,'Rent Adjustment Worksheet'!$B:$C,2,FALSE),0))</f>
        <v>0</v>
      </c>
      <c r="M43" s="132" t="s">
        <v>115</v>
      </c>
      <c r="N43" s="54">
        <f>IF($D43="",0,IF(AND($F43="N",M43="Y"),-VLOOKUP($D43,'Rent Adjustment Worksheet'!$B:$C,2,FALSE),0))</f>
        <v>0</v>
      </c>
      <c r="O43" s="56">
        <f>IF($D43="",0,IF(AND($F43="Y",M43="N"),VLOOKUP($D43,'Rent Adjustment Worksheet'!$B:$C,2,FALSE),0))</f>
        <v>0</v>
      </c>
    </row>
    <row r="44" spans="2:15" x14ac:dyDescent="0.35">
      <c r="B44" s="231">
        <v>29</v>
      </c>
      <c r="C44" s="232"/>
      <c r="D44" s="261" t="str">
        <f>IF(OR('Rent Adjustment Worksheet'!$B29="PHA write-in (if Applicable)",'Rent Adjustment Worksheet'!$B29=""),"",'Rent Adjustment Worksheet'!$B29)</f>
        <v/>
      </c>
      <c r="E44" s="262"/>
      <c r="F44" s="134" t="s">
        <v>115</v>
      </c>
      <c r="G44" s="132" t="s">
        <v>115</v>
      </c>
      <c r="H44" s="54">
        <f>IF($D44="",0,IF(AND($F44="N",G44="Y"),-VLOOKUP($D44,'Rent Adjustment Worksheet'!$B:$C,2,FALSE),0))</f>
        <v>0</v>
      </c>
      <c r="I44" s="56">
        <f>IF($D44="",0,IF(AND($F44="Y",G44="N"),VLOOKUP($D44,'Rent Adjustment Worksheet'!$B:$C,2,FALSE),0))</f>
        <v>0</v>
      </c>
      <c r="J44" s="130" t="s">
        <v>115</v>
      </c>
      <c r="K44" s="54">
        <f>IF($D44="",0,IF(AND($F44="N",J44="Y"),-VLOOKUP($D44,'Rent Adjustment Worksheet'!$B:$C,2,FALSE),0))</f>
        <v>0</v>
      </c>
      <c r="L44" s="128">
        <f>IF($D44="",0,IF(AND($F44="Y",J44="N"),VLOOKUP($D44,'Rent Adjustment Worksheet'!$B:$C,2,FALSE),0))</f>
        <v>0</v>
      </c>
      <c r="M44" s="132" t="s">
        <v>115</v>
      </c>
      <c r="N44" s="54">
        <f>IF($D44="",0,IF(AND($F44="N",M44="Y"),-VLOOKUP($D44,'Rent Adjustment Worksheet'!$B:$C,2,FALSE),0))</f>
        <v>0</v>
      </c>
      <c r="O44" s="56">
        <f>IF($D44="",0,IF(AND($F44="Y",M44="N"),VLOOKUP($D44,'Rent Adjustment Worksheet'!$B:$C,2,FALSE),0))</f>
        <v>0</v>
      </c>
    </row>
    <row r="45" spans="2:15" x14ac:dyDescent="0.35">
      <c r="B45" s="238" t="s">
        <v>124</v>
      </c>
      <c r="C45" s="239"/>
      <c r="D45" s="239"/>
      <c r="E45" s="239"/>
      <c r="F45" s="239"/>
      <c r="G45" s="239"/>
      <c r="H45" s="239"/>
      <c r="I45" s="239"/>
      <c r="J45" s="239"/>
      <c r="K45" s="239"/>
      <c r="L45" s="239"/>
      <c r="M45" s="239"/>
      <c r="N45" s="239"/>
      <c r="O45" s="240"/>
    </row>
    <row r="46" spans="2:15" x14ac:dyDescent="0.35">
      <c r="B46" s="231">
        <v>30</v>
      </c>
      <c r="C46" s="232"/>
      <c r="D46" s="233" t="s">
        <v>125</v>
      </c>
      <c r="E46" s="232"/>
      <c r="F46" s="52"/>
      <c r="G46" s="139" t="str">
        <f>IF(ISNUMBER(G10)=FALSE,"",G10)</f>
        <v/>
      </c>
      <c r="H46" s="54"/>
      <c r="I46" s="128"/>
      <c r="J46" s="139" t="str">
        <f>IF(ISNUMBER(J10)=FALSE,"",J10)</f>
        <v/>
      </c>
      <c r="K46" s="54"/>
      <c r="L46" s="128"/>
      <c r="M46" s="139" t="str">
        <f>IF(ISNUMBER(M10)=FALSE,"",M10)</f>
        <v/>
      </c>
      <c r="N46" s="54"/>
      <c r="O46" s="56"/>
    </row>
    <row r="47" spans="2:15" x14ac:dyDescent="0.35">
      <c r="B47" s="231">
        <v>31</v>
      </c>
      <c r="C47" s="232"/>
      <c r="D47" s="233" t="s">
        <v>126</v>
      </c>
      <c r="E47" s="232"/>
      <c r="F47" s="52"/>
      <c r="G47" s="57" t="str">
        <f>IF(G46="","",SUM(H47:I47))</f>
        <v/>
      </c>
      <c r="H47" s="58" t="str">
        <f>IF(G46="","",SUM(H16:H44))</f>
        <v/>
      </c>
      <c r="I47" s="137" t="str">
        <f>IF(G46="","",SUM(I16:I44))</f>
        <v/>
      </c>
      <c r="J47" s="140" t="str">
        <f>IF(J46="","",SUM(K47:L47))</f>
        <v/>
      </c>
      <c r="K47" s="58" t="str">
        <f>IF(J46="","",SUM(K16:K44))</f>
        <v/>
      </c>
      <c r="L47" s="137" t="str">
        <f>IF(J46="","",SUM(L16:L44))</f>
        <v/>
      </c>
      <c r="M47" s="140" t="str">
        <f>IF(M46="","",SUM(N47:O47))</f>
        <v/>
      </c>
      <c r="N47" s="58" t="str">
        <f>IF(M46="","",SUM(N16:N44))</f>
        <v/>
      </c>
      <c r="O47" s="59" t="str">
        <f>IF(M46="","",SUM(O16:O44))</f>
        <v/>
      </c>
    </row>
    <row r="48" spans="2:15" x14ac:dyDescent="0.35">
      <c r="B48" s="231">
        <v>32</v>
      </c>
      <c r="C48" s="232"/>
      <c r="D48" s="233" t="s">
        <v>127</v>
      </c>
      <c r="E48" s="232"/>
      <c r="F48" s="52"/>
      <c r="G48" s="57" t="str">
        <f>IF(G46="","",SUM(G46,G47))</f>
        <v/>
      </c>
      <c r="H48" s="61"/>
      <c r="I48" s="138"/>
      <c r="J48" s="140" t="str">
        <f>IF(J46="","",SUM(J46,J47))</f>
        <v/>
      </c>
      <c r="K48" s="61"/>
      <c r="L48" s="138"/>
      <c r="M48" s="140" t="str">
        <f>IF(M46="","",SUM(M46,M47))</f>
        <v/>
      </c>
      <c r="N48" s="61"/>
      <c r="O48" s="63"/>
    </row>
    <row r="49" spans="2:15" x14ac:dyDescent="0.35">
      <c r="B49" s="231">
        <v>33</v>
      </c>
      <c r="C49" s="232"/>
      <c r="D49" s="233" t="s">
        <v>128</v>
      </c>
      <c r="E49" s="232"/>
      <c r="F49" s="102" t="str">
        <f>IFERROR(AVERAGE(G48:M48),"")</f>
        <v/>
      </c>
      <c r="G49" s="101"/>
      <c r="H49" s="65"/>
      <c r="I49" s="66"/>
      <c r="J49" s="64"/>
      <c r="K49" s="65"/>
      <c r="L49" s="66"/>
      <c r="M49" s="64"/>
      <c r="N49" s="65"/>
      <c r="O49" s="67"/>
    </row>
    <row r="50" spans="2:15" x14ac:dyDescent="0.35">
      <c r="B50" s="231">
        <v>34</v>
      </c>
      <c r="C50" s="232"/>
      <c r="D50" s="233" t="s">
        <v>129</v>
      </c>
      <c r="E50" s="232"/>
      <c r="F50" s="143"/>
      <c r="G50" s="91"/>
      <c r="H50" s="92"/>
      <c r="I50" s="92"/>
      <c r="J50" s="64"/>
      <c r="K50" s="65"/>
      <c r="L50" s="66"/>
      <c r="M50" s="64"/>
      <c r="N50" s="65"/>
      <c r="O50" s="67"/>
    </row>
    <row r="51" spans="2:15" ht="15" thickBot="1" x14ac:dyDescent="0.4">
      <c r="B51" s="231">
        <v>35</v>
      </c>
      <c r="C51" s="232"/>
      <c r="D51" s="278" t="s">
        <v>162</v>
      </c>
      <c r="E51" s="279"/>
      <c r="F51" s="144"/>
      <c r="G51" s="91"/>
      <c r="H51" s="92"/>
      <c r="I51" s="64"/>
      <c r="J51" s="64"/>
      <c r="K51" s="65"/>
      <c r="L51" s="66"/>
      <c r="M51" s="64"/>
      <c r="N51" s="65"/>
      <c r="O51" s="67"/>
    </row>
    <row r="52" spans="2:15" s="21" customFormat="1" ht="42" customHeight="1" x14ac:dyDescent="0.35">
      <c r="B52" s="280" t="s">
        <v>131</v>
      </c>
      <c r="C52" s="281"/>
      <c r="D52" s="281"/>
      <c r="E52" s="281"/>
      <c r="F52" s="281"/>
      <c r="G52" s="281"/>
      <c r="H52" s="281"/>
      <c r="I52" s="281"/>
      <c r="J52" s="281"/>
      <c r="K52" s="281"/>
      <c r="L52" s="281"/>
      <c r="M52" s="281"/>
      <c r="N52" s="281"/>
      <c r="O52" s="282"/>
    </row>
    <row r="53" spans="2:15" ht="75" customHeight="1" x14ac:dyDescent="0.35">
      <c r="B53" s="283" t="s">
        <v>284</v>
      </c>
      <c r="C53" s="283"/>
      <c r="D53" s="283"/>
      <c r="E53" s="283"/>
      <c r="F53" s="283"/>
      <c r="G53" s="283"/>
      <c r="H53" s="283"/>
      <c r="I53" s="283"/>
      <c r="J53" s="283"/>
      <c r="K53" s="283"/>
      <c r="L53" s="283"/>
      <c r="M53" s="283"/>
      <c r="N53" s="283"/>
      <c r="O53" s="283"/>
    </row>
    <row r="54" spans="2:15" x14ac:dyDescent="0.35">
      <c r="B54" s="118"/>
      <c r="C54" s="118"/>
      <c r="D54" s="118"/>
      <c r="E54" s="118"/>
      <c r="M54" s="275" t="s">
        <v>164</v>
      </c>
      <c r="N54" s="275"/>
      <c r="O54" s="275"/>
    </row>
  </sheetData>
  <sheetProtection algorithmName="SHA-512" hashValue="I4g+oiDc7Vx+uH3y0NNhkr1Fq3z+9pXUqRd8BrYhHnzSg1LNkG/bvHOm8pCsTP0vQ5A8V7KJXPn+SaPc0ft6mA==" saltValue="TKORBIzJKy7hHAH6yk6BlQ==" spinCount="100000" sheet="1" selectLockedCells="1"/>
  <protectedRanges>
    <protectedRange sqref="D12:O12" name="Section 2_2_2_1_1"/>
    <protectedRange sqref="G9:O9" name="Section 2_4_1_1"/>
    <protectedRange sqref="E9:F9" name="Section 2_1_1_1_1_1"/>
    <protectedRange sqref="G10:O10" name="Section 2_3_2_1_1_1"/>
    <protectedRange sqref="G11:O11" name="Section 2_2_1_2_1_1"/>
    <protectedRange sqref="D11:F11" name="Section 2_2_2_1_2"/>
  </protectedRanges>
  <customSheetViews>
    <customSheetView guid="{A4B793CE-738E-4476-8B1F-D42BECFCF658}" topLeftCell="A25">
      <selection activeCell="A45" sqref="A45:B52"/>
      <pageMargins left="0" right="0" top="0" bottom="0" header="0" footer="0"/>
    </customSheetView>
  </customSheetViews>
  <mergeCells count="110">
    <mergeCell ref="B39:O39"/>
    <mergeCell ref="B40:C40"/>
    <mergeCell ref="D40:E40"/>
    <mergeCell ref="B45:O45"/>
    <mergeCell ref="B46:C46"/>
    <mergeCell ref="D46:E46"/>
    <mergeCell ref="B52:O52"/>
    <mergeCell ref="M54:O54"/>
    <mergeCell ref="B30:C30"/>
    <mergeCell ref="B50:C50"/>
    <mergeCell ref="D50:E50"/>
    <mergeCell ref="B51:C51"/>
    <mergeCell ref="D51:E51"/>
    <mergeCell ref="B36:C36"/>
    <mergeCell ref="D36:E36"/>
    <mergeCell ref="D38:E38"/>
    <mergeCell ref="B41:C41"/>
    <mergeCell ref="B53:O53"/>
    <mergeCell ref="B37:C37"/>
    <mergeCell ref="D37:E37"/>
    <mergeCell ref="B38:C38"/>
    <mergeCell ref="D41:E41"/>
    <mergeCell ref="B47:C47"/>
    <mergeCell ref="D47:E47"/>
    <mergeCell ref="B21:C21"/>
    <mergeCell ref="B15:O15"/>
    <mergeCell ref="D21:E21"/>
    <mergeCell ref="B17:C17"/>
    <mergeCell ref="D17:E17"/>
    <mergeCell ref="B18:C18"/>
    <mergeCell ref="D35:E35"/>
    <mergeCell ref="D25:E25"/>
    <mergeCell ref="B35:C35"/>
    <mergeCell ref="B32:O32"/>
    <mergeCell ref="B33:C33"/>
    <mergeCell ref="D33:E33"/>
    <mergeCell ref="B34:C34"/>
    <mergeCell ref="D34:E34"/>
    <mergeCell ref="D49:E49"/>
    <mergeCell ref="B43:C43"/>
    <mergeCell ref="D43:E43"/>
    <mergeCell ref="B1:L1"/>
    <mergeCell ref="M1:O1"/>
    <mergeCell ref="E6:F6"/>
    <mergeCell ref="G6:O6"/>
    <mergeCell ref="D7:F7"/>
    <mergeCell ref="G7:I7"/>
    <mergeCell ref="J7:L7"/>
    <mergeCell ref="M7:O7"/>
    <mergeCell ref="B2:L2"/>
    <mergeCell ref="M2:O2"/>
    <mergeCell ref="B7:C14"/>
    <mergeCell ref="D10:F10"/>
    <mergeCell ref="G10:I10"/>
    <mergeCell ref="J10:L10"/>
    <mergeCell ref="M10:O10"/>
    <mergeCell ref="D5:F5"/>
    <mergeCell ref="B5:C6"/>
    <mergeCell ref="G8:I8"/>
    <mergeCell ref="M9:O9"/>
    <mergeCell ref="K13:L13"/>
    <mergeCell ref="G9:I9"/>
    <mergeCell ref="J9:L9"/>
    <mergeCell ref="D13:E14"/>
    <mergeCell ref="F13:F14"/>
    <mergeCell ref="N3:O3"/>
    <mergeCell ref="N13:O13"/>
    <mergeCell ref="E11:F11"/>
    <mergeCell ref="B42:C42"/>
    <mergeCell ref="D42:E42"/>
    <mergeCell ref="B16:C16"/>
    <mergeCell ref="D16:E16"/>
    <mergeCell ref="B22:C22"/>
    <mergeCell ref="D22:E22"/>
    <mergeCell ref="B26:C26"/>
    <mergeCell ref="D26:E26"/>
    <mergeCell ref="B27:C27"/>
    <mergeCell ref="D27:E27"/>
    <mergeCell ref="B28:C28"/>
    <mergeCell ref="D28:E28"/>
    <mergeCell ref="B23:C23"/>
    <mergeCell ref="D23:E23"/>
    <mergeCell ref="B24:C24"/>
    <mergeCell ref="D24:E24"/>
    <mergeCell ref="B25:C25"/>
    <mergeCell ref="J13:J14"/>
    <mergeCell ref="B44:C44"/>
    <mergeCell ref="D44:E44"/>
    <mergeCell ref="D30:E30"/>
    <mergeCell ref="B31:C31"/>
    <mergeCell ref="D31:E31"/>
    <mergeCell ref="B20:C20"/>
    <mergeCell ref="B49:C49"/>
    <mergeCell ref="J8:L8"/>
    <mergeCell ref="M8:O8"/>
    <mergeCell ref="E8:F8"/>
    <mergeCell ref="B48:C48"/>
    <mergeCell ref="D48:E48"/>
    <mergeCell ref="D18:E18"/>
    <mergeCell ref="B19:C19"/>
    <mergeCell ref="D19:E19"/>
    <mergeCell ref="B29:C29"/>
    <mergeCell ref="G11:I11"/>
    <mergeCell ref="J11:L11"/>
    <mergeCell ref="M11:O11"/>
    <mergeCell ref="D20:E20"/>
    <mergeCell ref="G13:G14"/>
    <mergeCell ref="H13:I13"/>
    <mergeCell ref="M13:M14"/>
    <mergeCell ref="D29:E29"/>
  </mergeCells>
  <conditionalFormatting sqref="I16:I31 I33:I38 I40:I44">
    <cfRule type="cellIs" dxfId="11" priority="3" operator="greaterThan">
      <formula>$G$10*0.25</formula>
    </cfRule>
  </conditionalFormatting>
  <conditionalFormatting sqref="L16:L31 B33:O38 L40:L44">
    <cfRule type="cellIs" dxfId="10" priority="4" operator="greaterThan">
      <formula>$J$10*0.25</formula>
    </cfRule>
  </conditionalFormatting>
  <conditionalFormatting sqref="O16:O31 O33:O38 O40:O44">
    <cfRule type="cellIs" dxfId="9" priority="5" operator="greaterThan">
      <formula>$M$10*0.25</formula>
    </cfRule>
  </conditionalFormatting>
  <conditionalFormatting sqref="N16:N31 N33:N38 N40:N44">
    <cfRule type="cellIs" dxfId="8" priority="2" operator="lessThan">
      <formula>-$M$10*0.25</formula>
    </cfRule>
  </conditionalFormatting>
  <conditionalFormatting sqref="K16:K31 K33:K38 K40:K44">
    <cfRule type="cellIs" dxfId="7" priority="1" operator="lessThan">
      <formula>-$J$10*0.25</formula>
    </cfRule>
  </conditionalFormatting>
  <conditionalFormatting sqref="H16:H31 H33:H38 H40:H44">
    <cfRule type="cellIs" dxfId="6" priority="6" operator="lessThan">
      <formula>-$G$10*0.25</formula>
    </cfRule>
  </conditionalFormatting>
  <dataValidations count="2">
    <dataValidation errorStyle="information" allowBlank="1" showInputMessage="1" showErrorMessage="1" errorTitle="Non Valid Adjustment" error="Please Select a Valid PHA Write-in adjustment." sqref="K40:L44 H40:I44 N40:O44" xr:uid="{F21A3CE0-B4F0-4C48-BDCB-096CBFE965B3}"/>
    <dataValidation allowBlank="1" showErrorMessage="1" promptTitle="Select PHA Write-In" sqref="D40:E44" xr:uid="{FA84DB07-8E8F-43F6-9F93-CF7140D7BA67}"/>
  </dataValidations>
  <pageMargins left="0.7" right="0.7" top="0.75" bottom="0.75" header="0.3" footer="0.3"/>
  <pageSetup scale="6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499" r:id="rId4" name="Check Box 211">
              <controlPr locked="0" defaultSize="0" autoFill="0" autoLine="0" autoPict="0">
                <anchor moveWithCells="1">
                  <from>
                    <xdr:col>7</xdr:col>
                    <xdr:colOff>203200</xdr:colOff>
                    <xdr:row>10</xdr:row>
                    <xdr:rowOff>95250</xdr:rowOff>
                  </from>
                  <to>
                    <xdr:col>7</xdr:col>
                    <xdr:colOff>533400</xdr:colOff>
                    <xdr:row>12</xdr:row>
                    <xdr:rowOff>107950</xdr:rowOff>
                  </to>
                </anchor>
              </controlPr>
            </control>
          </mc:Choice>
        </mc:AlternateContent>
        <mc:AlternateContent xmlns:mc="http://schemas.openxmlformats.org/markup-compatibility/2006">
          <mc:Choice Requires="x14">
            <control shapeId="12500" r:id="rId5" name="Check Box 212">
              <controlPr defaultSize="0" autoFill="0" autoLine="0" autoPict="0">
                <anchor moveWithCells="1">
                  <from>
                    <xdr:col>10</xdr:col>
                    <xdr:colOff>266700</xdr:colOff>
                    <xdr:row>10</xdr:row>
                    <xdr:rowOff>69850</xdr:rowOff>
                  </from>
                  <to>
                    <xdr:col>10</xdr:col>
                    <xdr:colOff>609600</xdr:colOff>
                    <xdr:row>12</xdr:row>
                    <xdr:rowOff>133350</xdr:rowOff>
                  </to>
                </anchor>
              </controlPr>
            </control>
          </mc:Choice>
        </mc:AlternateContent>
        <mc:AlternateContent xmlns:mc="http://schemas.openxmlformats.org/markup-compatibility/2006">
          <mc:Choice Requires="x14">
            <control shapeId="12501" r:id="rId6" name="Check Box 213">
              <controlPr defaultSize="0" autoFill="0" autoLine="0" autoPict="0">
                <anchor moveWithCells="1">
                  <from>
                    <xdr:col>13</xdr:col>
                    <xdr:colOff>241300</xdr:colOff>
                    <xdr:row>10</xdr:row>
                    <xdr:rowOff>95250</xdr:rowOff>
                  </from>
                  <to>
                    <xdr:col>13</xdr:col>
                    <xdr:colOff>571500</xdr:colOff>
                    <xdr:row>12</xdr:row>
                    <xdr:rowOff>107950</xdr:rowOff>
                  </to>
                </anchor>
              </controlPr>
            </control>
          </mc:Choice>
        </mc:AlternateContent>
        <mc:AlternateContent xmlns:mc="http://schemas.openxmlformats.org/markup-compatibility/2006">
          <mc:Choice Requires="x14">
            <control shapeId="12502" r:id="rId7" name="Check Box 214">
              <controlPr locked="0" defaultSize="0" autoFill="0" autoLine="0" autoPict="0">
                <anchor moveWithCells="1">
                  <from>
                    <xdr:col>7</xdr:col>
                    <xdr:colOff>203200</xdr:colOff>
                    <xdr:row>10</xdr:row>
                    <xdr:rowOff>95250</xdr:rowOff>
                  </from>
                  <to>
                    <xdr:col>7</xdr:col>
                    <xdr:colOff>533400</xdr:colOff>
                    <xdr:row>12</xdr:row>
                    <xdr:rowOff>107950</xdr:rowOff>
                  </to>
                </anchor>
              </controlPr>
            </control>
          </mc:Choice>
        </mc:AlternateContent>
        <mc:AlternateContent xmlns:mc="http://schemas.openxmlformats.org/markup-compatibility/2006">
          <mc:Choice Requires="x14">
            <control shapeId="12503" r:id="rId8" name="Check Box 215">
              <controlPr defaultSize="0" autoFill="0" autoLine="0" autoPict="0">
                <anchor moveWithCells="1">
                  <from>
                    <xdr:col>10</xdr:col>
                    <xdr:colOff>266700</xdr:colOff>
                    <xdr:row>10</xdr:row>
                    <xdr:rowOff>69850</xdr:rowOff>
                  </from>
                  <to>
                    <xdr:col>10</xdr:col>
                    <xdr:colOff>609600</xdr:colOff>
                    <xdr:row>12</xdr:row>
                    <xdr:rowOff>133350</xdr:rowOff>
                  </to>
                </anchor>
              </controlPr>
            </control>
          </mc:Choice>
        </mc:AlternateContent>
        <mc:AlternateContent xmlns:mc="http://schemas.openxmlformats.org/markup-compatibility/2006">
          <mc:Choice Requires="x14">
            <control shapeId="12504" r:id="rId9" name="Check Box 216">
              <controlPr defaultSize="0" autoFill="0" autoLine="0" autoPict="0">
                <anchor moveWithCells="1">
                  <from>
                    <xdr:col>13</xdr:col>
                    <xdr:colOff>241300</xdr:colOff>
                    <xdr:row>10</xdr:row>
                    <xdr:rowOff>95250</xdr:rowOff>
                  </from>
                  <to>
                    <xdr:col>13</xdr:col>
                    <xdr:colOff>571500</xdr:colOff>
                    <xdr:row>12</xdr:row>
                    <xdr:rowOff>107950</xdr:rowOff>
                  </to>
                </anchor>
              </controlPr>
            </control>
          </mc:Choice>
        </mc:AlternateContent>
        <mc:AlternateContent xmlns:mc="http://schemas.openxmlformats.org/markup-compatibility/2006">
          <mc:Choice Requires="x14">
            <control shapeId="12505" r:id="rId10" name="Check Box 217">
              <controlPr locked="0" defaultSize="0" autoFill="0" autoLine="0" autoPict="0">
                <anchor moveWithCells="1">
                  <from>
                    <xdr:col>7</xdr:col>
                    <xdr:colOff>203200</xdr:colOff>
                    <xdr:row>10</xdr:row>
                    <xdr:rowOff>95250</xdr:rowOff>
                  </from>
                  <to>
                    <xdr:col>7</xdr:col>
                    <xdr:colOff>533400</xdr:colOff>
                    <xdr:row>12</xdr:row>
                    <xdr:rowOff>107950</xdr:rowOff>
                  </to>
                </anchor>
              </controlPr>
            </control>
          </mc:Choice>
        </mc:AlternateContent>
        <mc:AlternateContent xmlns:mc="http://schemas.openxmlformats.org/markup-compatibility/2006">
          <mc:Choice Requires="x14">
            <control shapeId="12506" r:id="rId11" name="Check Box 218">
              <controlPr defaultSize="0" autoFill="0" autoLine="0" autoPict="0">
                <anchor moveWithCells="1">
                  <from>
                    <xdr:col>10</xdr:col>
                    <xdr:colOff>266700</xdr:colOff>
                    <xdr:row>10</xdr:row>
                    <xdr:rowOff>69850</xdr:rowOff>
                  </from>
                  <to>
                    <xdr:col>10</xdr:col>
                    <xdr:colOff>609600</xdr:colOff>
                    <xdr:row>12</xdr:row>
                    <xdr:rowOff>133350</xdr:rowOff>
                  </to>
                </anchor>
              </controlPr>
            </control>
          </mc:Choice>
        </mc:AlternateContent>
        <mc:AlternateContent xmlns:mc="http://schemas.openxmlformats.org/markup-compatibility/2006">
          <mc:Choice Requires="x14">
            <control shapeId="12507" r:id="rId12" name="Check Box 219">
              <controlPr defaultSize="0" autoFill="0" autoLine="0" autoPict="0">
                <anchor moveWithCells="1">
                  <from>
                    <xdr:col>13</xdr:col>
                    <xdr:colOff>241300</xdr:colOff>
                    <xdr:row>10</xdr:row>
                    <xdr:rowOff>95250</xdr:rowOff>
                  </from>
                  <to>
                    <xdr:col>13</xdr:col>
                    <xdr:colOff>571500</xdr:colOff>
                    <xdr:row>12</xdr:row>
                    <xdr:rowOff>107950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allowBlank="1" showInputMessage="1" showErrorMessage="1" xr:uid="{06077DF8-CC44-4309-AA7F-DCBCBDDCEF48}">
          <x14:formula1>
            <xm:f>DropDown!$B$2:$B$3</xm:f>
          </x14:formula1>
          <xm:sqref>F40:G44 F19:G20 F23:G31 J19:J20 J40:J44 M40:M44 M23:M31 J23:J31 M19:M20 M33:M38 J33:J38 F33:G38</xm:sqref>
        </x14:dataValidation>
        <x14:dataValidation type="list" allowBlank="1" showInputMessage="1" showErrorMessage="1" xr:uid="{E705703B-2A6A-4ADE-B5E3-7D8332E420EF}">
          <x14:formula1>
            <xm:f>DropDown!$A$2:$A$10</xm:f>
          </x14:formula1>
          <xm:sqref>F18:G18 J18 M18</xm:sqref>
        </x14:dataValidation>
        <x14:dataValidation type="list" allowBlank="1" showInputMessage="1" showErrorMessage="1" xr:uid="{F2A40445-7E12-4532-87F8-34B9705EC8A4}">
          <x14:formula1>
            <xm:f>DropDown!$E$1:$E$3</xm:f>
          </x14:formula1>
          <xm:sqref>D51:E51</xm:sqref>
        </x14:dataValidation>
        <x14:dataValidation type="list" allowBlank="1" showInputMessage="1" showErrorMessage="1" xr:uid="{697CAE59-7ED5-4A81-8BCD-E4FE482DB48E}">
          <x14:formula1>
            <xm:f>DropDown!$C$2:$C$4</xm:f>
          </x14:formula1>
          <xm:sqref>F22:G22 J22 M22</xm:sqref>
        </x14:dataValidation>
        <x14:dataValidation type="list" allowBlank="1" showInputMessage="1" showErrorMessage="1" xr:uid="{E7BD420B-263F-46A2-9B74-85CD4E721801}">
          <x14:formula1>
            <xm:f>DropDown!$F$1:$F$6</xm:f>
          </x14:formula1>
          <xm:sqref>G11:O11 E11</xm:sqref>
        </x14:dataValidation>
        <x14:dataValidation type="list" allowBlank="1" showInputMessage="1" showErrorMessage="1" xr:uid="{7CF80CDD-D39B-4F5B-8437-A56E839A5DC7}">
          <x14:formula1>
            <xm:f>DropDown!$H$2:$H$5</xm:f>
          </x14:formula1>
          <xm:sqref>F21:G21 J21 M21</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tabColor rgb="FFFFC000"/>
    <pageSetUpPr fitToPage="1"/>
  </sheetPr>
  <dimension ref="B1:O54"/>
  <sheetViews>
    <sheetView showGridLines="0" showRowColHeaders="0" tabSelected="1" topLeftCell="A34" zoomScale="80" zoomScaleNormal="80" workbookViewId="0">
      <selection activeCell="F50" sqref="F50"/>
    </sheetView>
  </sheetViews>
  <sheetFormatPr defaultRowHeight="14.5" x14ac:dyDescent="0.35"/>
  <cols>
    <col min="1" max="1" width="5.54296875" customWidth="1"/>
    <col min="2" max="3" width="1.54296875" customWidth="1"/>
    <col min="4" max="4" width="15.1796875" style="18" customWidth="1"/>
    <col min="5" max="5" width="20.1796875" style="18" customWidth="1"/>
    <col min="6" max="6" width="14.1796875" style="1" customWidth="1"/>
    <col min="7" max="7" width="10" style="1" customWidth="1"/>
    <col min="8" max="9" width="10" customWidth="1"/>
    <col min="10" max="10" width="10" style="1" customWidth="1"/>
    <col min="11" max="12" width="10" customWidth="1"/>
    <col min="13" max="13" width="10" style="1" customWidth="1"/>
    <col min="14" max="15" width="10" customWidth="1"/>
  </cols>
  <sheetData>
    <row r="1" spans="2:15" x14ac:dyDescent="0.35">
      <c r="B1" s="211" t="s">
        <v>88</v>
      </c>
      <c r="C1" s="211"/>
      <c r="D1" s="211"/>
      <c r="E1" s="211"/>
      <c r="F1" s="211"/>
      <c r="G1" s="211"/>
      <c r="H1" s="211"/>
      <c r="I1" s="211"/>
      <c r="J1" s="211"/>
      <c r="K1" s="211"/>
      <c r="L1" s="211"/>
      <c r="M1" s="212" t="s">
        <v>141</v>
      </c>
      <c r="N1" s="212"/>
      <c r="O1" s="212"/>
    </row>
    <row r="2" spans="2:15" x14ac:dyDescent="0.35">
      <c r="B2" s="213" t="s">
        <v>89</v>
      </c>
      <c r="C2" s="213"/>
      <c r="D2" s="213"/>
      <c r="E2" s="213"/>
      <c r="F2" s="213"/>
      <c r="G2" s="213"/>
      <c r="H2" s="213"/>
      <c r="I2" s="213"/>
      <c r="J2" s="213"/>
      <c r="K2" s="213"/>
      <c r="L2" s="213"/>
      <c r="M2" s="303" t="s">
        <v>142</v>
      </c>
      <c r="N2" s="303"/>
      <c r="O2" s="303"/>
    </row>
    <row r="3" spans="2:15" x14ac:dyDescent="0.35">
      <c r="B3" s="117" t="s">
        <v>90</v>
      </c>
      <c r="C3" s="117"/>
      <c r="D3" s="117"/>
      <c r="E3" s="117"/>
      <c r="F3" s="117"/>
      <c r="G3" s="117"/>
      <c r="H3" s="117"/>
      <c r="I3" s="117"/>
      <c r="J3" s="117"/>
      <c r="K3" s="117"/>
      <c r="L3" s="117"/>
      <c r="M3" s="117"/>
      <c r="N3" s="212" t="s">
        <v>143</v>
      </c>
      <c r="O3" s="212"/>
    </row>
    <row r="4" spans="2:15" ht="15" thickBot="1" x14ac:dyDescent="0.4">
      <c r="B4" s="117"/>
      <c r="D4" s="117"/>
      <c r="E4" s="117"/>
      <c r="F4" s="117"/>
      <c r="G4" s="117"/>
      <c r="H4" s="117"/>
      <c r="I4" s="117"/>
      <c r="J4" s="117"/>
      <c r="K4" s="117"/>
      <c r="L4" s="117"/>
      <c r="M4" s="117"/>
      <c r="N4" s="195"/>
      <c r="O4" s="195"/>
    </row>
    <row r="5" spans="2:15" x14ac:dyDescent="0.35">
      <c r="B5" s="304">
        <v>1</v>
      </c>
      <c r="C5" s="305"/>
      <c r="D5" s="308" t="s">
        <v>282</v>
      </c>
      <c r="E5" s="309"/>
      <c r="F5" s="310"/>
      <c r="G5" s="122"/>
      <c r="H5" s="122"/>
      <c r="I5" s="122"/>
      <c r="J5" s="122"/>
      <c r="K5" s="122"/>
      <c r="L5" s="122"/>
      <c r="M5" s="122"/>
      <c r="N5" s="122"/>
      <c r="O5" s="122"/>
    </row>
    <row r="6" spans="2:15" ht="16" thickBot="1" x14ac:dyDescent="0.4">
      <c r="B6" s="306"/>
      <c r="C6" s="307"/>
      <c r="D6" s="142" t="s">
        <v>91</v>
      </c>
      <c r="E6" s="311" t="s">
        <v>92</v>
      </c>
      <c r="F6" s="312"/>
      <c r="G6" s="313" t="s">
        <v>84</v>
      </c>
      <c r="H6" s="219"/>
      <c r="I6" s="219"/>
      <c r="J6" s="219"/>
      <c r="K6" s="219"/>
      <c r="L6" s="219"/>
      <c r="M6" s="219"/>
      <c r="N6" s="219"/>
      <c r="O6" s="219"/>
    </row>
    <row r="7" spans="2:15" x14ac:dyDescent="0.35">
      <c r="B7" s="250">
        <v>2</v>
      </c>
      <c r="C7" s="251"/>
      <c r="D7" s="284" t="s">
        <v>93</v>
      </c>
      <c r="E7" s="285"/>
      <c r="F7" s="286"/>
      <c r="G7" s="287" t="s">
        <v>94</v>
      </c>
      <c r="H7" s="258"/>
      <c r="I7" s="260"/>
      <c r="J7" s="258" t="s">
        <v>95</v>
      </c>
      <c r="K7" s="258"/>
      <c r="L7" s="258"/>
      <c r="M7" s="287" t="s">
        <v>96</v>
      </c>
      <c r="N7" s="258"/>
      <c r="O7" s="260"/>
    </row>
    <row r="8" spans="2:15" x14ac:dyDescent="0.35">
      <c r="B8" s="250"/>
      <c r="C8" s="251"/>
      <c r="D8" s="200" t="s">
        <v>97</v>
      </c>
      <c r="E8" s="220" t="s">
        <v>202</v>
      </c>
      <c r="F8" s="302"/>
      <c r="G8" s="288" t="s">
        <v>99</v>
      </c>
      <c r="H8" s="223"/>
      <c r="I8" s="224"/>
      <c r="J8" s="223" t="s">
        <v>99</v>
      </c>
      <c r="K8" s="223"/>
      <c r="L8" s="223"/>
      <c r="M8" s="288" t="s">
        <v>99</v>
      </c>
      <c r="N8" s="223"/>
      <c r="O8" s="224"/>
    </row>
    <row r="9" spans="2:15" x14ac:dyDescent="0.35">
      <c r="B9" s="250"/>
      <c r="C9" s="251"/>
      <c r="D9" s="200" t="s">
        <v>100</v>
      </c>
      <c r="E9" s="200" t="s">
        <v>101</v>
      </c>
      <c r="F9" s="204" t="s">
        <v>102</v>
      </c>
      <c r="G9" s="288" t="s">
        <v>103</v>
      </c>
      <c r="H9" s="223"/>
      <c r="I9" s="224"/>
      <c r="J9" s="223" t="s">
        <v>103</v>
      </c>
      <c r="K9" s="223"/>
      <c r="L9" s="223"/>
      <c r="M9" s="288" t="s">
        <v>103</v>
      </c>
      <c r="N9" s="223"/>
      <c r="O9" s="224"/>
    </row>
    <row r="10" spans="2:15" x14ac:dyDescent="0.35">
      <c r="B10" s="250"/>
      <c r="C10" s="251"/>
      <c r="D10" s="299" t="s">
        <v>104</v>
      </c>
      <c r="E10" s="300"/>
      <c r="F10" s="301"/>
      <c r="G10" s="289" t="s">
        <v>105</v>
      </c>
      <c r="H10" s="229"/>
      <c r="I10" s="230"/>
      <c r="J10" s="229" t="s">
        <v>105</v>
      </c>
      <c r="K10" s="229"/>
      <c r="L10" s="229"/>
      <c r="M10" s="289" t="s">
        <v>105</v>
      </c>
      <c r="N10" s="229"/>
      <c r="O10" s="230"/>
    </row>
    <row r="11" spans="2:15" x14ac:dyDescent="0.35">
      <c r="B11" s="250"/>
      <c r="C11" s="251"/>
      <c r="D11" s="186" t="s">
        <v>154</v>
      </c>
      <c r="E11" s="221" t="s">
        <v>155</v>
      </c>
      <c r="F11" s="224"/>
      <c r="G11" s="289" t="s">
        <v>155</v>
      </c>
      <c r="H11" s="229"/>
      <c r="I11" s="230"/>
      <c r="J11" s="229" t="s">
        <v>155</v>
      </c>
      <c r="K11" s="229"/>
      <c r="L11" s="229"/>
      <c r="M11" s="289" t="s">
        <v>155</v>
      </c>
      <c r="N11" s="229"/>
      <c r="O11" s="230"/>
    </row>
    <row r="12" spans="2:15" x14ac:dyDescent="0.35">
      <c r="B12" s="250"/>
      <c r="C12" s="251"/>
      <c r="D12" s="119"/>
      <c r="E12" s="120"/>
      <c r="F12" s="124" t="s">
        <v>158</v>
      </c>
      <c r="G12" s="135"/>
      <c r="H12" s="141"/>
      <c r="I12" s="202"/>
      <c r="J12" s="123"/>
      <c r="K12" s="201"/>
      <c r="L12" s="201"/>
      <c r="M12" s="135"/>
      <c r="N12" s="201"/>
      <c r="O12" s="202"/>
    </row>
    <row r="13" spans="2:15" x14ac:dyDescent="0.35">
      <c r="B13" s="250"/>
      <c r="C13" s="251"/>
      <c r="D13" s="241" t="s">
        <v>3</v>
      </c>
      <c r="E13" s="242"/>
      <c r="F13" s="292" t="s">
        <v>106</v>
      </c>
      <c r="G13" s="294" t="s">
        <v>106</v>
      </c>
      <c r="H13" s="236" t="s">
        <v>107</v>
      </c>
      <c r="I13" s="237"/>
      <c r="J13" s="296" t="s">
        <v>106</v>
      </c>
      <c r="K13" s="236" t="s">
        <v>107</v>
      </c>
      <c r="L13" s="298"/>
      <c r="M13" s="294" t="s">
        <v>106</v>
      </c>
      <c r="N13" s="236" t="s">
        <v>107</v>
      </c>
      <c r="O13" s="237"/>
    </row>
    <row r="14" spans="2:15" x14ac:dyDescent="0.35">
      <c r="B14" s="250"/>
      <c r="C14" s="251"/>
      <c r="D14" s="290"/>
      <c r="E14" s="291"/>
      <c r="F14" s="293"/>
      <c r="G14" s="295"/>
      <c r="H14" s="16" t="s">
        <v>108</v>
      </c>
      <c r="I14" s="50" t="s">
        <v>109</v>
      </c>
      <c r="J14" s="297"/>
      <c r="K14" s="125" t="s">
        <v>108</v>
      </c>
      <c r="L14" s="136" t="s">
        <v>109</v>
      </c>
      <c r="M14" s="295"/>
      <c r="N14" s="16" t="s">
        <v>108</v>
      </c>
      <c r="O14" s="50" t="s">
        <v>109</v>
      </c>
    </row>
    <row r="15" spans="2:15" x14ac:dyDescent="0.35">
      <c r="B15" s="238" t="s">
        <v>110</v>
      </c>
      <c r="C15" s="239"/>
      <c r="D15" s="239"/>
      <c r="E15" s="239"/>
      <c r="F15" s="239"/>
      <c r="G15" s="239"/>
      <c r="H15" s="239"/>
      <c r="I15" s="239"/>
      <c r="J15" s="239"/>
      <c r="K15" s="239"/>
      <c r="L15" s="239"/>
      <c r="M15" s="239"/>
      <c r="N15" s="239"/>
      <c r="O15" s="240"/>
    </row>
    <row r="16" spans="2:15" x14ac:dyDescent="0.35">
      <c r="B16" s="231">
        <v>3</v>
      </c>
      <c r="C16" s="232"/>
      <c r="D16" s="233" t="s">
        <v>111</v>
      </c>
      <c r="E16" s="232"/>
      <c r="F16" s="133">
        <v>0</v>
      </c>
      <c r="G16" s="131">
        <v>0</v>
      </c>
      <c r="H16" s="11">
        <f>IF(G16="","",-IF(G16&gt;$F16,((G16-$F16)*'Rent Adjustment Worksheet'!$C$3),0))</f>
        <v>0</v>
      </c>
      <c r="I16" s="127">
        <f>IF(G16="","",IFERROR(-IF(G16&gt;$F16,0,((G16-$F16)*'Rent Adjustment Worksheet'!$C$3)),0))</f>
        <v>0</v>
      </c>
      <c r="J16" s="131">
        <v>0</v>
      </c>
      <c r="K16" s="11">
        <f>IF(J16="","",-IF(J16&gt;$F16,((J16-$F16)*'Rent Adjustment Worksheet'!$C$3),0))</f>
        <v>0</v>
      </c>
      <c r="L16" s="90">
        <f>IF(J16="","",IFERROR(-IF(J16&gt;$F16,0,((J16-$F16)*'Rent Adjustment Worksheet'!$C$3)),0))</f>
        <v>0</v>
      </c>
      <c r="M16" s="129">
        <v>0</v>
      </c>
      <c r="N16" s="11">
        <f>IF(M16="","",-IF(M16&gt;$F16,((M16-$F16)*'Rent Adjustment Worksheet'!$C$3),0))</f>
        <v>0</v>
      </c>
      <c r="O16" s="90">
        <f>IF(M16="","",IFERROR(-IF(M16&gt;$F16,0,((M16-$F16)*'Rent Adjustment Worksheet'!$C$3)),0))</f>
        <v>0</v>
      </c>
    </row>
    <row r="17" spans="2:15" x14ac:dyDescent="0.35">
      <c r="B17" s="231">
        <v>4</v>
      </c>
      <c r="C17" s="232"/>
      <c r="D17" s="233" t="s">
        <v>113</v>
      </c>
      <c r="E17" s="232"/>
      <c r="F17" s="134">
        <v>0</v>
      </c>
      <c r="G17" s="132">
        <v>0</v>
      </c>
      <c r="H17" s="54">
        <f>IF(G17="","",IFERROR(-IF($G$17&gt;$F$17,($G$17-$F$17)*VLOOKUP($D17,'Rent Adjustment Worksheet'!$A:$C,3,0)/10),0))</f>
        <v>0</v>
      </c>
      <c r="I17" s="128">
        <f>IF(G17="","",IFERROR(-IF($G$17&gt;$F$17,0,($G$17-$F$17)*VLOOKUP($D17,'Rent Adjustment Worksheet'!$A:$C,3,0)/10),0))</f>
        <v>0</v>
      </c>
      <c r="J17" s="132">
        <v>0</v>
      </c>
      <c r="K17" s="54">
        <f>IF(J17="","",IFERROR(-IF($J$17&gt;$F$17,($J$17-$F$17)*VLOOKUP($D17,'Rent Adjustment Worksheet'!$A:$C,3,0)/10),0))</f>
        <v>0</v>
      </c>
      <c r="L17" s="56">
        <f>IF(J17="","",IFERROR(-IF($J$17&gt;$F$17,0,($J$17-$F$17)*VLOOKUP($D17,'Rent Adjustment Worksheet'!$A:$C,3,0)/10),0))</f>
        <v>0</v>
      </c>
      <c r="M17" s="130">
        <v>0</v>
      </c>
      <c r="N17" s="54">
        <f>IF(M17="","",IFERROR(-IF($M$17&gt;$F$17,($M$17-$F$17)*VLOOKUP($D17,'Rent Adjustment Worksheet'!$A:$C,3,0)/10),0))</f>
        <v>0</v>
      </c>
      <c r="O17" s="56">
        <f>IF(M17="","",IFERROR(-IF($M$17&gt;$F$17,0,($M$17-$F$17)*VLOOKUP($D17,'Rent Adjustment Worksheet'!$A:$C,3,0)/10),0))</f>
        <v>0</v>
      </c>
    </row>
    <row r="18" spans="2:15" x14ac:dyDescent="0.35">
      <c r="B18" s="231">
        <v>5</v>
      </c>
      <c r="C18" s="232"/>
      <c r="D18" s="233" t="s">
        <v>114</v>
      </c>
      <c r="E18" s="232"/>
      <c r="F18" s="133">
        <v>0</v>
      </c>
      <c r="G18" s="131">
        <v>0</v>
      </c>
      <c r="H18" s="54">
        <f>-IF($G$18&gt;$F$18, VLOOKUP(($G$18-$F$18),'Rent Adjustment Worksheet'!$J:$K,2,FALSE), 0)</f>
        <v>0</v>
      </c>
      <c r="I18" s="128">
        <f>IF($G$18&lt;$F$18, VLOOKUP(($F$18-$G$18),'Rent Adjustment Worksheet'!$J:$K,2,FALSE), 0)</f>
        <v>0</v>
      </c>
      <c r="J18" s="131">
        <v>0</v>
      </c>
      <c r="K18" s="54">
        <f>-IF($J$18&gt;$F$18, VLOOKUP(($J$18-$F$18),'Rent Adjustment Worksheet'!$J:$K,2,FALSE), 0)</f>
        <v>0</v>
      </c>
      <c r="L18" s="56">
        <f>IF($J$18&lt;$F$18, VLOOKUP(($F$18-$J$18),'Rent Adjustment Worksheet'!$J:$K,2,FALSE), 0)</f>
        <v>0</v>
      </c>
      <c r="M18" s="129">
        <v>0</v>
      </c>
      <c r="N18" s="54">
        <f>-IF($M$18&gt;$F$18, VLOOKUP(($M$18-$F$18),'Rent Adjustment Worksheet'!$J:$K,2,FALSE), 0)</f>
        <v>0</v>
      </c>
      <c r="O18" s="56">
        <f>IF($M$18&lt;$F$18, VLOOKUP(($F$18-$M$18),'Rent Adjustment Worksheet'!$J:$K,2,FALSE), 0)</f>
        <v>0</v>
      </c>
    </row>
    <row r="19" spans="2:15" x14ac:dyDescent="0.35">
      <c r="B19" s="231">
        <v>6</v>
      </c>
      <c r="C19" s="232"/>
      <c r="D19" s="233" t="s">
        <v>15</v>
      </c>
      <c r="E19" s="232"/>
      <c r="F19" s="134" t="s">
        <v>115</v>
      </c>
      <c r="G19" s="132" t="s">
        <v>115</v>
      </c>
      <c r="H19" s="54">
        <f>IF(AND($F19="N",G19="Y"),-VLOOKUP($D19,'Rent Adjustment Worksheet'!$B:$C,2,FALSE),0)</f>
        <v>0</v>
      </c>
      <c r="I19" s="128">
        <f>IF(AND($F19="Y",G19="N"),VLOOKUP($D19,'Rent Adjustment Worksheet'!$B:$C,2,FALSE),0)</f>
        <v>0</v>
      </c>
      <c r="J19" s="132" t="s">
        <v>115</v>
      </c>
      <c r="K19" s="54">
        <f>IF(AND($F19="N",J19="Y"),-VLOOKUP($D19,'Rent Adjustment Worksheet'!$B:$C,2,FALSE),0)</f>
        <v>0</v>
      </c>
      <c r="L19" s="56">
        <f>IF(AND($F19="Y",J19="N"),VLOOKUP($D19,'Rent Adjustment Worksheet'!$B:$C,2,FALSE),0)</f>
        <v>0</v>
      </c>
      <c r="M19" s="130" t="s">
        <v>115</v>
      </c>
      <c r="N19" s="54">
        <f>IF(AND($F19="N",M19="Y"),-VLOOKUP($D19,'Rent Adjustment Worksheet'!$B:$C,2,FALSE),0)</f>
        <v>0</v>
      </c>
      <c r="O19" s="56">
        <f>IF(AND($F19="Y",M19="N"),VLOOKUP($D19,'Rent Adjustment Worksheet'!$B:$C,2,FALSE),0)</f>
        <v>0</v>
      </c>
    </row>
    <row r="20" spans="2:15" x14ac:dyDescent="0.35">
      <c r="B20" s="231">
        <v>7</v>
      </c>
      <c r="C20" s="232"/>
      <c r="D20" s="233" t="s">
        <v>17</v>
      </c>
      <c r="E20" s="232"/>
      <c r="F20" s="134" t="s">
        <v>115</v>
      </c>
      <c r="G20" s="132" t="s">
        <v>115</v>
      </c>
      <c r="H20" s="54">
        <f>IF(AND($F20="N",G20="Y"),-VLOOKUP($D20,'Rent Adjustment Worksheet'!$B:$C,2,FALSE),0)</f>
        <v>0</v>
      </c>
      <c r="I20" s="128">
        <f>IF(AND($F20="Y",G20="N"),VLOOKUP($D20,'Rent Adjustment Worksheet'!$B:$C,2,FALSE),0)</f>
        <v>0</v>
      </c>
      <c r="J20" s="132" t="s">
        <v>115</v>
      </c>
      <c r="K20" s="54">
        <f>IF(AND($F20="N",J20="Y"),-VLOOKUP($D20,'Rent Adjustment Worksheet'!$B:$C,2,FALSE),0)</f>
        <v>0</v>
      </c>
      <c r="L20" s="56">
        <f>IF(AND($F20="Y",J20="N"),VLOOKUP($D20,'Rent Adjustment Worksheet'!$B:$C,2,FALSE),0)</f>
        <v>0</v>
      </c>
      <c r="M20" s="130" t="s">
        <v>115</v>
      </c>
      <c r="N20" s="54">
        <f>IF(AND($F20="N",M20="Y"),-VLOOKUP($D20,'Rent Adjustment Worksheet'!$B:$C,2,FALSE),0)</f>
        <v>0</v>
      </c>
      <c r="O20" s="56">
        <f>IF(AND($F20="Y",M20="N"),VLOOKUP($D20,'Rent Adjustment Worksheet'!$B:$C,2,FALSE),0)</f>
        <v>0</v>
      </c>
    </row>
    <row r="21" spans="2:15" x14ac:dyDescent="0.35">
      <c r="B21" s="231">
        <v>8</v>
      </c>
      <c r="C21" s="232"/>
      <c r="D21" s="233" t="s">
        <v>159</v>
      </c>
      <c r="E21" s="232"/>
      <c r="F21" s="134" t="s">
        <v>118</v>
      </c>
      <c r="G21" s="132" t="s">
        <v>118</v>
      </c>
      <c r="H21" s="54">
        <f>SUMIFS(Laundry!$F:$F,Laundry!$A:$A,$G$6,Laundry!$B:$B,$G$7)</f>
        <v>0</v>
      </c>
      <c r="I21" s="56">
        <f>SUMIFS(Laundry!$G:$G,Laundry!$A:$A,$G$6,Laundry!$B:$B,$G$7)</f>
        <v>0</v>
      </c>
      <c r="J21" s="134" t="s">
        <v>118</v>
      </c>
      <c r="K21" s="54">
        <f>SUMIFS(Laundry!$F:$F,Laundry!$A:$A,$G$6,Laundry!$B:$B,$J$7)</f>
        <v>0</v>
      </c>
      <c r="L21" s="56">
        <f>SUMIFS(Laundry!$G:$G,Laundry!$A:$A,$G$6,Laundry!$B:$B,$J$7)</f>
        <v>0</v>
      </c>
      <c r="M21" s="134" t="s">
        <v>118</v>
      </c>
      <c r="N21" s="54">
        <f>SUMIFS(Laundry!$F:$F,Laundry!$A:$A,$G$6,Laundry!$B:$B,$M$7)</f>
        <v>0</v>
      </c>
      <c r="O21" s="56">
        <f>SUMIFS(Laundry!$G:$G,Laundry!$A:$A,$G$6,Laundry!$B:$B,$M$7)</f>
        <v>0</v>
      </c>
    </row>
    <row r="22" spans="2:15" x14ac:dyDescent="0.35">
      <c r="B22" s="231">
        <v>9</v>
      </c>
      <c r="C22" s="232"/>
      <c r="D22" s="233" t="s">
        <v>117</v>
      </c>
      <c r="E22" s="232"/>
      <c r="F22" s="134" t="s">
        <v>118</v>
      </c>
      <c r="G22" s="132" t="s">
        <v>118</v>
      </c>
      <c r="H22" s="54">
        <f>SUMIFS(AC!$F:$F,AC!$A:$A,$G$6,AC!$B:$B,$G$7)</f>
        <v>0</v>
      </c>
      <c r="I22" s="56">
        <f>SUMIFS(AC!$G:$G,AC!$A:$A,$G$6,AC!$B:$B,$G$7)</f>
        <v>0</v>
      </c>
      <c r="J22" s="132" t="s">
        <v>118</v>
      </c>
      <c r="K22" s="54">
        <f>SUMIFS(AC!$F:$F,AC!$A:$A,$G$6,AC!$B:$B,$J$7)</f>
        <v>0</v>
      </c>
      <c r="L22" s="56">
        <f>SUMIFS(AC!$G:$G,AC!$A:$A,$G$6,AC!$B:$B,$J$7)</f>
        <v>0</v>
      </c>
      <c r="M22" s="130" t="s">
        <v>118</v>
      </c>
      <c r="N22" s="54">
        <f>SUMIFS(AC!$F:$F,AC!$A:$A,$G$6,AC!$B:$B,$M$7)</f>
        <v>0</v>
      </c>
      <c r="O22" s="56">
        <f>SUMIFS(AC!$G:$G,AC!$A:$A,$G$6,AC!$B:$B,$M$7)</f>
        <v>0</v>
      </c>
    </row>
    <row r="23" spans="2:15" x14ac:dyDescent="0.35">
      <c r="B23" s="231">
        <v>10</v>
      </c>
      <c r="C23" s="232"/>
      <c r="D23" s="233" t="s">
        <v>28</v>
      </c>
      <c r="E23" s="232"/>
      <c r="F23" s="134" t="s">
        <v>115</v>
      </c>
      <c r="G23" s="132" t="s">
        <v>115</v>
      </c>
      <c r="H23" s="54">
        <f>IF(AND($F23="N",G23="Y"),-VLOOKUP($D23,'Rent Adjustment Worksheet'!$B:$C,2,FALSE),0)</f>
        <v>0</v>
      </c>
      <c r="I23" s="128">
        <f>IF(AND($F23="Y",G23="N"),VLOOKUP($D23,'Rent Adjustment Worksheet'!$B:$C,2,FALSE),0)</f>
        <v>0</v>
      </c>
      <c r="J23" s="132" t="s">
        <v>115</v>
      </c>
      <c r="K23" s="54">
        <f>IF(AND($F23="N",J23="Y"),-VLOOKUP($D23,'Rent Adjustment Worksheet'!$B:$C,2,FALSE),0)</f>
        <v>0</v>
      </c>
      <c r="L23" s="56">
        <f>IF(AND($F23="Y",J23="N"),VLOOKUP($D23,'Rent Adjustment Worksheet'!$B:$C,2,FALSE),0)</f>
        <v>0</v>
      </c>
      <c r="M23" s="130" t="s">
        <v>115</v>
      </c>
      <c r="N23" s="54">
        <f>IF(AND($F23="N",M23="Y"),-VLOOKUP($D23,'Rent Adjustment Worksheet'!$B:$C,2,FALSE),0)</f>
        <v>0</v>
      </c>
      <c r="O23" s="56">
        <f>IF(AND($F23="Y",M23="N"),VLOOKUP($D23,'Rent Adjustment Worksheet'!$B:$C,2,FALSE),0)</f>
        <v>0</v>
      </c>
    </row>
    <row r="24" spans="2:15" x14ac:dyDescent="0.35">
      <c r="B24" s="231">
        <v>11</v>
      </c>
      <c r="C24" s="232"/>
      <c r="D24" s="233" t="s">
        <v>119</v>
      </c>
      <c r="E24" s="232"/>
      <c r="F24" s="134" t="s">
        <v>115</v>
      </c>
      <c r="G24" s="132" t="s">
        <v>115</v>
      </c>
      <c r="H24" s="54">
        <f>IF(AND($F24="N",G24="Y"),-VLOOKUP($D24,'Rent Adjustment Worksheet'!$B:$C,2,FALSE),0)</f>
        <v>0</v>
      </c>
      <c r="I24" s="128">
        <f>IF(AND($F24="Y",G24="N"),VLOOKUP($D24,'Rent Adjustment Worksheet'!$B:$C,2,FALSE),0)</f>
        <v>0</v>
      </c>
      <c r="J24" s="132" t="s">
        <v>115</v>
      </c>
      <c r="K24" s="54">
        <f>IF(AND($F24="N",J24="Y"),-VLOOKUP($D24,'Rent Adjustment Worksheet'!$B:$C,2,FALSE),0)</f>
        <v>0</v>
      </c>
      <c r="L24" s="56">
        <f>IF(AND($F24="Y",J24="N"),VLOOKUP($D24,'Rent Adjustment Worksheet'!$B:$C,2,FALSE),0)</f>
        <v>0</v>
      </c>
      <c r="M24" s="130" t="s">
        <v>115</v>
      </c>
      <c r="N24" s="54">
        <f>IF(AND($F24="N",M24="Y"),-VLOOKUP($D24,'Rent Adjustment Worksheet'!$B:$C,2,FALSE),0)</f>
        <v>0</v>
      </c>
      <c r="O24" s="56">
        <f>IF(AND($F24="Y",M24="N"),VLOOKUP($D24,'Rent Adjustment Worksheet'!$B:$C,2,FALSE),0)</f>
        <v>0</v>
      </c>
    </row>
    <row r="25" spans="2:15" x14ac:dyDescent="0.35">
      <c r="B25" s="231">
        <v>12</v>
      </c>
      <c r="C25" s="232"/>
      <c r="D25" s="233" t="s">
        <v>32</v>
      </c>
      <c r="E25" s="232"/>
      <c r="F25" s="134" t="s">
        <v>115</v>
      </c>
      <c r="G25" s="132" t="s">
        <v>115</v>
      </c>
      <c r="H25" s="54">
        <f>IF(AND($F25="N",G25="Y"),-VLOOKUP($D25,'Rent Adjustment Worksheet'!$B:$C,2,FALSE),0)</f>
        <v>0</v>
      </c>
      <c r="I25" s="128">
        <f>IF(AND($F25="Y",G25="N"),VLOOKUP($D25,'Rent Adjustment Worksheet'!$B:$C,2,FALSE),0)</f>
        <v>0</v>
      </c>
      <c r="J25" s="132" t="s">
        <v>115</v>
      </c>
      <c r="K25" s="54">
        <f>IF(AND($F25="N",J25="Y"),-VLOOKUP($D25,'Rent Adjustment Worksheet'!$B:$C,2,FALSE),0)</f>
        <v>0</v>
      </c>
      <c r="L25" s="56">
        <f>IF(AND($F25="Y",J25="N"),VLOOKUP($D25,'Rent Adjustment Worksheet'!$B:$C,2,FALSE),0)</f>
        <v>0</v>
      </c>
      <c r="M25" s="130" t="s">
        <v>115</v>
      </c>
      <c r="N25" s="54">
        <f>IF(AND($F25="N",M25="Y"),-VLOOKUP($D25,'Rent Adjustment Worksheet'!$B:$C,2,FALSE),0)</f>
        <v>0</v>
      </c>
      <c r="O25" s="56">
        <f>IF(AND($F25="Y",M25="N"),VLOOKUP($D25,'Rent Adjustment Worksheet'!$B:$C,2,FALSE),0)</f>
        <v>0</v>
      </c>
    </row>
    <row r="26" spans="2:15" x14ac:dyDescent="0.35">
      <c r="B26" s="231">
        <v>13</v>
      </c>
      <c r="C26" s="232"/>
      <c r="D26" s="233" t="s">
        <v>34</v>
      </c>
      <c r="E26" s="232"/>
      <c r="F26" s="134" t="s">
        <v>115</v>
      </c>
      <c r="G26" s="132" t="s">
        <v>115</v>
      </c>
      <c r="H26" s="54">
        <f>IF(AND($F26="N",G26="Y"),-VLOOKUP($D26,'Rent Adjustment Worksheet'!$B:$C,2,FALSE),0)</f>
        <v>0</v>
      </c>
      <c r="I26" s="128">
        <f>IF(AND($F26="Y",G26="N"),VLOOKUP($D26,'Rent Adjustment Worksheet'!$B:$C,2,FALSE),0)</f>
        <v>0</v>
      </c>
      <c r="J26" s="132" t="s">
        <v>115</v>
      </c>
      <c r="K26" s="54">
        <f>IF(AND($F26="N",J26="Y"),-VLOOKUP($D26,'Rent Adjustment Worksheet'!$B:$C,2,FALSE),0)</f>
        <v>0</v>
      </c>
      <c r="L26" s="56">
        <f>IF(AND($F26="Y",J26="N"),VLOOKUP($D26,'Rent Adjustment Worksheet'!$B:$C,2,FALSE),0)</f>
        <v>0</v>
      </c>
      <c r="M26" s="130" t="s">
        <v>115</v>
      </c>
      <c r="N26" s="54">
        <f>IF(AND($F26="N",M26="Y"),-VLOOKUP($D26,'Rent Adjustment Worksheet'!$B:$C,2,FALSE),0)</f>
        <v>0</v>
      </c>
      <c r="O26" s="56">
        <f>IF(AND($F26="Y",M26="N"),VLOOKUP($D26,'Rent Adjustment Worksheet'!$B:$C,2,FALSE),0)</f>
        <v>0</v>
      </c>
    </row>
    <row r="27" spans="2:15" x14ac:dyDescent="0.35">
      <c r="B27" s="231">
        <v>14</v>
      </c>
      <c r="C27" s="232"/>
      <c r="D27" s="233" t="s">
        <v>36</v>
      </c>
      <c r="E27" s="232"/>
      <c r="F27" s="134" t="s">
        <v>115</v>
      </c>
      <c r="G27" s="132" t="s">
        <v>115</v>
      </c>
      <c r="H27" s="54">
        <f>IF(AND($F27="N",G27="Y"),-VLOOKUP($D27,'Rent Adjustment Worksheet'!$B:$C,2,FALSE),0)</f>
        <v>0</v>
      </c>
      <c r="I27" s="128">
        <f>IF(AND($F27="Y",G27="N"),VLOOKUP($D27,'Rent Adjustment Worksheet'!$B:$C,2,FALSE),0)</f>
        <v>0</v>
      </c>
      <c r="J27" s="132" t="s">
        <v>115</v>
      </c>
      <c r="K27" s="54">
        <f>IF(AND($F27="N",J27="Y"),-VLOOKUP($D27,'Rent Adjustment Worksheet'!$B:$C,2,FALSE),0)</f>
        <v>0</v>
      </c>
      <c r="L27" s="56">
        <f>IF(AND($F27="Y",J27="N"),VLOOKUP($D27,'Rent Adjustment Worksheet'!$B:$C,2,FALSE),0)</f>
        <v>0</v>
      </c>
      <c r="M27" s="130" t="s">
        <v>115</v>
      </c>
      <c r="N27" s="54">
        <f>IF(AND($F27="N",M27="Y"),-VLOOKUP($D27,'Rent Adjustment Worksheet'!$B:$C,2,FALSE),0)</f>
        <v>0</v>
      </c>
      <c r="O27" s="56">
        <f>IF(AND($F27="Y",M27="N"),VLOOKUP($D27,'Rent Adjustment Worksheet'!$B:$C,2,FALSE),0)</f>
        <v>0</v>
      </c>
    </row>
    <row r="28" spans="2:15" x14ac:dyDescent="0.35">
      <c r="B28" s="231">
        <v>15</v>
      </c>
      <c r="C28" s="232"/>
      <c r="D28" s="233" t="s">
        <v>38</v>
      </c>
      <c r="E28" s="232"/>
      <c r="F28" s="134" t="s">
        <v>115</v>
      </c>
      <c r="G28" s="132" t="s">
        <v>115</v>
      </c>
      <c r="H28" s="54">
        <f>IF(AND($F28="N",G28="Y"),-VLOOKUP($D28,'Rent Adjustment Worksheet'!$B:$C,2,FALSE),0)</f>
        <v>0</v>
      </c>
      <c r="I28" s="128">
        <f>IF(AND($F28="Y",G28="N"),VLOOKUP($D28,'Rent Adjustment Worksheet'!$B:$C,2,FALSE),0)</f>
        <v>0</v>
      </c>
      <c r="J28" s="132" t="s">
        <v>115</v>
      </c>
      <c r="K28" s="54">
        <f>IF(AND($F28="N",J28="Y"),-VLOOKUP($D28,'Rent Adjustment Worksheet'!$B:$C,2,FALSE),0)</f>
        <v>0</v>
      </c>
      <c r="L28" s="56">
        <f>IF(AND($F28="Y",J28="N"),VLOOKUP($D28,'Rent Adjustment Worksheet'!$B:$C,2,FALSE),0)</f>
        <v>0</v>
      </c>
      <c r="M28" s="130" t="s">
        <v>115</v>
      </c>
      <c r="N28" s="54">
        <f>IF(AND($F28="N",M28="Y"),-VLOOKUP($D28,'Rent Adjustment Worksheet'!$B:$C,2,FALSE),0)</f>
        <v>0</v>
      </c>
      <c r="O28" s="56">
        <f>IF(AND($F28="Y",M28="N"),VLOOKUP($D28,'Rent Adjustment Worksheet'!$B:$C,2,FALSE),0)</f>
        <v>0</v>
      </c>
    </row>
    <row r="29" spans="2:15" x14ac:dyDescent="0.35">
      <c r="B29" s="231">
        <v>16</v>
      </c>
      <c r="C29" s="232"/>
      <c r="D29" s="233" t="s">
        <v>39</v>
      </c>
      <c r="E29" s="232"/>
      <c r="F29" s="134" t="s">
        <v>115</v>
      </c>
      <c r="G29" s="132" t="s">
        <v>115</v>
      </c>
      <c r="H29" s="54">
        <f>IF(AND($F29="N",G29="Y"),-VLOOKUP($D29,'Rent Adjustment Worksheet'!$B:$C,2,FALSE),0)</f>
        <v>0</v>
      </c>
      <c r="I29" s="128">
        <f>IF(AND($F29="Y",G29="N"),VLOOKUP($D29,'Rent Adjustment Worksheet'!$B:$C,2,FALSE),0)</f>
        <v>0</v>
      </c>
      <c r="J29" s="132" t="s">
        <v>115</v>
      </c>
      <c r="K29" s="54">
        <f>IF(AND($F29="N",J29="Y"),-VLOOKUP($D29,'Rent Adjustment Worksheet'!$B:$C,2,FALSE),0)</f>
        <v>0</v>
      </c>
      <c r="L29" s="56">
        <f>IF(AND($F29="Y",J29="N"),VLOOKUP($D29,'Rent Adjustment Worksheet'!$B:$C,2,FALSE),0)</f>
        <v>0</v>
      </c>
      <c r="M29" s="130" t="s">
        <v>115</v>
      </c>
      <c r="N29" s="54">
        <f>IF(AND($F29="N",M29="Y"),-VLOOKUP($D29,'Rent Adjustment Worksheet'!$B:$C,2,FALSE),0)</f>
        <v>0</v>
      </c>
      <c r="O29" s="56">
        <f>IF(AND($F29="Y",M29="N"),VLOOKUP($D29,'Rent Adjustment Worksheet'!$B:$C,2,FALSE),0)</f>
        <v>0</v>
      </c>
    </row>
    <row r="30" spans="2:15" x14ac:dyDescent="0.35">
      <c r="B30" s="231">
        <v>17</v>
      </c>
      <c r="C30" s="232"/>
      <c r="D30" s="233" t="s">
        <v>41</v>
      </c>
      <c r="E30" s="232"/>
      <c r="F30" s="134" t="s">
        <v>115</v>
      </c>
      <c r="G30" s="132" t="s">
        <v>115</v>
      </c>
      <c r="H30" s="54">
        <f>IF(AND($F30="N",G30="Y"),-VLOOKUP($D30,'Rent Adjustment Worksheet'!$B:$C,2,FALSE),0)</f>
        <v>0</v>
      </c>
      <c r="I30" s="128">
        <f>IF(AND($F30="Y",G30="N"),VLOOKUP($D30,'Rent Adjustment Worksheet'!$B:$C,2,FALSE),0)</f>
        <v>0</v>
      </c>
      <c r="J30" s="132" t="s">
        <v>115</v>
      </c>
      <c r="K30" s="54">
        <f>IF(AND($F30="N",J30="Y"),-VLOOKUP($D30,'Rent Adjustment Worksheet'!$B:$C,2,FALSE),0)</f>
        <v>0</v>
      </c>
      <c r="L30" s="56">
        <f>IF(AND($F30="Y",J30="N"),VLOOKUP($D30,'Rent Adjustment Worksheet'!$B:$C,2,FALSE),0)</f>
        <v>0</v>
      </c>
      <c r="M30" s="130" t="s">
        <v>115</v>
      </c>
      <c r="N30" s="54">
        <f>IF(AND($F30="N",M30="Y"),-VLOOKUP($D30,'Rent Adjustment Worksheet'!$B:$C,2,FALSE),0)</f>
        <v>0</v>
      </c>
      <c r="O30" s="56">
        <f>IF(AND($F30="Y",M30="N"),VLOOKUP($D30,'Rent Adjustment Worksheet'!$B:$C,2,FALSE),0)</f>
        <v>0</v>
      </c>
    </row>
    <row r="31" spans="2:15" x14ac:dyDescent="0.35">
      <c r="B31" s="231">
        <v>18</v>
      </c>
      <c r="C31" s="232"/>
      <c r="D31" s="233" t="s">
        <v>43</v>
      </c>
      <c r="E31" s="232"/>
      <c r="F31" s="134" t="s">
        <v>115</v>
      </c>
      <c r="G31" s="132" t="s">
        <v>115</v>
      </c>
      <c r="H31" s="54">
        <f>IF(AND($F31="N",G31="Y"),-VLOOKUP($D31,'Rent Adjustment Worksheet'!$B:$C,2,FALSE),0)</f>
        <v>0</v>
      </c>
      <c r="I31" s="128">
        <f>IF(AND($F31="Y",G31="N"),VLOOKUP($D31,'Rent Adjustment Worksheet'!$B:$C,2,FALSE),0)</f>
        <v>0</v>
      </c>
      <c r="J31" s="132" t="s">
        <v>115</v>
      </c>
      <c r="K31" s="54">
        <f>IF(AND($F31="N",J31="Y"),-VLOOKUP($D31,'Rent Adjustment Worksheet'!$B:$C,2,FALSE),0)</f>
        <v>0</v>
      </c>
      <c r="L31" s="56">
        <f>IF(AND($F31="Y",J31="N"),VLOOKUP($D31,'Rent Adjustment Worksheet'!$B:$C,2,FALSE),0)</f>
        <v>0</v>
      </c>
      <c r="M31" s="130" t="s">
        <v>115</v>
      </c>
      <c r="N31" s="54">
        <f>IF(AND($F31="N",M31="Y"),-VLOOKUP($D31,'Rent Adjustment Worksheet'!$B:$C,2,FALSE),0)</f>
        <v>0</v>
      </c>
      <c r="O31" s="56">
        <f>IF(AND($F31="Y",M31="N"),VLOOKUP($D31,'Rent Adjustment Worksheet'!$B:$C,2,FALSE),0)</f>
        <v>0</v>
      </c>
    </row>
    <row r="32" spans="2:15" x14ac:dyDescent="0.35">
      <c r="B32" s="238" t="s">
        <v>120</v>
      </c>
      <c r="C32" s="239"/>
      <c r="D32" s="239"/>
      <c r="E32" s="239"/>
      <c r="F32" s="239"/>
      <c r="G32" s="239"/>
      <c r="H32" s="239"/>
      <c r="I32" s="239"/>
      <c r="J32" s="239"/>
      <c r="K32" s="239"/>
      <c r="L32" s="239"/>
      <c r="M32" s="239"/>
      <c r="N32" s="239"/>
      <c r="O32" s="240"/>
    </row>
    <row r="33" spans="2:15" x14ac:dyDescent="0.35">
      <c r="B33" s="231">
        <v>19</v>
      </c>
      <c r="C33" s="232"/>
      <c r="D33" s="233" t="s">
        <v>122</v>
      </c>
      <c r="E33" s="232"/>
      <c r="F33" s="134" t="s">
        <v>115</v>
      </c>
      <c r="G33" s="132" t="s">
        <v>115</v>
      </c>
      <c r="H33" s="54">
        <f>IF(AND($F33="N",G33="Y"),-VLOOKUP($D33,'Rent Adjustment Worksheet'!$B:$C,2,FALSE),0)</f>
        <v>0</v>
      </c>
      <c r="I33" s="56">
        <f>IF(AND($F33="Y",G33="N"),VLOOKUP($D33,'Rent Adjustment Worksheet'!$B:$C,2,FALSE),0)</f>
        <v>0</v>
      </c>
      <c r="J33" s="130" t="s">
        <v>115</v>
      </c>
      <c r="K33" s="54">
        <f>IF(AND($F33="N",J33="Y"),-VLOOKUP($D33,'Rent Adjustment Worksheet'!$B:$C,2,FALSE),0)</f>
        <v>0</v>
      </c>
      <c r="L33" s="128">
        <f>IF(AND($F33="Y",J33="N"),VLOOKUP($D33,'Rent Adjustment Worksheet'!$B:$C,2,FALSE),0)</f>
        <v>0</v>
      </c>
      <c r="M33" s="132" t="s">
        <v>115</v>
      </c>
      <c r="N33" s="54">
        <f>IF(AND($F33="N",M33="Y"),-VLOOKUP($D33,'Rent Adjustment Worksheet'!$B:$C,2,FALSE),0)</f>
        <v>0</v>
      </c>
      <c r="O33" s="56">
        <f>IF(AND($F33="Y",M33="N"),VLOOKUP($D33,'Rent Adjustment Worksheet'!$B:$C,2,FALSE),0)</f>
        <v>0</v>
      </c>
    </row>
    <row r="34" spans="2:15" x14ac:dyDescent="0.35">
      <c r="B34" s="231">
        <v>20</v>
      </c>
      <c r="C34" s="232"/>
      <c r="D34" s="233" t="s">
        <v>68</v>
      </c>
      <c r="E34" s="232"/>
      <c r="F34" s="134" t="s">
        <v>115</v>
      </c>
      <c r="G34" s="132" t="s">
        <v>115</v>
      </c>
      <c r="H34" s="54">
        <f>IF(AND($F34="N",G34="Y"),-VLOOKUP($G$6,'Utilities Worksheet'!$B$3:$G$10,3,FALSE),0)</f>
        <v>0</v>
      </c>
      <c r="I34" s="56">
        <f>IF(AND($F34="Y",G34="N"),VLOOKUP($G$6,'Utilities Worksheet'!$B$3:$G$10,3,FALSE),0)</f>
        <v>0</v>
      </c>
      <c r="J34" s="130" t="s">
        <v>115</v>
      </c>
      <c r="K34" s="54">
        <f>IF(AND($F34="N",J34="Y"),-VLOOKUP($G$6,'Utilities Worksheet'!$B$3:$G$10,3,FALSE),0)</f>
        <v>0</v>
      </c>
      <c r="L34" s="56">
        <f>IF(AND($F34="Y",J34="N"),VLOOKUP($G$6,'Utilities Worksheet'!$B$3:$G$10,3,FALSE),0)</f>
        <v>0</v>
      </c>
      <c r="M34" s="132" t="s">
        <v>115</v>
      </c>
      <c r="N34" s="54">
        <f>IF(AND($F34="N",M34="Y"),-VLOOKUP($G$6,'Utilities Worksheet'!$B$3:$G$10,3,FALSE),0)</f>
        <v>0</v>
      </c>
      <c r="O34" s="56">
        <f>IF(AND($F34="Y",M34="N"),VLOOKUP($G$6,'Utilities Worksheet'!$B$3:$G$10,3,FALSE),0)</f>
        <v>0</v>
      </c>
    </row>
    <row r="35" spans="2:15" x14ac:dyDescent="0.35">
      <c r="B35" s="231">
        <v>21</v>
      </c>
      <c r="C35" s="232"/>
      <c r="D35" s="233" t="s">
        <v>69</v>
      </c>
      <c r="E35" s="232"/>
      <c r="F35" s="134" t="s">
        <v>115</v>
      </c>
      <c r="G35" s="132" t="s">
        <v>115</v>
      </c>
      <c r="H35" s="54">
        <f>IF(AND($F35="N",G35="Y"),-VLOOKUP($G$6,'Utilities Worksheet'!$B$3:$G$10,4,FALSE),0)</f>
        <v>0</v>
      </c>
      <c r="I35" s="56">
        <f>IF(AND($F35="Y",G35="N"),VLOOKUP($G$6,'Utilities Worksheet'!$B$3:$G$10,4,FALSE),0)</f>
        <v>0</v>
      </c>
      <c r="J35" s="130" t="s">
        <v>115</v>
      </c>
      <c r="K35" s="54">
        <f>IF(AND($F35="N",J35="Y"),-VLOOKUP($G$6,'Utilities Worksheet'!$B$3:$G$10,4,FALSE),0)</f>
        <v>0</v>
      </c>
      <c r="L35" s="56">
        <f>IF(AND($F35="Y",J35="N"),VLOOKUP($G$6,'Utilities Worksheet'!$B$3:$G$10,4,FALSE),0)</f>
        <v>0</v>
      </c>
      <c r="M35" s="132" t="s">
        <v>115</v>
      </c>
      <c r="N35" s="54">
        <f>IF(AND($F35="N",M35="Y"),-VLOOKUP($G$6,'Utilities Worksheet'!$B$3:$G$10,4,FALSE),0)</f>
        <v>0</v>
      </c>
      <c r="O35" s="56">
        <f>IF(AND($F35="Y",M35="N"),VLOOKUP($G$6,'Utilities Worksheet'!$B$3:$G$10,4,FALSE),0)</f>
        <v>0</v>
      </c>
    </row>
    <row r="36" spans="2:15" x14ac:dyDescent="0.35">
      <c r="B36" s="231">
        <v>22</v>
      </c>
      <c r="C36" s="232"/>
      <c r="D36" s="233" t="s">
        <v>70</v>
      </c>
      <c r="E36" s="232"/>
      <c r="F36" s="134" t="s">
        <v>115</v>
      </c>
      <c r="G36" s="132" t="s">
        <v>115</v>
      </c>
      <c r="H36" s="54">
        <f>IF(AND($F36="N",G36="Y"),-VLOOKUP($G$6,'Utilities Worksheet'!$B$3:$G$10,5,FALSE),0)</f>
        <v>0</v>
      </c>
      <c r="I36" s="56">
        <f>IF(AND($F36="Y",G36="N"),VLOOKUP($G$6,'Utilities Worksheet'!$B$3:$G$10,5,FALSE),0)</f>
        <v>0</v>
      </c>
      <c r="J36" s="130" t="s">
        <v>115</v>
      </c>
      <c r="K36" s="54">
        <f>IF(AND($F36="N",J36="Y"),-VLOOKUP($G$6,'Utilities Worksheet'!$B$3:$G$10,5,FALSE),0)</f>
        <v>0</v>
      </c>
      <c r="L36" s="56">
        <f>IF(AND($F36="Y",J36="N"),VLOOKUP($G$6,'Utilities Worksheet'!$B$3:$G$10,5,FALSE),0)</f>
        <v>0</v>
      </c>
      <c r="M36" s="132" t="s">
        <v>115</v>
      </c>
      <c r="N36" s="54">
        <f>IF(AND($F36="N",M36="Y"),-VLOOKUP($G$6,'Utilities Worksheet'!$B$3:$G$10,5,FALSE),0)</f>
        <v>0</v>
      </c>
      <c r="O36" s="56">
        <f>IF(AND($F36="Y",M36="N"),VLOOKUP($G$6,'Utilities Worksheet'!$B$3:$G$10,5,FALSE),0)</f>
        <v>0</v>
      </c>
    </row>
    <row r="37" spans="2:15" x14ac:dyDescent="0.35">
      <c r="B37" s="231">
        <v>23</v>
      </c>
      <c r="C37" s="232"/>
      <c r="D37" s="233" t="s">
        <v>71</v>
      </c>
      <c r="E37" s="232"/>
      <c r="F37" s="134" t="s">
        <v>115</v>
      </c>
      <c r="G37" s="132" t="s">
        <v>115</v>
      </c>
      <c r="H37" s="54">
        <f>IF(AND($F37="N",G37="Y"),-VLOOKUP($G$6,'Utilities Worksheet'!$B$3:$G$10,6,FALSE),0)</f>
        <v>0</v>
      </c>
      <c r="I37" s="56">
        <f>IF(AND($F37="Y",G37="N"),VLOOKUP($G$6,'Utilities Worksheet'!$B$3:$G$10,6,FALSE),0)</f>
        <v>0</v>
      </c>
      <c r="J37" s="130" t="s">
        <v>115</v>
      </c>
      <c r="K37" s="54">
        <f>IF(AND($F37="N",J37="Y"),-VLOOKUP($G$6,'Utilities Worksheet'!$B$3:$G$10,6,FALSE),0)</f>
        <v>0</v>
      </c>
      <c r="L37" s="56">
        <f>IF(AND($F37="Y",J37="N"),VLOOKUP($G$6,'Utilities Worksheet'!$B$3:$G$10,6,FALSE),0)</f>
        <v>0</v>
      </c>
      <c r="M37" s="132" t="s">
        <v>115</v>
      </c>
      <c r="N37" s="54">
        <f>IF(AND($F37="N",M37="Y"),-VLOOKUP($G$6,'Utilities Worksheet'!$B$3:$G$10,6,FALSE),0)</f>
        <v>0</v>
      </c>
      <c r="O37" s="56">
        <f>IF(AND($F37="Y",M37="N"),VLOOKUP($G$6,'Utilities Worksheet'!$B$3:$G$10,6,FALSE),0)</f>
        <v>0</v>
      </c>
    </row>
    <row r="38" spans="2:15" x14ac:dyDescent="0.35">
      <c r="B38" s="231">
        <v>24</v>
      </c>
      <c r="C38" s="232"/>
      <c r="D38" s="233" t="s">
        <v>47</v>
      </c>
      <c r="E38" s="232"/>
      <c r="F38" s="134" t="s">
        <v>115</v>
      </c>
      <c r="G38" s="132" t="s">
        <v>115</v>
      </c>
      <c r="H38" s="54">
        <f>IF(AND($F38="N",G38="Y"),-VLOOKUP($D38,'Rent Adjustment Worksheet'!$B:$C,2,FALSE),0)</f>
        <v>0</v>
      </c>
      <c r="I38" s="56">
        <f>IF(AND($F38="Y",G38="N"),VLOOKUP($D38,'Rent Adjustment Worksheet'!$B:$C,2,FALSE),0)</f>
        <v>0</v>
      </c>
      <c r="J38" s="130" t="s">
        <v>115</v>
      </c>
      <c r="K38" s="54">
        <f>IF(AND($F38="N",J38="Y"),-VLOOKUP($D38,'Rent Adjustment Worksheet'!$B:$C,2,FALSE),0)</f>
        <v>0</v>
      </c>
      <c r="L38" s="128">
        <f>IF(AND($F38="Y",J38="N"),VLOOKUP($D38,'Rent Adjustment Worksheet'!$B:$C,2,FALSE),0)</f>
        <v>0</v>
      </c>
      <c r="M38" s="132" t="s">
        <v>115</v>
      </c>
      <c r="N38" s="54">
        <f>IF(AND($F38="N",M38="Y"),-VLOOKUP($D38,'Rent Adjustment Worksheet'!$B:$C,2,FALSE),0)</f>
        <v>0</v>
      </c>
      <c r="O38" s="56">
        <f>IF(AND($F38="Y",M38="N"),VLOOKUP($D38,'Rent Adjustment Worksheet'!$B:$C,2,FALSE),0)</f>
        <v>0</v>
      </c>
    </row>
    <row r="39" spans="2:15" x14ac:dyDescent="0.35">
      <c r="B39" s="238" t="s">
        <v>123</v>
      </c>
      <c r="C39" s="239"/>
      <c r="D39" s="239"/>
      <c r="E39" s="239"/>
      <c r="F39" s="239"/>
      <c r="G39" s="239"/>
      <c r="H39" s="239"/>
      <c r="I39" s="239"/>
      <c r="J39" s="239"/>
      <c r="K39" s="239"/>
      <c r="L39" s="239"/>
      <c r="M39" s="239"/>
      <c r="N39" s="239"/>
      <c r="O39" s="240"/>
    </row>
    <row r="40" spans="2:15" x14ac:dyDescent="0.35">
      <c r="B40" s="231">
        <v>25</v>
      </c>
      <c r="C40" s="232"/>
      <c r="D40" s="261" t="str">
        <f>IF(OR('Rent Adjustment Worksheet'!$B25="PHA write-in (if Applicable)",'Rent Adjustment Worksheet'!$B25=""),"",'Rent Adjustment Worksheet'!$B25)</f>
        <v/>
      </c>
      <c r="E40" s="262"/>
      <c r="F40" s="134" t="s">
        <v>115</v>
      </c>
      <c r="G40" s="132" t="s">
        <v>115</v>
      </c>
      <c r="H40" s="54">
        <f>IF($D40="",0,IF(AND($F40="N",G40="Y"),-VLOOKUP($D40,'Rent Adjustment Worksheet'!$B:$C,2,FALSE),0))</f>
        <v>0</v>
      </c>
      <c r="I40" s="56">
        <f>IF($D40="",0,IF(AND($F40="Y",G40="N"),VLOOKUP($D40,'Rent Adjustment Worksheet'!$B:$C,2,FALSE),0))</f>
        <v>0</v>
      </c>
      <c r="J40" s="130" t="s">
        <v>115</v>
      </c>
      <c r="K40" s="54">
        <f>IF($D40="",0,IF(AND($F40="N",J40="Y"),-VLOOKUP($D40,'Rent Adjustment Worksheet'!$B:$C,2,FALSE),0))</f>
        <v>0</v>
      </c>
      <c r="L40" s="128">
        <f>IF($D40="",0,IF(AND($F40="Y",J40="N"),VLOOKUP($D40,'Rent Adjustment Worksheet'!$B:$C,2,FALSE),0))</f>
        <v>0</v>
      </c>
      <c r="M40" s="132" t="s">
        <v>115</v>
      </c>
      <c r="N40" s="54">
        <f>IF($D40="",0,IF(AND($F40="N",M40="Y"),-VLOOKUP($D40,'Rent Adjustment Worksheet'!$B:$C,2,FALSE),0))</f>
        <v>0</v>
      </c>
      <c r="O40" s="56">
        <f>IF($D40="",0,IF(AND($F40="Y",M40="N"),VLOOKUP($D40,'Rent Adjustment Worksheet'!$B:$C,2,FALSE),0))</f>
        <v>0</v>
      </c>
    </row>
    <row r="41" spans="2:15" x14ac:dyDescent="0.35">
      <c r="B41" s="231">
        <v>26</v>
      </c>
      <c r="C41" s="232"/>
      <c r="D41" s="261" t="str">
        <f>IF(OR('Rent Adjustment Worksheet'!$B26="PHA write-in (if Applicable)",'Rent Adjustment Worksheet'!$B26=""),"",'Rent Adjustment Worksheet'!$B26)</f>
        <v/>
      </c>
      <c r="E41" s="262"/>
      <c r="F41" s="134" t="s">
        <v>115</v>
      </c>
      <c r="G41" s="132" t="s">
        <v>115</v>
      </c>
      <c r="H41" s="54">
        <f>IF($D41="",0,IF(AND($F41="N",G41="Y"),-VLOOKUP($D41,'Rent Adjustment Worksheet'!$B:$C,2,FALSE),0))</f>
        <v>0</v>
      </c>
      <c r="I41" s="56">
        <f>IF($D41="",0,IF(AND($F41="Y",G41="N"),VLOOKUP($D41,'Rent Adjustment Worksheet'!$B:$C,2,FALSE),0))</f>
        <v>0</v>
      </c>
      <c r="J41" s="130" t="s">
        <v>115</v>
      </c>
      <c r="K41" s="54">
        <f>IF($D41="",0,IF(AND($F41="N",J41="Y"),-VLOOKUP($D41,'Rent Adjustment Worksheet'!$B:$C,2,FALSE),0))</f>
        <v>0</v>
      </c>
      <c r="L41" s="128">
        <f>IF($D41="",0,IF(AND($F41="Y",J41="N"),VLOOKUP($D41,'Rent Adjustment Worksheet'!$B:$C,2,FALSE),0))</f>
        <v>0</v>
      </c>
      <c r="M41" s="132" t="s">
        <v>115</v>
      </c>
      <c r="N41" s="54">
        <f>IF($D41="",0,IF(AND($F41="N",M41="Y"),-VLOOKUP($D41,'Rent Adjustment Worksheet'!$B:$C,2,FALSE),0))</f>
        <v>0</v>
      </c>
      <c r="O41" s="56">
        <f>IF($D41="",0,IF(AND($F41="Y",M41="N"),VLOOKUP($D41,'Rent Adjustment Worksheet'!$B:$C,2,FALSE),0))</f>
        <v>0</v>
      </c>
    </row>
    <row r="42" spans="2:15" x14ac:dyDescent="0.35">
      <c r="B42" s="231">
        <v>27</v>
      </c>
      <c r="C42" s="232"/>
      <c r="D42" s="261" t="str">
        <f>IF(OR('Rent Adjustment Worksheet'!$B27="PHA write-in (if Applicable)",'Rent Adjustment Worksheet'!$B27=""),"",'Rent Adjustment Worksheet'!$B27)</f>
        <v/>
      </c>
      <c r="E42" s="262"/>
      <c r="F42" s="134" t="s">
        <v>115</v>
      </c>
      <c r="G42" s="132" t="s">
        <v>115</v>
      </c>
      <c r="H42" s="54">
        <f>IF($D42="",0,IF(AND($F42="N",G42="Y"),-VLOOKUP($D42,'Rent Adjustment Worksheet'!$B:$C,2,FALSE),0))</f>
        <v>0</v>
      </c>
      <c r="I42" s="56">
        <f>IF($D42="",0,IF(AND($F42="Y",G42="N"),VLOOKUP($D42,'Rent Adjustment Worksheet'!$B:$C,2,FALSE),0))</f>
        <v>0</v>
      </c>
      <c r="J42" s="130" t="s">
        <v>115</v>
      </c>
      <c r="K42" s="54">
        <f>IF($D42="",0,IF(AND($F42="N",J42="Y"),-VLOOKUP($D42,'Rent Adjustment Worksheet'!$B:$C,2,FALSE),0))</f>
        <v>0</v>
      </c>
      <c r="L42" s="128">
        <f>IF($D42="",0,IF(AND($F42="Y",J42="N"),VLOOKUP($D42,'Rent Adjustment Worksheet'!$B:$C,2,FALSE),0))</f>
        <v>0</v>
      </c>
      <c r="M42" s="132" t="s">
        <v>115</v>
      </c>
      <c r="N42" s="54">
        <f>IF($D42="",0,IF(AND($F42="N",M42="Y"),-VLOOKUP($D42,'Rent Adjustment Worksheet'!$B:$C,2,FALSE),0))</f>
        <v>0</v>
      </c>
      <c r="O42" s="56">
        <f>IF($D42="",0,IF(AND($F42="Y",M42="N"),VLOOKUP($D42,'Rent Adjustment Worksheet'!$B:$C,2,FALSE),0))</f>
        <v>0</v>
      </c>
    </row>
    <row r="43" spans="2:15" x14ac:dyDescent="0.35">
      <c r="B43" s="231">
        <v>28</v>
      </c>
      <c r="C43" s="232"/>
      <c r="D43" s="261" t="str">
        <f>IF(OR('Rent Adjustment Worksheet'!$B28="PHA write-in (if Applicable)",'Rent Adjustment Worksheet'!$B28=""),"",'Rent Adjustment Worksheet'!$B28)</f>
        <v/>
      </c>
      <c r="E43" s="262"/>
      <c r="F43" s="134" t="s">
        <v>115</v>
      </c>
      <c r="G43" s="132" t="s">
        <v>115</v>
      </c>
      <c r="H43" s="54">
        <f>IF($D43="",0,IF(AND($F43="N",G43="Y"),-VLOOKUP($D43,'Rent Adjustment Worksheet'!$B:$C,2,FALSE),0))</f>
        <v>0</v>
      </c>
      <c r="I43" s="56">
        <f>IF($D43="",0,IF(AND($F43="Y",G43="N"),VLOOKUP($D43,'Rent Adjustment Worksheet'!$B:$C,2,FALSE),0))</f>
        <v>0</v>
      </c>
      <c r="J43" s="130" t="s">
        <v>115</v>
      </c>
      <c r="K43" s="54">
        <f>IF($D43="",0,IF(AND($F43="N",J43="Y"),-VLOOKUP($D43,'Rent Adjustment Worksheet'!$B:$C,2,FALSE),0))</f>
        <v>0</v>
      </c>
      <c r="L43" s="128">
        <f>IF($D43="",0,IF(AND($F43="Y",J43="N"),VLOOKUP($D43,'Rent Adjustment Worksheet'!$B:$C,2,FALSE),0))</f>
        <v>0</v>
      </c>
      <c r="M43" s="132" t="s">
        <v>115</v>
      </c>
      <c r="N43" s="54">
        <f>IF($D43="",0,IF(AND($F43="N",M43="Y"),-VLOOKUP($D43,'Rent Adjustment Worksheet'!$B:$C,2,FALSE),0))</f>
        <v>0</v>
      </c>
      <c r="O43" s="56">
        <f>IF($D43="",0,IF(AND($F43="Y",M43="N"),VLOOKUP($D43,'Rent Adjustment Worksheet'!$B:$C,2,FALSE),0))</f>
        <v>0</v>
      </c>
    </row>
    <row r="44" spans="2:15" x14ac:dyDescent="0.35">
      <c r="B44" s="231">
        <v>29</v>
      </c>
      <c r="C44" s="232"/>
      <c r="D44" s="261" t="str">
        <f>IF(OR('Rent Adjustment Worksheet'!$B29="PHA write-in (if Applicable)",'Rent Adjustment Worksheet'!$B29=""),"",'Rent Adjustment Worksheet'!$B29)</f>
        <v/>
      </c>
      <c r="E44" s="262"/>
      <c r="F44" s="134" t="s">
        <v>115</v>
      </c>
      <c r="G44" s="132" t="s">
        <v>115</v>
      </c>
      <c r="H44" s="54">
        <f>IF($D44="",0,IF(AND($F44="N",G44="Y"),-VLOOKUP($D44,'Rent Adjustment Worksheet'!$B:$C,2,FALSE),0))</f>
        <v>0</v>
      </c>
      <c r="I44" s="56">
        <f>IF($D44="",0,IF(AND($F44="Y",G44="N"),VLOOKUP($D44,'Rent Adjustment Worksheet'!$B:$C,2,FALSE),0))</f>
        <v>0</v>
      </c>
      <c r="J44" s="130" t="s">
        <v>115</v>
      </c>
      <c r="K44" s="54">
        <f>IF($D44="",0,IF(AND($F44="N",J44="Y"),-VLOOKUP($D44,'Rent Adjustment Worksheet'!$B:$C,2,FALSE),0))</f>
        <v>0</v>
      </c>
      <c r="L44" s="128">
        <f>IF($D44="",0,IF(AND($F44="Y",J44="N"),VLOOKUP($D44,'Rent Adjustment Worksheet'!$B:$C,2,FALSE),0))</f>
        <v>0</v>
      </c>
      <c r="M44" s="132" t="s">
        <v>115</v>
      </c>
      <c r="N44" s="54">
        <f>IF($D44="",0,IF(AND($F44="N",M44="Y"),-VLOOKUP($D44,'Rent Adjustment Worksheet'!$B:$C,2,FALSE),0))</f>
        <v>0</v>
      </c>
      <c r="O44" s="56">
        <f>IF($D44="",0,IF(AND($F44="Y",M44="N"),VLOOKUP($D44,'Rent Adjustment Worksheet'!$B:$C,2,FALSE),0))</f>
        <v>0</v>
      </c>
    </row>
    <row r="45" spans="2:15" x14ac:dyDescent="0.35">
      <c r="B45" s="238" t="s">
        <v>124</v>
      </c>
      <c r="C45" s="239"/>
      <c r="D45" s="239"/>
      <c r="E45" s="239"/>
      <c r="F45" s="239"/>
      <c r="G45" s="239"/>
      <c r="H45" s="239"/>
      <c r="I45" s="239"/>
      <c r="J45" s="239"/>
      <c r="K45" s="239"/>
      <c r="L45" s="239"/>
      <c r="M45" s="239"/>
      <c r="N45" s="239"/>
      <c r="O45" s="240"/>
    </row>
    <row r="46" spans="2:15" x14ac:dyDescent="0.35">
      <c r="B46" s="231">
        <v>30</v>
      </c>
      <c r="C46" s="232"/>
      <c r="D46" s="233" t="s">
        <v>125</v>
      </c>
      <c r="E46" s="232"/>
      <c r="F46" s="52"/>
      <c r="G46" s="139" t="str">
        <f>IF(ISNUMBER(G10)=FALSE,"",G10)</f>
        <v/>
      </c>
      <c r="H46" s="54"/>
      <c r="I46" s="128"/>
      <c r="J46" s="139" t="str">
        <f>IF(ISNUMBER(J10)=FALSE,"",J10)</f>
        <v/>
      </c>
      <c r="K46" s="54"/>
      <c r="L46" s="128"/>
      <c r="M46" s="139" t="str">
        <f>IF(ISNUMBER(M10)=FALSE,"",M10)</f>
        <v/>
      </c>
      <c r="N46" s="54"/>
      <c r="O46" s="56"/>
    </row>
    <row r="47" spans="2:15" x14ac:dyDescent="0.35">
      <c r="B47" s="231">
        <v>31</v>
      </c>
      <c r="C47" s="232"/>
      <c r="D47" s="233" t="s">
        <v>126</v>
      </c>
      <c r="E47" s="232"/>
      <c r="F47" s="52"/>
      <c r="G47" s="57" t="str">
        <f>IF(G46="","",SUM(H47:I47))</f>
        <v/>
      </c>
      <c r="H47" s="58" t="str">
        <f>IF(G46="","",SUM(H16:H44))</f>
        <v/>
      </c>
      <c r="I47" s="137" t="str">
        <f>IF(G46="","",SUM(I16:I44))</f>
        <v/>
      </c>
      <c r="J47" s="140" t="str">
        <f>IF(J46="","",SUM(K47:L47))</f>
        <v/>
      </c>
      <c r="K47" s="58" t="str">
        <f>IF(J46="","",SUM(K16:K44))</f>
        <v/>
      </c>
      <c r="L47" s="137" t="str">
        <f>IF(J46="","",SUM(L16:L44))</f>
        <v/>
      </c>
      <c r="M47" s="140" t="str">
        <f>IF(M46="","",SUM(N47:O47))</f>
        <v/>
      </c>
      <c r="N47" s="58" t="str">
        <f>IF(M46="","",SUM(N16:N44))</f>
        <v/>
      </c>
      <c r="O47" s="59" t="str">
        <f>IF(M46="","",SUM(O16:O44))</f>
        <v/>
      </c>
    </row>
    <row r="48" spans="2:15" x14ac:dyDescent="0.35">
      <c r="B48" s="231">
        <v>32</v>
      </c>
      <c r="C48" s="232"/>
      <c r="D48" s="233" t="s">
        <v>127</v>
      </c>
      <c r="E48" s="232"/>
      <c r="F48" s="52"/>
      <c r="G48" s="57" t="str">
        <f>IF(G46="","",SUM(G46,G47))</f>
        <v/>
      </c>
      <c r="H48" s="61"/>
      <c r="I48" s="138"/>
      <c r="J48" s="140" t="str">
        <f>IF(J46="","",SUM(J46,J47))</f>
        <v/>
      </c>
      <c r="K48" s="61"/>
      <c r="L48" s="138"/>
      <c r="M48" s="140" t="str">
        <f>IF(M46="","",SUM(M46,M47))</f>
        <v/>
      </c>
      <c r="N48" s="61"/>
      <c r="O48" s="63"/>
    </row>
    <row r="49" spans="2:15" x14ac:dyDescent="0.35">
      <c r="B49" s="231">
        <v>33</v>
      </c>
      <c r="C49" s="232"/>
      <c r="D49" s="233" t="s">
        <v>128</v>
      </c>
      <c r="E49" s="232"/>
      <c r="F49" s="102" t="str">
        <f>IFERROR(AVERAGE(G48:M48),"")</f>
        <v/>
      </c>
      <c r="G49" s="101"/>
      <c r="H49" s="65"/>
      <c r="I49" s="66"/>
      <c r="J49" s="64"/>
      <c r="K49" s="65"/>
      <c r="L49" s="66"/>
      <c r="M49" s="64"/>
      <c r="N49" s="65"/>
      <c r="O49" s="67"/>
    </row>
    <row r="50" spans="2:15" x14ac:dyDescent="0.35">
      <c r="B50" s="231">
        <v>34</v>
      </c>
      <c r="C50" s="232"/>
      <c r="D50" s="233" t="s">
        <v>129</v>
      </c>
      <c r="E50" s="232"/>
      <c r="F50" s="143"/>
      <c r="G50" s="91"/>
      <c r="H50" s="92"/>
      <c r="I50" s="92"/>
      <c r="J50" s="64"/>
      <c r="K50" s="65"/>
      <c r="L50" s="66"/>
      <c r="M50" s="64"/>
      <c r="N50" s="65"/>
      <c r="O50" s="67"/>
    </row>
    <row r="51" spans="2:15" ht="15" thickBot="1" x14ac:dyDescent="0.4">
      <c r="B51" s="231">
        <v>35</v>
      </c>
      <c r="C51" s="232"/>
      <c r="D51" s="278" t="s">
        <v>162</v>
      </c>
      <c r="E51" s="279"/>
      <c r="F51" s="144"/>
      <c r="G51" s="91"/>
      <c r="H51" s="92"/>
      <c r="I51" s="64"/>
      <c r="J51" s="64"/>
      <c r="K51" s="65"/>
      <c r="L51" s="66"/>
      <c r="M51" s="64"/>
      <c r="N51" s="65"/>
      <c r="O51" s="67"/>
    </row>
    <row r="52" spans="2:15" s="21" customFormat="1" ht="42" customHeight="1" x14ac:dyDescent="0.35">
      <c r="B52" s="280" t="s">
        <v>131</v>
      </c>
      <c r="C52" s="281"/>
      <c r="D52" s="281"/>
      <c r="E52" s="281"/>
      <c r="F52" s="281"/>
      <c r="G52" s="281"/>
      <c r="H52" s="281"/>
      <c r="I52" s="281"/>
      <c r="J52" s="281"/>
      <c r="K52" s="281"/>
      <c r="L52" s="281"/>
      <c r="M52" s="281"/>
      <c r="N52" s="281"/>
      <c r="O52" s="282"/>
    </row>
    <row r="53" spans="2:15" ht="75" customHeight="1" x14ac:dyDescent="0.35">
      <c r="B53" s="283" t="s">
        <v>284</v>
      </c>
      <c r="C53" s="283"/>
      <c r="D53" s="283"/>
      <c r="E53" s="283"/>
      <c r="F53" s="283"/>
      <c r="G53" s="283"/>
      <c r="H53" s="283"/>
      <c r="I53" s="283"/>
      <c r="J53" s="283"/>
      <c r="K53" s="283"/>
      <c r="L53" s="283"/>
      <c r="M53" s="283"/>
      <c r="N53" s="283"/>
      <c r="O53" s="283"/>
    </row>
    <row r="54" spans="2:15" x14ac:dyDescent="0.35">
      <c r="B54" s="118"/>
      <c r="C54" s="118"/>
      <c r="D54" s="118"/>
      <c r="E54" s="118"/>
      <c r="M54" s="275" t="s">
        <v>164</v>
      </c>
      <c r="N54" s="275"/>
      <c r="O54" s="275"/>
    </row>
  </sheetData>
  <sheetProtection algorithmName="SHA-512" hashValue="FK8j5+8yKLq9CMgWqtAAJAJe2WXkf5jEdkFOsNZueCEmmKr/jTryNLZugMsDq9xZGZ6IyUNQNpZnByVovV7frQ==" saltValue="rUliFuWUuSjnvXGHmijCBw==" spinCount="100000" sheet="1" selectLockedCells="1"/>
  <protectedRanges>
    <protectedRange sqref="D12:O12" name="Section 2_2_2_1_1_1"/>
    <protectedRange sqref="G9:O9" name="Section 2_4_1_1_1"/>
    <protectedRange sqref="E9:F9" name="Section 2_1_1_1_1_1_1"/>
    <protectedRange sqref="G10:O10" name="Section 2_3_2_1_1_1"/>
    <protectedRange sqref="G11:O11" name="Section 2_2_1_2_1_1_1"/>
    <protectedRange sqref="D11:F11" name="Section 2_2_2_1_2"/>
  </protectedRanges>
  <customSheetViews>
    <customSheetView guid="{A4B793CE-738E-4476-8B1F-D42BECFCF658}" topLeftCell="A31">
      <selection activeCell="A45" sqref="A45:B52"/>
      <pageMargins left="0" right="0" top="0" bottom="0" header="0" footer="0"/>
    </customSheetView>
  </customSheetViews>
  <mergeCells count="110">
    <mergeCell ref="B39:O39"/>
    <mergeCell ref="B40:C40"/>
    <mergeCell ref="D40:E40"/>
    <mergeCell ref="B45:O45"/>
    <mergeCell ref="B46:C46"/>
    <mergeCell ref="D46:E46"/>
    <mergeCell ref="B52:O52"/>
    <mergeCell ref="M54:O54"/>
    <mergeCell ref="B15:O15"/>
    <mergeCell ref="B49:C49"/>
    <mergeCell ref="D49:E49"/>
    <mergeCell ref="B50:C50"/>
    <mergeCell ref="D50:E50"/>
    <mergeCell ref="B51:C51"/>
    <mergeCell ref="D51:E51"/>
    <mergeCell ref="B48:C48"/>
    <mergeCell ref="D48:E48"/>
    <mergeCell ref="B42:C42"/>
    <mergeCell ref="D42:E42"/>
    <mergeCell ref="B43:C43"/>
    <mergeCell ref="D43:E43"/>
    <mergeCell ref="B44:C44"/>
    <mergeCell ref="D44:E44"/>
    <mergeCell ref="B38:C38"/>
    <mergeCell ref="B29:C29"/>
    <mergeCell ref="D29:E29"/>
    <mergeCell ref="B30:C30"/>
    <mergeCell ref="D30:E30"/>
    <mergeCell ref="B32:O32"/>
    <mergeCell ref="B33:C33"/>
    <mergeCell ref="D33:E33"/>
    <mergeCell ref="D38:E38"/>
    <mergeCell ref="B35:C35"/>
    <mergeCell ref="D35:E35"/>
    <mergeCell ref="B36:C36"/>
    <mergeCell ref="D36:E36"/>
    <mergeCell ref="B37:C37"/>
    <mergeCell ref="D37:E37"/>
    <mergeCell ref="B31:C31"/>
    <mergeCell ref="D31:E31"/>
    <mergeCell ref="B34:C34"/>
    <mergeCell ref="D34:E34"/>
    <mergeCell ref="B27:C27"/>
    <mergeCell ref="D27:E27"/>
    <mergeCell ref="B22:C22"/>
    <mergeCell ref="D22:E22"/>
    <mergeCell ref="B23:C23"/>
    <mergeCell ref="D23:E23"/>
    <mergeCell ref="B24:C24"/>
    <mergeCell ref="D24:E24"/>
    <mergeCell ref="B28:C28"/>
    <mergeCell ref="D28:E28"/>
    <mergeCell ref="M13:M14"/>
    <mergeCell ref="N13:O13"/>
    <mergeCell ref="G11:I11"/>
    <mergeCell ref="J11:L11"/>
    <mergeCell ref="M11:O11"/>
    <mergeCell ref="E11:F11"/>
    <mergeCell ref="B25:C25"/>
    <mergeCell ref="D25:E25"/>
    <mergeCell ref="B26:C26"/>
    <mergeCell ref="D26:E26"/>
    <mergeCell ref="B1:L1"/>
    <mergeCell ref="M1:O1"/>
    <mergeCell ref="B2:L2"/>
    <mergeCell ref="M2:O2"/>
    <mergeCell ref="E6:F6"/>
    <mergeCell ref="G6:O6"/>
    <mergeCell ref="N3:O3"/>
    <mergeCell ref="B16:C16"/>
    <mergeCell ref="D16:E16"/>
    <mergeCell ref="J8:L8"/>
    <mergeCell ref="B5:C6"/>
    <mergeCell ref="D5:F5"/>
    <mergeCell ref="M8:O8"/>
    <mergeCell ref="G9:I9"/>
    <mergeCell ref="J9:L9"/>
    <mergeCell ref="M9:O9"/>
    <mergeCell ref="D10:F10"/>
    <mergeCell ref="G10:I10"/>
    <mergeCell ref="J10:L10"/>
    <mergeCell ref="M10:O10"/>
    <mergeCell ref="D13:E14"/>
    <mergeCell ref="F13:F14"/>
    <mergeCell ref="G13:G14"/>
    <mergeCell ref="H13:I13"/>
    <mergeCell ref="B41:C41"/>
    <mergeCell ref="D41:E41"/>
    <mergeCell ref="B47:C47"/>
    <mergeCell ref="D47:E47"/>
    <mergeCell ref="B53:O53"/>
    <mergeCell ref="D7:F7"/>
    <mergeCell ref="G7:I7"/>
    <mergeCell ref="J7:L7"/>
    <mergeCell ref="M7:O7"/>
    <mergeCell ref="E8:F8"/>
    <mergeCell ref="G8:I8"/>
    <mergeCell ref="B7:C14"/>
    <mergeCell ref="B17:C17"/>
    <mergeCell ref="D17:E17"/>
    <mergeCell ref="B18:C18"/>
    <mergeCell ref="D18:E18"/>
    <mergeCell ref="B19:C19"/>
    <mergeCell ref="D19:E19"/>
    <mergeCell ref="B20:C20"/>
    <mergeCell ref="D20:E20"/>
    <mergeCell ref="B21:C21"/>
    <mergeCell ref="D21:E21"/>
    <mergeCell ref="J13:J14"/>
    <mergeCell ref="K13:L13"/>
  </mergeCells>
  <conditionalFormatting sqref="I16:I31 I33:I38 I40:I44">
    <cfRule type="cellIs" dxfId="5" priority="3" operator="greaterThan">
      <formula>$G$10*0.25</formula>
    </cfRule>
  </conditionalFormatting>
  <conditionalFormatting sqref="L16:L31 B33:O38 L40:L44">
    <cfRule type="cellIs" dxfId="4" priority="4" operator="greaterThan">
      <formula>$J$10*0.25</formula>
    </cfRule>
  </conditionalFormatting>
  <conditionalFormatting sqref="O16:O31 O33:O38 O40:O44">
    <cfRule type="cellIs" dxfId="3" priority="5" operator="greaterThan">
      <formula>$M$10*0.25</formula>
    </cfRule>
  </conditionalFormatting>
  <conditionalFormatting sqref="N16:N31 N33:N38 N40:N44">
    <cfRule type="cellIs" dxfId="2" priority="2" operator="lessThan">
      <formula>-$M$10*0.25</formula>
    </cfRule>
  </conditionalFormatting>
  <conditionalFormatting sqref="K16:K31 K33:K38 K40:K44">
    <cfRule type="cellIs" dxfId="1" priority="1" operator="lessThan">
      <formula>-$J$10*0.25</formula>
    </cfRule>
  </conditionalFormatting>
  <conditionalFormatting sqref="H16:H31 H33:H38 H40:H44">
    <cfRule type="cellIs" dxfId="0" priority="6" operator="lessThan">
      <formula>-$G$10*0.25</formula>
    </cfRule>
  </conditionalFormatting>
  <dataValidations count="2">
    <dataValidation errorStyle="information" allowBlank="1" showInputMessage="1" showErrorMessage="1" errorTitle="Non Valid Adjustment" error="Please Select a Valid PHA Write-in adjustment." sqref="K40:L44 H40:I44 N40:O44" xr:uid="{387AE2D3-982B-4177-83A3-E2266D659B07}"/>
    <dataValidation allowBlank="1" showErrorMessage="1" promptTitle="Select PHA Write-In" sqref="D40:E44" xr:uid="{90C3062B-13E0-4AE7-872D-5736F484A559}"/>
  </dataValidations>
  <pageMargins left="0.7" right="0.7" top="0.75" bottom="0.75" header="0.3" footer="0.3"/>
  <pageSetup scale="6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410" r:id="rId4" name="Check Box 98">
              <controlPr locked="0" defaultSize="0" autoFill="0" autoLine="0" autoPict="0">
                <anchor moveWithCells="1">
                  <from>
                    <xdr:col>7</xdr:col>
                    <xdr:colOff>203200</xdr:colOff>
                    <xdr:row>10</xdr:row>
                    <xdr:rowOff>95250</xdr:rowOff>
                  </from>
                  <to>
                    <xdr:col>7</xdr:col>
                    <xdr:colOff>533400</xdr:colOff>
                    <xdr:row>12</xdr:row>
                    <xdr:rowOff>107950</xdr:rowOff>
                  </to>
                </anchor>
              </controlPr>
            </control>
          </mc:Choice>
        </mc:AlternateContent>
        <mc:AlternateContent xmlns:mc="http://schemas.openxmlformats.org/markup-compatibility/2006">
          <mc:Choice Requires="x14">
            <control shapeId="13411" r:id="rId5" name="Check Box 99">
              <controlPr defaultSize="0" autoFill="0" autoLine="0" autoPict="0">
                <anchor moveWithCells="1">
                  <from>
                    <xdr:col>10</xdr:col>
                    <xdr:colOff>266700</xdr:colOff>
                    <xdr:row>10</xdr:row>
                    <xdr:rowOff>69850</xdr:rowOff>
                  </from>
                  <to>
                    <xdr:col>10</xdr:col>
                    <xdr:colOff>609600</xdr:colOff>
                    <xdr:row>12</xdr:row>
                    <xdr:rowOff>133350</xdr:rowOff>
                  </to>
                </anchor>
              </controlPr>
            </control>
          </mc:Choice>
        </mc:AlternateContent>
        <mc:AlternateContent xmlns:mc="http://schemas.openxmlformats.org/markup-compatibility/2006">
          <mc:Choice Requires="x14">
            <control shapeId="13412" r:id="rId6" name="Check Box 100">
              <controlPr defaultSize="0" autoFill="0" autoLine="0" autoPict="0">
                <anchor moveWithCells="1">
                  <from>
                    <xdr:col>13</xdr:col>
                    <xdr:colOff>241300</xdr:colOff>
                    <xdr:row>10</xdr:row>
                    <xdr:rowOff>95250</xdr:rowOff>
                  </from>
                  <to>
                    <xdr:col>13</xdr:col>
                    <xdr:colOff>571500</xdr:colOff>
                    <xdr:row>12</xdr:row>
                    <xdr:rowOff>107950</xdr:rowOff>
                  </to>
                </anchor>
              </controlPr>
            </control>
          </mc:Choice>
        </mc:AlternateContent>
        <mc:AlternateContent xmlns:mc="http://schemas.openxmlformats.org/markup-compatibility/2006">
          <mc:Choice Requires="x14">
            <control shapeId="13413" r:id="rId7" name="Check Box 101">
              <controlPr locked="0" defaultSize="0" autoFill="0" autoLine="0" autoPict="0">
                <anchor moveWithCells="1">
                  <from>
                    <xdr:col>7</xdr:col>
                    <xdr:colOff>203200</xdr:colOff>
                    <xdr:row>10</xdr:row>
                    <xdr:rowOff>95250</xdr:rowOff>
                  </from>
                  <to>
                    <xdr:col>7</xdr:col>
                    <xdr:colOff>533400</xdr:colOff>
                    <xdr:row>12</xdr:row>
                    <xdr:rowOff>107950</xdr:rowOff>
                  </to>
                </anchor>
              </controlPr>
            </control>
          </mc:Choice>
        </mc:AlternateContent>
        <mc:AlternateContent xmlns:mc="http://schemas.openxmlformats.org/markup-compatibility/2006">
          <mc:Choice Requires="x14">
            <control shapeId="13414" r:id="rId8" name="Check Box 102">
              <controlPr defaultSize="0" autoFill="0" autoLine="0" autoPict="0">
                <anchor moveWithCells="1">
                  <from>
                    <xdr:col>10</xdr:col>
                    <xdr:colOff>266700</xdr:colOff>
                    <xdr:row>10</xdr:row>
                    <xdr:rowOff>69850</xdr:rowOff>
                  </from>
                  <to>
                    <xdr:col>10</xdr:col>
                    <xdr:colOff>609600</xdr:colOff>
                    <xdr:row>12</xdr:row>
                    <xdr:rowOff>133350</xdr:rowOff>
                  </to>
                </anchor>
              </controlPr>
            </control>
          </mc:Choice>
        </mc:AlternateContent>
        <mc:AlternateContent xmlns:mc="http://schemas.openxmlformats.org/markup-compatibility/2006">
          <mc:Choice Requires="x14">
            <control shapeId="13415" r:id="rId9" name="Check Box 103">
              <controlPr defaultSize="0" autoFill="0" autoLine="0" autoPict="0">
                <anchor moveWithCells="1">
                  <from>
                    <xdr:col>13</xdr:col>
                    <xdr:colOff>241300</xdr:colOff>
                    <xdr:row>10</xdr:row>
                    <xdr:rowOff>95250</xdr:rowOff>
                  </from>
                  <to>
                    <xdr:col>13</xdr:col>
                    <xdr:colOff>571500</xdr:colOff>
                    <xdr:row>12</xdr:row>
                    <xdr:rowOff>107950</xdr:rowOff>
                  </to>
                </anchor>
              </controlPr>
            </control>
          </mc:Choice>
        </mc:AlternateContent>
        <mc:AlternateContent xmlns:mc="http://schemas.openxmlformats.org/markup-compatibility/2006">
          <mc:Choice Requires="x14">
            <control shapeId="13416" r:id="rId10" name="Check Box 104">
              <controlPr locked="0" defaultSize="0" autoFill="0" autoLine="0" autoPict="0">
                <anchor moveWithCells="1">
                  <from>
                    <xdr:col>7</xdr:col>
                    <xdr:colOff>203200</xdr:colOff>
                    <xdr:row>10</xdr:row>
                    <xdr:rowOff>95250</xdr:rowOff>
                  </from>
                  <to>
                    <xdr:col>7</xdr:col>
                    <xdr:colOff>533400</xdr:colOff>
                    <xdr:row>12</xdr:row>
                    <xdr:rowOff>107950</xdr:rowOff>
                  </to>
                </anchor>
              </controlPr>
            </control>
          </mc:Choice>
        </mc:AlternateContent>
        <mc:AlternateContent xmlns:mc="http://schemas.openxmlformats.org/markup-compatibility/2006">
          <mc:Choice Requires="x14">
            <control shapeId="13417" r:id="rId11" name="Check Box 105">
              <controlPr defaultSize="0" autoFill="0" autoLine="0" autoPict="0">
                <anchor moveWithCells="1">
                  <from>
                    <xdr:col>10</xdr:col>
                    <xdr:colOff>266700</xdr:colOff>
                    <xdr:row>10</xdr:row>
                    <xdr:rowOff>69850</xdr:rowOff>
                  </from>
                  <to>
                    <xdr:col>10</xdr:col>
                    <xdr:colOff>609600</xdr:colOff>
                    <xdr:row>12</xdr:row>
                    <xdr:rowOff>133350</xdr:rowOff>
                  </to>
                </anchor>
              </controlPr>
            </control>
          </mc:Choice>
        </mc:AlternateContent>
        <mc:AlternateContent xmlns:mc="http://schemas.openxmlformats.org/markup-compatibility/2006">
          <mc:Choice Requires="x14">
            <control shapeId="13418" r:id="rId12" name="Check Box 106">
              <controlPr defaultSize="0" autoFill="0" autoLine="0" autoPict="0">
                <anchor moveWithCells="1">
                  <from>
                    <xdr:col>13</xdr:col>
                    <xdr:colOff>241300</xdr:colOff>
                    <xdr:row>10</xdr:row>
                    <xdr:rowOff>95250</xdr:rowOff>
                  </from>
                  <to>
                    <xdr:col>13</xdr:col>
                    <xdr:colOff>571500</xdr:colOff>
                    <xdr:row>12</xdr:row>
                    <xdr:rowOff>107950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allowBlank="1" showInputMessage="1" showErrorMessage="1" xr:uid="{972F5B67-CCFD-4681-9DFA-4F8023FCB4F5}">
          <x14:formula1>
            <xm:f>DropDown!$A$2:$A$10</xm:f>
          </x14:formula1>
          <xm:sqref>F18:G18 J18 M18</xm:sqref>
        </x14:dataValidation>
        <x14:dataValidation type="list" allowBlank="1" showInputMessage="1" showErrorMessage="1" xr:uid="{B3797D28-BC5A-460D-BF07-B0C704E1F0E0}">
          <x14:formula1>
            <xm:f>DropDown!$B$2:$B$3</xm:f>
          </x14:formula1>
          <xm:sqref>F40:G44 F19:G20 F23:G31 J19:J20 J40:J44 M40:M44 M23:M31 J23:J31 M19:M20 M33:M38 J33:J38 F33:G38</xm:sqref>
        </x14:dataValidation>
        <x14:dataValidation type="list" allowBlank="1" showInputMessage="1" showErrorMessage="1" xr:uid="{786CA887-7A04-4779-842B-A8CE69C1E849}">
          <x14:formula1>
            <xm:f>DropDown!$E$1:$E$3</xm:f>
          </x14:formula1>
          <xm:sqref>D51:E51</xm:sqref>
        </x14:dataValidation>
        <x14:dataValidation type="list" allowBlank="1" showInputMessage="1" showErrorMessage="1" xr:uid="{93E29338-4086-477A-9D32-F7537857D2E5}">
          <x14:formula1>
            <xm:f>DropDown!$C$2:$C$4</xm:f>
          </x14:formula1>
          <xm:sqref>F22:G22 J22 M22</xm:sqref>
        </x14:dataValidation>
        <x14:dataValidation type="list" allowBlank="1" showInputMessage="1" showErrorMessage="1" xr:uid="{C4C68581-AB49-4558-9459-8A712D4E88F5}">
          <x14:formula1>
            <xm:f>DropDown!$F$1:$F$6</xm:f>
          </x14:formula1>
          <xm:sqref>G11:O11 E11</xm:sqref>
        </x14:dataValidation>
        <x14:dataValidation type="list" allowBlank="1" showInputMessage="1" showErrorMessage="1" xr:uid="{BCEB77B1-5C49-4818-9278-7CE14421887F}">
          <x14:formula1>
            <xm:f>DropDown!$H$2:$H$5</xm:f>
          </x14:formula1>
          <xm:sqref>F21:G21 J21 M21</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6343B-914B-43AD-87C1-3A5557874D29}">
  <sheetPr codeName="Sheet16"/>
  <dimension ref="A1:Q42"/>
  <sheetViews>
    <sheetView workbookViewId="0">
      <selection activeCell="L30" sqref="L30"/>
    </sheetView>
  </sheetViews>
  <sheetFormatPr defaultRowHeight="14.5" x14ac:dyDescent="0.35"/>
  <cols>
    <col min="1" max="1" width="25.81640625" bestFit="1" customWidth="1"/>
    <col min="2" max="2" width="17.453125" bestFit="1" customWidth="1"/>
    <col min="3" max="3" width="10.453125" bestFit="1" customWidth="1"/>
    <col min="4" max="4" width="20.54296875" bestFit="1" customWidth="1"/>
    <col min="5" max="5" width="5.54296875" bestFit="1" customWidth="1"/>
    <col min="9" max="9" width="20.54296875" bestFit="1" customWidth="1"/>
    <col min="10" max="11" width="13.81640625" customWidth="1"/>
    <col min="12" max="12" width="11.453125" customWidth="1"/>
    <col min="14" max="16" width="17.453125" customWidth="1"/>
  </cols>
  <sheetData>
    <row r="1" spans="1:17" ht="15" thickBot="1" x14ac:dyDescent="0.4"/>
    <row r="2" spans="1:17" ht="29.5" thickBot="1" x14ac:dyDescent="0.4">
      <c r="B2" s="3" t="s">
        <v>73</v>
      </c>
      <c r="C2" s="3"/>
      <c r="D2" s="3"/>
      <c r="E2" s="3"/>
      <c r="F2" s="3"/>
      <c r="G2" s="3"/>
      <c r="I2" s="26" t="s">
        <v>176</v>
      </c>
      <c r="J2" s="27" t="s">
        <v>177</v>
      </c>
      <c r="K2" s="27" t="s">
        <v>178</v>
      </c>
      <c r="L2" s="28" t="s">
        <v>179</v>
      </c>
      <c r="N2" s="41" t="s">
        <v>19</v>
      </c>
      <c r="O2" s="42" t="s">
        <v>180</v>
      </c>
      <c r="P2" s="42" t="s">
        <v>23</v>
      </c>
      <c r="Q2" s="43" t="s">
        <v>118</v>
      </c>
    </row>
    <row r="3" spans="1:17" ht="15" thickBot="1" x14ac:dyDescent="0.4">
      <c r="B3" s="34" t="s">
        <v>181</v>
      </c>
      <c r="C3" s="105" t="str">
        <f>Studio!$F$21</f>
        <v>None</v>
      </c>
      <c r="D3" s="35"/>
      <c r="E3" s="38"/>
      <c r="F3" s="36" t="s">
        <v>108</v>
      </c>
      <c r="G3" s="37" t="s">
        <v>109</v>
      </c>
      <c r="I3" s="166" t="s">
        <v>118</v>
      </c>
      <c r="J3" s="167"/>
      <c r="K3" s="167"/>
      <c r="L3" s="168"/>
      <c r="N3" s="44">
        <f>VLOOKUP($N$2,'Rent Adjustment Worksheet'!$B:$C, 2,FALSE)</f>
        <v>0</v>
      </c>
      <c r="O3" s="45">
        <f>VLOOKUP($O$2,'Rent Adjustment Worksheet'!$B:$C, 2,FALSE)</f>
        <v>0</v>
      </c>
      <c r="P3" s="45">
        <f>VLOOKUP($P$2,'Rent Adjustment Worksheet'!$B:$C, 2,FALSE)</f>
        <v>0</v>
      </c>
      <c r="Q3" s="46">
        <v>0</v>
      </c>
    </row>
    <row r="4" spans="1:17" x14ac:dyDescent="0.35">
      <c r="A4" t="s">
        <v>72</v>
      </c>
      <c r="B4" s="24" t="s">
        <v>94</v>
      </c>
      <c r="C4" s="106" t="str">
        <f>Studio!$G$21</f>
        <v>None</v>
      </c>
      <c r="D4" t="str">
        <f>CONCATENATE(C3," ",C4)</f>
        <v>None None</v>
      </c>
      <c r="E4" s="39">
        <f>VLOOKUP(D4,$I$3:$L$23,4,FALSE)</f>
        <v>0</v>
      </c>
      <c r="F4">
        <f>IF($E4&lt;0,$E4,0)</f>
        <v>0</v>
      </c>
      <c r="G4" s="31">
        <f>IF($E4&gt;0,$E4,0)</f>
        <v>0</v>
      </c>
      <c r="I4" s="169" t="s">
        <v>182</v>
      </c>
      <c r="J4" s="170" t="s">
        <v>118</v>
      </c>
      <c r="K4" s="170" t="s">
        <v>118</v>
      </c>
      <c r="L4" s="171">
        <v>0</v>
      </c>
    </row>
    <row r="5" spans="1:17" x14ac:dyDescent="0.35">
      <c r="A5" t="s">
        <v>72</v>
      </c>
      <c r="B5" s="24" t="s">
        <v>95</v>
      </c>
      <c r="C5" s="106" t="str">
        <f>Studio!$J$21</f>
        <v>None</v>
      </c>
      <c r="D5" t="str">
        <f>CONCATENATE(C3," ",C5)</f>
        <v>None None</v>
      </c>
      <c r="E5" s="39">
        <f>VLOOKUP(D5,$I:$L,4,FALSE)</f>
        <v>0</v>
      </c>
      <c r="F5">
        <f>IF($E5&lt;0,$E5,0)</f>
        <v>0</v>
      </c>
      <c r="G5" s="31">
        <f>IF($E5&gt;0,$E5,0)</f>
        <v>0</v>
      </c>
      <c r="I5" s="169" t="s">
        <v>183</v>
      </c>
      <c r="J5" s="170" t="s">
        <v>161</v>
      </c>
      <c r="K5" s="170" t="s">
        <v>161</v>
      </c>
      <c r="L5" s="171">
        <v>0</v>
      </c>
    </row>
    <row r="6" spans="1:17" ht="15" thickBot="1" x14ac:dyDescent="0.4">
      <c r="A6" t="s">
        <v>72</v>
      </c>
      <c r="B6" s="25" t="s">
        <v>96</v>
      </c>
      <c r="C6" s="107" t="str">
        <f>Studio!M21</f>
        <v>None</v>
      </c>
      <c r="D6" s="32" t="str">
        <f>CONCATENATE(C3," ",C6)</f>
        <v>None None</v>
      </c>
      <c r="E6" s="40">
        <f>VLOOKUP(D6,$I:$L,4,FALSE)</f>
        <v>0</v>
      </c>
      <c r="F6" s="32">
        <f>IF($E6&lt;0,$E6,0)</f>
        <v>0</v>
      </c>
      <c r="G6" s="33">
        <f>IF($E6&gt;0,$E6,0)</f>
        <v>0</v>
      </c>
      <c r="I6" s="169" t="s">
        <v>184</v>
      </c>
      <c r="J6" s="170" t="s">
        <v>160</v>
      </c>
      <c r="K6" s="170" t="s">
        <v>160</v>
      </c>
      <c r="L6" s="171">
        <v>0</v>
      </c>
    </row>
    <row r="7" spans="1:17" x14ac:dyDescent="0.35">
      <c r="I7" s="205" t="s">
        <v>274</v>
      </c>
      <c r="J7" s="170" t="s">
        <v>275</v>
      </c>
      <c r="K7" s="170" t="s">
        <v>275</v>
      </c>
      <c r="L7" s="206">
        <v>0</v>
      </c>
    </row>
    <row r="8" spans="1:17" ht="15" thickBot="1" x14ac:dyDescent="0.4">
      <c r="B8" s="3" t="s">
        <v>75</v>
      </c>
      <c r="C8" s="3"/>
      <c r="D8" s="3"/>
      <c r="E8" s="3"/>
      <c r="F8" s="3"/>
      <c r="G8" s="3"/>
      <c r="I8" s="205"/>
      <c r="J8" s="170"/>
      <c r="K8" s="170"/>
      <c r="L8" s="206"/>
    </row>
    <row r="9" spans="1:17" ht="15" thickBot="1" x14ac:dyDescent="0.4">
      <c r="B9" s="34" t="s">
        <v>181</v>
      </c>
      <c r="C9" s="105" t="str">
        <f>'1 BR'!$F$21</f>
        <v>None</v>
      </c>
      <c r="D9" s="35"/>
      <c r="E9" s="38"/>
      <c r="F9" s="36" t="s">
        <v>108</v>
      </c>
      <c r="G9" s="37" t="s">
        <v>109</v>
      </c>
      <c r="I9" s="173" t="s">
        <v>185</v>
      </c>
      <c r="J9" s="170"/>
      <c r="K9" s="170"/>
      <c r="L9" s="171"/>
    </row>
    <row r="10" spans="1:17" x14ac:dyDescent="0.35">
      <c r="A10" t="s">
        <v>74</v>
      </c>
      <c r="B10" s="24" t="s">
        <v>94</v>
      </c>
      <c r="C10" s="106" t="str">
        <f>'1 BR'!$G$21</f>
        <v>None</v>
      </c>
      <c r="D10" t="str">
        <f>CONCATENATE($C$9," ",C10)</f>
        <v>None None</v>
      </c>
      <c r="E10" s="39">
        <f>VLOOKUP(D10,$I$3:$L$23,4,FALSE)</f>
        <v>0</v>
      </c>
      <c r="F10">
        <f>IF($E10&lt;0,$E10,0)</f>
        <v>0</v>
      </c>
      <c r="G10" s="31">
        <f>IF($E10&gt;0,$E10,0)</f>
        <v>0</v>
      </c>
      <c r="H10" s="1"/>
      <c r="I10" s="169" t="s">
        <v>186</v>
      </c>
      <c r="J10" s="172" t="s">
        <v>161</v>
      </c>
      <c r="K10" s="172" t="s">
        <v>118</v>
      </c>
      <c r="L10" s="171">
        <f>$N$3-$Q$3</f>
        <v>0</v>
      </c>
    </row>
    <row r="11" spans="1:17" x14ac:dyDescent="0.35">
      <c r="A11" t="s">
        <v>74</v>
      </c>
      <c r="B11" s="24" t="s">
        <v>95</v>
      </c>
      <c r="C11" s="106" t="str">
        <f>'1 BR'!$J$21</f>
        <v>None</v>
      </c>
      <c r="D11" t="str">
        <f>CONCATENATE($C$9," ",C11)</f>
        <v>None None</v>
      </c>
      <c r="E11" s="39">
        <f>VLOOKUP(D11,$I:$L,4,FALSE)</f>
        <v>0</v>
      </c>
      <c r="F11">
        <f>IF($E11&lt;0,$E11,0)</f>
        <v>0</v>
      </c>
      <c r="G11" s="31">
        <f>IF($E11&gt;0,$E11,0)</f>
        <v>0</v>
      </c>
      <c r="I11" s="169" t="s">
        <v>187</v>
      </c>
      <c r="J11" s="172" t="s">
        <v>161</v>
      </c>
      <c r="K11" s="172" t="s">
        <v>160</v>
      </c>
      <c r="L11" s="171">
        <f>$N$3-$O$3</f>
        <v>0</v>
      </c>
    </row>
    <row r="12" spans="1:17" ht="15" thickBot="1" x14ac:dyDescent="0.4">
      <c r="A12" t="s">
        <v>74</v>
      </c>
      <c r="B12" s="25" t="s">
        <v>96</v>
      </c>
      <c r="C12" s="107" t="str">
        <f>'1 BR'!$M$21</f>
        <v>None</v>
      </c>
      <c r="D12" s="32" t="str">
        <f>CONCATENATE($C$9," ",C12)</f>
        <v>None None</v>
      </c>
      <c r="E12" s="40">
        <f>VLOOKUP(D12,$I:$L,4,FALSE)</f>
        <v>0</v>
      </c>
      <c r="F12" s="32">
        <f>IF($E12&lt;0,$E12,0)</f>
        <v>0</v>
      </c>
      <c r="G12" s="33">
        <f>IF($E12&gt;0,$E12,0)</f>
        <v>0</v>
      </c>
      <c r="I12" s="169" t="s">
        <v>279</v>
      </c>
      <c r="J12" s="172" t="s">
        <v>161</v>
      </c>
      <c r="K12" s="208" t="s">
        <v>275</v>
      </c>
      <c r="L12" s="171">
        <f>N3-P3</f>
        <v>0</v>
      </c>
    </row>
    <row r="13" spans="1:17" x14ac:dyDescent="0.35">
      <c r="I13" s="169" t="s">
        <v>188</v>
      </c>
      <c r="J13" s="172" t="s">
        <v>160</v>
      </c>
      <c r="K13" s="172" t="s">
        <v>118</v>
      </c>
      <c r="L13" s="171">
        <f>$O$3-$Q$3</f>
        <v>0</v>
      </c>
    </row>
    <row r="14" spans="1:17" ht="15" thickBot="1" x14ac:dyDescent="0.4">
      <c r="B14" s="3" t="s">
        <v>77</v>
      </c>
      <c r="C14" s="3"/>
      <c r="D14" s="3"/>
      <c r="E14" s="3"/>
      <c r="F14" s="3"/>
      <c r="G14" s="3"/>
      <c r="I14" s="205" t="s">
        <v>281</v>
      </c>
      <c r="J14" s="172" t="s">
        <v>160</v>
      </c>
      <c r="K14" s="208" t="s">
        <v>275</v>
      </c>
      <c r="L14" s="171">
        <f>O3-P3</f>
        <v>0</v>
      </c>
    </row>
    <row r="15" spans="1:17" ht="15" thickBot="1" x14ac:dyDescent="0.4">
      <c r="B15" s="34" t="s">
        <v>181</v>
      </c>
      <c r="C15" s="105" t="str">
        <f>'2 BR'!$F$21</f>
        <v>None</v>
      </c>
      <c r="D15" s="35"/>
      <c r="E15" s="38"/>
      <c r="F15" s="36" t="s">
        <v>108</v>
      </c>
      <c r="G15" s="37" t="s">
        <v>109</v>
      </c>
      <c r="I15" s="169" t="s">
        <v>280</v>
      </c>
      <c r="J15" s="208" t="s">
        <v>275</v>
      </c>
      <c r="K15" s="172" t="s">
        <v>118</v>
      </c>
      <c r="L15" s="171">
        <f>P3-Q3</f>
        <v>0</v>
      </c>
    </row>
    <row r="16" spans="1:17" x14ac:dyDescent="0.35">
      <c r="A16" t="s">
        <v>76</v>
      </c>
      <c r="B16" s="24" t="s">
        <v>94</v>
      </c>
      <c r="C16" s="106" t="str">
        <f>'2 BR'!$G$21</f>
        <v>None</v>
      </c>
      <c r="D16" t="str">
        <f>CONCATENATE($C$15," ",C16)</f>
        <v>None None</v>
      </c>
      <c r="E16" s="39">
        <f>VLOOKUP(D16,$I:$L,4,FALSE)</f>
        <v>0</v>
      </c>
      <c r="F16">
        <f>IF($E16&lt;0,$E16,0)</f>
        <v>0</v>
      </c>
      <c r="G16" s="31">
        <f>IF($E16&gt;0,$E16,0)</f>
        <v>0</v>
      </c>
      <c r="I16" s="169"/>
      <c r="J16" s="208"/>
      <c r="K16" s="172"/>
      <c r="L16" s="171"/>
    </row>
    <row r="17" spans="1:12" x14ac:dyDescent="0.35">
      <c r="A17" t="s">
        <v>76</v>
      </c>
      <c r="B17" s="24" t="s">
        <v>95</v>
      </c>
      <c r="C17" s="106" t="str">
        <f>'2 BR'!$J$21</f>
        <v>None</v>
      </c>
      <c r="D17" t="str">
        <f>CONCATENATE($C$15," ",C17)</f>
        <v>None None</v>
      </c>
      <c r="E17" s="39">
        <f>VLOOKUP(D17,$I:$L,4,FALSE)</f>
        <v>0</v>
      </c>
      <c r="F17">
        <f>IF($E17&lt;0,$E17,0)</f>
        <v>0</v>
      </c>
      <c r="G17" s="31">
        <f>IF($E17&gt;0,$E17,0)</f>
        <v>0</v>
      </c>
      <c r="I17" s="173" t="s">
        <v>189</v>
      </c>
      <c r="J17" s="172"/>
      <c r="K17" s="172"/>
      <c r="L17" s="171"/>
    </row>
    <row r="18" spans="1:12" ht="15" thickBot="1" x14ac:dyDescent="0.4">
      <c r="A18" t="s">
        <v>76</v>
      </c>
      <c r="B18" s="25" t="s">
        <v>96</v>
      </c>
      <c r="C18" s="107" t="str">
        <f>'2 BR'!$M$21</f>
        <v>None</v>
      </c>
      <c r="D18" s="32" t="str">
        <f>CONCATENATE($C$15," ",C18)</f>
        <v>None None</v>
      </c>
      <c r="E18" s="40">
        <f>VLOOKUP(D18,$I:$L,4,FALSE)</f>
        <v>0</v>
      </c>
      <c r="F18" s="32">
        <f>IF($E18&lt;0,$E18,0)</f>
        <v>0</v>
      </c>
      <c r="G18" s="33">
        <f>IF($E18&gt;0,$E18,0)</f>
        <v>0</v>
      </c>
      <c r="I18" s="169" t="s">
        <v>190</v>
      </c>
      <c r="J18" s="172" t="s">
        <v>118</v>
      </c>
      <c r="K18" s="172" t="s">
        <v>161</v>
      </c>
      <c r="L18" s="171">
        <f>$Q$3-$N$3</f>
        <v>0</v>
      </c>
    </row>
    <row r="19" spans="1:12" x14ac:dyDescent="0.35">
      <c r="I19" s="169" t="s">
        <v>191</v>
      </c>
      <c r="J19" s="172" t="s">
        <v>118</v>
      </c>
      <c r="K19" s="172" t="s">
        <v>160</v>
      </c>
      <c r="L19" s="171">
        <f>$Q$3-$O$3</f>
        <v>0</v>
      </c>
    </row>
    <row r="20" spans="1:12" ht="15" thickBot="1" x14ac:dyDescent="0.4">
      <c r="B20" s="3" t="s">
        <v>79</v>
      </c>
      <c r="C20" s="3"/>
      <c r="D20" s="3"/>
      <c r="E20" s="3"/>
      <c r="F20" s="3"/>
      <c r="G20" s="3"/>
      <c r="I20" s="205" t="s">
        <v>276</v>
      </c>
      <c r="J20" s="172" t="s">
        <v>118</v>
      </c>
      <c r="K20" s="172" t="s">
        <v>275</v>
      </c>
      <c r="L20" s="171">
        <f>Q3-P3</f>
        <v>0</v>
      </c>
    </row>
    <row r="21" spans="1:12" ht="15" thickBot="1" x14ac:dyDescent="0.4">
      <c r="B21" s="34" t="s">
        <v>181</v>
      </c>
      <c r="C21" s="105" t="str">
        <f>'3 BR'!$F$21</f>
        <v>None</v>
      </c>
      <c r="D21" s="35"/>
      <c r="E21" s="38"/>
      <c r="F21" s="36" t="s">
        <v>108</v>
      </c>
      <c r="G21" s="37" t="s">
        <v>109</v>
      </c>
      <c r="I21" s="205" t="s">
        <v>277</v>
      </c>
      <c r="J21" s="207" t="s">
        <v>275</v>
      </c>
      <c r="K21" s="207" t="s">
        <v>160</v>
      </c>
      <c r="L21" s="171">
        <f>P3-O3</f>
        <v>0</v>
      </c>
    </row>
    <row r="22" spans="1:12" x14ac:dyDescent="0.35">
      <c r="A22" t="s">
        <v>78</v>
      </c>
      <c r="B22" s="24" t="s">
        <v>94</v>
      </c>
      <c r="C22" s="181" t="str">
        <f>'3 BR'!$G$21</f>
        <v>None</v>
      </c>
      <c r="D22" s="165" t="str">
        <f>CONCATENATE($C$21," ",C22)</f>
        <v>None None</v>
      </c>
      <c r="E22" s="39">
        <f>VLOOKUP(D22,$I$3:$L$23,4,FALSE)</f>
        <v>0</v>
      </c>
      <c r="F22" s="165">
        <f>IF($E22&lt;0,$E22,0)</f>
        <v>0</v>
      </c>
      <c r="G22" s="31">
        <f>IF($E22&gt;0,$E22,0)</f>
        <v>0</v>
      </c>
      <c r="I22" s="205" t="s">
        <v>278</v>
      </c>
      <c r="J22" s="207" t="s">
        <v>275</v>
      </c>
      <c r="K22" s="172" t="s">
        <v>161</v>
      </c>
      <c r="L22" s="209">
        <f>P3-N3</f>
        <v>0</v>
      </c>
    </row>
    <row r="23" spans="1:12" ht="15" thickBot="1" x14ac:dyDescent="0.4">
      <c r="A23" t="s">
        <v>78</v>
      </c>
      <c r="B23" s="24" t="s">
        <v>95</v>
      </c>
      <c r="C23" s="181" t="str">
        <f>'3 BR'!$J$21</f>
        <v>None</v>
      </c>
      <c r="D23" s="165" t="str">
        <f>CONCATENATE($C$21," ",C23)</f>
        <v>None None</v>
      </c>
      <c r="E23" s="39">
        <f>VLOOKUP(D23,$I:$L,4,FALSE)</f>
        <v>0</v>
      </c>
      <c r="F23" s="165">
        <f>IF($E23&lt;0,$E23,0)</f>
        <v>0</v>
      </c>
      <c r="G23" s="31">
        <f>IF($E23&gt;0,$E23,0)</f>
        <v>0</v>
      </c>
      <c r="I23" s="174" t="s">
        <v>192</v>
      </c>
      <c r="J23" s="175" t="s">
        <v>160</v>
      </c>
      <c r="K23" s="175" t="s">
        <v>161</v>
      </c>
      <c r="L23" s="176">
        <f>O3-N3</f>
        <v>0</v>
      </c>
    </row>
    <row r="24" spans="1:12" ht="15" thickBot="1" x14ac:dyDescent="0.4">
      <c r="A24" t="s">
        <v>78</v>
      </c>
      <c r="B24" s="25" t="s">
        <v>96</v>
      </c>
      <c r="C24" s="107" t="str">
        <f>'3 BR'!$M$21</f>
        <v>None</v>
      </c>
      <c r="D24" s="32" t="str">
        <f>CONCATENATE($C$21," ",C24)</f>
        <v>None None</v>
      </c>
      <c r="E24" s="40">
        <f>VLOOKUP(D24,$I:$L,4,FALSE)</f>
        <v>0</v>
      </c>
      <c r="F24" s="32">
        <f>IF($E24&lt;0,$E24,0)</f>
        <v>0</v>
      </c>
      <c r="G24" s="33">
        <f>IF($E24&gt;0,$E24,0)</f>
        <v>0</v>
      </c>
    </row>
    <row r="26" spans="1:12" ht="15" thickBot="1" x14ac:dyDescent="0.4">
      <c r="B26" s="3" t="s">
        <v>81</v>
      </c>
      <c r="C26" s="3"/>
      <c r="D26" s="3"/>
      <c r="E26" s="3"/>
      <c r="F26" s="3"/>
      <c r="G26" s="3"/>
    </row>
    <row r="27" spans="1:12" ht="15" thickBot="1" x14ac:dyDescent="0.4">
      <c r="B27" s="34" t="s">
        <v>181</v>
      </c>
      <c r="C27" s="105" t="str">
        <f>'4 BR'!$F$21</f>
        <v>None</v>
      </c>
      <c r="D27" s="35"/>
      <c r="E27" s="38"/>
      <c r="F27" s="36" t="s">
        <v>108</v>
      </c>
      <c r="G27" s="37" t="s">
        <v>109</v>
      </c>
    </row>
    <row r="28" spans="1:12" x14ac:dyDescent="0.35">
      <c r="A28" t="s">
        <v>80</v>
      </c>
      <c r="B28" s="24" t="s">
        <v>94</v>
      </c>
      <c r="C28" s="181" t="str">
        <f>'4 BR'!$G$21</f>
        <v>None</v>
      </c>
      <c r="D28" s="165" t="str">
        <f>CONCATENATE(C27," ",C28)</f>
        <v>None None</v>
      </c>
      <c r="E28" s="39">
        <f>VLOOKUP(D28,$I$3:$L$23,4,FALSE)</f>
        <v>0</v>
      </c>
      <c r="F28" s="165">
        <f>IF($E28&lt;0,$E28,0)</f>
        <v>0</v>
      </c>
      <c r="G28" s="31">
        <f>IF($E28&gt;0,$E28,0)</f>
        <v>0</v>
      </c>
    </row>
    <row r="29" spans="1:12" x14ac:dyDescent="0.35">
      <c r="A29" t="s">
        <v>80</v>
      </c>
      <c r="B29" s="24" t="s">
        <v>95</v>
      </c>
      <c r="C29" s="181" t="str">
        <f>'4 BR'!$J$21</f>
        <v>None</v>
      </c>
      <c r="D29" s="165" t="str">
        <f>CONCATENATE(C27," ",C29)</f>
        <v>None None</v>
      </c>
      <c r="E29" s="39">
        <f>VLOOKUP(D29,$I:$L,4,FALSE)</f>
        <v>0</v>
      </c>
      <c r="F29" s="165">
        <f>IF($E29&lt;0,$E29,0)</f>
        <v>0</v>
      </c>
      <c r="G29" s="31">
        <f>IF($E29&gt;0,$E29,0)</f>
        <v>0</v>
      </c>
    </row>
    <row r="30" spans="1:12" ht="15" thickBot="1" x14ac:dyDescent="0.4">
      <c r="A30" t="s">
        <v>80</v>
      </c>
      <c r="B30" s="25" t="s">
        <v>96</v>
      </c>
      <c r="C30" s="107" t="str">
        <f>'4 BR'!$M$21</f>
        <v>None</v>
      </c>
      <c r="D30" s="32" t="str">
        <f>CONCATENATE(C27," ",C30)</f>
        <v>None None</v>
      </c>
      <c r="E30" s="40">
        <f>VLOOKUP(D30,$I:$L,4,FALSE)</f>
        <v>0</v>
      </c>
      <c r="F30" s="32">
        <f>IF($E30&lt;0,$E30,0)</f>
        <v>0</v>
      </c>
      <c r="G30" s="33">
        <f>IF($E30&gt;0,$E30,0)</f>
        <v>0</v>
      </c>
    </row>
    <row r="32" spans="1:12" ht="15" thickBot="1" x14ac:dyDescent="0.4">
      <c r="B32" s="3" t="s">
        <v>83</v>
      </c>
      <c r="C32" s="3"/>
      <c r="D32" s="3"/>
      <c r="E32" s="3"/>
      <c r="F32" s="3"/>
      <c r="G32" s="3"/>
    </row>
    <row r="33" spans="1:7" ht="15" thickBot="1" x14ac:dyDescent="0.4">
      <c r="B33" s="34" t="s">
        <v>181</v>
      </c>
      <c r="C33" s="105" t="str">
        <f>'5 BR'!$F$21</f>
        <v>None</v>
      </c>
      <c r="D33" s="35"/>
      <c r="E33" s="38"/>
      <c r="F33" s="36" t="s">
        <v>108</v>
      </c>
      <c r="G33" s="37" t="s">
        <v>109</v>
      </c>
    </row>
    <row r="34" spans="1:7" x14ac:dyDescent="0.35">
      <c r="A34" t="s">
        <v>82</v>
      </c>
      <c r="B34" s="24" t="s">
        <v>94</v>
      </c>
      <c r="C34" s="181" t="str">
        <f>'5 BR'!$G$21</f>
        <v>None</v>
      </c>
      <c r="D34" s="165" t="str">
        <f>CONCATENATE(C33," ",C34)</f>
        <v>None None</v>
      </c>
      <c r="E34" s="39">
        <f>VLOOKUP(D34,$I$3:$L$23,4,FALSE)</f>
        <v>0</v>
      </c>
      <c r="F34" s="165">
        <f>IF($E34&lt;0,$E34,0)</f>
        <v>0</v>
      </c>
      <c r="G34" s="31">
        <f>IF($E34&gt;0,$E34,0)</f>
        <v>0</v>
      </c>
    </row>
    <row r="35" spans="1:7" x14ac:dyDescent="0.35">
      <c r="A35" t="s">
        <v>82</v>
      </c>
      <c r="B35" s="24" t="s">
        <v>95</v>
      </c>
      <c r="C35" s="181" t="str">
        <f>'5 BR'!$J$21</f>
        <v>None</v>
      </c>
      <c r="D35" s="165" t="str">
        <f>CONCATENATE(C33," ",C35)</f>
        <v>None None</v>
      </c>
      <c r="E35" s="39">
        <f>VLOOKUP(D35,$I:$L,4,FALSE)</f>
        <v>0</v>
      </c>
      <c r="F35" s="165">
        <f>IF($E35&lt;0,$E35,0)</f>
        <v>0</v>
      </c>
      <c r="G35" s="31">
        <f>IF($E35&gt;0,$E35,0)</f>
        <v>0</v>
      </c>
    </row>
    <row r="36" spans="1:7" ht="15" thickBot="1" x14ac:dyDescent="0.4">
      <c r="A36" t="s">
        <v>82</v>
      </c>
      <c r="B36" s="25" t="s">
        <v>96</v>
      </c>
      <c r="C36" s="107" t="str">
        <f>'5 BR'!$M$21</f>
        <v>None</v>
      </c>
      <c r="D36" s="32" t="str">
        <f>CONCATENATE(C33," ",C36)</f>
        <v>None None</v>
      </c>
      <c r="E36" s="40">
        <f>VLOOKUP(D36,$I:$L,4,FALSE)</f>
        <v>0</v>
      </c>
      <c r="F36" s="32">
        <f>IF($E36&lt;0,$E36,0)</f>
        <v>0</v>
      </c>
      <c r="G36" s="33">
        <f>IF($E36&gt;0,$E36,0)</f>
        <v>0</v>
      </c>
    </row>
    <row r="38" spans="1:7" ht="15" thickBot="1" x14ac:dyDescent="0.4">
      <c r="B38" s="3" t="s">
        <v>85</v>
      </c>
      <c r="C38" s="3"/>
      <c r="D38" s="3"/>
      <c r="E38" s="3"/>
      <c r="F38" s="3"/>
      <c r="G38" s="3"/>
    </row>
    <row r="39" spans="1:7" ht="15" thickBot="1" x14ac:dyDescent="0.4">
      <c r="B39" s="34" t="s">
        <v>181</v>
      </c>
      <c r="C39" s="105" t="str">
        <f>'6 BR'!$F$21</f>
        <v>None</v>
      </c>
      <c r="D39" s="35"/>
      <c r="E39" s="38"/>
      <c r="F39" s="36" t="s">
        <v>108</v>
      </c>
      <c r="G39" s="37" t="s">
        <v>109</v>
      </c>
    </row>
    <row r="40" spans="1:7" x14ac:dyDescent="0.35">
      <c r="A40" t="s">
        <v>84</v>
      </c>
      <c r="B40" s="24" t="s">
        <v>94</v>
      </c>
      <c r="C40" s="181" t="str">
        <f>'6 BR'!$G$21</f>
        <v>None</v>
      </c>
      <c r="D40" s="165" t="str">
        <f>CONCATENATE(C39," ",C40)</f>
        <v>None None</v>
      </c>
      <c r="E40" s="39">
        <f>VLOOKUP(D40,$I$3:$L$23,4,FALSE)</f>
        <v>0</v>
      </c>
      <c r="F40" s="165">
        <f>IF($E40&lt;0,$E40,0)</f>
        <v>0</v>
      </c>
      <c r="G40" s="31">
        <f>IF($E40&gt;0,$E40,0)</f>
        <v>0</v>
      </c>
    </row>
    <row r="41" spans="1:7" x14ac:dyDescent="0.35">
      <c r="A41" t="s">
        <v>84</v>
      </c>
      <c r="B41" s="24" t="s">
        <v>95</v>
      </c>
      <c r="C41" s="181" t="str">
        <f>'6 BR'!$J$21</f>
        <v>None</v>
      </c>
      <c r="D41" s="165" t="str">
        <f>CONCATENATE(C39," ",C41)</f>
        <v>None None</v>
      </c>
      <c r="E41" s="39">
        <f>VLOOKUP(D41,$I:$L,4,FALSE)</f>
        <v>0</v>
      </c>
      <c r="F41" s="165">
        <f>IF($E41&lt;0,$E41,0)</f>
        <v>0</v>
      </c>
      <c r="G41" s="31">
        <f>IF($E41&gt;0,$E41,0)</f>
        <v>0</v>
      </c>
    </row>
    <row r="42" spans="1:7" ht="15" thickBot="1" x14ac:dyDescent="0.4">
      <c r="A42" t="s">
        <v>84</v>
      </c>
      <c r="B42" s="25" t="s">
        <v>96</v>
      </c>
      <c r="C42" s="107" t="str">
        <f>'6 BR'!$M$21</f>
        <v>None</v>
      </c>
      <c r="D42" s="32" t="str">
        <f>CONCATENATE(C39," ",C42)</f>
        <v>None None</v>
      </c>
      <c r="E42" s="40">
        <f>VLOOKUP(D42,$I:$L,4,FALSE)</f>
        <v>0</v>
      </c>
      <c r="F42" s="32">
        <f>IF($E42&lt;0,$E42,0)</f>
        <v>0</v>
      </c>
      <c r="G42" s="33">
        <f>IF($E42&gt;0,$E42,0)</f>
        <v>0</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79C1A-7C05-4529-993A-8B3A298A569B}">
  <sheetPr codeName="Sheet17"/>
  <dimension ref="A1:P42"/>
  <sheetViews>
    <sheetView workbookViewId="0">
      <selection activeCell="L10" sqref="L10"/>
    </sheetView>
  </sheetViews>
  <sheetFormatPr defaultRowHeight="14.5" x14ac:dyDescent="0.35"/>
  <cols>
    <col min="1" max="1" width="21.54296875" bestFit="1" customWidth="1"/>
    <col min="2" max="2" width="17.453125" bestFit="1" customWidth="1"/>
    <col min="3" max="3" width="10.453125" bestFit="1" customWidth="1"/>
    <col min="4" max="4" width="20.54296875" bestFit="1" customWidth="1"/>
    <col min="5" max="5" width="5.54296875" bestFit="1" customWidth="1"/>
    <col min="9" max="9" width="20.54296875" bestFit="1" customWidth="1"/>
    <col min="10" max="11" width="13.81640625" customWidth="1"/>
    <col min="12" max="12" width="11.453125" customWidth="1"/>
    <col min="14" max="15" width="17.453125" customWidth="1"/>
  </cols>
  <sheetData>
    <row r="1" spans="1:16" ht="15" thickBot="1" x14ac:dyDescent="0.4"/>
    <row r="2" spans="1:16" ht="29.5" thickBot="1" x14ac:dyDescent="0.4">
      <c r="B2" s="3" t="s">
        <v>73</v>
      </c>
      <c r="C2" s="3"/>
      <c r="D2" s="3"/>
      <c r="E2" s="3"/>
      <c r="F2" s="3"/>
      <c r="G2" s="3"/>
      <c r="I2" s="26" t="s">
        <v>176</v>
      </c>
      <c r="J2" s="27" t="s">
        <v>177</v>
      </c>
      <c r="K2" s="27" t="s">
        <v>178</v>
      </c>
      <c r="L2" s="28" t="s">
        <v>179</v>
      </c>
      <c r="N2" s="41" t="s">
        <v>24</v>
      </c>
      <c r="O2" s="42" t="s">
        <v>180</v>
      </c>
      <c r="P2" s="43" t="s">
        <v>118</v>
      </c>
    </row>
    <row r="3" spans="1:16" ht="15" thickBot="1" x14ac:dyDescent="0.4">
      <c r="B3" s="34" t="s">
        <v>181</v>
      </c>
      <c r="C3" s="105" t="str">
        <f>Studio!$F$22</f>
        <v>None</v>
      </c>
      <c r="D3" s="35"/>
      <c r="E3" s="38"/>
      <c r="F3" s="36" t="s">
        <v>108</v>
      </c>
      <c r="G3" s="37" t="s">
        <v>109</v>
      </c>
      <c r="I3" s="166" t="s">
        <v>118</v>
      </c>
      <c r="J3" s="167"/>
      <c r="K3" s="167"/>
      <c r="L3" s="168"/>
      <c r="N3" s="44">
        <f>VLOOKUP($N$2,'Rent Adjustment Worksheet'!$B:$C, 2,FALSE)</f>
        <v>0</v>
      </c>
      <c r="O3" s="45">
        <f>VLOOKUP($O$2,'Rent Adjustment Worksheet'!$B:$C, 2,FALSE)</f>
        <v>0</v>
      </c>
      <c r="P3" s="46">
        <v>0</v>
      </c>
    </row>
    <row r="4" spans="1:16" x14ac:dyDescent="0.35">
      <c r="A4" t="s">
        <v>72</v>
      </c>
      <c r="B4" s="24" t="s">
        <v>94</v>
      </c>
      <c r="C4" s="106" t="str">
        <f>Studio!$G$22</f>
        <v>None</v>
      </c>
      <c r="D4" t="str">
        <f>CONCATENATE(C3," ",C4)</f>
        <v>None None</v>
      </c>
      <c r="E4" s="39">
        <f>VLOOKUP(D4,$I$3:$L$16,4,FALSE)</f>
        <v>0</v>
      </c>
      <c r="F4">
        <f>IF($E4&lt;0,$E4,0)</f>
        <v>0</v>
      </c>
      <c r="G4" s="31">
        <f>IF($E4&gt;0,$E4,0)</f>
        <v>0</v>
      </c>
      <c r="I4" s="169" t="s">
        <v>182</v>
      </c>
      <c r="J4" s="170" t="s">
        <v>118</v>
      </c>
      <c r="K4" s="170" t="s">
        <v>118</v>
      </c>
      <c r="L4" s="171">
        <v>0</v>
      </c>
    </row>
    <row r="5" spans="1:16" x14ac:dyDescent="0.35">
      <c r="A5" t="s">
        <v>72</v>
      </c>
      <c r="B5" s="24" t="s">
        <v>95</v>
      </c>
      <c r="C5" s="106" t="str">
        <f>Studio!$J$22</f>
        <v>None</v>
      </c>
      <c r="D5" t="str">
        <f>CONCATENATE(C3," ",C5)</f>
        <v>None None</v>
      </c>
      <c r="E5" s="39">
        <f>VLOOKUP(D5,$I:$L,4,FALSE)</f>
        <v>0</v>
      </c>
      <c r="F5">
        <f>IF($E5&lt;0,$E5,0)</f>
        <v>0</v>
      </c>
      <c r="G5" s="31">
        <f>IF($E5&gt;0,$E5,0)</f>
        <v>0</v>
      </c>
      <c r="I5" s="169" t="s">
        <v>193</v>
      </c>
      <c r="J5" s="172" t="s">
        <v>134</v>
      </c>
      <c r="K5" s="172" t="s">
        <v>134</v>
      </c>
      <c r="L5" s="171">
        <v>0</v>
      </c>
    </row>
    <row r="6" spans="1:16" ht="15" thickBot="1" x14ac:dyDescent="0.4">
      <c r="A6" t="s">
        <v>72</v>
      </c>
      <c r="B6" s="25" t="s">
        <v>96</v>
      </c>
      <c r="C6" s="107" t="str">
        <f>Studio!$M$22</f>
        <v>None</v>
      </c>
      <c r="D6" s="32" t="str">
        <f>CONCATENATE(C3," ",C6)</f>
        <v>None None</v>
      </c>
      <c r="E6" s="40">
        <f>VLOOKUP(D6,$I:$L,4,FALSE)</f>
        <v>0</v>
      </c>
      <c r="F6" s="32">
        <f>IF($E6&lt;0,$E6,0)</f>
        <v>0</v>
      </c>
      <c r="G6" s="33">
        <f>IF($E6&gt;0,$E6,0)</f>
        <v>0</v>
      </c>
      <c r="I6" s="169" t="s">
        <v>194</v>
      </c>
      <c r="J6" s="172" t="s">
        <v>135</v>
      </c>
      <c r="K6" s="172" t="s">
        <v>135</v>
      </c>
      <c r="L6" s="171">
        <v>0</v>
      </c>
    </row>
    <row r="7" spans="1:16" x14ac:dyDescent="0.35">
      <c r="I7" s="169"/>
      <c r="J7" s="170"/>
      <c r="K7" s="170"/>
      <c r="L7" s="171"/>
    </row>
    <row r="8" spans="1:16" ht="15" thickBot="1" x14ac:dyDescent="0.4">
      <c r="B8" s="3" t="s">
        <v>75</v>
      </c>
      <c r="C8" s="3"/>
      <c r="D8" s="3"/>
      <c r="E8" s="3"/>
      <c r="F8" s="3"/>
      <c r="G8" s="3"/>
      <c r="I8" s="173" t="s">
        <v>185</v>
      </c>
      <c r="J8" s="170"/>
      <c r="K8" s="170"/>
      <c r="L8" s="171"/>
    </row>
    <row r="9" spans="1:16" ht="15" thickBot="1" x14ac:dyDescent="0.4">
      <c r="B9" s="34" t="s">
        <v>181</v>
      </c>
      <c r="C9" s="105" t="str">
        <f>'1 BR'!$F$22</f>
        <v>None</v>
      </c>
      <c r="D9" s="35"/>
      <c r="E9" s="38"/>
      <c r="F9" s="36" t="s">
        <v>108</v>
      </c>
      <c r="G9" s="37" t="s">
        <v>109</v>
      </c>
      <c r="I9" s="169" t="s">
        <v>195</v>
      </c>
      <c r="J9" s="172" t="s">
        <v>134</v>
      </c>
      <c r="K9" s="172" t="s">
        <v>118</v>
      </c>
      <c r="L9" s="171">
        <f>$N$3-$P$3</f>
        <v>0</v>
      </c>
    </row>
    <row r="10" spans="1:16" x14ac:dyDescent="0.35">
      <c r="A10" t="s">
        <v>74</v>
      </c>
      <c r="B10" s="24" t="s">
        <v>94</v>
      </c>
      <c r="C10" s="106" t="str">
        <f>'1 BR'!$G$22</f>
        <v>None</v>
      </c>
      <c r="D10" t="str">
        <f>CONCATENATE($C$9," ",C10)</f>
        <v>None None</v>
      </c>
      <c r="E10" s="39">
        <f>VLOOKUP(D10,$I$3:$L$16,4,FALSE)</f>
        <v>0</v>
      </c>
      <c r="F10">
        <f>IF($E10&lt;0,$E10,0)</f>
        <v>0</v>
      </c>
      <c r="G10" s="31">
        <f>IF($E10&gt;0,$E10,0)</f>
        <v>0</v>
      </c>
      <c r="H10" s="1"/>
      <c r="I10" s="169" t="s">
        <v>196</v>
      </c>
      <c r="J10" s="172" t="s">
        <v>134</v>
      </c>
      <c r="K10" s="172" t="s">
        <v>135</v>
      </c>
      <c r="L10" s="171">
        <f>$N$3-$O$3</f>
        <v>0</v>
      </c>
    </row>
    <row r="11" spans="1:16" x14ac:dyDescent="0.35">
      <c r="A11" t="s">
        <v>74</v>
      </c>
      <c r="B11" s="24" t="s">
        <v>95</v>
      </c>
      <c r="C11" s="106" t="str">
        <f>'1 BR'!$J$22</f>
        <v>None</v>
      </c>
      <c r="D11" t="str">
        <f>CONCATENATE($C$9," ",C11)</f>
        <v>None None</v>
      </c>
      <c r="E11" s="39">
        <f>VLOOKUP(D11,$I:$L,4,FALSE)</f>
        <v>0</v>
      </c>
      <c r="F11">
        <f>IF($E11&lt;0,$E11,0)</f>
        <v>0</v>
      </c>
      <c r="G11" s="31">
        <f>IF($E11&gt;0,$E11,0)</f>
        <v>0</v>
      </c>
      <c r="I11" s="169" t="s">
        <v>197</v>
      </c>
      <c r="J11" s="172" t="s">
        <v>135</v>
      </c>
      <c r="K11" s="172" t="s">
        <v>118</v>
      </c>
      <c r="L11" s="171">
        <f>$O$3-$P$3</f>
        <v>0</v>
      </c>
    </row>
    <row r="12" spans="1:16" ht="15" thickBot="1" x14ac:dyDescent="0.4">
      <c r="A12" t="s">
        <v>74</v>
      </c>
      <c r="B12" s="25" t="s">
        <v>96</v>
      </c>
      <c r="C12" s="107" t="str">
        <f>'1 BR'!$M$22</f>
        <v>None</v>
      </c>
      <c r="D12" s="32" t="str">
        <f>CONCATENATE($C$9," ",C12)</f>
        <v>None None</v>
      </c>
      <c r="E12" s="40">
        <f>VLOOKUP(D12,$I:$L,4,FALSE)</f>
        <v>0</v>
      </c>
      <c r="F12" s="32">
        <f>IF($E12&lt;0,$E12,0)</f>
        <v>0</v>
      </c>
      <c r="G12" s="33">
        <f>IF($E12&gt;0,$E12,0)</f>
        <v>0</v>
      </c>
      <c r="I12" s="169"/>
      <c r="J12" s="172"/>
      <c r="K12" s="172"/>
      <c r="L12" s="171"/>
    </row>
    <row r="13" spans="1:16" x14ac:dyDescent="0.35">
      <c r="I13" s="173" t="s">
        <v>189</v>
      </c>
      <c r="J13" s="172"/>
      <c r="K13" s="172"/>
      <c r="L13" s="171"/>
    </row>
    <row r="14" spans="1:16" ht="15" thickBot="1" x14ac:dyDescent="0.4">
      <c r="B14" s="3" t="s">
        <v>77</v>
      </c>
      <c r="C14" s="3"/>
      <c r="D14" s="3"/>
      <c r="E14" s="3"/>
      <c r="F14" s="3"/>
      <c r="G14" s="3"/>
      <c r="I14" s="169" t="s">
        <v>198</v>
      </c>
      <c r="J14" s="172" t="s">
        <v>118</v>
      </c>
      <c r="K14" s="172" t="s">
        <v>134</v>
      </c>
      <c r="L14" s="171">
        <f>$P$3-$N$3</f>
        <v>0</v>
      </c>
    </row>
    <row r="15" spans="1:16" ht="15" thickBot="1" x14ac:dyDescent="0.4">
      <c r="B15" s="34" t="s">
        <v>181</v>
      </c>
      <c r="C15" s="105" t="str">
        <f>'2 BR'!$F$22</f>
        <v>None</v>
      </c>
      <c r="D15" s="35"/>
      <c r="E15" s="38"/>
      <c r="F15" s="36" t="s">
        <v>108</v>
      </c>
      <c r="G15" s="37" t="s">
        <v>109</v>
      </c>
      <c r="I15" s="169" t="s">
        <v>199</v>
      </c>
      <c r="J15" s="172" t="s">
        <v>118</v>
      </c>
      <c r="K15" s="172" t="s">
        <v>135</v>
      </c>
      <c r="L15" s="171">
        <f>$P$3-$O$3</f>
        <v>0</v>
      </c>
    </row>
    <row r="16" spans="1:16" ht="15" thickBot="1" x14ac:dyDescent="0.4">
      <c r="A16" t="s">
        <v>76</v>
      </c>
      <c r="B16" s="24" t="s">
        <v>94</v>
      </c>
      <c r="C16" s="106" t="str">
        <f>'2 BR'!$G$22</f>
        <v>None</v>
      </c>
      <c r="D16" t="str">
        <f>CONCATENATE($C$15," ",C16)</f>
        <v>None None</v>
      </c>
      <c r="E16" s="39">
        <f>VLOOKUP(D16,$I:$L,4,FALSE)</f>
        <v>0</v>
      </c>
      <c r="F16">
        <f>IF($E16&lt;0,$E16,0)</f>
        <v>0</v>
      </c>
      <c r="G16" s="31">
        <f>IF($E16&gt;0,$E16,0)</f>
        <v>0</v>
      </c>
      <c r="I16" s="174" t="s">
        <v>200</v>
      </c>
      <c r="J16" s="175" t="s">
        <v>135</v>
      </c>
      <c r="K16" s="175" t="s">
        <v>134</v>
      </c>
      <c r="L16" s="176">
        <f>O3-N3</f>
        <v>0</v>
      </c>
    </row>
    <row r="17" spans="1:7" x14ac:dyDescent="0.35">
      <c r="A17" t="s">
        <v>76</v>
      </c>
      <c r="B17" s="24" t="s">
        <v>95</v>
      </c>
      <c r="C17" s="106" t="str">
        <f>'2 BR'!$J$22</f>
        <v>None</v>
      </c>
      <c r="D17" t="str">
        <f>CONCATENATE($C$15," ",C17)</f>
        <v>None None</v>
      </c>
      <c r="E17" s="39">
        <f>VLOOKUP(D17,$I:$L,4,FALSE)</f>
        <v>0</v>
      </c>
      <c r="F17">
        <f>IF($E17&lt;0,$E17,0)</f>
        <v>0</v>
      </c>
      <c r="G17" s="31">
        <f>IF($E17&gt;0,$E17,0)</f>
        <v>0</v>
      </c>
    </row>
    <row r="18" spans="1:7" ht="15" thickBot="1" x14ac:dyDescent="0.4">
      <c r="A18" t="s">
        <v>76</v>
      </c>
      <c r="B18" s="25" t="s">
        <v>96</v>
      </c>
      <c r="C18" s="107" t="str">
        <f>'2 BR'!$M$22</f>
        <v>None</v>
      </c>
      <c r="D18" s="32" t="str">
        <f>CONCATENATE($C$15," ",C18)</f>
        <v>None None</v>
      </c>
      <c r="E18" s="40">
        <f>VLOOKUP(D18,$I:$L,4,FALSE)</f>
        <v>0</v>
      </c>
      <c r="F18" s="32">
        <f>IF($E18&lt;0,$E18,0)</f>
        <v>0</v>
      </c>
      <c r="G18" s="33">
        <f>IF($E18&gt;0,$E18,0)</f>
        <v>0</v>
      </c>
    </row>
    <row r="20" spans="1:7" ht="15" thickBot="1" x14ac:dyDescent="0.4">
      <c r="B20" s="3" t="s">
        <v>79</v>
      </c>
      <c r="C20" s="3"/>
      <c r="D20" s="3"/>
      <c r="E20" s="3"/>
      <c r="F20" s="3"/>
      <c r="G20" s="3"/>
    </row>
    <row r="21" spans="1:7" ht="15" thickBot="1" x14ac:dyDescent="0.4">
      <c r="B21" s="34" t="s">
        <v>181</v>
      </c>
      <c r="C21" s="105" t="str">
        <f>'3 BR'!$F$22</f>
        <v>None</v>
      </c>
      <c r="D21" s="35"/>
      <c r="E21" s="38"/>
      <c r="F21" s="36" t="s">
        <v>108</v>
      </c>
      <c r="G21" s="37" t="s">
        <v>109</v>
      </c>
    </row>
    <row r="22" spans="1:7" x14ac:dyDescent="0.35">
      <c r="A22" t="s">
        <v>78</v>
      </c>
      <c r="B22" s="24" t="s">
        <v>94</v>
      </c>
      <c r="C22" s="181" t="str">
        <f>'3 BR'!$G$22</f>
        <v>None</v>
      </c>
      <c r="D22" s="165" t="str">
        <f>CONCATENATE($C$21," ",C22)</f>
        <v>None None</v>
      </c>
      <c r="E22" s="39">
        <f>VLOOKUP(D22,$I$3:$L$16,4,FALSE)</f>
        <v>0</v>
      </c>
      <c r="F22" s="165">
        <f>IF($E22&lt;0,$E22,0)</f>
        <v>0</v>
      </c>
      <c r="G22" s="31">
        <f>IF($E22&gt;0,$E22,0)</f>
        <v>0</v>
      </c>
    </row>
    <row r="23" spans="1:7" x14ac:dyDescent="0.35">
      <c r="A23" t="s">
        <v>78</v>
      </c>
      <c r="B23" s="24" t="s">
        <v>95</v>
      </c>
      <c r="C23" s="181" t="str">
        <f>'3 BR'!$J$22</f>
        <v>None</v>
      </c>
      <c r="D23" s="165" t="str">
        <f>CONCATENATE($C$21," ",C23)</f>
        <v>None None</v>
      </c>
      <c r="E23" s="39">
        <f>VLOOKUP(D23,$I:$L,4,FALSE)</f>
        <v>0</v>
      </c>
      <c r="F23" s="165">
        <f>IF($E23&lt;0,$E23,0)</f>
        <v>0</v>
      </c>
      <c r="G23" s="31">
        <f>IF($E23&gt;0,$E23,0)</f>
        <v>0</v>
      </c>
    </row>
    <row r="24" spans="1:7" ht="15" thickBot="1" x14ac:dyDescent="0.4">
      <c r="A24" t="s">
        <v>78</v>
      </c>
      <c r="B24" s="25" t="s">
        <v>96</v>
      </c>
      <c r="C24" s="107" t="str">
        <f>'3 BR'!$M$22</f>
        <v>None</v>
      </c>
      <c r="D24" s="32" t="str">
        <f>CONCATENATE($C$21," ",C24)</f>
        <v>None None</v>
      </c>
      <c r="E24" s="40">
        <f>VLOOKUP(D24,$I:$L,4,FALSE)</f>
        <v>0</v>
      </c>
      <c r="F24" s="32">
        <f>IF($E24&lt;0,$E24,0)</f>
        <v>0</v>
      </c>
      <c r="G24" s="33">
        <f>IF($E24&gt;0,$E24,0)</f>
        <v>0</v>
      </c>
    </row>
    <row r="26" spans="1:7" ht="15" thickBot="1" x14ac:dyDescent="0.4">
      <c r="B26" s="3" t="s">
        <v>81</v>
      </c>
      <c r="C26" s="3"/>
      <c r="D26" s="3"/>
      <c r="E26" s="3"/>
      <c r="F26" s="3"/>
      <c r="G26" s="3"/>
    </row>
    <row r="27" spans="1:7" ht="15" thickBot="1" x14ac:dyDescent="0.4">
      <c r="B27" s="34" t="s">
        <v>181</v>
      </c>
      <c r="C27" s="105" t="str">
        <f>'4 BR'!$F$22</f>
        <v>None</v>
      </c>
      <c r="D27" s="35"/>
      <c r="E27" s="38"/>
      <c r="F27" s="36" t="s">
        <v>108</v>
      </c>
      <c r="G27" s="37" t="s">
        <v>109</v>
      </c>
    </row>
    <row r="28" spans="1:7" x14ac:dyDescent="0.35">
      <c r="A28" t="s">
        <v>80</v>
      </c>
      <c r="B28" s="24" t="s">
        <v>94</v>
      </c>
      <c r="C28" s="181" t="str">
        <f>'4 BR'!$G$22</f>
        <v>None</v>
      </c>
      <c r="D28" s="165" t="str">
        <f>CONCATENATE(C27," ",C28)</f>
        <v>None None</v>
      </c>
      <c r="E28" s="39">
        <f>VLOOKUP(D28,$I$3:$L$16,4,FALSE)</f>
        <v>0</v>
      </c>
      <c r="F28" s="165">
        <f>IF($E28&lt;0,$E28,0)</f>
        <v>0</v>
      </c>
      <c r="G28" s="31">
        <f>IF($E28&gt;0,$E28,0)</f>
        <v>0</v>
      </c>
    </row>
    <row r="29" spans="1:7" x14ac:dyDescent="0.35">
      <c r="A29" t="s">
        <v>80</v>
      </c>
      <c r="B29" s="24" t="s">
        <v>95</v>
      </c>
      <c r="C29" s="181" t="str">
        <f>'4 BR'!$J$22</f>
        <v>None</v>
      </c>
      <c r="D29" s="165" t="str">
        <f>CONCATENATE(C27," ",C29)</f>
        <v>None None</v>
      </c>
      <c r="E29" s="39">
        <f>VLOOKUP(D29,$I:$L,4,FALSE)</f>
        <v>0</v>
      </c>
      <c r="F29" s="165">
        <f>IF($E29&lt;0,$E29,0)</f>
        <v>0</v>
      </c>
      <c r="G29" s="31">
        <f>IF($E29&gt;0,$E29,0)</f>
        <v>0</v>
      </c>
    </row>
    <row r="30" spans="1:7" ht="15" thickBot="1" x14ac:dyDescent="0.4">
      <c r="A30" t="s">
        <v>80</v>
      </c>
      <c r="B30" s="25" t="s">
        <v>96</v>
      </c>
      <c r="C30" s="107" t="str">
        <f>'4 BR'!$M$22</f>
        <v>None</v>
      </c>
      <c r="D30" s="32" t="str">
        <f>CONCATENATE(C27," ",C30)</f>
        <v>None None</v>
      </c>
      <c r="E30" s="40">
        <f>VLOOKUP(D30,$I:$L,4,FALSE)</f>
        <v>0</v>
      </c>
      <c r="F30" s="32">
        <f>IF($E30&lt;0,$E30,0)</f>
        <v>0</v>
      </c>
      <c r="G30" s="33">
        <f>IF($E30&gt;0,$E30,0)</f>
        <v>0</v>
      </c>
    </row>
    <row r="32" spans="1:7" ht="15" thickBot="1" x14ac:dyDescent="0.4">
      <c r="B32" s="3" t="s">
        <v>83</v>
      </c>
      <c r="C32" s="3"/>
      <c r="D32" s="3"/>
      <c r="E32" s="3"/>
      <c r="F32" s="3"/>
      <c r="G32" s="3"/>
    </row>
    <row r="33" spans="1:7" ht="15" thickBot="1" x14ac:dyDescent="0.4">
      <c r="B33" s="34" t="s">
        <v>181</v>
      </c>
      <c r="C33" s="105" t="str">
        <f>'5 BR'!$F$22</f>
        <v>None</v>
      </c>
      <c r="D33" s="35"/>
      <c r="E33" s="38"/>
      <c r="F33" s="36" t="s">
        <v>108</v>
      </c>
      <c r="G33" s="37" t="s">
        <v>109</v>
      </c>
    </row>
    <row r="34" spans="1:7" x14ac:dyDescent="0.35">
      <c r="A34" t="s">
        <v>82</v>
      </c>
      <c r="B34" s="24" t="s">
        <v>94</v>
      </c>
      <c r="C34" s="181" t="str">
        <f>'5 BR'!$G$22</f>
        <v>None</v>
      </c>
      <c r="D34" s="165" t="str">
        <f>CONCATENATE(C33," ",C34)</f>
        <v>None None</v>
      </c>
      <c r="E34" s="39">
        <f>VLOOKUP(D34,$I$3:$L$16,4,FALSE)</f>
        <v>0</v>
      </c>
      <c r="F34" s="165">
        <f>IF($E34&lt;0,$E34,0)</f>
        <v>0</v>
      </c>
      <c r="G34" s="31">
        <f>IF($E34&gt;0,$E34,0)</f>
        <v>0</v>
      </c>
    </row>
    <row r="35" spans="1:7" x14ac:dyDescent="0.35">
      <c r="A35" t="s">
        <v>82</v>
      </c>
      <c r="B35" s="24" t="s">
        <v>95</v>
      </c>
      <c r="C35" s="181" t="str">
        <f>'5 BR'!$J$22</f>
        <v>None</v>
      </c>
      <c r="D35" s="165" t="str">
        <f>CONCATENATE(C33," ",C35)</f>
        <v>None None</v>
      </c>
      <c r="E35" s="39">
        <f>VLOOKUP(D35,$I:$L,4,FALSE)</f>
        <v>0</v>
      </c>
      <c r="F35" s="165">
        <f>IF($E35&lt;0,$E35,0)</f>
        <v>0</v>
      </c>
      <c r="G35" s="31">
        <f>IF($E35&gt;0,$E35,0)</f>
        <v>0</v>
      </c>
    </row>
    <row r="36" spans="1:7" ht="15" thickBot="1" x14ac:dyDescent="0.4">
      <c r="A36" t="s">
        <v>82</v>
      </c>
      <c r="B36" s="25" t="s">
        <v>96</v>
      </c>
      <c r="C36" s="107" t="str">
        <f>'5 BR'!$M$22</f>
        <v>None</v>
      </c>
      <c r="D36" s="32" t="str">
        <f>CONCATENATE(C33," ",C36)</f>
        <v>None None</v>
      </c>
      <c r="E36" s="40">
        <f>VLOOKUP(D36,$I:$L,4,FALSE)</f>
        <v>0</v>
      </c>
      <c r="F36" s="32">
        <f>IF($E36&lt;0,$E36,0)</f>
        <v>0</v>
      </c>
      <c r="G36" s="33">
        <f>IF($E36&gt;0,$E36,0)</f>
        <v>0</v>
      </c>
    </row>
    <row r="38" spans="1:7" ht="15" thickBot="1" x14ac:dyDescent="0.4">
      <c r="B38" s="3" t="s">
        <v>85</v>
      </c>
      <c r="C38" s="3"/>
      <c r="D38" s="3"/>
      <c r="E38" s="3"/>
      <c r="F38" s="3"/>
      <c r="G38" s="3"/>
    </row>
    <row r="39" spans="1:7" ht="15" thickBot="1" x14ac:dyDescent="0.4">
      <c r="B39" s="34" t="s">
        <v>181</v>
      </c>
      <c r="C39" s="105" t="str">
        <f>'6 BR'!$F$22</f>
        <v>None</v>
      </c>
      <c r="D39" s="35"/>
      <c r="E39" s="38"/>
      <c r="F39" s="36" t="s">
        <v>108</v>
      </c>
      <c r="G39" s="37" t="s">
        <v>109</v>
      </c>
    </row>
    <row r="40" spans="1:7" x14ac:dyDescent="0.35">
      <c r="A40" t="s">
        <v>84</v>
      </c>
      <c r="B40" s="24" t="s">
        <v>94</v>
      </c>
      <c r="C40" s="181" t="str">
        <f>'6 BR'!$G$22</f>
        <v>None</v>
      </c>
      <c r="D40" s="165" t="str">
        <f>CONCATENATE(C39," ",C40)</f>
        <v>None None</v>
      </c>
      <c r="E40" s="39">
        <f>VLOOKUP(D40,$I$3:$L$16,4,FALSE)</f>
        <v>0</v>
      </c>
      <c r="F40" s="165">
        <f>IF($E40&lt;0,$E40,0)</f>
        <v>0</v>
      </c>
      <c r="G40" s="31">
        <f>IF($E40&gt;0,$E40,0)</f>
        <v>0</v>
      </c>
    </row>
    <row r="41" spans="1:7" x14ac:dyDescent="0.35">
      <c r="A41" t="s">
        <v>84</v>
      </c>
      <c r="B41" s="24" t="s">
        <v>95</v>
      </c>
      <c r="C41" s="181" t="str">
        <f>'6 BR'!$J$22</f>
        <v>None</v>
      </c>
      <c r="D41" s="165" t="str">
        <f>CONCATENATE(C39," ",C41)</f>
        <v>None None</v>
      </c>
      <c r="E41" s="39">
        <f>VLOOKUP(D41,$I:$L,4,FALSE)</f>
        <v>0</v>
      </c>
      <c r="F41" s="165">
        <f>IF($E41&lt;0,$E41,0)</f>
        <v>0</v>
      </c>
      <c r="G41" s="31">
        <f>IF($E41&gt;0,$E41,0)</f>
        <v>0</v>
      </c>
    </row>
    <row r="42" spans="1:7" ht="15" thickBot="1" x14ac:dyDescent="0.4">
      <c r="A42" t="s">
        <v>84</v>
      </c>
      <c r="B42" s="25" t="s">
        <v>96</v>
      </c>
      <c r="C42" s="107" t="str">
        <f>'6 BR'!$M$22</f>
        <v>None</v>
      </c>
      <c r="D42" s="32" t="str">
        <f>CONCATENATE(C39," ",C42)</f>
        <v>None None</v>
      </c>
      <c r="E42" s="40">
        <f>VLOOKUP(D42,$I:$L,4,FALSE)</f>
        <v>0</v>
      </c>
      <c r="F42" s="32">
        <f>IF($E42&lt;0,$E42,0)</f>
        <v>0</v>
      </c>
      <c r="G42" s="33">
        <f>IF($E42&gt;0,$E42,0)</f>
        <v>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73C8A-B79E-49A1-936A-B0AA59D6C4EB}">
  <sheetPr>
    <tabColor rgb="FFFFC000"/>
  </sheetPr>
  <dimension ref="B2:H40"/>
  <sheetViews>
    <sheetView showGridLines="0" showRowColHeaders="0" topLeftCell="A13" zoomScale="70" zoomScaleNormal="70" workbookViewId="0">
      <selection activeCell="B6" sqref="B6:H6"/>
    </sheetView>
  </sheetViews>
  <sheetFormatPr defaultColWidth="9.1796875" defaultRowHeight="14.5" x14ac:dyDescent="0.35"/>
  <cols>
    <col min="1" max="1" width="2.26953125" style="187" customWidth="1"/>
    <col min="2" max="2" width="159.453125" style="187" customWidth="1"/>
    <col min="3" max="8" width="17" style="187" customWidth="1"/>
    <col min="9" max="9" width="21.1796875" style="187" customWidth="1"/>
    <col min="10" max="16384" width="9.1796875" style="187"/>
  </cols>
  <sheetData>
    <row r="2" spans="2:8" ht="21.5" thickBot="1" x14ac:dyDescent="0.55000000000000004">
      <c r="B2" s="94" t="s">
        <v>209</v>
      </c>
    </row>
    <row r="3" spans="2:8" ht="252.75" customHeight="1" thickBot="1" x14ac:dyDescent="0.4">
      <c r="B3" s="329" t="s">
        <v>283</v>
      </c>
      <c r="C3" s="330"/>
      <c r="D3" s="330"/>
      <c r="E3" s="330"/>
      <c r="F3" s="330"/>
      <c r="G3" s="330"/>
      <c r="H3" s="331"/>
    </row>
    <row r="4" spans="2:8" ht="15.5" x14ac:dyDescent="0.35">
      <c r="B4" s="189"/>
    </row>
    <row r="5" spans="2:8" ht="18.5" x14ac:dyDescent="0.45">
      <c r="B5" s="162" t="s">
        <v>210</v>
      </c>
    </row>
    <row r="6" spans="2:8" ht="35.25" customHeight="1" x14ac:dyDescent="0.35">
      <c r="B6" s="323" t="s">
        <v>211</v>
      </c>
      <c r="C6" s="324"/>
      <c r="D6" s="324"/>
      <c r="E6" s="324"/>
      <c r="F6" s="324"/>
      <c r="G6" s="324"/>
      <c r="H6" s="325"/>
    </row>
    <row r="7" spans="2:8" ht="15" customHeight="1" x14ac:dyDescent="0.35">
      <c r="B7" s="314"/>
      <c r="C7" s="315"/>
      <c r="D7" s="315"/>
      <c r="E7" s="315"/>
      <c r="F7" s="315"/>
      <c r="G7" s="315"/>
      <c r="H7" s="316"/>
    </row>
    <row r="8" spans="2:8" ht="15" customHeight="1" x14ac:dyDescent="0.35">
      <c r="B8" s="317"/>
      <c r="C8" s="318"/>
      <c r="D8" s="318"/>
      <c r="E8" s="318"/>
      <c r="F8" s="318"/>
      <c r="G8" s="318"/>
      <c r="H8" s="319"/>
    </row>
    <row r="9" spans="2:8" ht="15" customHeight="1" x14ac:dyDescent="0.35">
      <c r="B9" s="317"/>
      <c r="C9" s="318"/>
      <c r="D9" s="318"/>
      <c r="E9" s="318"/>
      <c r="F9" s="318"/>
      <c r="G9" s="318"/>
      <c r="H9" s="319"/>
    </row>
    <row r="10" spans="2:8" ht="15" customHeight="1" x14ac:dyDescent="0.35">
      <c r="B10" s="317"/>
      <c r="C10" s="318"/>
      <c r="D10" s="318"/>
      <c r="E10" s="318"/>
      <c r="F10" s="318"/>
      <c r="G10" s="318"/>
      <c r="H10" s="319"/>
    </row>
    <row r="11" spans="2:8" ht="15" customHeight="1" x14ac:dyDescent="0.35">
      <c r="B11" s="317"/>
      <c r="C11" s="318"/>
      <c r="D11" s="318"/>
      <c r="E11" s="318"/>
      <c r="F11" s="318"/>
      <c r="G11" s="318"/>
      <c r="H11" s="319"/>
    </row>
    <row r="12" spans="2:8" ht="15" customHeight="1" x14ac:dyDescent="0.35">
      <c r="B12" s="317"/>
      <c r="C12" s="318"/>
      <c r="D12" s="318"/>
      <c r="E12" s="318"/>
      <c r="F12" s="318"/>
      <c r="G12" s="318"/>
      <c r="H12" s="319"/>
    </row>
    <row r="13" spans="2:8" ht="15" customHeight="1" x14ac:dyDescent="0.35">
      <c r="B13" s="317"/>
      <c r="C13" s="318"/>
      <c r="D13" s="318"/>
      <c r="E13" s="318"/>
      <c r="F13" s="318"/>
      <c r="G13" s="318"/>
      <c r="H13" s="319"/>
    </row>
    <row r="14" spans="2:8" ht="15" customHeight="1" x14ac:dyDescent="0.35">
      <c r="B14" s="317"/>
      <c r="C14" s="318"/>
      <c r="D14" s="318"/>
      <c r="E14" s="318"/>
      <c r="F14" s="318"/>
      <c r="G14" s="318"/>
      <c r="H14" s="319"/>
    </row>
    <row r="15" spans="2:8" ht="15" customHeight="1" x14ac:dyDescent="0.35">
      <c r="B15" s="320"/>
      <c r="C15" s="321"/>
      <c r="D15" s="321"/>
      <c r="E15" s="321"/>
      <c r="F15" s="321"/>
      <c r="G15" s="321"/>
      <c r="H15" s="322"/>
    </row>
    <row r="16" spans="2:8" ht="12.65" customHeight="1" x14ac:dyDescent="0.35"/>
    <row r="17" spans="2:8" ht="18.5" x14ac:dyDescent="0.45">
      <c r="B17" s="162" t="s">
        <v>212</v>
      </c>
    </row>
    <row r="18" spans="2:8" ht="32.25" customHeight="1" x14ac:dyDescent="0.35">
      <c r="B18" s="326" t="s">
        <v>213</v>
      </c>
      <c r="C18" s="327"/>
      <c r="D18" s="327"/>
      <c r="E18" s="327"/>
      <c r="F18" s="327"/>
      <c r="G18" s="327"/>
      <c r="H18" s="328"/>
    </row>
    <row r="19" spans="2:8" s="188" customFormat="1" ht="15" customHeight="1" x14ac:dyDescent="0.35">
      <c r="B19" s="314"/>
      <c r="C19" s="332"/>
      <c r="D19" s="332"/>
      <c r="E19" s="332"/>
      <c r="F19" s="332"/>
      <c r="G19" s="332"/>
      <c r="H19" s="333"/>
    </row>
    <row r="20" spans="2:8" ht="15" customHeight="1" x14ac:dyDescent="0.35">
      <c r="B20" s="334"/>
      <c r="C20" s="335"/>
      <c r="D20" s="335"/>
      <c r="E20" s="335"/>
      <c r="F20" s="335"/>
      <c r="G20" s="335"/>
      <c r="H20" s="336"/>
    </row>
    <row r="21" spans="2:8" ht="15" customHeight="1" x14ac:dyDescent="0.35">
      <c r="B21" s="334"/>
      <c r="C21" s="335"/>
      <c r="D21" s="335"/>
      <c r="E21" s="335"/>
      <c r="F21" s="335"/>
      <c r="G21" s="335"/>
      <c r="H21" s="336"/>
    </row>
    <row r="22" spans="2:8" ht="15" customHeight="1" x14ac:dyDescent="0.35">
      <c r="B22" s="334"/>
      <c r="C22" s="335"/>
      <c r="D22" s="335"/>
      <c r="E22" s="335"/>
      <c r="F22" s="335"/>
      <c r="G22" s="335"/>
      <c r="H22" s="336"/>
    </row>
    <row r="23" spans="2:8" ht="15" customHeight="1" x14ac:dyDescent="0.35">
      <c r="B23" s="334"/>
      <c r="C23" s="335"/>
      <c r="D23" s="335"/>
      <c r="E23" s="335"/>
      <c r="F23" s="335"/>
      <c r="G23" s="335"/>
      <c r="H23" s="336"/>
    </row>
    <row r="24" spans="2:8" ht="15" customHeight="1" x14ac:dyDescent="0.35">
      <c r="B24" s="334"/>
      <c r="C24" s="335"/>
      <c r="D24" s="335"/>
      <c r="E24" s="335"/>
      <c r="F24" s="335"/>
      <c r="G24" s="335"/>
      <c r="H24" s="336"/>
    </row>
    <row r="25" spans="2:8" ht="15" customHeight="1" x14ac:dyDescent="0.35">
      <c r="B25" s="334"/>
      <c r="C25" s="335"/>
      <c r="D25" s="335"/>
      <c r="E25" s="335"/>
      <c r="F25" s="335"/>
      <c r="G25" s="335"/>
      <c r="H25" s="336"/>
    </row>
    <row r="26" spans="2:8" ht="15" customHeight="1" x14ac:dyDescent="0.35">
      <c r="B26" s="334"/>
      <c r="C26" s="335"/>
      <c r="D26" s="335"/>
      <c r="E26" s="335"/>
      <c r="F26" s="335"/>
      <c r="G26" s="335"/>
      <c r="H26" s="336"/>
    </row>
    <row r="27" spans="2:8" ht="15" customHeight="1" x14ac:dyDescent="0.35">
      <c r="B27" s="337"/>
      <c r="C27" s="338"/>
      <c r="D27" s="338"/>
      <c r="E27" s="338"/>
      <c r="F27" s="338"/>
      <c r="G27" s="338"/>
      <c r="H27" s="339"/>
    </row>
    <row r="28" spans="2:8" ht="12.65" customHeight="1" x14ac:dyDescent="0.35"/>
    <row r="29" spans="2:8" ht="18.5" x14ac:dyDescent="0.45">
      <c r="B29" s="162" t="s">
        <v>214</v>
      </c>
    </row>
    <row r="30" spans="2:8" ht="30" customHeight="1" x14ac:dyDescent="0.35">
      <c r="B30" s="323" t="s">
        <v>215</v>
      </c>
      <c r="C30" s="324"/>
      <c r="D30" s="324"/>
      <c r="E30" s="324"/>
      <c r="F30" s="324"/>
      <c r="G30" s="324"/>
      <c r="H30" s="325"/>
    </row>
    <row r="31" spans="2:8" s="188" customFormat="1" ht="15" customHeight="1" x14ac:dyDescent="0.35">
      <c r="B31" s="314"/>
      <c r="C31" s="315"/>
      <c r="D31" s="315"/>
      <c r="E31" s="315"/>
      <c r="F31" s="315"/>
      <c r="G31" s="315"/>
      <c r="H31" s="316"/>
    </row>
    <row r="32" spans="2:8" ht="15" customHeight="1" x14ac:dyDescent="0.35">
      <c r="B32" s="317"/>
      <c r="C32" s="318"/>
      <c r="D32" s="318"/>
      <c r="E32" s="318"/>
      <c r="F32" s="318"/>
      <c r="G32" s="318"/>
      <c r="H32" s="319"/>
    </row>
    <row r="33" spans="2:8" ht="15" customHeight="1" x14ac:dyDescent="0.35">
      <c r="B33" s="317"/>
      <c r="C33" s="318"/>
      <c r="D33" s="318"/>
      <c r="E33" s="318"/>
      <c r="F33" s="318"/>
      <c r="G33" s="318"/>
      <c r="H33" s="319"/>
    </row>
    <row r="34" spans="2:8" ht="15" customHeight="1" x14ac:dyDescent="0.35">
      <c r="B34" s="317"/>
      <c r="C34" s="318"/>
      <c r="D34" s="318"/>
      <c r="E34" s="318"/>
      <c r="F34" s="318"/>
      <c r="G34" s="318"/>
      <c r="H34" s="319"/>
    </row>
    <row r="35" spans="2:8" ht="15" customHeight="1" x14ac:dyDescent="0.35">
      <c r="B35" s="317"/>
      <c r="C35" s="318"/>
      <c r="D35" s="318"/>
      <c r="E35" s="318"/>
      <c r="F35" s="318"/>
      <c r="G35" s="318"/>
      <c r="H35" s="319"/>
    </row>
    <row r="36" spans="2:8" ht="15" customHeight="1" x14ac:dyDescent="0.35">
      <c r="B36" s="317"/>
      <c r="C36" s="318"/>
      <c r="D36" s="318"/>
      <c r="E36" s="318"/>
      <c r="F36" s="318"/>
      <c r="G36" s="318"/>
      <c r="H36" s="319"/>
    </row>
    <row r="37" spans="2:8" ht="15" customHeight="1" x14ac:dyDescent="0.35">
      <c r="B37" s="317"/>
      <c r="C37" s="318"/>
      <c r="D37" s="318"/>
      <c r="E37" s="318"/>
      <c r="F37" s="318"/>
      <c r="G37" s="318"/>
      <c r="H37" s="319"/>
    </row>
    <row r="38" spans="2:8" ht="15" customHeight="1" x14ac:dyDescent="0.35">
      <c r="B38" s="317"/>
      <c r="C38" s="318"/>
      <c r="D38" s="318"/>
      <c r="E38" s="318"/>
      <c r="F38" s="318"/>
      <c r="G38" s="318"/>
      <c r="H38" s="319"/>
    </row>
    <row r="39" spans="2:8" ht="15" customHeight="1" x14ac:dyDescent="0.35">
      <c r="B39" s="320"/>
      <c r="C39" s="321"/>
      <c r="D39" s="321"/>
      <c r="E39" s="321"/>
      <c r="F39" s="321"/>
      <c r="G39" s="321"/>
      <c r="H39" s="322"/>
    </row>
    <row r="40" spans="2:8" ht="12.65" customHeight="1" x14ac:dyDescent="0.35"/>
  </sheetData>
  <sheetProtection selectLockedCells="1"/>
  <mergeCells count="7">
    <mergeCell ref="B31:H39"/>
    <mergeCell ref="B30:H30"/>
    <mergeCell ref="B18:H18"/>
    <mergeCell ref="B6:H6"/>
    <mergeCell ref="B3:H3"/>
    <mergeCell ref="B7:H15"/>
    <mergeCell ref="B19:H27"/>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A4CD6-85C2-407D-B31E-3FA34CF226A3}">
  <sheetPr codeName="Sheet18"/>
  <dimension ref="A1:L36"/>
  <sheetViews>
    <sheetView showGridLines="0" showRowColHeaders="0" showRuler="0" zoomScaleNormal="100" workbookViewId="0">
      <selection activeCell="L6" sqref="L6"/>
    </sheetView>
  </sheetViews>
  <sheetFormatPr defaultRowHeight="14.5" x14ac:dyDescent="0.35"/>
  <cols>
    <col min="1" max="1" width="4.81640625" customWidth="1"/>
    <col min="2" max="2" width="28.453125" customWidth="1"/>
    <col min="3" max="9" width="14.81640625" customWidth="1"/>
    <col min="10" max="11" width="13.54296875" customWidth="1"/>
  </cols>
  <sheetData>
    <row r="1" spans="1:9" ht="21" x14ac:dyDescent="0.5">
      <c r="A1" s="145" t="s">
        <v>201</v>
      </c>
      <c r="B1" s="146"/>
      <c r="C1" s="146"/>
    </row>
    <row r="2" spans="1:9" ht="21" x14ac:dyDescent="0.5">
      <c r="A2" s="145"/>
      <c r="B2" s="146"/>
      <c r="C2" s="146"/>
    </row>
    <row r="3" spans="1:9" x14ac:dyDescent="0.35">
      <c r="B3" s="148" t="s">
        <v>175</v>
      </c>
      <c r="C3" s="344" t="str">
        <f>IFERROR(HLOOKUP(_xlfn.MAXIFS($C$11:$I$11,$C$14:$I$14,"&lt;&gt;Housing Authority Name",$C$14:$I$14,"&lt;&gt;0"),$C$11:$I$18,4,FALSE),"")</f>
        <v>Housing Agency Name</v>
      </c>
      <c r="D3" s="345"/>
      <c r="E3" s="346"/>
    </row>
    <row r="4" spans="1:9" x14ac:dyDescent="0.35">
      <c r="B4" s="148" t="s">
        <v>202</v>
      </c>
      <c r="C4" s="344" t="str">
        <f>IFERROR(HLOOKUP(_xlfn.MAXIFS($C$11:$I$11,$C$15:$I$15,"&lt;&gt;PIC AMP No.",$C$15:$I$15,"&lt;&gt;0"),$C$11:$I$21,5,FALSE),"")</f>
        <v>PIC AMP Number</v>
      </c>
      <c r="D4" s="345"/>
      <c r="E4" s="346"/>
    </row>
    <row r="5" spans="1:9" x14ac:dyDescent="0.35">
      <c r="B5" s="148" t="s">
        <v>97</v>
      </c>
      <c r="C5" s="344" t="str">
        <f>IFERROR(HLOOKUP(_xlfn.MAXIFS($C$11:$I$11,$C$16:$I$16,"&lt;&gt;Property Name",$C$16:$I$16,"&lt;&gt;0"),$C$11:$I$21,6,FALSE),"")</f>
        <v/>
      </c>
      <c r="D5" s="345"/>
      <c r="E5" s="346"/>
    </row>
    <row r="6" spans="1:9" x14ac:dyDescent="0.35">
      <c r="B6" s="148" t="s">
        <v>91</v>
      </c>
      <c r="C6" s="347" t="str">
        <f>IFERROR(HLOOKUP(_xlfn.MAXIFS($C$11:$I$11,$C$17:$I$17,"&lt;&gt;mm/dd/yyyy",$C$17:$I$17,"&lt;&gt;0"),$C$11:$I$21,7,FALSE),"")</f>
        <v/>
      </c>
      <c r="D6" s="348"/>
      <c r="E6" s="349"/>
    </row>
    <row r="9" spans="1:9" ht="18.5" x14ac:dyDescent="0.45">
      <c r="C9" s="340" t="s">
        <v>203</v>
      </c>
      <c r="D9" s="340"/>
      <c r="E9" s="340"/>
      <c r="F9" s="340"/>
      <c r="G9" s="340"/>
      <c r="H9" s="340"/>
      <c r="I9" s="340"/>
    </row>
    <row r="10" spans="1:9" x14ac:dyDescent="0.35">
      <c r="C10" s="95" t="s">
        <v>73</v>
      </c>
      <c r="D10" s="95" t="s">
        <v>75</v>
      </c>
      <c r="E10" s="95" t="s">
        <v>77</v>
      </c>
      <c r="F10" s="95" t="s">
        <v>79</v>
      </c>
      <c r="G10" s="95" t="s">
        <v>81</v>
      </c>
      <c r="H10" s="95" t="s">
        <v>83</v>
      </c>
      <c r="I10" s="95" t="s">
        <v>85</v>
      </c>
    </row>
    <row r="11" spans="1:9" x14ac:dyDescent="0.35">
      <c r="B11" s="151" t="s">
        <v>204</v>
      </c>
      <c r="C11" s="159">
        <f>IF(Studio!$F$49="","n/a",Studio!$F$49)</f>
        <v>200</v>
      </c>
      <c r="D11" s="159" t="str">
        <f>IF('1 BR'!$F$49="","n/a",'1 BR'!$F$49)</f>
        <v>n/a</v>
      </c>
      <c r="E11" s="159" t="str">
        <f>IF('2 BR'!$F$49="","n/a",'2 BR'!$F$49)</f>
        <v>n/a</v>
      </c>
      <c r="F11" s="159" t="str">
        <f>IF('3 BR'!$F$49="","n/a",'3 BR'!$F$49)</f>
        <v>n/a</v>
      </c>
      <c r="G11" s="159" t="str">
        <f>IF('4 BR'!$F$49="","n/a",'4 BR'!$F$49)</f>
        <v>n/a</v>
      </c>
      <c r="H11" s="159" t="str">
        <f>IF('5 BR'!$F$49="","n/a",'5 BR'!$F$49)</f>
        <v>n/a</v>
      </c>
      <c r="I11" s="159" t="str">
        <f>IF('6 BR'!$F$49="","n/a",'6 BR'!$F$549)</f>
        <v>n/a</v>
      </c>
    </row>
    <row r="12" spans="1:9" x14ac:dyDescent="0.35">
      <c r="B12" s="160"/>
      <c r="C12" s="184"/>
      <c r="D12" s="184"/>
      <c r="E12" s="184"/>
      <c r="F12" s="184"/>
      <c r="G12" s="184"/>
      <c r="H12" s="184"/>
      <c r="I12" s="184"/>
    </row>
    <row r="13" spans="1:9" hidden="1" x14ac:dyDescent="0.35">
      <c r="B13" s="160"/>
      <c r="C13" s="184"/>
      <c r="D13" s="184"/>
      <c r="E13" s="184"/>
      <c r="F13" s="184"/>
      <c r="G13" s="184"/>
      <c r="H13" s="184"/>
      <c r="I13" s="184"/>
    </row>
    <row r="14" spans="1:9" s="160" customFormat="1" ht="29" hidden="1" x14ac:dyDescent="0.35">
      <c r="C14" s="185" t="str">
        <f>Studio!$D$5</f>
        <v>Housing Agency Name</v>
      </c>
      <c r="D14" s="185" t="str">
        <f>'1 BR'!$D$5</f>
        <v>Housing Agency Name</v>
      </c>
      <c r="E14" s="185" t="str">
        <f>'2 BR'!$D$5</f>
        <v>Housing Agency Name</v>
      </c>
      <c r="F14" s="185" t="str">
        <f>'3 BR'!$D$5</f>
        <v>Housing Agency Name</v>
      </c>
      <c r="G14" s="185" t="str">
        <f>'4 BR'!$D$5</f>
        <v>Housing Agency Name</v>
      </c>
      <c r="H14" s="185" t="str">
        <f>'5 BR'!$D$5</f>
        <v>Housing Agency Name</v>
      </c>
      <c r="I14" s="185" t="str">
        <f>'6 BR'!$D$5</f>
        <v>Housing Agency Name</v>
      </c>
    </row>
    <row r="15" spans="1:9" s="160" customFormat="1" hidden="1" x14ac:dyDescent="0.35">
      <c r="C15" s="185" t="str">
        <f>Studio!$E$8</f>
        <v>PIC AMP Number</v>
      </c>
      <c r="D15" s="185" t="str">
        <f>'1 BR'!$E$8</f>
        <v>PIC AMP Number</v>
      </c>
      <c r="E15" s="185" t="str">
        <f>'2 BR'!$E$8</f>
        <v>PIC AMP Number</v>
      </c>
      <c r="F15" s="185" t="str">
        <f>'3 BR'!$E$8</f>
        <v>PIC AMP Number</v>
      </c>
      <c r="G15" s="185" t="str">
        <f>'4 BR'!$E$8</f>
        <v>PIC AMP Number</v>
      </c>
      <c r="H15" s="185" t="str">
        <f>'5 BR'!$E$8</f>
        <v>PIC AMP Number</v>
      </c>
      <c r="I15" s="185" t="str">
        <f>'6 BR'!$E$8</f>
        <v>PIC AMP Number</v>
      </c>
    </row>
    <row r="16" spans="1:9" s="160" customFormat="1" hidden="1" x14ac:dyDescent="0.35">
      <c r="C16" s="185" t="str">
        <f>Studio!$D$8</f>
        <v>Property Name</v>
      </c>
      <c r="D16" s="185" t="str">
        <f>'1 BR'!$D$8</f>
        <v>Property Name</v>
      </c>
      <c r="E16" s="185" t="str">
        <f>'2 BR'!$D$8</f>
        <v>Property Name</v>
      </c>
      <c r="F16" s="185" t="str">
        <f>'3 BR'!$D$8</f>
        <v>Property Name</v>
      </c>
      <c r="G16" s="185" t="str">
        <f>'4 BR'!$D$8</f>
        <v>Property Name</v>
      </c>
      <c r="H16" s="185" t="str">
        <f>'5 BR'!$D$8</f>
        <v>Property Name</v>
      </c>
      <c r="I16" s="185" t="str">
        <f>'6 BR'!$D$8</f>
        <v>Property Name</v>
      </c>
    </row>
    <row r="17" spans="2:12" s="160" customFormat="1" hidden="1" x14ac:dyDescent="0.35">
      <c r="C17" s="185" t="str">
        <f>Studio!$E$6</f>
        <v>mm/dd/yyyy</v>
      </c>
      <c r="D17" s="185" t="str">
        <f>'1 BR'!$E$6</f>
        <v>mm/dd/yyyy</v>
      </c>
      <c r="E17" s="185" t="str">
        <f>'2 BR'!$E$6</f>
        <v>mm/dd/yyyy</v>
      </c>
      <c r="F17" s="185" t="str">
        <f>'3 BR'!$E$6</f>
        <v>mm/dd/yyyy</v>
      </c>
      <c r="G17" s="185" t="str">
        <f>'4 BR'!$E$6</f>
        <v>mm/dd/yyyy</v>
      </c>
      <c r="H17" s="185" t="str">
        <f>'5 BR'!$E$6</f>
        <v>mm/dd/yyyy</v>
      </c>
      <c r="I17" s="185" t="str">
        <f>'6 BR'!$E$6</f>
        <v>mm/dd/yyyy</v>
      </c>
    </row>
    <row r="18" spans="2:12" s="160" customFormat="1" ht="29" hidden="1" x14ac:dyDescent="0.35">
      <c r="C18" s="185" t="str">
        <f>Studio!$D$51</f>
        <v>Select Other Applicable FMR</v>
      </c>
      <c r="D18" s="185">
        <f>'1 BR'!$D$52</f>
        <v>0</v>
      </c>
      <c r="E18" s="185">
        <f>'2 BR'!$D$52</f>
        <v>0</v>
      </c>
      <c r="F18" s="185">
        <f>'3 BR'!$D$52</f>
        <v>0</v>
      </c>
      <c r="G18" s="185">
        <f>'4 BR'!$D$52</f>
        <v>0</v>
      </c>
      <c r="H18" s="185">
        <f>'5 BR'!$D$52</f>
        <v>0</v>
      </c>
      <c r="I18" s="185">
        <f>'6 BR'!$D$52</f>
        <v>0</v>
      </c>
    </row>
    <row r="19" spans="2:12" s="160" customFormat="1" hidden="1" x14ac:dyDescent="0.35">
      <c r="C19" s="185"/>
      <c r="D19" s="185"/>
      <c r="E19" s="185"/>
      <c r="F19" s="185"/>
      <c r="G19" s="185"/>
      <c r="H19" s="185"/>
      <c r="I19" s="185"/>
    </row>
    <row r="20" spans="2:12" hidden="1" x14ac:dyDescent="0.35">
      <c r="B20" s="160"/>
      <c r="C20" s="184"/>
      <c r="D20" s="184"/>
      <c r="E20" s="184"/>
      <c r="F20" s="184"/>
      <c r="G20" s="184"/>
      <c r="H20" s="184"/>
      <c r="I20" s="184"/>
    </row>
    <row r="21" spans="2:12" x14ac:dyDescent="0.35">
      <c r="B21" s="160"/>
      <c r="C21" s="184"/>
      <c r="D21" s="184"/>
      <c r="E21" s="184"/>
      <c r="F21" s="184"/>
      <c r="G21" s="184"/>
      <c r="H21" s="184"/>
      <c r="I21" s="184"/>
    </row>
    <row r="22" spans="2:12" ht="18.5" x14ac:dyDescent="0.45">
      <c r="C22" s="341" t="s">
        <v>205</v>
      </c>
      <c r="D22" s="342"/>
      <c r="E22" s="342"/>
      <c r="F22" s="342"/>
      <c r="G22" s="342"/>
      <c r="H22" s="342"/>
      <c r="I22" s="343"/>
    </row>
    <row r="23" spans="2:12" x14ac:dyDescent="0.35">
      <c r="C23" s="177" t="s">
        <v>73</v>
      </c>
      <c r="D23" s="177" t="s">
        <v>75</v>
      </c>
      <c r="E23" s="177" t="s">
        <v>77</v>
      </c>
      <c r="F23" s="177" t="s">
        <v>79</v>
      </c>
      <c r="G23" s="177" t="s">
        <v>81</v>
      </c>
      <c r="H23" s="177" t="s">
        <v>83</v>
      </c>
      <c r="I23" s="177" t="s">
        <v>85</v>
      </c>
    </row>
    <row r="24" spans="2:12" x14ac:dyDescent="0.35">
      <c r="B24" s="149" t="s">
        <v>129</v>
      </c>
      <c r="C24" s="158">
        <f>Studio!$F$50</f>
        <v>0</v>
      </c>
      <c r="D24" s="158">
        <f>'1 BR'!$F$50</f>
        <v>0</v>
      </c>
      <c r="E24" s="158">
        <f>'2 BR'!$F$50</f>
        <v>0</v>
      </c>
      <c r="F24" s="158">
        <f>'3 BR'!$F$50</f>
        <v>0</v>
      </c>
      <c r="G24" s="158">
        <f>'4 BR'!$F$50</f>
        <v>0</v>
      </c>
      <c r="H24" s="158">
        <f>'5 BR'!$F$50</f>
        <v>0</v>
      </c>
      <c r="I24" s="158">
        <f>'6 BR'!$F$50</f>
        <v>0</v>
      </c>
    </row>
    <row r="25" spans="2:12" x14ac:dyDescent="0.35">
      <c r="B25" s="149" t="s">
        <v>206</v>
      </c>
      <c r="C25" s="158">
        <f>C24*0.8</f>
        <v>0</v>
      </c>
      <c r="D25" s="158">
        <f t="shared" ref="D25:I25" si="0">D24*0.8</f>
        <v>0</v>
      </c>
      <c r="E25" s="158">
        <f t="shared" si="0"/>
        <v>0</v>
      </c>
      <c r="F25" s="158">
        <f t="shared" si="0"/>
        <v>0</v>
      </c>
      <c r="G25" s="158">
        <f t="shared" si="0"/>
        <v>0</v>
      </c>
      <c r="H25" s="158">
        <f t="shared" si="0"/>
        <v>0</v>
      </c>
      <c r="I25" s="158">
        <f t="shared" si="0"/>
        <v>0</v>
      </c>
    </row>
    <row r="26" spans="2:12" x14ac:dyDescent="0.35">
      <c r="B26" s="150" t="s">
        <v>207</v>
      </c>
      <c r="C26" s="158">
        <f>IF(C$11="n/a","n/a",'Utilities Worksheet'!$D$15)</f>
        <v>0</v>
      </c>
      <c r="D26" s="158" t="str">
        <f>IF(D$11="n/a","n/a",'Utilities Worksheet'!$D$16)</f>
        <v>n/a</v>
      </c>
      <c r="E26" s="158" t="str">
        <f>IF(E$11="n/a","n/a",'Utilities Worksheet'!$D$17)</f>
        <v>n/a</v>
      </c>
      <c r="F26" s="158" t="str">
        <f>IF(F$11="n/a","n/a",'Utilities Worksheet'!$D$18)</f>
        <v>n/a</v>
      </c>
      <c r="G26" s="158" t="str">
        <f>IF(G$11="n/a","n/a",'Utilities Worksheet'!$D$19)</f>
        <v>n/a</v>
      </c>
      <c r="H26" s="158" t="str">
        <f>IF(H$11="n/a","n/a",'Utilities Worksheet'!$D$20)</f>
        <v>n/a</v>
      </c>
      <c r="I26" s="158" t="str">
        <f>IF(I$11="n/a","n/a",'Utilities Worksheet'!$D$21)</f>
        <v>n/a</v>
      </c>
    </row>
    <row r="27" spans="2:12" x14ac:dyDescent="0.35">
      <c r="B27" s="178" t="s">
        <v>208</v>
      </c>
      <c r="C27" s="179">
        <f>IFERROR(C25-C26,"n/a")</f>
        <v>0</v>
      </c>
      <c r="D27" s="179" t="str">
        <f>IFERROR(D25-D26,"n/a")</f>
        <v>n/a</v>
      </c>
      <c r="E27" s="179" t="str">
        <f t="shared" ref="E27:I27" si="1">IFERROR(E25-E26,"n/a")</f>
        <v>n/a</v>
      </c>
      <c r="F27" s="179" t="str">
        <f t="shared" si="1"/>
        <v>n/a</v>
      </c>
      <c r="G27" s="179" t="str">
        <f t="shared" si="1"/>
        <v>n/a</v>
      </c>
      <c r="H27" s="179" t="str">
        <f t="shared" si="1"/>
        <v>n/a</v>
      </c>
      <c r="I27" s="179" t="str">
        <f t="shared" si="1"/>
        <v>n/a</v>
      </c>
    </row>
    <row r="28" spans="2:12" s="152" customFormat="1" x14ac:dyDescent="0.35">
      <c r="B28" s="153"/>
      <c r="C28" s="154"/>
      <c r="D28" s="154"/>
      <c r="E28" s="154"/>
      <c r="F28" s="154"/>
      <c r="G28" s="154"/>
      <c r="H28" s="154"/>
      <c r="I28" s="154"/>
    </row>
    <row r="29" spans="2:12" x14ac:dyDescent="0.35">
      <c r="L29" s="113"/>
    </row>
    <row r="30" spans="2:12" ht="18.5" x14ac:dyDescent="0.45">
      <c r="C30" s="341" t="str">
        <f>IFERROR(HLOOKUP(MAX($C$11:$I$11),$C$11:$I$21,8,FALSE),"Other Applicable FMR")</f>
        <v>Select Other Applicable FMR</v>
      </c>
      <c r="D30" s="342"/>
      <c r="E30" s="342"/>
      <c r="F30" s="342"/>
      <c r="G30" s="342"/>
      <c r="H30" s="342"/>
      <c r="I30" s="343"/>
      <c r="L30" s="113"/>
    </row>
    <row r="31" spans="2:12" x14ac:dyDescent="0.35">
      <c r="C31" s="177" t="s">
        <v>73</v>
      </c>
      <c r="D31" s="177" t="s">
        <v>75</v>
      </c>
      <c r="E31" s="177" t="s">
        <v>77</v>
      </c>
      <c r="F31" s="177" t="s">
        <v>79</v>
      </c>
      <c r="G31" s="177" t="s">
        <v>81</v>
      </c>
      <c r="H31" s="177" t="s">
        <v>83</v>
      </c>
      <c r="I31" s="177" t="s">
        <v>85</v>
      </c>
      <c r="L31" s="113"/>
    </row>
    <row r="32" spans="2:12" x14ac:dyDescent="0.35">
      <c r="B32" s="149" t="str">
        <f>IFERROR(HLOOKUP(MAX($C$11:$I$11),#REF!,5,FALSE),"Other Applicable FMR")</f>
        <v>Other Applicable FMR</v>
      </c>
      <c r="C32" s="158">
        <f>Studio!$F$51</f>
        <v>0</v>
      </c>
      <c r="D32" s="158">
        <f>'1 BR'!$F$51</f>
        <v>0</v>
      </c>
      <c r="E32" s="158">
        <f>'2 BR'!$F$51</f>
        <v>0</v>
      </c>
      <c r="F32" s="158">
        <f>'3 BR'!$F$51</f>
        <v>0</v>
      </c>
      <c r="G32" s="158">
        <f>'4 BR'!$F$51</f>
        <v>0</v>
      </c>
      <c r="H32" s="158">
        <f>'5 BR'!$F$51</f>
        <v>0</v>
      </c>
      <c r="I32" s="158">
        <f>'6 BR'!$F$51</f>
        <v>0</v>
      </c>
      <c r="L32" s="113"/>
    </row>
    <row r="33" spans="2:9" x14ac:dyDescent="0.35">
      <c r="B33" s="149" t="s">
        <v>206</v>
      </c>
      <c r="C33" s="158">
        <f>C32*0.8</f>
        <v>0</v>
      </c>
      <c r="D33" s="158">
        <f t="shared" ref="D33:I33" si="2">D32*0.8</f>
        <v>0</v>
      </c>
      <c r="E33" s="158">
        <f t="shared" si="2"/>
        <v>0</v>
      </c>
      <c r="F33" s="158">
        <f t="shared" si="2"/>
        <v>0</v>
      </c>
      <c r="G33" s="158">
        <f t="shared" si="2"/>
        <v>0</v>
      </c>
      <c r="H33" s="158">
        <f t="shared" si="2"/>
        <v>0</v>
      </c>
      <c r="I33" s="158">
        <f t="shared" si="2"/>
        <v>0</v>
      </c>
    </row>
    <row r="34" spans="2:9" x14ac:dyDescent="0.35">
      <c r="B34" s="150" t="s">
        <v>207</v>
      </c>
      <c r="C34" s="158">
        <f>IF(C$11="n/a","n/a",'Utilities Worksheet'!$D$15)</f>
        <v>0</v>
      </c>
      <c r="D34" s="158" t="str">
        <f>IF(D$11="n/a","n/a",'Utilities Worksheet'!$D$16)</f>
        <v>n/a</v>
      </c>
      <c r="E34" s="158" t="str">
        <f>IF(E$11="n/a","n/a",'Utilities Worksheet'!$D$17)</f>
        <v>n/a</v>
      </c>
      <c r="F34" s="158" t="str">
        <f>IF(F$11="n/a","n/a",'Utilities Worksheet'!$D$18)</f>
        <v>n/a</v>
      </c>
      <c r="G34" s="158" t="str">
        <f>IF(G$11="n/a","n/a",'Utilities Worksheet'!$D$19)</f>
        <v>n/a</v>
      </c>
      <c r="H34" s="158" t="str">
        <f>IF(H$11="n/a","n/a",'Utilities Worksheet'!$D$20)</f>
        <v>n/a</v>
      </c>
      <c r="I34" s="158" t="str">
        <f>IF(I$11="n/a","n/a",'Utilities Worksheet'!$D$21)</f>
        <v>n/a</v>
      </c>
    </row>
    <row r="35" spans="2:9" x14ac:dyDescent="0.35">
      <c r="B35" s="178" t="s">
        <v>208</v>
      </c>
      <c r="C35" s="179">
        <f>IFERROR(C33-C34,"n/a")</f>
        <v>0</v>
      </c>
      <c r="D35" s="179" t="str">
        <f>IFERROR(D33-D34,"n/a")</f>
        <v>n/a</v>
      </c>
      <c r="E35" s="179" t="str">
        <f t="shared" ref="E35" si="3">IFERROR(E33-E34,"n/a")</f>
        <v>n/a</v>
      </c>
      <c r="F35" s="179" t="str">
        <f t="shared" ref="F35" si="4">IFERROR(F33-F34,"n/a")</f>
        <v>n/a</v>
      </c>
      <c r="G35" s="179" t="str">
        <f t="shared" ref="G35" si="5">IFERROR(G33-G34,"n/a")</f>
        <v>n/a</v>
      </c>
      <c r="H35" s="179" t="str">
        <f t="shared" ref="H35" si="6">IFERROR(H33-H34,"n/a")</f>
        <v>n/a</v>
      </c>
      <c r="I35" s="179" t="str">
        <f t="shared" ref="I35" si="7">IFERROR(I33-I34,"n/a")</f>
        <v>n/a</v>
      </c>
    </row>
    <row r="36" spans="2:9" s="152" customFormat="1" x14ac:dyDescent="0.35">
      <c r="B36" s="153"/>
      <c r="C36" s="154"/>
      <c r="D36" s="154"/>
      <c r="E36" s="154"/>
      <c r="F36" s="154"/>
      <c r="G36" s="154"/>
      <c r="H36" s="154"/>
      <c r="I36" s="154"/>
    </row>
  </sheetData>
  <sheetProtection sheet="1" selectLockedCells="1" selectUnlockedCells="1"/>
  <mergeCells count="7">
    <mergeCell ref="C9:I9"/>
    <mergeCell ref="C22:I22"/>
    <mergeCell ref="C30:I30"/>
    <mergeCell ref="C3:E3"/>
    <mergeCell ref="C4:E4"/>
    <mergeCell ref="C5:E5"/>
    <mergeCell ref="C6:E6"/>
  </mergeCells>
  <pageMargins left="0.25" right="0.25" top="0.75" bottom="0.75" header="0.3" footer="0.3"/>
  <pageSetup scale="69" orientation="portrait" r:id="rId1"/>
  <headerFooter>
    <oddHeader>&amp;C&amp;K000000[Insert Housing Authority Name]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1D3E2-4B2F-4B5B-9674-3BF5E9E50902}">
  <sheetPr codeName="Sheet2">
    <tabColor theme="9"/>
    <pageSetUpPr fitToPage="1"/>
  </sheetPr>
  <dimension ref="C5:O51"/>
  <sheetViews>
    <sheetView showGridLines="0" showRowColHeaders="0" showRuler="0" zoomScale="85" zoomScaleNormal="85" workbookViewId="0">
      <selection activeCell="N16" sqref="N16"/>
    </sheetView>
  </sheetViews>
  <sheetFormatPr defaultRowHeight="14.5" x14ac:dyDescent="0.35"/>
  <cols>
    <col min="1" max="1" width="0.54296875" customWidth="1"/>
    <col min="2" max="2" width="21.54296875" customWidth="1"/>
    <col min="3" max="3" width="33.54296875" customWidth="1"/>
    <col min="4" max="4" width="37.81640625" bestFit="1" customWidth="1"/>
    <col min="5" max="5" width="19.1796875" bestFit="1" customWidth="1"/>
    <col min="9" max="10" width="9.1796875" style="8"/>
    <col min="11" max="11" width="2.453125" customWidth="1"/>
    <col min="12" max="12" width="9" customWidth="1"/>
    <col min="13" max="13" width="20.54296875" customWidth="1"/>
    <col min="14" max="14" width="15.54296875" customWidth="1"/>
  </cols>
  <sheetData>
    <row r="5" spans="4:13" ht="15.75" customHeight="1" x14ac:dyDescent="0.35"/>
    <row r="12" spans="4:13" s="3" customFormat="1" x14ac:dyDescent="0.35">
      <c r="D12" s="5" t="s">
        <v>3</v>
      </c>
      <c r="E12" s="4" t="s">
        <v>4</v>
      </c>
      <c r="I12" s="10"/>
      <c r="J12" s="10"/>
    </row>
    <row r="13" spans="4:13" x14ac:dyDescent="0.35">
      <c r="D13" s="6" t="s">
        <v>5</v>
      </c>
      <c r="E13" s="88">
        <v>0.65</v>
      </c>
      <c r="H13" s="8">
        <v>0</v>
      </c>
      <c r="I13" s="8">
        <v>1</v>
      </c>
      <c r="J13" s="8" t="s">
        <v>6</v>
      </c>
    </row>
    <row r="14" spans="4:13" x14ac:dyDescent="0.35">
      <c r="D14" s="2" t="s">
        <v>7</v>
      </c>
      <c r="E14" s="88">
        <v>1</v>
      </c>
      <c r="H14" s="8">
        <v>1</v>
      </c>
      <c r="I14" s="8" t="s">
        <v>8</v>
      </c>
      <c r="J14" s="8" t="s">
        <v>9</v>
      </c>
    </row>
    <row r="15" spans="4:13" x14ac:dyDescent="0.35">
      <c r="D15" s="2" t="s">
        <v>10</v>
      </c>
      <c r="E15" s="88">
        <v>10</v>
      </c>
      <c r="H15" s="8">
        <v>2</v>
      </c>
      <c r="I15" s="8">
        <v>2</v>
      </c>
      <c r="J15" s="8" t="s">
        <v>11</v>
      </c>
    </row>
    <row r="16" spans="4:13" x14ac:dyDescent="0.35">
      <c r="D16" s="2" t="s">
        <v>12</v>
      </c>
      <c r="E16" s="88">
        <v>17</v>
      </c>
      <c r="H16" s="8" t="s">
        <v>13</v>
      </c>
      <c r="J16" s="8" t="s">
        <v>14</v>
      </c>
      <c r="M16" s="98"/>
    </row>
    <row r="17" spans="4:15" x14ac:dyDescent="0.35">
      <c r="D17" s="2" t="s">
        <v>15</v>
      </c>
      <c r="E17" s="88">
        <v>3</v>
      </c>
      <c r="H17" s="8">
        <v>4</v>
      </c>
      <c r="I17" s="8">
        <v>3</v>
      </c>
      <c r="J17" s="8" t="s">
        <v>16</v>
      </c>
      <c r="M17" s="99"/>
    </row>
    <row r="18" spans="4:15" x14ac:dyDescent="0.35">
      <c r="D18" s="2" t="s">
        <v>17</v>
      </c>
      <c r="E18" s="88">
        <v>2</v>
      </c>
      <c r="H18" s="8">
        <v>5</v>
      </c>
      <c r="J18" s="8" t="s">
        <v>18</v>
      </c>
      <c r="M18" s="99"/>
    </row>
    <row r="19" spans="4:15" x14ac:dyDescent="0.35">
      <c r="D19" s="2" t="s">
        <v>19</v>
      </c>
      <c r="E19" s="88">
        <v>12</v>
      </c>
      <c r="J19" s="8" t="s">
        <v>20</v>
      </c>
      <c r="M19" s="99"/>
    </row>
    <row r="20" spans="4:15" x14ac:dyDescent="0.35">
      <c r="D20" s="2" t="s">
        <v>21</v>
      </c>
      <c r="E20" s="88">
        <v>7</v>
      </c>
      <c r="J20" s="8" t="s">
        <v>22</v>
      </c>
      <c r="O20" s="99"/>
    </row>
    <row r="21" spans="4:15" x14ac:dyDescent="0.35">
      <c r="D21" s="2" t="s">
        <v>23</v>
      </c>
      <c r="E21" s="88">
        <v>10</v>
      </c>
      <c r="O21" s="99"/>
    </row>
    <row r="22" spans="4:15" x14ac:dyDescent="0.35">
      <c r="D22" s="2" t="s">
        <v>24</v>
      </c>
      <c r="E22" s="88">
        <v>18</v>
      </c>
      <c r="J22" s="8" t="s">
        <v>25</v>
      </c>
      <c r="O22" s="99"/>
    </row>
    <row r="23" spans="4:15" x14ac:dyDescent="0.35">
      <c r="D23" s="2" t="s">
        <v>26</v>
      </c>
      <c r="E23" s="88">
        <v>13</v>
      </c>
      <c r="J23" s="8" t="s">
        <v>27</v>
      </c>
      <c r="O23" s="99"/>
    </row>
    <row r="24" spans="4:15" x14ac:dyDescent="0.35">
      <c r="D24" s="2" t="s">
        <v>28</v>
      </c>
      <c r="E24" s="88">
        <v>3</v>
      </c>
      <c r="J24" s="8" t="s">
        <v>29</v>
      </c>
      <c r="O24" s="99"/>
    </row>
    <row r="25" spans="4:15" x14ac:dyDescent="0.35">
      <c r="D25" s="2" t="s">
        <v>30</v>
      </c>
      <c r="E25" s="88">
        <v>4</v>
      </c>
      <c r="J25" s="8" t="s">
        <v>31</v>
      </c>
      <c r="O25" s="99"/>
    </row>
    <row r="26" spans="4:15" x14ac:dyDescent="0.35">
      <c r="D26" s="2" t="s">
        <v>32</v>
      </c>
      <c r="E26" s="88">
        <v>6</v>
      </c>
      <c r="J26" s="8" t="s">
        <v>33</v>
      </c>
      <c r="O26" s="99"/>
    </row>
    <row r="27" spans="4:15" x14ac:dyDescent="0.35">
      <c r="D27" s="2" t="s">
        <v>34</v>
      </c>
      <c r="E27" s="88">
        <v>3</v>
      </c>
      <c r="J27" s="8" t="s">
        <v>35</v>
      </c>
      <c r="O27" s="99"/>
    </row>
    <row r="28" spans="4:15" x14ac:dyDescent="0.35">
      <c r="D28" s="2" t="s">
        <v>36</v>
      </c>
      <c r="E28" s="88">
        <v>20</v>
      </c>
      <c r="J28" s="8" t="s">
        <v>37</v>
      </c>
      <c r="O28" s="99"/>
    </row>
    <row r="29" spans="4:15" x14ac:dyDescent="0.35">
      <c r="D29" s="2" t="s">
        <v>38</v>
      </c>
      <c r="E29" s="88">
        <v>6</v>
      </c>
      <c r="O29" s="99"/>
    </row>
    <row r="30" spans="4:15" x14ac:dyDescent="0.35">
      <c r="D30" s="2" t="s">
        <v>39</v>
      </c>
      <c r="E30" s="88">
        <v>7</v>
      </c>
      <c r="J30" s="8" t="s">
        <v>40</v>
      </c>
      <c r="O30" s="99"/>
    </row>
    <row r="31" spans="4:15" x14ac:dyDescent="0.35">
      <c r="D31" s="2" t="s">
        <v>41</v>
      </c>
      <c r="E31" s="88">
        <v>4</v>
      </c>
      <c r="J31" s="8" t="s">
        <v>42</v>
      </c>
      <c r="O31" s="99"/>
    </row>
    <row r="32" spans="4:15" x14ac:dyDescent="0.35">
      <c r="D32" s="2" t="s">
        <v>43</v>
      </c>
      <c r="E32" s="88">
        <v>6</v>
      </c>
      <c r="J32" s="8" t="s">
        <v>44</v>
      </c>
      <c r="O32" s="99"/>
    </row>
    <row r="33" spans="3:15" x14ac:dyDescent="0.35">
      <c r="D33" s="2" t="s">
        <v>45</v>
      </c>
      <c r="E33" s="88">
        <v>18</v>
      </c>
      <c r="J33" s="8" t="s">
        <v>46</v>
      </c>
      <c r="O33" s="99"/>
    </row>
    <row r="34" spans="3:15" x14ac:dyDescent="0.35">
      <c r="D34" s="2" t="s">
        <v>47</v>
      </c>
      <c r="E34" s="88">
        <v>10</v>
      </c>
      <c r="J34" s="8" t="s">
        <v>48</v>
      </c>
    </row>
    <row r="35" spans="3:15" x14ac:dyDescent="0.35">
      <c r="D35" s="48" t="s">
        <v>49</v>
      </c>
      <c r="E35" s="88">
        <v>50</v>
      </c>
      <c r="J35" s="8" t="s">
        <v>50</v>
      </c>
    </row>
    <row r="36" spans="3:15" x14ac:dyDescent="0.35">
      <c r="D36" s="48" t="s">
        <v>51</v>
      </c>
      <c r="E36" s="88">
        <v>15</v>
      </c>
      <c r="J36" s="8" t="s">
        <v>52</v>
      </c>
    </row>
    <row r="37" spans="3:15" x14ac:dyDescent="0.35">
      <c r="D37" s="48" t="s">
        <v>53</v>
      </c>
      <c r="E37" s="88">
        <v>0</v>
      </c>
      <c r="J37" s="8" t="s">
        <v>54</v>
      </c>
    </row>
    <row r="38" spans="3:15" x14ac:dyDescent="0.35">
      <c r="D38" s="48" t="s">
        <v>53</v>
      </c>
      <c r="E38" s="88">
        <v>0</v>
      </c>
      <c r="J38" s="8" t="s">
        <v>55</v>
      </c>
    </row>
    <row r="39" spans="3:15" x14ac:dyDescent="0.35">
      <c r="E39" s="89"/>
      <c r="J39" s="8" t="s">
        <v>56</v>
      </c>
    </row>
    <row r="40" spans="3:15" x14ac:dyDescent="0.35">
      <c r="J40" s="8" t="s">
        <v>57</v>
      </c>
    </row>
    <row r="41" spans="3:15" ht="15.75" customHeight="1" thickBot="1" x14ac:dyDescent="0.4">
      <c r="D41" s="80"/>
      <c r="E41" s="80"/>
      <c r="J41" s="8" t="s">
        <v>58</v>
      </c>
    </row>
    <row r="42" spans="3:15" ht="38.25" hidden="1" customHeight="1" thickBot="1" x14ac:dyDescent="0.4">
      <c r="C42" s="80" t="s">
        <v>59</v>
      </c>
      <c r="D42" s="81"/>
      <c r="E42" s="81"/>
      <c r="F42" s="80"/>
      <c r="G42" s="80"/>
      <c r="H42" s="80"/>
      <c r="I42" s="80"/>
      <c r="J42" s="80"/>
      <c r="K42" s="76"/>
    </row>
    <row r="43" spans="3:15" ht="15" hidden="1" customHeight="1" thickTop="1" x14ac:dyDescent="0.35">
      <c r="C43" s="81" t="s">
        <v>60</v>
      </c>
      <c r="D43" s="78"/>
      <c r="E43" s="78"/>
      <c r="F43" s="81"/>
      <c r="G43" s="81"/>
      <c r="H43" s="81"/>
      <c r="I43" s="81"/>
      <c r="J43" s="81"/>
      <c r="K43" s="77"/>
    </row>
    <row r="44" spans="3:15" ht="15" hidden="1" customHeight="1" x14ac:dyDescent="0.35">
      <c r="C44" s="78" t="s">
        <v>61</v>
      </c>
      <c r="D44" s="82"/>
      <c r="E44" s="82"/>
      <c r="F44" s="78"/>
      <c r="G44" s="78"/>
      <c r="H44" s="78"/>
      <c r="I44" s="78"/>
      <c r="J44" s="78"/>
    </row>
    <row r="45" spans="3:15" s="75" customFormat="1" ht="30" hidden="1" customHeight="1" x14ac:dyDescent="0.35">
      <c r="C45" s="82" t="s">
        <v>62</v>
      </c>
      <c r="D45" s="82"/>
      <c r="E45" s="82"/>
      <c r="F45" s="82"/>
      <c r="G45" s="82"/>
      <c r="H45" s="82"/>
      <c r="I45" s="82"/>
      <c r="J45" s="82"/>
    </row>
    <row r="46" spans="3:15" s="75" customFormat="1" ht="30" hidden="1" customHeight="1" x14ac:dyDescent="0.35">
      <c r="C46" s="82" t="s">
        <v>63</v>
      </c>
      <c r="D46" s="78"/>
      <c r="E46" s="78"/>
      <c r="F46" s="82"/>
      <c r="G46" s="82"/>
      <c r="H46" s="82"/>
      <c r="I46" s="82"/>
      <c r="J46" s="82"/>
    </row>
    <row r="47" spans="3:15" ht="15" hidden="1" customHeight="1" x14ac:dyDescent="0.35">
      <c r="C47" s="78" t="s">
        <v>64</v>
      </c>
      <c r="D47" s="78"/>
      <c r="E47" s="78"/>
      <c r="F47" s="78"/>
      <c r="G47" s="78"/>
      <c r="H47" s="78"/>
      <c r="I47" s="78"/>
      <c r="J47" s="78"/>
    </row>
    <row r="48" spans="3:15" ht="15" hidden="1" customHeight="1" x14ac:dyDescent="0.35">
      <c r="C48" s="78" t="s">
        <v>65</v>
      </c>
      <c r="D48" s="79"/>
      <c r="E48" s="79"/>
      <c r="F48" s="78"/>
      <c r="G48" s="78"/>
      <c r="H48" s="78"/>
      <c r="I48" s="78"/>
      <c r="J48" s="78"/>
    </row>
    <row r="49" spans="3:10" ht="30" hidden="1" customHeight="1" x14ac:dyDescent="0.35">
      <c r="C49" s="79" t="s">
        <v>66</v>
      </c>
      <c r="F49" s="79"/>
      <c r="G49" s="79"/>
      <c r="H49" s="79"/>
      <c r="I49" s="79"/>
      <c r="J49" s="79"/>
    </row>
    <row r="50" spans="3:10" ht="15" hidden="1" thickTop="1" x14ac:dyDescent="0.35"/>
    <row r="51" spans="3:10" ht="15" thickTop="1" x14ac:dyDescent="0.35"/>
  </sheetData>
  <sheetProtection selectLockedCells="1" selectUnlockedCells="1"/>
  <pageMargins left="0.25" right="0.25" top="0.75" bottom="0.75" header="0.3" footer="0.3"/>
  <pageSetup scale="73" orientation="portrait" r:id="rId1"/>
  <headerFooter differentFirst="1">
    <firstHeader>&amp;C&amp;"-,Bold"&amp;16&amp;A</firstHead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A4487-82AA-4516-94F7-E4E457C6EF1B}">
  <sheetPr codeName="Sheet19"/>
  <dimension ref="A1:K33"/>
  <sheetViews>
    <sheetView zoomScaleNormal="100" workbookViewId="0">
      <selection activeCell="E2" sqref="E2:F8"/>
    </sheetView>
  </sheetViews>
  <sheetFormatPr defaultRowHeight="14.5" x14ac:dyDescent="0.35"/>
  <cols>
    <col min="1" max="1" width="3" style="8" customWidth="1"/>
    <col min="2" max="2" width="33.453125" bestFit="1" customWidth="1"/>
    <col min="3" max="3" width="20.453125" bestFit="1" customWidth="1"/>
    <col min="5" max="5" width="26.81640625" customWidth="1"/>
    <col min="6" max="6" width="20.453125" bestFit="1" customWidth="1"/>
    <col min="10" max="11" width="0" hidden="1" customWidth="1"/>
  </cols>
  <sheetData>
    <row r="1" spans="1:11" ht="15" thickBot="1" x14ac:dyDescent="0.4">
      <c r="J1" t="s">
        <v>165</v>
      </c>
    </row>
    <row r="2" spans="1:11" s="3" customFormat="1" x14ac:dyDescent="0.35">
      <c r="A2" s="10" t="s">
        <v>166</v>
      </c>
      <c r="B2" s="5" t="s">
        <v>3</v>
      </c>
      <c r="C2" s="5" t="s">
        <v>4</v>
      </c>
      <c r="E2" s="5" t="s">
        <v>86</v>
      </c>
      <c r="F2" s="5" t="s">
        <v>87</v>
      </c>
      <c r="J2" s="23">
        <v>0.5</v>
      </c>
      <c r="K2" s="116">
        <f>C5</f>
        <v>0</v>
      </c>
    </row>
    <row r="3" spans="1:11" x14ac:dyDescent="0.35">
      <c r="A3" s="110" t="s">
        <v>167</v>
      </c>
      <c r="B3" s="6" t="s">
        <v>168</v>
      </c>
      <c r="C3" s="115"/>
      <c r="E3" s="6" t="s">
        <v>75</v>
      </c>
      <c r="F3" s="115"/>
      <c r="J3" s="24">
        <v>1</v>
      </c>
      <c r="K3" s="29">
        <f>$C$6</f>
        <v>0</v>
      </c>
    </row>
    <row r="4" spans="1:11" x14ac:dyDescent="0.35">
      <c r="A4" s="111" t="s">
        <v>113</v>
      </c>
      <c r="B4" s="2" t="s">
        <v>7</v>
      </c>
      <c r="C4" s="114"/>
      <c r="E4" s="6" t="s">
        <v>77</v>
      </c>
      <c r="F4" s="114"/>
      <c r="J4" s="24">
        <f>J3+0.5</f>
        <v>1.5</v>
      </c>
      <c r="K4" s="29">
        <f>$C$6+$C$5</f>
        <v>0</v>
      </c>
    </row>
    <row r="5" spans="1:11" x14ac:dyDescent="0.35">
      <c r="B5" s="2" t="s">
        <v>169</v>
      </c>
      <c r="C5" s="114"/>
      <c r="E5" s="6" t="s">
        <v>79</v>
      </c>
      <c r="F5" s="114"/>
      <c r="J5" s="24">
        <f t="shared" ref="J5:J21" si="0">J4+0.5</f>
        <v>2</v>
      </c>
      <c r="K5" s="29">
        <f>$C$6*$J5</f>
        <v>0</v>
      </c>
    </row>
    <row r="6" spans="1:11" x14ac:dyDescent="0.35">
      <c r="B6" s="2" t="s">
        <v>170</v>
      </c>
      <c r="C6" s="114"/>
      <c r="E6" s="6" t="s">
        <v>81</v>
      </c>
      <c r="F6" s="114"/>
      <c r="J6" s="24">
        <f t="shared" si="0"/>
        <v>2.5</v>
      </c>
      <c r="K6" s="29">
        <f>K5+$C$5</f>
        <v>0</v>
      </c>
    </row>
    <row r="7" spans="1:11" x14ac:dyDescent="0.35">
      <c r="B7" s="2" t="s">
        <v>15</v>
      </c>
      <c r="C7" s="114"/>
      <c r="E7" s="6" t="s">
        <v>83</v>
      </c>
      <c r="F7" s="114"/>
      <c r="J7" s="24">
        <f t="shared" si="0"/>
        <v>3</v>
      </c>
      <c r="K7" s="29">
        <f>$C$6*$J7</f>
        <v>0</v>
      </c>
    </row>
    <row r="8" spans="1:11" x14ac:dyDescent="0.35">
      <c r="B8" s="2" t="s">
        <v>17</v>
      </c>
      <c r="C8" s="114"/>
      <c r="E8" s="6" t="s">
        <v>85</v>
      </c>
      <c r="F8" s="114"/>
      <c r="J8" s="24">
        <f t="shared" si="0"/>
        <v>3.5</v>
      </c>
      <c r="K8" s="29">
        <f>K7+$C$5</f>
        <v>0</v>
      </c>
    </row>
    <row r="9" spans="1:11" x14ac:dyDescent="0.35">
      <c r="B9" s="2" t="s">
        <v>19</v>
      </c>
      <c r="C9" s="114"/>
      <c r="J9" s="24">
        <f t="shared" si="0"/>
        <v>4</v>
      </c>
      <c r="K9" s="29">
        <f>$C$6*$J9</f>
        <v>0</v>
      </c>
    </row>
    <row r="10" spans="1:11" x14ac:dyDescent="0.35">
      <c r="B10" s="2" t="s">
        <v>116</v>
      </c>
      <c r="C10" s="114"/>
      <c r="J10" s="24">
        <f t="shared" si="0"/>
        <v>4.5</v>
      </c>
      <c r="K10" s="29">
        <f>K9+$C$5</f>
        <v>0</v>
      </c>
    </row>
    <row r="11" spans="1:11" x14ac:dyDescent="0.35">
      <c r="A11" s="112" t="s">
        <v>24</v>
      </c>
      <c r="B11" s="2" t="s">
        <v>24</v>
      </c>
      <c r="C11" s="114"/>
      <c r="J11" s="24">
        <f t="shared" si="0"/>
        <v>5</v>
      </c>
      <c r="K11" s="29">
        <f>$C$6*$J11</f>
        <v>0</v>
      </c>
    </row>
    <row r="12" spans="1:11" x14ac:dyDescent="0.35">
      <c r="A12" s="112" t="s">
        <v>26</v>
      </c>
      <c r="B12" s="2" t="s">
        <v>26</v>
      </c>
      <c r="C12" s="114"/>
      <c r="J12" s="24">
        <f t="shared" si="0"/>
        <v>5.5</v>
      </c>
      <c r="K12" s="29">
        <f>K11+$C$5</f>
        <v>0</v>
      </c>
    </row>
    <row r="13" spans="1:11" x14ac:dyDescent="0.35">
      <c r="B13" s="2" t="s">
        <v>28</v>
      </c>
      <c r="C13" s="114"/>
      <c r="J13" s="24">
        <f t="shared" si="0"/>
        <v>6</v>
      </c>
      <c r="K13" s="29">
        <f>$C$6*$J13</f>
        <v>0</v>
      </c>
    </row>
    <row r="14" spans="1:11" x14ac:dyDescent="0.35">
      <c r="B14" s="2" t="s">
        <v>119</v>
      </c>
      <c r="C14" s="114"/>
      <c r="J14" s="24">
        <f t="shared" si="0"/>
        <v>6.5</v>
      </c>
      <c r="K14" s="29">
        <f>K13+$C$5</f>
        <v>0</v>
      </c>
    </row>
    <row r="15" spans="1:11" x14ac:dyDescent="0.35">
      <c r="B15" s="2" t="s">
        <v>32</v>
      </c>
      <c r="C15" s="114"/>
      <c r="J15" s="24">
        <f t="shared" si="0"/>
        <v>7</v>
      </c>
      <c r="K15" s="29">
        <f>$C$6*$J15</f>
        <v>0</v>
      </c>
    </row>
    <row r="16" spans="1:11" x14ac:dyDescent="0.35">
      <c r="B16" s="2" t="s">
        <v>34</v>
      </c>
      <c r="C16" s="114"/>
      <c r="J16" s="24">
        <f t="shared" si="0"/>
        <v>7.5</v>
      </c>
      <c r="K16" s="29">
        <f>K15+$C$5</f>
        <v>0</v>
      </c>
    </row>
    <row r="17" spans="2:11" x14ac:dyDescent="0.35">
      <c r="B17" s="2" t="s">
        <v>36</v>
      </c>
      <c r="C17" s="114"/>
      <c r="J17" s="24">
        <f t="shared" si="0"/>
        <v>8</v>
      </c>
      <c r="K17" s="29">
        <f>$C$6*$J17</f>
        <v>0</v>
      </c>
    </row>
    <row r="18" spans="2:11" x14ac:dyDescent="0.35">
      <c r="B18" s="2" t="s">
        <v>38</v>
      </c>
      <c r="C18" s="114"/>
      <c r="J18" s="24">
        <f t="shared" si="0"/>
        <v>8.5</v>
      </c>
      <c r="K18" s="29">
        <f>K17+$C$5</f>
        <v>0</v>
      </c>
    </row>
    <row r="19" spans="2:11" x14ac:dyDescent="0.35">
      <c r="B19" s="2" t="s">
        <v>39</v>
      </c>
      <c r="C19" s="114"/>
      <c r="J19" s="24">
        <f t="shared" si="0"/>
        <v>9</v>
      </c>
      <c r="K19" s="29">
        <f>$C$6*$J19</f>
        <v>0</v>
      </c>
    </row>
    <row r="20" spans="2:11" x14ac:dyDescent="0.35">
      <c r="B20" s="2" t="s">
        <v>41</v>
      </c>
      <c r="C20" s="114"/>
      <c r="J20" s="24">
        <f t="shared" si="0"/>
        <v>9.5</v>
      </c>
      <c r="K20" s="29">
        <f>K19+$C$5</f>
        <v>0</v>
      </c>
    </row>
    <row r="21" spans="2:11" ht="15" thickBot="1" x14ac:dyDescent="0.4">
      <c r="B21" s="2" t="s">
        <v>43</v>
      </c>
      <c r="C21" s="114"/>
      <c r="J21" s="25">
        <f t="shared" si="0"/>
        <v>10</v>
      </c>
      <c r="K21" s="30">
        <f>$C$6*$J21</f>
        <v>0</v>
      </c>
    </row>
    <row r="22" spans="2:11" x14ac:dyDescent="0.35">
      <c r="B22" s="2" t="s">
        <v>121</v>
      </c>
      <c r="C22" s="114"/>
    </row>
    <row r="23" spans="2:11" x14ac:dyDescent="0.35">
      <c r="B23" s="2" t="s">
        <v>122</v>
      </c>
      <c r="C23" s="114"/>
    </row>
    <row r="24" spans="2:11" x14ac:dyDescent="0.35">
      <c r="B24" s="2" t="s">
        <v>68</v>
      </c>
      <c r="C24" s="114"/>
    </row>
    <row r="25" spans="2:11" x14ac:dyDescent="0.35">
      <c r="B25" s="2" t="s">
        <v>69</v>
      </c>
      <c r="C25" s="114"/>
    </row>
    <row r="26" spans="2:11" x14ac:dyDescent="0.35">
      <c r="B26" s="2" t="s">
        <v>70</v>
      </c>
      <c r="C26" s="114"/>
    </row>
    <row r="27" spans="2:11" x14ac:dyDescent="0.35">
      <c r="B27" s="2" t="s">
        <v>71</v>
      </c>
      <c r="C27" s="114"/>
    </row>
    <row r="28" spans="2:11" x14ac:dyDescent="0.35">
      <c r="B28" s="2" t="s">
        <v>47</v>
      </c>
      <c r="C28" s="114"/>
    </row>
    <row r="29" spans="2:11" x14ac:dyDescent="0.35">
      <c r="B29" s="83" t="s">
        <v>53</v>
      </c>
      <c r="C29" s="114"/>
    </row>
    <row r="30" spans="2:11" x14ac:dyDescent="0.35">
      <c r="B30" s="83" t="s">
        <v>53</v>
      </c>
      <c r="C30" s="114"/>
    </row>
    <row r="31" spans="2:11" x14ac:dyDescent="0.35">
      <c r="B31" s="83" t="s">
        <v>53</v>
      </c>
      <c r="C31" s="114"/>
    </row>
    <row r="32" spans="2:11" x14ac:dyDescent="0.35">
      <c r="B32" s="83" t="s">
        <v>53</v>
      </c>
      <c r="C32" s="114"/>
    </row>
    <row r="33" spans="2:3" x14ac:dyDescent="0.35">
      <c r="B33" s="83" t="s">
        <v>53</v>
      </c>
      <c r="C33" s="114"/>
    </row>
  </sheetData>
  <sheetProtection selectLockedCells="1"/>
  <phoneticPr fontId="20" type="noConversion"/>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14C3B-51E9-4A2C-A56D-CD45AA001C1B}">
  <sheetPr codeName="Sheet20"/>
  <dimension ref="A1:K35"/>
  <sheetViews>
    <sheetView workbookViewId="0">
      <selection activeCell="A11" sqref="A11:XFD23"/>
    </sheetView>
  </sheetViews>
  <sheetFormatPr defaultRowHeight="14.5" x14ac:dyDescent="0.35"/>
  <cols>
    <col min="1" max="1" width="25.54296875" customWidth="1"/>
    <col min="2" max="2" width="15.453125" customWidth="1"/>
    <col min="3" max="3" width="14.453125" customWidth="1"/>
    <col min="4" max="10" width="13.54296875" customWidth="1"/>
  </cols>
  <sheetData>
    <row r="1" spans="1:8" ht="21" x14ac:dyDescent="0.5">
      <c r="A1" s="94" t="s">
        <v>201</v>
      </c>
    </row>
    <row r="3" spans="1:8" x14ac:dyDescent="0.35">
      <c r="A3" s="121" t="s">
        <v>175</v>
      </c>
      <c r="B3" s="350" t="str">
        <f>IFERROR(HLOOKUP(MAX($B$28:$H$28),$C$28:$I$34,7,FALSE),"")</f>
        <v/>
      </c>
      <c r="C3" s="351"/>
    </row>
    <row r="4" spans="1:8" x14ac:dyDescent="0.35">
      <c r="A4" s="121" t="s">
        <v>202</v>
      </c>
      <c r="B4" s="352" t="str">
        <f>IFERROR(HLOOKUP(MAX($B$28:$H$28),$C$28:$I$34,5,FALSE),"")</f>
        <v/>
      </c>
      <c r="C4" s="353"/>
    </row>
    <row r="5" spans="1:8" x14ac:dyDescent="0.35">
      <c r="A5" s="121" t="s">
        <v>97</v>
      </c>
      <c r="B5" s="354" t="str">
        <f>IFERROR(HLOOKUP(MAX($B$28:$H$28),$C$28:$I$34,6,FALSE),"")</f>
        <v/>
      </c>
      <c r="C5" s="355"/>
    </row>
    <row r="6" spans="1:8" x14ac:dyDescent="0.35">
      <c r="A6" s="121" t="s">
        <v>91</v>
      </c>
      <c r="B6" s="350" t="str">
        <f>IFERROR(HLOOKUP(MAX($B$28:$H$28),$C$28:$I$34,7,FALSE),"")</f>
        <v/>
      </c>
      <c r="C6" s="351"/>
    </row>
    <row r="11" spans="1:8" ht="18.5" x14ac:dyDescent="0.45">
      <c r="B11" s="356" t="s">
        <v>205</v>
      </c>
      <c r="C11" s="357"/>
      <c r="D11" s="357"/>
      <c r="E11" s="357"/>
      <c r="F11" s="357"/>
      <c r="G11" s="357"/>
      <c r="H11" s="358"/>
    </row>
    <row r="12" spans="1:8" x14ac:dyDescent="0.35">
      <c r="B12" s="95" t="s">
        <v>73</v>
      </c>
      <c r="C12" s="95" t="s">
        <v>75</v>
      </c>
      <c r="D12" s="95" t="s">
        <v>77</v>
      </c>
      <c r="E12" s="95" t="s">
        <v>79</v>
      </c>
      <c r="F12" s="95" t="s">
        <v>81</v>
      </c>
      <c r="G12" s="95" t="s">
        <v>83</v>
      </c>
      <c r="H12" s="95" t="s">
        <v>85</v>
      </c>
    </row>
    <row r="13" spans="1:8" x14ac:dyDescent="0.35">
      <c r="B13" s="106">
        <f>Studio!F50</f>
        <v>0</v>
      </c>
    </row>
    <row r="14" spans="1:8" x14ac:dyDescent="0.35">
      <c r="A14" t="s">
        <v>206</v>
      </c>
      <c r="B14">
        <f>B13*0.8</f>
        <v>0</v>
      </c>
    </row>
    <row r="15" spans="1:8" x14ac:dyDescent="0.35">
      <c r="A15" t="s">
        <v>207</v>
      </c>
      <c r="B15" s="98">
        <f>'Updates to Rent Adjust WorkSh'!$F$3</f>
        <v>0</v>
      </c>
    </row>
    <row r="16" spans="1:8" x14ac:dyDescent="0.35">
      <c r="A16" t="s">
        <v>208</v>
      </c>
      <c r="B16" s="98">
        <f>B14-B15</f>
        <v>0</v>
      </c>
    </row>
    <row r="17" spans="1:11" x14ac:dyDescent="0.35">
      <c r="K17" s="113"/>
    </row>
    <row r="18" spans="1:11" ht="18.5" x14ac:dyDescent="0.45">
      <c r="B18" s="359" t="str">
        <f>IF(Studio!D51="Select Other Applicable FMR", "Not Appicable",Studio!D51)</f>
        <v>Not Appicable</v>
      </c>
      <c r="C18" s="357"/>
      <c r="D18" s="357"/>
      <c r="E18" s="357"/>
      <c r="F18" s="357"/>
      <c r="G18" s="357"/>
      <c r="H18" s="358"/>
      <c r="K18" s="113"/>
    </row>
    <row r="19" spans="1:11" x14ac:dyDescent="0.35">
      <c r="B19" s="95" t="s">
        <v>73</v>
      </c>
      <c r="C19" s="95" t="s">
        <v>75</v>
      </c>
      <c r="D19" s="95" t="s">
        <v>77</v>
      </c>
      <c r="E19" s="95" t="s">
        <v>79</v>
      </c>
      <c r="F19" s="95" t="s">
        <v>81</v>
      </c>
      <c r="G19" s="95" t="s">
        <v>83</v>
      </c>
      <c r="H19" s="95" t="s">
        <v>85</v>
      </c>
      <c r="K19" s="113"/>
    </row>
    <row r="20" spans="1:11" x14ac:dyDescent="0.35">
      <c r="B20" s="106">
        <f>Studio!F57</f>
        <v>0</v>
      </c>
      <c r="K20" s="113"/>
    </row>
    <row r="21" spans="1:11" x14ac:dyDescent="0.35">
      <c r="A21" t="s">
        <v>206</v>
      </c>
      <c r="B21">
        <f>B20*0.8</f>
        <v>0</v>
      </c>
    </row>
    <row r="22" spans="1:11" x14ac:dyDescent="0.35">
      <c r="A22" t="s">
        <v>207</v>
      </c>
      <c r="B22" s="98">
        <f>'Updates to Rent Adjust WorkSh'!$F$3</f>
        <v>0</v>
      </c>
    </row>
    <row r="23" spans="1:11" x14ac:dyDescent="0.35">
      <c r="A23" t="s">
        <v>208</v>
      </c>
      <c r="B23" s="98">
        <f>B21-B22</f>
        <v>0</v>
      </c>
    </row>
    <row r="24" spans="1:11" x14ac:dyDescent="0.35">
      <c r="B24" s="98"/>
    </row>
    <row r="25" spans="1:11" x14ac:dyDescent="0.35">
      <c r="B25" s="98"/>
    </row>
    <row r="26" spans="1:11" ht="18.5" x14ac:dyDescent="0.45">
      <c r="B26" s="356" t="s">
        <v>203</v>
      </c>
      <c r="C26" s="357"/>
      <c r="D26" s="357"/>
      <c r="E26" s="357"/>
      <c r="F26" s="357"/>
      <c r="G26" s="357"/>
      <c r="H26" s="358"/>
    </row>
    <row r="27" spans="1:11" x14ac:dyDescent="0.35">
      <c r="B27" s="95" t="s">
        <v>73</v>
      </c>
      <c r="C27" s="95" t="s">
        <v>75</v>
      </c>
      <c r="D27" s="95" t="s">
        <v>77</v>
      </c>
      <c r="E27" s="95" t="s">
        <v>79</v>
      </c>
      <c r="F27" s="95" t="s">
        <v>81</v>
      </c>
      <c r="G27" s="95" t="s">
        <v>83</v>
      </c>
      <c r="H27" s="95" t="s">
        <v>85</v>
      </c>
    </row>
    <row r="28" spans="1:11" x14ac:dyDescent="0.35">
      <c r="A28" t="s">
        <v>204</v>
      </c>
      <c r="B28" s="96">
        <f>IF(Studio!$F$49="","n/a",Studio!$F$49)</f>
        <v>200</v>
      </c>
      <c r="C28" s="96" t="str">
        <f>IF('1 BR'!$F$51="","n/a",'1 BR'!$F$51)</f>
        <v>n/a</v>
      </c>
      <c r="D28" s="96" t="str">
        <f>IF('2 BR'!$F$51="","n/a",'2 BR'!$F$51)</f>
        <v>n/a</v>
      </c>
      <c r="E28" s="96" t="str">
        <f>IF('3 BR'!$F$51="","n/a",'3 BR'!$F$51)</f>
        <v>n/a</v>
      </c>
      <c r="F28" s="96" t="str">
        <f>IF('4 BR'!$F$51="","n/a",'4 BR'!$F$51)</f>
        <v>n/a</v>
      </c>
      <c r="G28" s="96" t="str">
        <f>IF('5 BR'!$F$51="","n/a",'5 BR'!$F$51)</f>
        <v>n/a</v>
      </c>
      <c r="H28" s="96" t="str">
        <f>IF('6 BR'!$F$51="","n/a",'6 BR'!$F$51)</f>
        <v>n/a</v>
      </c>
    </row>
    <row r="31" spans="1:11" hidden="1" x14ac:dyDescent="0.35"/>
    <row r="32" spans="1:11" hidden="1" x14ac:dyDescent="0.35">
      <c r="C32" t="str">
        <f>Studio!E8</f>
        <v>PIC AMP Number</v>
      </c>
      <c r="D32" t="str">
        <f>'1 BR'!$E$8</f>
        <v>PIC AMP Number</v>
      </c>
      <c r="E32" t="str">
        <f>'2 BR'!$E$8</f>
        <v>PIC AMP Number</v>
      </c>
      <c r="F32" t="str">
        <f>'3 BR'!$E$8</f>
        <v>PIC AMP Number</v>
      </c>
      <c r="G32" t="str">
        <f>'4 BR'!$E$8</f>
        <v>PIC AMP Number</v>
      </c>
      <c r="H32" t="str">
        <f>'5 BR'!$E$8</f>
        <v>PIC AMP Number</v>
      </c>
      <c r="I32" t="str">
        <f>'6 BR'!$E$8</f>
        <v>PIC AMP Number</v>
      </c>
    </row>
    <row r="33" spans="3:9" hidden="1" x14ac:dyDescent="0.35">
      <c r="C33" t="str">
        <f>Studio!D8</f>
        <v>Property Name</v>
      </c>
      <c r="D33" t="str">
        <f>'1 BR'!$D$8</f>
        <v>Property Name</v>
      </c>
      <c r="E33" t="str">
        <f>'2 BR'!$D$8</f>
        <v>Property Name</v>
      </c>
      <c r="F33" t="str">
        <f>'3 BR'!$D$8</f>
        <v>Property Name</v>
      </c>
      <c r="G33" t="str">
        <f>'4 BR'!$D$8</f>
        <v>Property Name</v>
      </c>
      <c r="H33" t="str">
        <f>'5 BR'!$D$8</f>
        <v>Property Name</v>
      </c>
      <c r="I33" t="str">
        <f>'6 BR'!$D$8</f>
        <v>Property Name</v>
      </c>
    </row>
    <row r="34" spans="3:9" hidden="1" x14ac:dyDescent="0.35">
      <c r="C34" s="97" t="str">
        <f>Studio!E6</f>
        <v>mm/dd/yyyy</v>
      </c>
      <c r="D34" s="97" t="str">
        <f>'1 BR'!$E$6</f>
        <v>mm/dd/yyyy</v>
      </c>
      <c r="E34" s="97" t="str">
        <f>'2 BR'!$E$6</f>
        <v>mm/dd/yyyy</v>
      </c>
      <c r="F34" s="97" t="str">
        <f>'3 BR'!$E$6</f>
        <v>mm/dd/yyyy</v>
      </c>
      <c r="G34" s="97" t="str">
        <f>'4 BR'!$E$6</f>
        <v>mm/dd/yyyy</v>
      </c>
      <c r="H34" s="97" t="str">
        <f>'5 BR'!$E$6</f>
        <v>mm/dd/yyyy</v>
      </c>
      <c r="I34" s="97" t="str">
        <f>'6 BR'!$E$6</f>
        <v>mm/dd/yyyy</v>
      </c>
    </row>
    <row r="35" spans="3:9" hidden="1" x14ac:dyDescent="0.35"/>
  </sheetData>
  <mergeCells count="7">
    <mergeCell ref="B3:C3"/>
    <mergeCell ref="B4:C4"/>
    <mergeCell ref="B5:C5"/>
    <mergeCell ref="B6:C6"/>
    <mergeCell ref="B26:H26"/>
    <mergeCell ref="B11:H11"/>
    <mergeCell ref="B18:H18"/>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02099-4277-4FA5-BE9E-90FB709930D1}">
  <sheetPr codeName="Sheet21"/>
  <dimension ref="B1:O56"/>
  <sheetViews>
    <sheetView workbookViewId="0">
      <selection sqref="A1:XFD1048576"/>
    </sheetView>
  </sheetViews>
  <sheetFormatPr defaultRowHeight="14.5" x14ac:dyDescent="0.35"/>
  <cols>
    <col min="1" max="1" width="5.54296875" customWidth="1"/>
    <col min="2" max="3" width="1.54296875" customWidth="1"/>
    <col min="4" max="4" width="16.1796875" style="18" customWidth="1"/>
    <col min="5" max="5" width="20.1796875" style="18" customWidth="1"/>
    <col min="6" max="6" width="14.1796875" style="1" customWidth="1"/>
    <col min="7" max="7" width="9.453125" style="1" customWidth="1"/>
    <col min="8" max="9" width="9.453125" customWidth="1"/>
    <col min="10" max="10" width="10.1796875" style="1" customWidth="1"/>
    <col min="11" max="12" width="10.1796875" customWidth="1"/>
    <col min="13" max="13" width="10.1796875" style="1" customWidth="1"/>
    <col min="14" max="15" width="10.1796875" customWidth="1"/>
  </cols>
  <sheetData>
    <row r="1" spans="2:15" x14ac:dyDescent="0.35">
      <c r="B1" s="211" t="s">
        <v>88</v>
      </c>
      <c r="C1" s="211"/>
      <c r="D1" s="211"/>
      <c r="E1" s="211"/>
      <c r="F1" s="211"/>
      <c r="G1" s="211"/>
      <c r="H1" s="211"/>
      <c r="I1" s="211"/>
      <c r="J1" s="211"/>
      <c r="K1" s="211"/>
      <c r="L1" s="211"/>
      <c r="M1" s="212" t="s">
        <v>141</v>
      </c>
      <c r="N1" s="212"/>
      <c r="O1" s="212"/>
    </row>
    <row r="2" spans="2:15" x14ac:dyDescent="0.35">
      <c r="B2" s="213" t="s">
        <v>89</v>
      </c>
      <c r="C2" s="213"/>
      <c r="D2" s="213"/>
      <c r="E2" s="213"/>
      <c r="F2" s="213"/>
      <c r="G2" s="213"/>
      <c r="H2" s="213"/>
      <c r="I2" s="213"/>
      <c r="J2" s="213"/>
      <c r="K2" s="213"/>
      <c r="L2" s="213"/>
      <c r="M2" s="303" t="s">
        <v>142</v>
      </c>
      <c r="N2" s="303"/>
      <c r="O2" s="303"/>
    </row>
    <row r="3" spans="2:15" x14ac:dyDescent="0.35">
      <c r="B3" s="117" t="s">
        <v>90</v>
      </c>
      <c r="C3" s="117"/>
      <c r="D3" s="117"/>
      <c r="E3" s="117"/>
      <c r="F3" s="117"/>
      <c r="G3" s="117"/>
      <c r="H3" s="117"/>
      <c r="I3" s="117"/>
      <c r="J3" s="117"/>
      <c r="K3" s="117"/>
      <c r="L3" s="117"/>
      <c r="M3" s="117"/>
      <c r="N3" s="212" t="s">
        <v>143</v>
      </c>
      <c r="O3" s="212"/>
    </row>
    <row r="4" spans="2:15" ht="15" thickBot="1" x14ac:dyDescent="0.4">
      <c r="B4" s="117"/>
      <c r="D4" s="117"/>
      <c r="E4" s="117"/>
      <c r="F4" s="117"/>
      <c r="G4" s="117"/>
      <c r="H4" s="117"/>
      <c r="I4" s="117"/>
      <c r="J4" s="117"/>
      <c r="K4" s="117"/>
      <c r="L4" s="117"/>
      <c r="M4" s="117"/>
      <c r="N4" s="195"/>
      <c r="O4" s="195"/>
    </row>
    <row r="5" spans="2:15" x14ac:dyDescent="0.35">
      <c r="B5" s="304">
        <v>1</v>
      </c>
      <c r="C5" s="305"/>
      <c r="D5" s="362" t="s">
        <v>175</v>
      </c>
      <c r="E5" s="363"/>
      <c r="F5" s="364"/>
      <c r="G5" s="122"/>
      <c r="H5" s="122"/>
      <c r="I5" s="122"/>
      <c r="J5" s="122"/>
      <c r="K5" s="122"/>
      <c r="L5" s="122"/>
      <c r="M5" s="122"/>
      <c r="N5" s="122"/>
      <c r="O5" s="122"/>
    </row>
    <row r="6" spans="2:15" ht="16" thickBot="1" x14ac:dyDescent="0.4">
      <c r="B6" s="306"/>
      <c r="C6" s="307"/>
      <c r="D6" s="126" t="s">
        <v>91</v>
      </c>
      <c r="E6" s="311" t="s">
        <v>92</v>
      </c>
      <c r="F6" s="312"/>
      <c r="G6" s="313" t="s">
        <v>80</v>
      </c>
      <c r="H6" s="219"/>
      <c r="I6" s="219"/>
      <c r="J6" s="219"/>
      <c r="K6" s="219"/>
      <c r="L6" s="219"/>
      <c r="M6" s="219"/>
      <c r="N6" s="219"/>
      <c r="O6" s="219"/>
    </row>
    <row r="7" spans="2:15" x14ac:dyDescent="0.35">
      <c r="B7" s="250">
        <v>2</v>
      </c>
      <c r="C7" s="251"/>
      <c r="D7" s="284" t="s">
        <v>93</v>
      </c>
      <c r="E7" s="285"/>
      <c r="F7" s="286"/>
      <c r="G7" s="287" t="s">
        <v>94</v>
      </c>
      <c r="H7" s="258"/>
      <c r="I7" s="260"/>
      <c r="J7" s="258" t="s">
        <v>95</v>
      </c>
      <c r="K7" s="258"/>
      <c r="L7" s="258"/>
      <c r="M7" s="287" t="s">
        <v>96</v>
      </c>
      <c r="N7" s="258"/>
      <c r="O7" s="260"/>
    </row>
    <row r="8" spans="2:15" x14ac:dyDescent="0.35">
      <c r="B8" s="250"/>
      <c r="C8" s="251"/>
      <c r="D8" s="191" t="s">
        <v>97</v>
      </c>
      <c r="E8" s="220" t="s">
        <v>98</v>
      </c>
      <c r="F8" s="302"/>
      <c r="G8" s="288" t="s">
        <v>99</v>
      </c>
      <c r="H8" s="223"/>
      <c r="I8" s="224"/>
      <c r="J8" s="223" t="s">
        <v>99</v>
      </c>
      <c r="K8" s="223"/>
      <c r="L8" s="223"/>
      <c r="M8" s="288" t="s">
        <v>99</v>
      </c>
      <c r="N8" s="223"/>
      <c r="O8" s="224"/>
    </row>
    <row r="9" spans="2:15" x14ac:dyDescent="0.35">
      <c r="B9" s="250"/>
      <c r="C9" s="251"/>
      <c r="D9" s="191" t="s">
        <v>100</v>
      </c>
      <c r="E9" s="191" t="s">
        <v>101</v>
      </c>
      <c r="F9" s="199" t="s">
        <v>102</v>
      </c>
      <c r="G9" s="288" t="s">
        <v>103</v>
      </c>
      <c r="H9" s="223"/>
      <c r="I9" s="224"/>
      <c r="J9" s="223" t="s">
        <v>103</v>
      </c>
      <c r="K9" s="223"/>
      <c r="L9" s="223"/>
      <c r="M9" s="288" t="s">
        <v>103</v>
      </c>
      <c r="N9" s="223"/>
      <c r="O9" s="224"/>
    </row>
    <row r="10" spans="2:15" x14ac:dyDescent="0.35">
      <c r="B10" s="250"/>
      <c r="C10" s="251"/>
      <c r="D10" s="299" t="s">
        <v>104</v>
      </c>
      <c r="E10" s="300"/>
      <c r="F10" s="301"/>
      <c r="G10" s="289" t="s">
        <v>105</v>
      </c>
      <c r="H10" s="229"/>
      <c r="I10" s="230"/>
      <c r="J10" s="229" t="s">
        <v>105</v>
      </c>
      <c r="K10" s="229"/>
      <c r="L10" s="229"/>
      <c r="M10" s="289" t="s">
        <v>105</v>
      </c>
      <c r="N10" s="229"/>
      <c r="O10" s="230"/>
    </row>
    <row r="11" spans="2:15" x14ac:dyDescent="0.35">
      <c r="B11" s="250"/>
      <c r="C11" s="251"/>
      <c r="D11" s="119"/>
      <c r="E11" s="120"/>
      <c r="F11" s="124" t="s">
        <v>154</v>
      </c>
      <c r="G11" s="289" t="s">
        <v>155</v>
      </c>
      <c r="H11" s="229"/>
      <c r="I11" s="230"/>
      <c r="J11" s="229" t="s">
        <v>155</v>
      </c>
      <c r="K11" s="229"/>
      <c r="L11" s="229"/>
      <c r="M11" s="289" t="s">
        <v>155</v>
      </c>
      <c r="N11" s="229"/>
      <c r="O11" s="230"/>
    </row>
    <row r="12" spans="2:15" x14ac:dyDescent="0.35">
      <c r="B12" s="250"/>
      <c r="C12" s="251"/>
      <c r="D12" s="119"/>
      <c r="E12" s="120"/>
      <c r="F12" s="124" t="s">
        <v>158</v>
      </c>
      <c r="G12" s="135"/>
      <c r="H12" s="141"/>
      <c r="I12" s="194"/>
      <c r="J12" s="123"/>
      <c r="K12" s="193"/>
      <c r="L12" s="193"/>
      <c r="M12" s="135"/>
      <c r="N12" s="193"/>
      <c r="O12" s="194"/>
    </row>
    <row r="13" spans="2:15" x14ac:dyDescent="0.35">
      <c r="B13" s="250"/>
      <c r="C13" s="251"/>
      <c r="D13" s="241" t="s">
        <v>3</v>
      </c>
      <c r="E13" s="242"/>
      <c r="F13" s="292" t="s">
        <v>106</v>
      </c>
      <c r="G13" s="294" t="s">
        <v>106</v>
      </c>
      <c r="H13" s="236" t="s">
        <v>107</v>
      </c>
      <c r="I13" s="237"/>
      <c r="J13" s="296" t="s">
        <v>106</v>
      </c>
      <c r="K13" s="236" t="s">
        <v>107</v>
      </c>
      <c r="L13" s="298"/>
      <c r="M13" s="294" t="s">
        <v>106</v>
      </c>
      <c r="N13" s="236" t="s">
        <v>107</v>
      </c>
      <c r="O13" s="237"/>
    </row>
    <row r="14" spans="2:15" x14ac:dyDescent="0.35">
      <c r="B14" s="250"/>
      <c r="C14" s="251"/>
      <c r="D14" s="290"/>
      <c r="E14" s="291"/>
      <c r="F14" s="293"/>
      <c r="G14" s="295"/>
      <c r="H14" s="16" t="s">
        <v>108</v>
      </c>
      <c r="I14" s="50" t="s">
        <v>109</v>
      </c>
      <c r="J14" s="297"/>
      <c r="K14" s="125" t="s">
        <v>108</v>
      </c>
      <c r="L14" s="136" t="s">
        <v>109</v>
      </c>
      <c r="M14" s="295"/>
      <c r="N14" s="16" t="s">
        <v>108</v>
      </c>
      <c r="O14" s="50" t="s">
        <v>109</v>
      </c>
    </row>
    <row r="15" spans="2:15" x14ac:dyDescent="0.35">
      <c r="B15" s="238" t="s">
        <v>110</v>
      </c>
      <c r="C15" s="239"/>
      <c r="D15" s="239"/>
      <c r="E15" s="239"/>
      <c r="F15" s="239"/>
      <c r="G15" s="239"/>
      <c r="H15" s="239"/>
      <c r="I15" s="239"/>
      <c r="J15" s="239"/>
      <c r="K15" s="239"/>
      <c r="L15" s="239"/>
      <c r="M15" s="239"/>
      <c r="N15" s="239"/>
      <c r="O15" s="240"/>
    </row>
    <row r="16" spans="2:15" x14ac:dyDescent="0.35">
      <c r="B16" s="231">
        <v>3</v>
      </c>
      <c r="C16" s="232"/>
      <c r="D16" s="233" t="s">
        <v>111</v>
      </c>
      <c r="E16" s="232"/>
      <c r="F16" s="133"/>
      <c r="G16" s="131"/>
      <c r="H16" s="11" t="str">
        <f>IF(G16="","",-IF(G16&gt;$F16,((G16-$F16)*'Rent Adjustment Worksheet'!$C$3),0))</f>
        <v/>
      </c>
      <c r="I16" s="127" t="str">
        <f>IF(G16="","",IFERROR(-IF(G16&gt;$F16,0,((G16-$F16)*'Rent Adjustment Worksheet'!$C$3)),0))</f>
        <v/>
      </c>
      <c r="J16" s="131"/>
      <c r="K16" s="11" t="str">
        <f>IF(J16="","",-IF(J16&gt;$F16,((J16-$F16)*'Rent Adjustment Worksheet'!$C$3),0))</f>
        <v/>
      </c>
      <c r="L16" s="90" t="str">
        <f>IF(J16="","",IFERROR(-IF(J16&gt;$F16,0,((J16-$F16)*'Rent Adjustment Worksheet'!$C$3)),0))</f>
        <v/>
      </c>
      <c r="M16" s="129"/>
      <c r="N16" s="11" t="str">
        <f>IF(M16="","",-IF(M16&gt;$F16,((M16-$F16)*'Rent Adjustment Worksheet'!$C$3),0))</f>
        <v/>
      </c>
      <c r="O16" s="90" t="str">
        <f>IF(M16="","",IFERROR(-IF(M16&gt;$F16,0,((M16-$F16)*'Rent Adjustment Worksheet'!$C$3)),0))</f>
        <v/>
      </c>
    </row>
    <row r="17" spans="2:15" x14ac:dyDescent="0.35">
      <c r="B17" s="231">
        <v>4</v>
      </c>
      <c r="C17" s="232"/>
      <c r="D17" s="233" t="s">
        <v>113</v>
      </c>
      <c r="E17" s="232"/>
      <c r="F17" s="134"/>
      <c r="G17" s="132"/>
      <c r="H17" s="54" t="str">
        <f>IF(G17="","",IFERROR(-IF($G$17&gt;$F$17,($G$17-$F$17)*VLOOKUP($D17,'Rent Adjustment Worksheet'!$A:$C,3,0)/10),0))</f>
        <v/>
      </c>
      <c r="I17" s="128" t="str">
        <f>IF(G17="","",IFERROR(-IF($G$17&gt;$F$17,0,($G$17-$F$17)*VLOOKUP($D17,'Rent Adjustment Worksheet'!$A:$C,3,0)/10),0))</f>
        <v/>
      </c>
      <c r="J17" s="132"/>
      <c r="K17" s="54" t="str">
        <f>IF(J17="","",IFERROR(-IF($J$17&gt;$F$17,($J$17-$F$17)*VLOOKUP($D17,'Rent Adjustment Worksheet'!$A:$C,3,0)/10),0))</f>
        <v/>
      </c>
      <c r="L17" s="56" t="str">
        <f>IF(J17="","",IFERROR(-IF($J$17&gt;$F$17,0,($J$17-$F$17)*VLOOKUP($D17,'Rent Adjustment Worksheet'!$A:$C,3,0)/10),0))</f>
        <v/>
      </c>
      <c r="M17" s="130"/>
      <c r="N17" s="54" t="str">
        <f>IF(M17="","",IFERROR(-IF($M$17&gt;$F$17,($M$17-$F$17)*VLOOKUP($D17,'Rent Adjustment Worksheet'!$A:$C,3,0)/10),0))</f>
        <v/>
      </c>
      <c r="O17" s="56" t="str">
        <f>IF(M17="","",IFERROR(-IF($M$17&gt;$F$17,0,($M$17-$F$17)*VLOOKUP($D17,'Rent Adjustment Worksheet'!$A:$C,3,0)/10),0))</f>
        <v/>
      </c>
    </row>
    <row r="18" spans="2:15" x14ac:dyDescent="0.35">
      <c r="B18" s="231">
        <v>5</v>
      </c>
      <c r="C18" s="232"/>
      <c r="D18" s="233" t="s">
        <v>114</v>
      </c>
      <c r="E18" s="232"/>
      <c r="F18" s="133">
        <v>0</v>
      </c>
      <c r="G18" s="131">
        <v>0</v>
      </c>
      <c r="H18" s="54">
        <f>-IF($G$18&gt;$F$18, VLOOKUP(($G$18-$F$18),'Rent Adjustment Worksheet'!$J:$K,2,FALSE), 0)</f>
        <v>0</v>
      </c>
      <c r="I18" s="128">
        <f>IF($G$18&lt;$F$18, VLOOKUP(($F$18-$G$18),'Rent Adjustment Worksheet'!$J:$K,2,FALSE), 0)</f>
        <v>0</v>
      </c>
      <c r="J18" s="131">
        <v>0</v>
      </c>
      <c r="K18" s="54">
        <f>-IF($J$18&gt;$F$18, VLOOKUP(($J$18-$F$18),'Rent Adjustment Worksheet'!$J:$K,2,FALSE), 0)</f>
        <v>0</v>
      </c>
      <c r="L18" s="56">
        <f>IF($J$18&lt;$F$18, VLOOKUP(($F$18-$J$18),'Rent Adjustment Worksheet'!$J:$K,2,FALSE), 0)</f>
        <v>0</v>
      </c>
      <c r="M18" s="129">
        <v>0</v>
      </c>
      <c r="N18" s="54">
        <f>-IF($M$18&gt;$F$18, VLOOKUP(($M$18-$F$18),'Rent Adjustment Worksheet'!$J:$K,2,FALSE), 0)</f>
        <v>0</v>
      </c>
      <c r="O18" s="56">
        <f>IF($M$18&lt;$F$18, VLOOKUP(($F$18-$M$18),'Rent Adjustment Worksheet'!$J:$K,2,FALSE), 0)</f>
        <v>0</v>
      </c>
    </row>
    <row r="19" spans="2:15" x14ac:dyDescent="0.35">
      <c r="B19" s="231">
        <v>6</v>
      </c>
      <c r="C19" s="232"/>
      <c r="D19" s="233" t="s">
        <v>15</v>
      </c>
      <c r="E19" s="232"/>
      <c r="F19" s="134" t="s">
        <v>115</v>
      </c>
      <c r="G19" s="132" t="s">
        <v>115</v>
      </c>
      <c r="H19" s="54">
        <f>IF(AND($F19="N",G19="Y"),-VLOOKUP($D19,'Rent Adjustment Worksheet'!$B:$C,2,FALSE),0)</f>
        <v>0</v>
      </c>
      <c r="I19" s="128">
        <f>IF(AND($F19="Y",G19="N"),VLOOKUP($D19,'Rent Adjustment Worksheet'!$B:$C,2,FALSE),0)</f>
        <v>0</v>
      </c>
      <c r="J19" s="132" t="s">
        <v>115</v>
      </c>
      <c r="K19" s="54">
        <f>IF(AND($F19="N",J19="Y"),-VLOOKUP($D19,'Rent Adjustment Worksheet'!$B:$C,2,FALSE),0)</f>
        <v>0</v>
      </c>
      <c r="L19" s="56">
        <f>IF(AND($F19="Y",J19="N"),VLOOKUP($D19,'Rent Adjustment Worksheet'!$B:$C,2,FALSE),0)</f>
        <v>0</v>
      </c>
      <c r="M19" s="130" t="s">
        <v>115</v>
      </c>
      <c r="N19" s="54">
        <f>IF(AND($F19="N",M19="Y"),-VLOOKUP($D19,'Rent Adjustment Worksheet'!$B:$C,2,FALSE),0)</f>
        <v>0</v>
      </c>
      <c r="O19" s="56">
        <f>IF(AND($F19="Y",M19="N"),VLOOKUP($D19,'Rent Adjustment Worksheet'!$B:$C,2,FALSE),0)</f>
        <v>0</v>
      </c>
    </row>
    <row r="20" spans="2:15" x14ac:dyDescent="0.35">
      <c r="B20" s="231">
        <v>7</v>
      </c>
      <c r="C20" s="232"/>
      <c r="D20" s="233" t="s">
        <v>17</v>
      </c>
      <c r="E20" s="232"/>
      <c r="F20" s="134" t="s">
        <v>115</v>
      </c>
      <c r="G20" s="132" t="s">
        <v>115</v>
      </c>
      <c r="H20" s="54">
        <f>IF(AND($F20="N",G20="Y"),-VLOOKUP($D20,'Rent Adjustment Worksheet'!$B:$C,2,FALSE),0)</f>
        <v>0</v>
      </c>
      <c r="I20" s="128">
        <f>IF(AND($F20="Y",G20="N"),VLOOKUP($D20,'Rent Adjustment Worksheet'!$B:$C,2,FALSE),0)</f>
        <v>0</v>
      </c>
      <c r="J20" s="132" t="s">
        <v>115</v>
      </c>
      <c r="K20" s="54">
        <f>IF(AND($F20="N",J20="Y"),-VLOOKUP($D20,'Rent Adjustment Worksheet'!$B:$C,2,FALSE),0)</f>
        <v>0</v>
      </c>
      <c r="L20" s="56">
        <f>IF(AND($F20="Y",J20="N"),VLOOKUP($D20,'Rent Adjustment Worksheet'!$B:$C,2,FALSE),0)</f>
        <v>0</v>
      </c>
      <c r="M20" s="130" t="s">
        <v>115</v>
      </c>
      <c r="N20" s="54">
        <f>IF(AND($F20="N",M20="Y"),-VLOOKUP($D20,'Rent Adjustment Worksheet'!$B:$C,2,FALSE),0)</f>
        <v>0</v>
      </c>
      <c r="O20" s="56">
        <f>IF(AND($F20="Y",M20="N"),VLOOKUP($D20,'Rent Adjustment Worksheet'!$B:$C,2,FALSE),0)</f>
        <v>0</v>
      </c>
    </row>
    <row r="21" spans="2:15" x14ac:dyDescent="0.35">
      <c r="B21" s="231">
        <v>8</v>
      </c>
      <c r="C21" s="232"/>
      <c r="D21" s="233" t="s">
        <v>19</v>
      </c>
      <c r="E21" s="232"/>
      <c r="F21" s="134" t="s">
        <v>115</v>
      </c>
      <c r="G21" s="132" t="s">
        <v>115</v>
      </c>
      <c r="H21" s="54">
        <f>IF(AND($F21="N",G21="Y"),-VLOOKUP($D21,'Rent Adjustment Worksheet'!$B:$C,2,FALSE),0)</f>
        <v>0</v>
      </c>
      <c r="I21" s="128">
        <f>IF(AND($F21="Y",G21="N"),VLOOKUP($D21,'Rent Adjustment Worksheet'!$B:$C,2,FALSE),0)</f>
        <v>0</v>
      </c>
      <c r="J21" s="132" t="s">
        <v>115</v>
      </c>
      <c r="K21" s="54">
        <f>IF(AND($F21="N",J21="Y"),-VLOOKUP($D21,'Rent Adjustment Worksheet'!$B:$C,2,FALSE),0)</f>
        <v>0</v>
      </c>
      <c r="L21" s="56">
        <f>IF(AND($F21="Y",J21="N"),VLOOKUP($D21,'Rent Adjustment Worksheet'!$B:$C,2,FALSE),0)</f>
        <v>0</v>
      </c>
      <c r="M21" s="130" t="s">
        <v>115</v>
      </c>
      <c r="N21" s="54">
        <f>IF(AND($F21="N",M21="Y"),-VLOOKUP($D21,'Rent Adjustment Worksheet'!$B:$C,2,FALSE),0)</f>
        <v>0</v>
      </c>
      <c r="O21" s="56">
        <f>IF(AND($F21="Y",M21="N"),VLOOKUP($D21,'Rent Adjustment Worksheet'!$B:$C,2,FALSE),0)</f>
        <v>0</v>
      </c>
    </row>
    <row r="22" spans="2:15" x14ac:dyDescent="0.35">
      <c r="B22" s="231">
        <v>9</v>
      </c>
      <c r="C22" s="232"/>
      <c r="D22" s="233" t="s">
        <v>116</v>
      </c>
      <c r="E22" s="232"/>
      <c r="F22" s="134" t="s">
        <v>115</v>
      </c>
      <c r="G22" s="132" t="s">
        <v>115</v>
      </c>
      <c r="H22" s="54">
        <f>IF(AND($F22="N",G22="Y"),-VLOOKUP($D22,'Rent Adjustment Worksheet'!$B:$C,2,FALSE),0)</f>
        <v>0</v>
      </c>
      <c r="I22" s="128">
        <f>IF(AND($F22="Y",G22="N"),VLOOKUP($D22,'Rent Adjustment Worksheet'!$B:$C,2,FALSE),0)</f>
        <v>0</v>
      </c>
      <c r="J22" s="132" t="s">
        <v>115</v>
      </c>
      <c r="K22" s="54">
        <f>IF(AND($F22="N",J22="Y"),-VLOOKUP($D22,'Rent Adjustment Worksheet'!$B:$C,2,FALSE),0)</f>
        <v>0</v>
      </c>
      <c r="L22" s="56">
        <f>IF(AND($F22="Y",J22="N"),VLOOKUP($D22,'Rent Adjustment Worksheet'!$B:$C,2,FALSE),0)</f>
        <v>0</v>
      </c>
      <c r="M22" s="130" t="s">
        <v>115</v>
      </c>
      <c r="N22" s="54">
        <f>IF(AND($F22="N",M22="Y"),-VLOOKUP($D22,'Rent Adjustment Worksheet'!$B:$C,2,FALSE),0)</f>
        <v>0</v>
      </c>
      <c r="O22" s="56">
        <f>IF(AND($F22="Y",M22="N"),VLOOKUP($D22,'Rent Adjustment Worksheet'!$B:$C,2,FALSE),0)</f>
        <v>0</v>
      </c>
    </row>
    <row r="23" spans="2:15" x14ac:dyDescent="0.35">
      <c r="B23" s="231">
        <v>10</v>
      </c>
      <c r="C23" s="232"/>
      <c r="D23" s="233" t="s">
        <v>117</v>
      </c>
      <c r="E23" s="232"/>
      <c r="F23" s="134" t="s">
        <v>118</v>
      </c>
      <c r="G23" s="132" t="s">
        <v>118</v>
      </c>
      <c r="H23" s="54" t="e">
        <f>#REF!</f>
        <v>#REF!</v>
      </c>
      <c r="I23" s="128" t="e">
        <f>#REF!</f>
        <v>#REF!</v>
      </c>
      <c r="J23" s="132" t="s">
        <v>118</v>
      </c>
      <c r="K23" s="54" t="e">
        <f>#REF!</f>
        <v>#REF!</v>
      </c>
      <c r="L23" s="56" t="e">
        <f>#REF!</f>
        <v>#REF!</v>
      </c>
      <c r="M23" s="130" t="s">
        <v>118</v>
      </c>
      <c r="N23" s="54" t="e">
        <f>#REF!</f>
        <v>#REF!</v>
      </c>
      <c r="O23" s="56" t="e">
        <f>#REF!</f>
        <v>#REF!</v>
      </c>
    </row>
    <row r="24" spans="2:15" x14ac:dyDescent="0.35">
      <c r="B24" s="231">
        <v>11</v>
      </c>
      <c r="C24" s="232"/>
      <c r="D24" s="233" t="s">
        <v>28</v>
      </c>
      <c r="E24" s="232"/>
      <c r="F24" s="134" t="s">
        <v>115</v>
      </c>
      <c r="G24" s="132" t="s">
        <v>115</v>
      </c>
      <c r="H24" s="54">
        <f>IF(AND($F24="N",G24="Y"),-VLOOKUP($D24,'Rent Adjustment Worksheet'!$B:$C,2,FALSE),0)</f>
        <v>0</v>
      </c>
      <c r="I24" s="128">
        <f>IF(AND($F24="Y",G24="N"),VLOOKUP($D24,'Rent Adjustment Worksheet'!$B:$C,2,FALSE),0)</f>
        <v>0</v>
      </c>
      <c r="J24" s="132" t="s">
        <v>115</v>
      </c>
      <c r="K24" s="54">
        <f>IF(AND($F24="N",J24="Y"),-VLOOKUP($D24,'Rent Adjustment Worksheet'!$B:$C,2,FALSE),0)</f>
        <v>0</v>
      </c>
      <c r="L24" s="56">
        <f>IF(AND($F24="Y",J24="N"),VLOOKUP($D24,'Rent Adjustment Worksheet'!$B:$C,2,FALSE),0)</f>
        <v>0</v>
      </c>
      <c r="M24" s="130" t="s">
        <v>115</v>
      </c>
      <c r="N24" s="54">
        <f>IF(AND($F24="N",M24="Y"),-VLOOKUP($D24,'Rent Adjustment Worksheet'!$B:$C,2,FALSE),0)</f>
        <v>0</v>
      </c>
      <c r="O24" s="56">
        <f>IF(AND($F24="Y",M24="N"),VLOOKUP($D24,'Rent Adjustment Worksheet'!$B:$C,2,FALSE),0)</f>
        <v>0</v>
      </c>
    </row>
    <row r="25" spans="2:15" x14ac:dyDescent="0.35">
      <c r="B25" s="231">
        <v>12</v>
      </c>
      <c r="C25" s="232"/>
      <c r="D25" s="233" t="s">
        <v>119</v>
      </c>
      <c r="E25" s="232"/>
      <c r="F25" s="134" t="s">
        <v>115</v>
      </c>
      <c r="G25" s="132" t="s">
        <v>115</v>
      </c>
      <c r="H25" s="54">
        <f>IF(AND($F25="N",G25="Y"),-VLOOKUP($D25,'Rent Adjustment Worksheet'!$B:$C,2,FALSE),0)</f>
        <v>0</v>
      </c>
      <c r="I25" s="128">
        <f>IF(AND($F25="Y",G25="N"),VLOOKUP($D25,'Rent Adjustment Worksheet'!$B:$C,2,FALSE),0)</f>
        <v>0</v>
      </c>
      <c r="J25" s="132" t="s">
        <v>115</v>
      </c>
      <c r="K25" s="54">
        <f>IF(AND($F25="N",J25="Y"),-VLOOKUP($D25,'Rent Adjustment Worksheet'!$B:$C,2,FALSE),0)</f>
        <v>0</v>
      </c>
      <c r="L25" s="56">
        <f>IF(AND($F25="Y",J25="N"),VLOOKUP($D25,'Rent Adjustment Worksheet'!$B:$C,2,FALSE),0)</f>
        <v>0</v>
      </c>
      <c r="M25" s="130" t="s">
        <v>115</v>
      </c>
      <c r="N25" s="54">
        <f>IF(AND($F25="N",M25="Y"),-VLOOKUP($D25,'Rent Adjustment Worksheet'!$B:$C,2,FALSE),0)</f>
        <v>0</v>
      </c>
      <c r="O25" s="56">
        <f>IF(AND($F25="Y",M25="N"),VLOOKUP($D25,'Rent Adjustment Worksheet'!$B:$C,2,FALSE),0)</f>
        <v>0</v>
      </c>
    </row>
    <row r="26" spans="2:15" x14ac:dyDescent="0.35">
      <c r="B26" s="231">
        <v>13</v>
      </c>
      <c r="C26" s="232"/>
      <c r="D26" s="233" t="s">
        <v>32</v>
      </c>
      <c r="E26" s="232"/>
      <c r="F26" s="134" t="s">
        <v>115</v>
      </c>
      <c r="G26" s="132" t="s">
        <v>115</v>
      </c>
      <c r="H26" s="54">
        <f>IF(AND($F26="N",G26="Y"),-VLOOKUP($D26,'Rent Adjustment Worksheet'!$B:$C,2,FALSE),0)</f>
        <v>0</v>
      </c>
      <c r="I26" s="128">
        <f>IF(AND($F26="Y",G26="N"),VLOOKUP($D26,'Rent Adjustment Worksheet'!$B:$C,2,FALSE),0)</f>
        <v>0</v>
      </c>
      <c r="J26" s="132" t="s">
        <v>115</v>
      </c>
      <c r="K26" s="54">
        <f>IF(AND($F26="N",J26="Y"),-VLOOKUP($D26,'Rent Adjustment Worksheet'!$B:$C,2,FALSE),0)</f>
        <v>0</v>
      </c>
      <c r="L26" s="56">
        <f>IF(AND($F26="Y",J26="N"),VLOOKUP($D26,'Rent Adjustment Worksheet'!$B:$C,2,FALSE),0)</f>
        <v>0</v>
      </c>
      <c r="M26" s="130" t="s">
        <v>115</v>
      </c>
      <c r="N26" s="54">
        <f>IF(AND($F26="N",M26="Y"),-VLOOKUP($D26,'Rent Adjustment Worksheet'!$B:$C,2,FALSE),0)</f>
        <v>0</v>
      </c>
      <c r="O26" s="56">
        <f>IF(AND($F26="Y",M26="N"),VLOOKUP($D26,'Rent Adjustment Worksheet'!$B:$C,2,FALSE),0)</f>
        <v>0</v>
      </c>
    </row>
    <row r="27" spans="2:15" x14ac:dyDescent="0.35">
      <c r="B27" s="231">
        <v>14</v>
      </c>
      <c r="C27" s="232"/>
      <c r="D27" s="233" t="s">
        <v>34</v>
      </c>
      <c r="E27" s="232"/>
      <c r="F27" s="134" t="s">
        <v>115</v>
      </c>
      <c r="G27" s="132" t="s">
        <v>115</v>
      </c>
      <c r="H27" s="54">
        <f>IF(AND($F27="N",G27="Y"),-VLOOKUP($D27,'Rent Adjustment Worksheet'!$B:$C,2,FALSE),0)</f>
        <v>0</v>
      </c>
      <c r="I27" s="128">
        <f>IF(AND($F27="Y",G27="N"),VLOOKUP($D27,'Rent Adjustment Worksheet'!$B:$C,2,FALSE),0)</f>
        <v>0</v>
      </c>
      <c r="J27" s="132" t="s">
        <v>115</v>
      </c>
      <c r="K27" s="54">
        <f>IF(AND($F27="N",J27="Y"),-VLOOKUP($D27,'Rent Adjustment Worksheet'!$B:$C,2,FALSE),0)</f>
        <v>0</v>
      </c>
      <c r="L27" s="56">
        <f>IF(AND($F27="Y",J27="N"),VLOOKUP($D27,'Rent Adjustment Worksheet'!$B:$C,2,FALSE),0)</f>
        <v>0</v>
      </c>
      <c r="M27" s="130" t="s">
        <v>115</v>
      </c>
      <c r="N27" s="54">
        <f>IF(AND($F27="N",M27="Y"),-VLOOKUP($D27,'Rent Adjustment Worksheet'!$B:$C,2,FALSE),0)</f>
        <v>0</v>
      </c>
      <c r="O27" s="56">
        <f>IF(AND($F27="Y",M27="N"),VLOOKUP($D27,'Rent Adjustment Worksheet'!$B:$C,2,FALSE),0)</f>
        <v>0</v>
      </c>
    </row>
    <row r="28" spans="2:15" x14ac:dyDescent="0.35">
      <c r="B28" s="231">
        <v>15</v>
      </c>
      <c r="C28" s="232"/>
      <c r="D28" s="233" t="s">
        <v>36</v>
      </c>
      <c r="E28" s="232"/>
      <c r="F28" s="134" t="s">
        <v>115</v>
      </c>
      <c r="G28" s="132" t="s">
        <v>115</v>
      </c>
      <c r="H28" s="54">
        <f>IF(AND($F28="N",G28="Y"),-VLOOKUP($D28,'Rent Adjustment Worksheet'!$B:$C,2,FALSE),0)</f>
        <v>0</v>
      </c>
      <c r="I28" s="128">
        <f>IF(AND($F28="Y",G28="N"),VLOOKUP($D28,'Rent Adjustment Worksheet'!$B:$C,2,FALSE),0)</f>
        <v>0</v>
      </c>
      <c r="J28" s="132" t="s">
        <v>115</v>
      </c>
      <c r="K28" s="54">
        <f>IF(AND($F28="N",J28="Y"),-VLOOKUP($D28,'Rent Adjustment Worksheet'!$B:$C,2,FALSE),0)</f>
        <v>0</v>
      </c>
      <c r="L28" s="56">
        <f>IF(AND($F28="Y",J28="N"),VLOOKUP($D28,'Rent Adjustment Worksheet'!$B:$C,2,FALSE),0)</f>
        <v>0</v>
      </c>
      <c r="M28" s="130" t="s">
        <v>115</v>
      </c>
      <c r="N28" s="54">
        <f>IF(AND($F28="N",M28="Y"),-VLOOKUP($D28,'Rent Adjustment Worksheet'!$B:$C,2,FALSE),0)</f>
        <v>0</v>
      </c>
      <c r="O28" s="56">
        <f>IF(AND($F28="Y",M28="N"),VLOOKUP($D28,'Rent Adjustment Worksheet'!$B:$C,2,FALSE),0)</f>
        <v>0</v>
      </c>
    </row>
    <row r="29" spans="2:15" x14ac:dyDescent="0.35">
      <c r="B29" s="231">
        <v>16</v>
      </c>
      <c r="C29" s="232"/>
      <c r="D29" s="233" t="s">
        <v>38</v>
      </c>
      <c r="E29" s="232"/>
      <c r="F29" s="134" t="s">
        <v>115</v>
      </c>
      <c r="G29" s="132" t="s">
        <v>115</v>
      </c>
      <c r="H29" s="54">
        <f>IF(AND($F29="N",G29="Y"),-VLOOKUP($D29,'Rent Adjustment Worksheet'!$B:$C,2,FALSE),0)</f>
        <v>0</v>
      </c>
      <c r="I29" s="128">
        <f>IF(AND($F29="Y",G29="N"),VLOOKUP($D29,'Rent Adjustment Worksheet'!$B:$C,2,FALSE),0)</f>
        <v>0</v>
      </c>
      <c r="J29" s="132" t="s">
        <v>115</v>
      </c>
      <c r="K29" s="54">
        <f>IF(AND($F29="N",J29="Y"),-VLOOKUP($D29,'Rent Adjustment Worksheet'!$B:$C,2,FALSE),0)</f>
        <v>0</v>
      </c>
      <c r="L29" s="56">
        <f>IF(AND($F29="Y",J29="N"),VLOOKUP($D29,'Rent Adjustment Worksheet'!$B:$C,2,FALSE),0)</f>
        <v>0</v>
      </c>
      <c r="M29" s="130" t="s">
        <v>115</v>
      </c>
      <c r="N29" s="54">
        <f>IF(AND($F29="N",M29="Y"),-VLOOKUP($D29,'Rent Adjustment Worksheet'!$B:$C,2,FALSE),0)</f>
        <v>0</v>
      </c>
      <c r="O29" s="56">
        <f>IF(AND($F29="Y",M29="N"),VLOOKUP($D29,'Rent Adjustment Worksheet'!$B:$C,2,FALSE),0)</f>
        <v>0</v>
      </c>
    </row>
    <row r="30" spans="2:15" x14ac:dyDescent="0.35">
      <c r="B30" s="231">
        <v>17</v>
      </c>
      <c r="C30" s="232"/>
      <c r="D30" s="233" t="s">
        <v>39</v>
      </c>
      <c r="E30" s="232"/>
      <c r="F30" s="134" t="s">
        <v>115</v>
      </c>
      <c r="G30" s="132" t="s">
        <v>115</v>
      </c>
      <c r="H30" s="54">
        <f>IF(AND($F30="N",G30="Y"),-VLOOKUP($D30,'Rent Adjustment Worksheet'!$B:$C,2,FALSE),0)</f>
        <v>0</v>
      </c>
      <c r="I30" s="128">
        <f>IF(AND($F30="Y",G30="N"),VLOOKUP($D30,'Rent Adjustment Worksheet'!$B:$C,2,FALSE),0)</f>
        <v>0</v>
      </c>
      <c r="J30" s="132" t="s">
        <v>115</v>
      </c>
      <c r="K30" s="54">
        <f>IF(AND($F30="N",J30="Y"),-VLOOKUP($D30,'Rent Adjustment Worksheet'!$B:$C,2,FALSE),0)</f>
        <v>0</v>
      </c>
      <c r="L30" s="56">
        <f>IF(AND($F30="Y",J30="N"),VLOOKUP($D30,'Rent Adjustment Worksheet'!$B:$C,2,FALSE),0)</f>
        <v>0</v>
      </c>
      <c r="M30" s="130" t="s">
        <v>115</v>
      </c>
      <c r="N30" s="54">
        <f>IF(AND($F30="N",M30="Y"),-VLOOKUP($D30,'Rent Adjustment Worksheet'!$B:$C,2,FALSE),0)</f>
        <v>0</v>
      </c>
      <c r="O30" s="56">
        <f>IF(AND($F30="Y",M30="N"),VLOOKUP($D30,'Rent Adjustment Worksheet'!$B:$C,2,FALSE),0)</f>
        <v>0</v>
      </c>
    </row>
    <row r="31" spans="2:15" x14ac:dyDescent="0.35">
      <c r="B31" s="231">
        <v>18</v>
      </c>
      <c r="C31" s="232"/>
      <c r="D31" s="233" t="s">
        <v>41</v>
      </c>
      <c r="E31" s="232"/>
      <c r="F31" s="134" t="s">
        <v>115</v>
      </c>
      <c r="G31" s="132" t="s">
        <v>115</v>
      </c>
      <c r="H31" s="54">
        <f>IF(AND($F31="N",G31="Y"),-VLOOKUP($D31,'Rent Adjustment Worksheet'!$B:$C,2,FALSE),0)</f>
        <v>0</v>
      </c>
      <c r="I31" s="128">
        <f>IF(AND($F31="Y",G31="N"),VLOOKUP($D31,'Rent Adjustment Worksheet'!$B:$C,2,FALSE),0)</f>
        <v>0</v>
      </c>
      <c r="J31" s="132" t="s">
        <v>115</v>
      </c>
      <c r="K31" s="54">
        <f>IF(AND($F31="N",J31="Y"),-VLOOKUP($D31,'Rent Adjustment Worksheet'!$B:$C,2,FALSE),0)</f>
        <v>0</v>
      </c>
      <c r="L31" s="56">
        <f>IF(AND($F31="Y",J31="N"),VLOOKUP($D31,'Rent Adjustment Worksheet'!$B:$C,2,FALSE),0)</f>
        <v>0</v>
      </c>
      <c r="M31" s="130" t="s">
        <v>115</v>
      </c>
      <c r="N31" s="54">
        <f>IF(AND($F31="N",M31="Y"),-VLOOKUP($D31,'Rent Adjustment Worksheet'!$B:$C,2,FALSE),0)</f>
        <v>0</v>
      </c>
      <c r="O31" s="56">
        <f>IF(AND($F31="Y",M31="N"),VLOOKUP($D31,'Rent Adjustment Worksheet'!$B:$C,2,FALSE),0)</f>
        <v>0</v>
      </c>
    </row>
    <row r="32" spans="2:15" x14ac:dyDescent="0.35">
      <c r="B32" s="231">
        <v>19</v>
      </c>
      <c r="C32" s="232"/>
      <c r="D32" s="233" t="s">
        <v>43</v>
      </c>
      <c r="E32" s="232"/>
      <c r="F32" s="134" t="s">
        <v>115</v>
      </c>
      <c r="G32" s="132" t="s">
        <v>115</v>
      </c>
      <c r="H32" s="54">
        <f>IF(AND($F32="N",G32="Y"),-VLOOKUP($D32,'Rent Adjustment Worksheet'!$B:$C,2,FALSE),0)</f>
        <v>0</v>
      </c>
      <c r="I32" s="128">
        <f>IF(AND($F32="Y",G32="N"),VLOOKUP($D32,'Rent Adjustment Worksheet'!$B:$C,2,FALSE),0)</f>
        <v>0</v>
      </c>
      <c r="J32" s="132" t="s">
        <v>115</v>
      </c>
      <c r="K32" s="54">
        <f>IF(AND($F32="N",J32="Y"),-VLOOKUP($D32,'Rent Adjustment Worksheet'!$B:$C,2,FALSE),0)</f>
        <v>0</v>
      </c>
      <c r="L32" s="56">
        <f>IF(AND($F32="Y",J32="N"),VLOOKUP($D32,'Rent Adjustment Worksheet'!$B:$C,2,FALSE),0)</f>
        <v>0</v>
      </c>
      <c r="M32" s="130" t="s">
        <v>115</v>
      </c>
      <c r="N32" s="54">
        <f>IF(AND($F32="N",M32="Y"),-VLOOKUP($D32,'Rent Adjustment Worksheet'!$B:$C,2,FALSE),0)</f>
        <v>0</v>
      </c>
      <c r="O32" s="56">
        <f>IF(AND($F32="Y",M32="N"),VLOOKUP($D32,'Rent Adjustment Worksheet'!$B:$C,2,FALSE),0)</f>
        <v>0</v>
      </c>
    </row>
    <row r="33" spans="2:15" x14ac:dyDescent="0.35">
      <c r="B33" s="238" t="s">
        <v>120</v>
      </c>
      <c r="C33" s="239"/>
      <c r="D33" s="239"/>
      <c r="E33" s="239"/>
      <c r="F33" s="239"/>
      <c r="G33" s="239"/>
      <c r="H33" s="239"/>
      <c r="I33" s="239"/>
      <c r="J33" s="239"/>
      <c r="K33" s="239"/>
      <c r="L33" s="239"/>
      <c r="M33" s="239"/>
      <c r="N33" s="239"/>
      <c r="O33" s="240"/>
    </row>
    <row r="34" spans="2:15" x14ac:dyDescent="0.35">
      <c r="B34" s="231">
        <f>B32+1</f>
        <v>20</v>
      </c>
      <c r="C34" s="232"/>
      <c r="D34" s="233" t="s">
        <v>121</v>
      </c>
      <c r="E34" s="232"/>
      <c r="F34" s="134" t="s">
        <v>115</v>
      </c>
      <c r="G34" s="132" t="s">
        <v>115</v>
      </c>
      <c r="H34" s="54">
        <f>IF(AND($F34="N",G34="Y"),-VLOOKUP($D34,'Rent Adjustment Worksheet'!$B:$C,2,FALSE),0)</f>
        <v>0</v>
      </c>
      <c r="I34" s="56">
        <f>IF(AND($F34="Y",G34="N"),VLOOKUP($D34,'Rent Adjustment Worksheet'!$B:$C,2,FALSE),0)</f>
        <v>0</v>
      </c>
      <c r="J34" s="130" t="s">
        <v>115</v>
      </c>
      <c r="K34" s="54">
        <f>IF(AND($F34="N",J34="Y"),-VLOOKUP($D34,'Rent Adjustment Worksheet'!$B:$C,2,FALSE),0)</f>
        <v>0</v>
      </c>
      <c r="L34" s="128">
        <f>IF(AND($F34="Y",J34="N"),VLOOKUP($D34,'Rent Adjustment Worksheet'!$B:$C,2,FALSE),0)</f>
        <v>0</v>
      </c>
      <c r="M34" s="132" t="s">
        <v>115</v>
      </c>
      <c r="N34" s="54">
        <f>IF(AND($F34="N",M34="Y"),-VLOOKUP($D34,'Rent Adjustment Worksheet'!$B:$C,2,FALSE),0)</f>
        <v>0</v>
      </c>
      <c r="O34" s="56">
        <f>IF(AND($F34="Y",M34="N"),VLOOKUP($D34,'Rent Adjustment Worksheet'!$B:$C,2,FALSE),0)</f>
        <v>0</v>
      </c>
    </row>
    <row r="35" spans="2:15" x14ac:dyDescent="0.35">
      <c r="B35" s="231">
        <f>B34+1</f>
        <v>21</v>
      </c>
      <c r="C35" s="232"/>
      <c r="D35" s="233" t="s">
        <v>122</v>
      </c>
      <c r="E35" s="232"/>
      <c r="F35" s="134" t="s">
        <v>115</v>
      </c>
      <c r="G35" s="132" t="s">
        <v>115</v>
      </c>
      <c r="H35" s="54">
        <f>IF(AND($F35="N",G35="Y"),-VLOOKUP($D35,'Rent Adjustment Worksheet'!$B:$C,2,FALSE),0)</f>
        <v>0</v>
      </c>
      <c r="I35" s="56">
        <f>IF(AND($F35="Y",G35="N"),VLOOKUP($D35,'Rent Adjustment Worksheet'!$B:$C,2,FALSE),0)</f>
        <v>0</v>
      </c>
      <c r="J35" s="130" t="s">
        <v>115</v>
      </c>
      <c r="K35" s="54">
        <f>IF(AND($F35="N",J35="Y"),-VLOOKUP($D35,'Rent Adjustment Worksheet'!$B:$C,2,FALSE),0)</f>
        <v>0</v>
      </c>
      <c r="L35" s="128">
        <f>IF(AND($F35="Y",J35="N"),VLOOKUP($D35,'Rent Adjustment Worksheet'!$B:$C,2,FALSE),0)</f>
        <v>0</v>
      </c>
      <c r="M35" s="132" t="s">
        <v>115</v>
      </c>
      <c r="N35" s="54">
        <f>IF(AND($F35="N",M35="Y"),-VLOOKUP($D35,'Rent Adjustment Worksheet'!$B:$C,2,FALSE),0)</f>
        <v>0</v>
      </c>
      <c r="O35" s="56">
        <f>IF(AND($F35="Y",M35="N"),VLOOKUP($D35,'Rent Adjustment Worksheet'!$B:$C,2,FALSE),0)</f>
        <v>0</v>
      </c>
    </row>
    <row r="36" spans="2:15" x14ac:dyDescent="0.35">
      <c r="B36" s="231">
        <f t="shared" ref="B36:B40" si="0">B35+1</f>
        <v>22</v>
      </c>
      <c r="C36" s="232"/>
      <c r="D36" s="233" t="s">
        <v>68</v>
      </c>
      <c r="E36" s="232"/>
      <c r="F36" s="134" t="s">
        <v>115</v>
      </c>
      <c r="G36" s="132" t="s">
        <v>115</v>
      </c>
      <c r="H36" s="54">
        <f>IF(AND($F36="N",G36="Y"),-VLOOKUP($D36,'Rent Adjustment Worksheet'!$B:$C,2,FALSE),0)</f>
        <v>0</v>
      </c>
      <c r="I36" s="56">
        <f>IF(AND($F36="Y",G36="N"),VLOOKUP($D36,'Rent Adjustment Worksheet'!$B:$C,2,FALSE),0)</f>
        <v>0</v>
      </c>
      <c r="J36" s="130" t="s">
        <v>115</v>
      </c>
      <c r="K36" s="54">
        <f>IF(AND($F36="N",J36="Y"),-VLOOKUP($D36,'Rent Adjustment Worksheet'!$B:$C,2,FALSE),0)</f>
        <v>0</v>
      </c>
      <c r="L36" s="128">
        <f>IF(AND($F36="Y",J36="N"),VLOOKUP($D36,'Rent Adjustment Worksheet'!$B:$C,2,FALSE),0)</f>
        <v>0</v>
      </c>
      <c r="M36" s="132" t="s">
        <v>115</v>
      </c>
      <c r="N36" s="54">
        <f>IF(AND($F36="N",M36="Y"),-VLOOKUP($D36,'Rent Adjustment Worksheet'!$B:$C,2,FALSE),0)</f>
        <v>0</v>
      </c>
      <c r="O36" s="56">
        <f>IF(AND($F36="Y",M36="N"),VLOOKUP($D36,'Rent Adjustment Worksheet'!$B:$C,2,FALSE),0)</f>
        <v>0</v>
      </c>
    </row>
    <row r="37" spans="2:15" x14ac:dyDescent="0.35">
      <c r="B37" s="231">
        <f t="shared" si="0"/>
        <v>23</v>
      </c>
      <c r="C37" s="232"/>
      <c r="D37" s="233" t="s">
        <v>69</v>
      </c>
      <c r="E37" s="232"/>
      <c r="F37" s="134" t="s">
        <v>115</v>
      </c>
      <c r="G37" s="132" t="s">
        <v>115</v>
      </c>
      <c r="H37" s="54">
        <f>IF(AND($F37="N",G37="Y"),-VLOOKUP($D37,'Rent Adjustment Worksheet'!$B:$C,2,FALSE),0)</f>
        <v>0</v>
      </c>
      <c r="I37" s="56">
        <f>IF(AND($F37="Y",G37="N"),VLOOKUP($D37,'Rent Adjustment Worksheet'!$B:$C,2,FALSE),0)</f>
        <v>0</v>
      </c>
      <c r="J37" s="130" t="s">
        <v>115</v>
      </c>
      <c r="K37" s="54">
        <f>IF(AND($F37="N",J37="Y"),-VLOOKUP($D37,'Rent Adjustment Worksheet'!$B:$C,2,FALSE),0)</f>
        <v>0</v>
      </c>
      <c r="L37" s="128">
        <f>IF(AND($F37="Y",J37="N"),VLOOKUP($D37,'Rent Adjustment Worksheet'!$B:$C,2,FALSE),0)</f>
        <v>0</v>
      </c>
      <c r="M37" s="132" t="s">
        <v>115</v>
      </c>
      <c r="N37" s="54">
        <f>IF(AND($F37="N",M37="Y"),-VLOOKUP($D37,'Rent Adjustment Worksheet'!$B:$C,2,FALSE),0)</f>
        <v>0</v>
      </c>
      <c r="O37" s="56">
        <f>IF(AND($F37="Y",M37="N"),VLOOKUP($D37,'Rent Adjustment Worksheet'!$B:$C,2,FALSE),0)</f>
        <v>0</v>
      </c>
    </row>
    <row r="38" spans="2:15" x14ac:dyDescent="0.35">
      <c r="B38" s="231">
        <f t="shared" si="0"/>
        <v>24</v>
      </c>
      <c r="C38" s="232"/>
      <c r="D38" s="233" t="s">
        <v>70</v>
      </c>
      <c r="E38" s="232"/>
      <c r="F38" s="134" t="s">
        <v>115</v>
      </c>
      <c r="G38" s="132" t="s">
        <v>115</v>
      </c>
      <c r="H38" s="54">
        <f>IF(AND($F38="N",G38="Y"),-VLOOKUP($D38,'Rent Adjustment Worksheet'!$B:$C,2,FALSE),0)</f>
        <v>0</v>
      </c>
      <c r="I38" s="56">
        <f>IF(AND($F38="Y",G38="N"),VLOOKUP($D38,'Rent Adjustment Worksheet'!$B:$C,2,FALSE),0)</f>
        <v>0</v>
      </c>
      <c r="J38" s="130" t="s">
        <v>115</v>
      </c>
      <c r="K38" s="54">
        <f>IF(AND($F38="N",J38="Y"),-VLOOKUP($D38,'Rent Adjustment Worksheet'!$B:$C,2,FALSE),0)</f>
        <v>0</v>
      </c>
      <c r="L38" s="128">
        <f>IF(AND($F38="Y",J38="N"),VLOOKUP($D38,'Rent Adjustment Worksheet'!$B:$C,2,FALSE),0)</f>
        <v>0</v>
      </c>
      <c r="M38" s="132" t="s">
        <v>115</v>
      </c>
      <c r="N38" s="54">
        <f>IF(AND($F38="N",M38="Y"),-VLOOKUP($D38,'Rent Adjustment Worksheet'!$B:$C,2,FALSE),0)</f>
        <v>0</v>
      </c>
      <c r="O38" s="56">
        <f>IF(AND($F38="Y",M38="N"),VLOOKUP($D38,'Rent Adjustment Worksheet'!$B:$C,2,FALSE),0)</f>
        <v>0</v>
      </c>
    </row>
    <row r="39" spans="2:15" x14ac:dyDescent="0.35">
      <c r="B39" s="231">
        <f t="shared" si="0"/>
        <v>25</v>
      </c>
      <c r="C39" s="232"/>
      <c r="D39" s="233" t="s">
        <v>71</v>
      </c>
      <c r="E39" s="232"/>
      <c r="F39" s="134" t="s">
        <v>115</v>
      </c>
      <c r="G39" s="132" t="s">
        <v>115</v>
      </c>
      <c r="H39" s="54">
        <f>IF(AND($F39="N",G39="Y"),-VLOOKUP($D39,'Rent Adjustment Worksheet'!$B:$C,2,FALSE),0)</f>
        <v>0</v>
      </c>
      <c r="I39" s="56">
        <f>IF(AND($F39="Y",G39="N"),VLOOKUP($D39,'Rent Adjustment Worksheet'!$B:$C,2,FALSE),0)</f>
        <v>0</v>
      </c>
      <c r="J39" s="130" t="s">
        <v>115</v>
      </c>
      <c r="K39" s="54">
        <f>IF(AND($F39="N",J39="Y"),-VLOOKUP($D39,'Rent Adjustment Worksheet'!$B:$C,2,FALSE),0)</f>
        <v>0</v>
      </c>
      <c r="L39" s="128">
        <f>IF(AND($F39="Y",J39="N"),VLOOKUP($D39,'Rent Adjustment Worksheet'!$B:$C,2,FALSE),0)</f>
        <v>0</v>
      </c>
      <c r="M39" s="132" t="s">
        <v>115</v>
      </c>
      <c r="N39" s="54">
        <f>IF(AND($F39="N",M39="Y"),-VLOOKUP($D39,'Rent Adjustment Worksheet'!$B:$C,2,FALSE),0)</f>
        <v>0</v>
      </c>
      <c r="O39" s="56">
        <f>IF(AND($F39="Y",M39="N"),VLOOKUP($D39,'Rent Adjustment Worksheet'!$B:$C,2,FALSE),0)</f>
        <v>0</v>
      </c>
    </row>
    <row r="40" spans="2:15" x14ac:dyDescent="0.35">
      <c r="B40" s="231">
        <f t="shared" si="0"/>
        <v>26</v>
      </c>
      <c r="C40" s="232"/>
      <c r="D40" s="233" t="s">
        <v>47</v>
      </c>
      <c r="E40" s="232"/>
      <c r="F40" s="134" t="s">
        <v>115</v>
      </c>
      <c r="G40" s="132" t="s">
        <v>115</v>
      </c>
      <c r="H40" s="54">
        <f>IF(AND($F40="N",G40="Y"),-VLOOKUP($D40,'Rent Adjustment Worksheet'!$B:$C,2,FALSE),0)</f>
        <v>0</v>
      </c>
      <c r="I40" s="56">
        <f>IF(AND($F40="Y",G40="N"),VLOOKUP($D40,'Rent Adjustment Worksheet'!$B:$C,2,FALSE),0)</f>
        <v>0</v>
      </c>
      <c r="J40" s="130" t="s">
        <v>115</v>
      </c>
      <c r="K40" s="54">
        <f>IF(AND($F40="N",J40="Y"),-VLOOKUP($D40,'Rent Adjustment Worksheet'!$B:$C,2,FALSE),0)</f>
        <v>0</v>
      </c>
      <c r="L40" s="128">
        <f>IF(AND($F40="Y",J40="N"),VLOOKUP($D40,'Rent Adjustment Worksheet'!$B:$C,2,FALSE),0)</f>
        <v>0</v>
      </c>
      <c r="M40" s="132" t="s">
        <v>115</v>
      </c>
      <c r="N40" s="54">
        <f>IF(AND($F40="N",M40="Y"),-VLOOKUP($D40,'Rent Adjustment Worksheet'!$B:$C,2,FALSE),0)</f>
        <v>0</v>
      </c>
      <c r="O40" s="56">
        <f>IF(AND($F40="Y",M40="N"),VLOOKUP($D40,'Rent Adjustment Worksheet'!$B:$C,2,FALSE),0)</f>
        <v>0</v>
      </c>
    </row>
    <row r="41" spans="2:15" x14ac:dyDescent="0.35">
      <c r="B41" s="238" t="s">
        <v>123</v>
      </c>
      <c r="C41" s="239"/>
      <c r="D41" s="239"/>
      <c r="E41" s="239"/>
      <c r="F41" s="239"/>
      <c r="G41" s="239"/>
      <c r="H41" s="239"/>
      <c r="I41" s="239"/>
      <c r="J41" s="239"/>
      <c r="K41" s="239"/>
      <c r="L41" s="239"/>
      <c r="M41" s="239"/>
      <c r="N41" s="239"/>
      <c r="O41" s="240"/>
    </row>
    <row r="42" spans="2:15" x14ac:dyDescent="0.35">
      <c r="B42" s="231">
        <v>27</v>
      </c>
      <c r="C42" s="232"/>
      <c r="D42" s="261" t="str">
        <f>IF(OR('Rent Adjustment Worksheet'!$B25="PHA write-in (if Applicable)",'Rent Adjustment Worksheet'!$B25=""),"",'Rent Adjustment Worksheet'!$B25)</f>
        <v/>
      </c>
      <c r="E42" s="262"/>
      <c r="F42" s="134" t="s">
        <v>115</v>
      </c>
      <c r="G42" s="132" t="s">
        <v>115</v>
      </c>
      <c r="H42" s="54">
        <f>IF($D42="",0,IF(AND($F42="N",G42="Y"),-VLOOKUP($D42,'Rent Adjustment Worksheet'!$B:$C,2,FALSE),0))</f>
        <v>0</v>
      </c>
      <c r="I42" s="56">
        <f>IF($D42="",0,IF(AND($F42="Y",G42="N"),VLOOKUP($D42,'Rent Adjustment Worksheet'!$B:$C,2,FALSE),0))</f>
        <v>0</v>
      </c>
      <c r="J42" s="130" t="s">
        <v>115</v>
      </c>
      <c r="K42" s="54">
        <f>IF($D42="",0,IF(AND($F42="N",J42="Y"),-VLOOKUP($D42,'Rent Adjustment Worksheet'!$B:$C,2,FALSE),0))</f>
        <v>0</v>
      </c>
      <c r="L42" s="128">
        <f>IF($D42="",0,IF(AND($F42="Y",J42="N"),VLOOKUP($D42,'Rent Adjustment Worksheet'!$B:$C,2,FALSE),0))</f>
        <v>0</v>
      </c>
      <c r="M42" s="132" t="s">
        <v>115</v>
      </c>
      <c r="N42" s="54">
        <f>IF($D42="",0,IF(AND($F42="N",M42="Y"),-VLOOKUP($D42,'Rent Adjustment Worksheet'!$B:$C,2,FALSE),0))</f>
        <v>0</v>
      </c>
      <c r="O42" s="56">
        <f>IF($D42="",0,IF(AND($F42="Y",M42="N"),VLOOKUP($D42,'Rent Adjustment Worksheet'!$B:$C,2,FALSE),0))</f>
        <v>0</v>
      </c>
    </row>
    <row r="43" spans="2:15" x14ac:dyDescent="0.35">
      <c r="B43" s="231">
        <v>28</v>
      </c>
      <c r="C43" s="232"/>
      <c r="D43" s="261" t="str">
        <f>IF(OR('Rent Adjustment Worksheet'!$B26="PHA write-in (if Applicable)",'Rent Adjustment Worksheet'!$B26=""),"",'Rent Adjustment Worksheet'!$B26)</f>
        <v/>
      </c>
      <c r="E43" s="262"/>
      <c r="F43" s="134" t="s">
        <v>115</v>
      </c>
      <c r="G43" s="132" t="s">
        <v>115</v>
      </c>
      <c r="H43" s="54">
        <f>IF($D43="",0,IF(AND($F43="N",G43="Y"),-VLOOKUP($D43,'Rent Adjustment Worksheet'!$B:$C,2,FALSE),0))</f>
        <v>0</v>
      </c>
      <c r="I43" s="56">
        <f>IF($D43="",0,IF(AND($F43="Y",G43="N"),VLOOKUP($D43,'Rent Adjustment Worksheet'!$B:$C,2,FALSE),0))</f>
        <v>0</v>
      </c>
      <c r="J43" s="130" t="s">
        <v>115</v>
      </c>
      <c r="K43" s="54">
        <f>IF($D43="",0,IF(AND($F43="N",J43="Y"),-VLOOKUP($D43,'Rent Adjustment Worksheet'!$B:$C,2,FALSE),0))</f>
        <v>0</v>
      </c>
      <c r="L43" s="128">
        <f>IF($D43="",0,IF(AND($F43="Y",J43="N"),VLOOKUP($D43,'Rent Adjustment Worksheet'!$B:$C,2,FALSE),0))</f>
        <v>0</v>
      </c>
      <c r="M43" s="132" t="s">
        <v>115</v>
      </c>
      <c r="N43" s="54">
        <f>IF($D43="",0,IF(AND($F43="N",M43="Y"),-VLOOKUP($D43,'Rent Adjustment Worksheet'!$B:$C,2,FALSE),0))</f>
        <v>0</v>
      </c>
      <c r="O43" s="56">
        <f>IF($D43="",0,IF(AND($F43="Y",M43="N"),VLOOKUP($D43,'Rent Adjustment Worksheet'!$B:$C,2,FALSE),0))</f>
        <v>0</v>
      </c>
    </row>
    <row r="44" spans="2:15" x14ac:dyDescent="0.35">
      <c r="B44" s="231">
        <v>29</v>
      </c>
      <c r="C44" s="232"/>
      <c r="D44" s="261" t="str">
        <f>IF(OR('Rent Adjustment Worksheet'!$B27="PHA write-in (if Applicable)",'Rent Adjustment Worksheet'!$B27=""),"",'Rent Adjustment Worksheet'!$B27)</f>
        <v/>
      </c>
      <c r="E44" s="262"/>
      <c r="F44" s="134" t="s">
        <v>115</v>
      </c>
      <c r="G44" s="132" t="s">
        <v>115</v>
      </c>
      <c r="H44" s="54">
        <f>IF($D44="",0,IF(AND($F44="N",G44="Y"),-VLOOKUP($D44,'Rent Adjustment Worksheet'!$B:$C,2,FALSE),0))</f>
        <v>0</v>
      </c>
      <c r="I44" s="56">
        <f>IF($D44="",0,IF(AND($F44="Y",G44="N"),VLOOKUP($D44,'Rent Adjustment Worksheet'!$B:$C,2,FALSE),0))</f>
        <v>0</v>
      </c>
      <c r="J44" s="130" t="s">
        <v>115</v>
      </c>
      <c r="K44" s="54">
        <f>IF($D44="",0,IF(AND($F44="N",J44="Y"),-VLOOKUP($D44,'Rent Adjustment Worksheet'!$B:$C,2,FALSE),0))</f>
        <v>0</v>
      </c>
      <c r="L44" s="128">
        <f>IF($D44="",0,IF(AND($F44="Y",J44="N"),VLOOKUP($D44,'Rent Adjustment Worksheet'!$B:$C,2,FALSE),0))</f>
        <v>0</v>
      </c>
      <c r="M44" s="132" t="s">
        <v>115</v>
      </c>
      <c r="N44" s="54">
        <f>IF($D44="",0,IF(AND($F44="N",M44="Y"),-VLOOKUP($D44,'Rent Adjustment Worksheet'!$B:$C,2,FALSE),0))</f>
        <v>0</v>
      </c>
      <c r="O44" s="56">
        <f>IF($D44="",0,IF(AND($F44="Y",M44="N"),VLOOKUP($D44,'Rent Adjustment Worksheet'!$B:$C,2,FALSE),0))</f>
        <v>0</v>
      </c>
    </row>
    <row r="45" spans="2:15" x14ac:dyDescent="0.35">
      <c r="B45" s="231">
        <v>30</v>
      </c>
      <c r="C45" s="232"/>
      <c r="D45" s="261" t="str">
        <f>IF(OR('Rent Adjustment Worksheet'!$B28="PHA write-in (if Applicable)",'Rent Adjustment Worksheet'!$B28=""),"",'Rent Adjustment Worksheet'!$B28)</f>
        <v/>
      </c>
      <c r="E45" s="262"/>
      <c r="F45" s="134" t="s">
        <v>115</v>
      </c>
      <c r="G45" s="132" t="s">
        <v>115</v>
      </c>
      <c r="H45" s="54">
        <f>IF($D45="",0,IF(AND($F45="N",G45="Y"),-VLOOKUP($D45,'Rent Adjustment Worksheet'!$B:$C,2,FALSE),0))</f>
        <v>0</v>
      </c>
      <c r="I45" s="56">
        <f>IF($D45="",0,IF(AND($F45="Y",G45="N"),VLOOKUP($D45,'Rent Adjustment Worksheet'!$B:$C,2,FALSE),0))</f>
        <v>0</v>
      </c>
      <c r="J45" s="130" t="s">
        <v>115</v>
      </c>
      <c r="K45" s="54">
        <f>IF($D45="",0,IF(AND($F45="N",J45="Y"),-VLOOKUP($D45,'Rent Adjustment Worksheet'!$B:$C,2,FALSE),0))</f>
        <v>0</v>
      </c>
      <c r="L45" s="128">
        <f>IF($D45="",0,IF(AND($F45="Y",J45="N"),VLOOKUP($D45,'Rent Adjustment Worksheet'!$B:$C,2,FALSE),0))</f>
        <v>0</v>
      </c>
      <c r="M45" s="132" t="s">
        <v>115</v>
      </c>
      <c r="N45" s="54">
        <f>IF($D45="",0,IF(AND($F45="N",M45="Y"),-VLOOKUP($D45,'Rent Adjustment Worksheet'!$B:$C,2,FALSE),0))</f>
        <v>0</v>
      </c>
      <c r="O45" s="56">
        <f>IF($D45="",0,IF(AND($F45="Y",M45="N"),VLOOKUP($D45,'Rent Adjustment Worksheet'!$B:$C,2,FALSE),0))</f>
        <v>0</v>
      </c>
    </row>
    <row r="46" spans="2:15" x14ac:dyDescent="0.35">
      <c r="B46" s="231">
        <v>31</v>
      </c>
      <c r="C46" s="232"/>
      <c r="D46" s="261" t="str">
        <f>IF(OR('Rent Adjustment Worksheet'!$B29="PHA write-in (if Applicable)",'Rent Adjustment Worksheet'!$B29=""),"",'Rent Adjustment Worksheet'!$B29)</f>
        <v/>
      </c>
      <c r="E46" s="262"/>
      <c r="F46" s="134" t="s">
        <v>115</v>
      </c>
      <c r="G46" s="132" t="s">
        <v>115</v>
      </c>
      <c r="H46" s="54">
        <f>IF($D46="",0,IF(AND($F46="N",G46="Y"),-VLOOKUP($D46,'Rent Adjustment Worksheet'!$B:$C,2,FALSE),0))</f>
        <v>0</v>
      </c>
      <c r="I46" s="56">
        <f>IF($D46="",0,IF(AND($F46="Y",G46="N"),VLOOKUP($D46,'Rent Adjustment Worksheet'!$B:$C,2,FALSE),0))</f>
        <v>0</v>
      </c>
      <c r="J46" s="130" t="s">
        <v>115</v>
      </c>
      <c r="K46" s="54">
        <f>IF($D46="",0,IF(AND($F46="N",J46="Y"),-VLOOKUP($D46,'Rent Adjustment Worksheet'!$B:$C,2,FALSE),0))</f>
        <v>0</v>
      </c>
      <c r="L46" s="128">
        <f>IF($D46="",0,IF(AND($F46="Y",J46="N"),VLOOKUP($D46,'Rent Adjustment Worksheet'!$B:$C,2,FALSE),0))</f>
        <v>0</v>
      </c>
      <c r="M46" s="132" t="s">
        <v>115</v>
      </c>
      <c r="N46" s="54">
        <f>IF($D46="",0,IF(AND($F46="N",M46="Y"),-VLOOKUP($D46,'Rent Adjustment Worksheet'!$B:$C,2,FALSE),0))</f>
        <v>0</v>
      </c>
      <c r="O46" s="56">
        <f>IF($D46="",0,IF(AND($F46="Y",M46="N"),VLOOKUP($D46,'Rent Adjustment Worksheet'!$B:$C,2,FALSE),0))</f>
        <v>0</v>
      </c>
    </row>
    <row r="47" spans="2:15" x14ac:dyDescent="0.35">
      <c r="B47" s="238" t="s">
        <v>124</v>
      </c>
      <c r="C47" s="239"/>
      <c r="D47" s="239"/>
      <c r="E47" s="239"/>
      <c r="F47" s="239"/>
      <c r="G47" s="239"/>
      <c r="H47" s="239"/>
      <c r="I47" s="239"/>
      <c r="J47" s="239"/>
      <c r="K47" s="239"/>
      <c r="L47" s="239"/>
      <c r="M47" s="239"/>
      <c r="N47" s="239"/>
      <c r="O47" s="240"/>
    </row>
    <row r="48" spans="2:15" x14ac:dyDescent="0.35">
      <c r="B48" s="231">
        <v>32</v>
      </c>
      <c r="C48" s="232"/>
      <c r="D48" s="233" t="s">
        <v>125</v>
      </c>
      <c r="E48" s="232"/>
      <c r="F48" s="52"/>
      <c r="G48" s="100" t="str">
        <f>IF(ISNUMBER(G10)=FALSE,"",G10)</f>
        <v/>
      </c>
      <c r="H48" s="54"/>
      <c r="I48" s="128"/>
      <c r="J48" s="139" t="str">
        <f>IF(ISNUMBER(J10)=FALSE,"",J10)</f>
        <v/>
      </c>
      <c r="K48" s="54"/>
      <c r="L48" s="128"/>
      <c r="M48" s="139" t="str">
        <f>IF(ISNUMBER(M10)=FALSE,"",M10)</f>
        <v/>
      </c>
      <c r="N48" s="54"/>
      <c r="O48" s="56"/>
    </row>
    <row r="49" spans="2:15" x14ac:dyDescent="0.35">
      <c r="B49" s="231">
        <v>33</v>
      </c>
      <c r="C49" s="232"/>
      <c r="D49" s="233" t="s">
        <v>126</v>
      </c>
      <c r="E49" s="232"/>
      <c r="F49" s="52"/>
      <c r="G49" s="57" t="str">
        <f>IF(G48="","",SUM(H49:I49))</f>
        <v/>
      </c>
      <c r="H49" s="58" t="str">
        <f>IF(G48="","",SUM(H16:H46))</f>
        <v/>
      </c>
      <c r="I49" s="137" t="str">
        <f>IF(G48="","",SUM(I16:I46))</f>
        <v/>
      </c>
      <c r="J49" s="140" t="str">
        <f>IF(J48="","",SUM(K49:L49))</f>
        <v/>
      </c>
      <c r="K49" s="58" t="str">
        <f>IF(J48="","",SUM(K16:K46))</f>
        <v/>
      </c>
      <c r="L49" s="137" t="str">
        <f>IF(J48="","",SUM(L16:L46))</f>
        <v/>
      </c>
      <c r="M49" s="140" t="str">
        <f>IF(M48="","",SUM(N49:O49))</f>
        <v/>
      </c>
      <c r="N49" s="58" t="str">
        <f>IF(M48="","",SUM(N16:N46))</f>
        <v/>
      </c>
      <c r="O49" s="59" t="str">
        <f>IF(M48="","",SUM(O16:O46))</f>
        <v/>
      </c>
    </row>
    <row r="50" spans="2:15" x14ac:dyDescent="0.35">
      <c r="B50" s="231">
        <v>34</v>
      </c>
      <c r="C50" s="232"/>
      <c r="D50" s="233" t="s">
        <v>127</v>
      </c>
      <c r="E50" s="232"/>
      <c r="F50" s="52"/>
      <c r="G50" s="57" t="str">
        <f>IF(G48="","",SUM(G48,G49))</f>
        <v/>
      </c>
      <c r="H50" s="61"/>
      <c r="I50" s="138"/>
      <c r="J50" s="140" t="str">
        <f>IF(J48="","",SUM(J48,J49))</f>
        <v/>
      </c>
      <c r="K50" s="61"/>
      <c r="L50" s="138"/>
      <c r="M50" s="140" t="str">
        <f>IF(M48="","",SUM(M48,M49))</f>
        <v/>
      </c>
      <c r="N50" s="61"/>
      <c r="O50" s="63"/>
    </row>
    <row r="51" spans="2:15" x14ac:dyDescent="0.35">
      <c r="B51" s="231">
        <v>35</v>
      </c>
      <c r="C51" s="232"/>
      <c r="D51" s="233" t="s">
        <v>128</v>
      </c>
      <c r="E51" s="232"/>
      <c r="F51" s="102" t="str">
        <f>IFERROR(AVERAGE(G50:M50),"")</f>
        <v/>
      </c>
      <c r="G51" s="101"/>
      <c r="H51" s="65"/>
      <c r="I51" s="66"/>
      <c r="J51" s="64"/>
      <c r="K51" s="65"/>
      <c r="L51" s="66"/>
      <c r="M51" s="64"/>
      <c r="N51" s="65"/>
      <c r="O51" s="67"/>
    </row>
    <row r="52" spans="2:15" x14ac:dyDescent="0.35">
      <c r="B52" s="231">
        <v>36</v>
      </c>
      <c r="C52" s="232"/>
      <c r="D52" s="233" t="s">
        <v>129</v>
      </c>
      <c r="E52" s="232"/>
      <c r="F52" s="108"/>
      <c r="G52" s="91"/>
      <c r="H52" s="92"/>
      <c r="I52" s="92"/>
      <c r="J52" s="64"/>
      <c r="K52" s="65"/>
      <c r="L52" s="66"/>
      <c r="M52" s="64"/>
      <c r="N52" s="65"/>
      <c r="O52" s="67"/>
    </row>
    <row r="53" spans="2:15" ht="15" thickBot="1" x14ac:dyDescent="0.4">
      <c r="B53" s="231">
        <v>37</v>
      </c>
      <c r="C53" s="232"/>
      <c r="D53" s="360" t="s">
        <v>162</v>
      </c>
      <c r="E53" s="361"/>
      <c r="F53" s="109"/>
      <c r="G53" s="91"/>
      <c r="H53" s="92"/>
      <c r="I53" s="64"/>
      <c r="J53" s="64"/>
      <c r="K53" s="65"/>
      <c r="L53" s="66"/>
      <c r="M53" s="64"/>
      <c r="N53" s="65"/>
      <c r="O53" s="67"/>
    </row>
    <row r="54" spans="2:15" s="21" customFormat="1" ht="42" customHeight="1" x14ac:dyDescent="0.35">
      <c r="B54" s="280" t="s">
        <v>131</v>
      </c>
      <c r="C54" s="281"/>
      <c r="D54" s="281"/>
      <c r="E54" s="281"/>
      <c r="F54" s="281"/>
      <c r="G54" s="281"/>
      <c r="H54" s="281"/>
      <c r="I54" s="281"/>
      <c r="J54" s="281"/>
      <c r="K54" s="281"/>
      <c r="L54" s="281"/>
      <c r="M54" s="281"/>
      <c r="N54" s="281"/>
      <c r="O54" s="282"/>
    </row>
    <row r="55" spans="2:15" ht="75" customHeight="1" x14ac:dyDescent="0.35">
      <c r="B55" s="283" t="s">
        <v>163</v>
      </c>
      <c r="C55" s="283"/>
      <c r="D55" s="283"/>
      <c r="E55" s="283"/>
      <c r="F55" s="283"/>
      <c r="G55" s="283"/>
      <c r="H55" s="283"/>
      <c r="I55" s="283"/>
      <c r="J55" s="283"/>
      <c r="K55" s="283"/>
      <c r="L55" s="283"/>
      <c r="M55" s="283"/>
      <c r="N55" s="283"/>
      <c r="O55" s="283"/>
    </row>
    <row r="56" spans="2:15" x14ac:dyDescent="0.35">
      <c r="B56" s="118"/>
      <c r="C56" s="118"/>
      <c r="D56" s="118"/>
      <c r="E56" s="118"/>
      <c r="M56" s="275" t="s">
        <v>164</v>
      </c>
      <c r="N56" s="275"/>
      <c r="O56" s="275"/>
    </row>
  </sheetData>
  <protectedRanges>
    <protectedRange sqref="E7" name="Section 1"/>
    <protectedRange sqref="D9:O12" name="Section 2"/>
    <protectedRange sqref="F16:F17 F35:F41 F43:F47 F19:F33" name="PHA Property"/>
    <protectedRange sqref="G16:G17 G35:G41 G43:G47 G49 G19:G33" name="Comparable 1"/>
    <protectedRange sqref="F18" name="PHA Property_1"/>
    <protectedRange sqref="G18" name="Comparable 1_1"/>
  </protectedRanges>
  <mergeCells count="113">
    <mergeCell ref="B1:L1"/>
    <mergeCell ref="M1:O1"/>
    <mergeCell ref="B2:L2"/>
    <mergeCell ref="M2:O2"/>
    <mergeCell ref="N3:O3"/>
    <mergeCell ref="D5:F5"/>
    <mergeCell ref="B5:C6"/>
    <mergeCell ref="J11:L11"/>
    <mergeCell ref="M11:O11"/>
    <mergeCell ref="E6:F6"/>
    <mergeCell ref="G6:O6"/>
    <mergeCell ref="B7:C14"/>
    <mergeCell ref="D7:F7"/>
    <mergeCell ref="G7:I7"/>
    <mergeCell ref="J7:L7"/>
    <mergeCell ref="M7:O7"/>
    <mergeCell ref="E8:F8"/>
    <mergeCell ref="G8:I8"/>
    <mergeCell ref="J8:L8"/>
    <mergeCell ref="M8:O8"/>
    <mergeCell ref="G9:I9"/>
    <mergeCell ref="J9:L9"/>
    <mergeCell ref="M9:O9"/>
    <mergeCell ref="D10:F10"/>
    <mergeCell ref="G10:I10"/>
    <mergeCell ref="J10:L10"/>
    <mergeCell ref="M10:O10"/>
    <mergeCell ref="M13:M14"/>
    <mergeCell ref="N13:O13"/>
    <mergeCell ref="B15:O15"/>
    <mergeCell ref="B16:C16"/>
    <mergeCell ref="D16:E16"/>
    <mergeCell ref="B17:C17"/>
    <mergeCell ref="D17:E17"/>
    <mergeCell ref="D13:E14"/>
    <mergeCell ref="F13:F14"/>
    <mergeCell ref="G13:G14"/>
    <mergeCell ref="H13:I13"/>
    <mergeCell ref="J13:J14"/>
    <mergeCell ref="K13:L13"/>
    <mergeCell ref="B21:C21"/>
    <mergeCell ref="D21:E21"/>
    <mergeCell ref="B22:C22"/>
    <mergeCell ref="D22:E22"/>
    <mergeCell ref="B23:C23"/>
    <mergeCell ref="D23:E23"/>
    <mergeCell ref="B18:C18"/>
    <mergeCell ref="D18:E18"/>
    <mergeCell ref="B19:C19"/>
    <mergeCell ref="D19:E19"/>
    <mergeCell ref="B20:C20"/>
    <mergeCell ref="D20:E20"/>
    <mergeCell ref="B27:C27"/>
    <mergeCell ref="D27:E27"/>
    <mergeCell ref="B28:C28"/>
    <mergeCell ref="D28:E28"/>
    <mergeCell ref="B29:C29"/>
    <mergeCell ref="D29:E29"/>
    <mergeCell ref="B24:C24"/>
    <mergeCell ref="D24:E24"/>
    <mergeCell ref="B25:C25"/>
    <mergeCell ref="D25:E25"/>
    <mergeCell ref="B26:C26"/>
    <mergeCell ref="D26:E26"/>
    <mergeCell ref="B33:O33"/>
    <mergeCell ref="B34:C34"/>
    <mergeCell ref="D34:E34"/>
    <mergeCell ref="B35:C35"/>
    <mergeCell ref="D35:E35"/>
    <mergeCell ref="B36:C36"/>
    <mergeCell ref="D36:E36"/>
    <mergeCell ref="B30:C30"/>
    <mergeCell ref="D30:E30"/>
    <mergeCell ref="B31:C31"/>
    <mergeCell ref="D31:E31"/>
    <mergeCell ref="B32:C32"/>
    <mergeCell ref="D32:E32"/>
    <mergeCell ref="D40:E40"/>
    <mergeCell ref="B41:O41"/>
    <mergeCell ref="B42:C42"/>
    <mergeCell ref="D42:E42"/>
    <mergeCell ref="B43:C43"/>
    <mergeCell ref="D43:E43"/>
    <mergeCell ref="B37:C37"/>
    <mergeCell ref="D37:E37"/>
    <mergeCell ref="B38:C38"/>
    <mergeCell ref="D38:E38"/>
    <mergeCell ref="B39:C39"/>
    <mergeCell ref="D39:E39"/>
    <mergeCell ref="B54:O54"/>
    <mergeCell ref="B55:O55"/>
    <mergeCell ref="M56:O56"/>
    <mergeCell ref="G11:I11"/>
    <mergeCell ref="B51:C51"/>
    <mergeCell ref="D51:E51"/>
    <mergeCell ref="B52:C52"/>
    <mergeCell ref="D52:E52"/>
    <mergeCell ref="B53:C53"/>
    <mergeCell ref="D53:E53"/>
    <mergeCell ref="B47:O47"/>
    <mergeCell ref="B48:C48"/>
    <mergeCell ref="D48:E48"/>
    <mergeCell ref="B49:C49"/>
    <mergeCell ref="D49:E49"/>
    <mergeCell ref="B50:C50"/>
    <mergeCell ref="D50:E50"/>
    <mergeCell ref="B44:C44"/>
    <mergeCell ref="D44:E44"/>
    <mergeCell ref="B45:C45"/>
    <mergeCell ref="D45:E45"/>
    <mergeCell ref="B46:C46"/>
    <mergeCell ref="D46:E46"/>
    <mergeCell ref="B40:C40"/>
  </mergeCells>
  <dataValidations count="2">
    <dataValidation allowBlank="1" showErrorMessage="1" promptTitle="Select PHA Write-In" sqref="D42:E46" xr:uid="{5C356904-FD99-48DF-8F28-0ACFC660BBFF}"/>
    <dataValidation errorStyle="information" allowBlank="1" showInputMessage="1" showErrorMessage="1" errorTitle="Non Valid Adjustment" error="Please Select a Valid PHA Write-in adjustment." sqref="K42:L46 H42:I46 N42:O46" xr:uid="{CB5E9D80-331E-4A5C-AC60-5A3820EBDC3C}"/>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locked="0" defaultSize="0" autoFill="0" autoLine="0" autoPict="0">
                <anchor moveWithCells="1">
                  <from>
                    <xdr:col>8</xdr:col>
                    <xdr:colOff>38100</xdr:colOff>
                    <xdr:row>10</xdr:row>
                    <xdr:rowOff>152400</xdr:rowOff>
                  </from>
                  <to>
                    <xdr:col>8</xdr:col>
                    <xdr:colOff>387350</xdr:colOff>
                    <xdr:row>12</xdr:row>
                    <xdr:rowOff>171450</xdr:rowOff>
                  </to>
                </anchor>
              </controlPr>
            </control>
          </mc:Choice>
        </mc:AlternateContent>
        <mc:AlternateContent xmlns:mc="http://schemas.openxmlformats.org/markup-compatibility/2006">
          <mc:Choice Requires="x14">
            <control shapeId="5123" r:id="rId5" name="Check Box 3">
              <controlPr defaultSize="0" autoFill="0" autoLine="0" autoPict="0">
                <anchor moveWithCells="1">
                  <from>
                    <xdr:col>11</xdr:col>
                    <xdr:colOff>171450</xdr:colOff>
                    <xdr:row>10</xdr:row>
                    <xdr:rowOff>120650</xdr:rowOff>
                  </from>
                  <to>
                    <xdr:col>11</xdr:col>
                    <xdr:colOff>520700</xdr:colOff>
                    <xdr:row>13</xdr:row>
                    <xdr:rowOff>19050</xdr:rowOff>
                  </to>
                </anchor>
              </controlPr>
            </control>
          </mc:Choice>
        </mc:AlternateContent>
        <mc:AlternateContent xmlns:mc="http://schemas.openxmlformats.org/markup-compatibility/2006">
          <mc:Choice Requires="x14">
            <control shapeId="5124" r:id="rId6" name="Check Box 4">
              <controlPr defaultSize="0" autoFill="0" autoLine="0" autoPict="0">
                <anchor moveWithCells="1">
                  <from>
                    <xdr:col>14</xdr:col>
                    <xdr:colOff>381000</xdr:colOff>
                    <xdr:row>10</xdr:row>
                    <xdr:rowOff>152400</xdr:rowOff>
                  </from>
                  <to>
                    <xdr:col>15</xdr:col>
                    <xdr:colOff>19050</xdr:colOff>
                    <xdr:row>12</xdr:row>
                    <xdr:rowOff>171450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r:uid="{549DAA5A-CF95-4BBD-B3E7-B46E124A609D}">
          <x14:formula1>
            <xm:f>DropDown!$C$2:$C$4</xm:f>
          </x14:formula1>
          <xm:sqref>F23:G23 J23 M23</xm:sqref>
        </x14:dataValidation>
        <x14:dataValidation type="list" allowBlank="1" showInputMessage="1" showErrorMessage="1" xr:uid="{AA2E3C2E-9233-4F65-A39C-0C6D1F78E54C}">
          <x14:formula1>
            <xm:f>DropDown!$E$1:$E$3</xm:f>
          </x14:formula1>
          <xm:sqref>D53:E53</xm:sqref>
        </x14:dataValidation>
        <x14:dataValidation type="list" allowBlank="1" showInputMessage="1" showErrorMessage="1" xr:uid="{4A1E7676-0AF3-490D-BCBB-893DE70A1A75}">
          <x14:formula1>
            <xm:f>DropDown!$B$2:$B$3</xm:f>
          </x14:formula1>
          <xm:sqref>F34:G40 F42:G46 J19:J22 F19:G22 M19:M22 J34:J40 M34:M40 J42:J46 M42:M46 M24:M32 J24:J32 F24:G32</xm:sqref>
        </x14:dataValidation>
        <x14:dataValidation type="list" allowBlank="1" showInputMessage="1" showErrorMessage="1" xr:uid="{6B9FFD75-1D46-45AE-B908-EF6C671FF3E9}">
          <x14:formula1>
            <xm:f>DropDown!$A$2:$A$10</xm:f>
          </x14:formula1>
          <xm:sqref>F18:G18 J18 M18</xm:sqref>
        </x14:dataValidation>
        <x14:dataValidation type="list" allowBlank="1" showInputMessage="1" showErrorMessage="1" xr:uid="{E31650BC-AD11-4F24-8DB2-3A55874BF5FE}">
          <x14:formula1>
            <xm:f>DropDown!$F$1:$F$6</xm:f>
          </x14:formula1>
          <xm:sqref>G11:O11</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2"/>
  <dimension ref="A1:H11"/>
  <sheetViews>
    <sheetView workbookViewId="0">
      <selection activeCell="H6" sqref="H6"/>
    </sheetView>
  </sheetViews>
  <sheetFormatPr defaultRowHeight="14.5" x14ac:dyDescent="0.35"/>
  <cols>
    <col min="1" max="1" width="10.54296875" style="1" bestFit="1" customWidth="1"/>
    <col min="2" max="2" width="9.1796875" style="1"/>
    <col min="4" max="6" width="25.54296875" bestFit="1" customWidth="1"/>
    <col min="7" max="7" width="23.1796875" bestFit="1" customWidth="1"/>
  </cols>
  <sheetData>
    <row r="1" spans="1:8" s="160" customFormat="1" ht="15" thickBot="1" x14ac:dyDescent="0.4">
      <c r="A1" s="163" t="s">
        <v>216</v>
      </c>
      <c r="B1" s="163" t="s">
        <v>217</v>
      </c>
      <c r="C1" s="163" t="s">
        <v>218</v>
      </c>
      <c r="D1" s="164" t="s">
        <v>53</v>
      </c>
      <c r="E1" s="164" t="s">
        <v>162</v>
      </c>
      <c r="F1" s="164" t="s">
        <v>155</v>
      </c>
      <c r="G1" s="164" t="s">
        <v>219</v>
      </c>
      <c r="H1" s="164" t="s">
        <v>159</v>
      </c>
    </row>
    <row r="2" spans="1:8" ht="15" thickTop="1" x14ac:dyDescent="0.35">
      <c r="A2" s="1">
        <v>0</v>
      </c>
      <c r="B2" s="1" t="s">
        <v>133</v>
      </c>
      <c r="C2" t="s">
        <v>118</v>
      </c>
      <c r="D2" t="str">
        <f>'Rent Adjustment Worksheet'!$B25</f>
        <v>PHA write-in (if applicable)</v>
      </c>
      <c r="E2" t="s">
        <v>130</v>
      </c>
      <c r="F2" t="s">
        <v>220</v>
      </c>
      <c r="G2" t="s">
        <v>221</v>
      </c>
      <c r="H2" t="s">
        <v>118</v>
      </c>
    </row>
    <row r="3" spans="1:8" x14ac:dyDescent="0.35">
      <c r="A3" s="1">
        <v>0.5</v>
      </c>
      <c r="B3" s="1" t="s">
        <v>115</v>
      </c>
      <c r="C3" t="s">
        <v>134</v>
      </c>
      <c r="D3" t="str">
        <f>'Rent Adjustment Worksheet'!$B26</f>
        <v>PHA write-in (if applicable)</v>
      </c>
      <c r="E3" t="s">
        <v>222</v>
      </c>
      <c r="F3" t="s">
        <v>157</v>
      </c>
      <c r="G3" t="s">
        <v>223</v>
      </c>
      <c r="H3" t="s">
        <v>161</v>
      </c>
    </row>
    <row r="4" spans="1:8" x14ac:dyDescent="0.35">
      <c r="A4" s="1">
        <v>1</v>
      </c>
      <c r="C4" t="s">
        <v>135</v>
      </c>
      <c r="D4" t="str">
        <f>'Rent Adjustment Worksheet'!$B27</f>
        <v>PHA write-in (if applicable)</v>
      </c>
      <c r="F4" t="s">
        <v>156</v>
      </c>
      <c r="H4" t="s">
        <v>160</v>
      </c>
    </row>
    <row r="5" spans="1:8" x14ac:dyDescent="0.35">
      <c r="A5" s="1">
        <v>1.5</v>
      </c>
      <c r="D5" t="str">
        <f>'Rent Adjustment Worksheet'!$B28</f>
        <v>PHA write-in (if applicable)</v>
      </c>
      <c r="F5" t="s">
        <v>224</v>
      </c>
      <c r="H5" t="s">
        <v>275</v>
      </c>
    </row>
    <row r="6" spans="1:8" x14ac:dyDescent="0.35">
      <c r="A6" s="1">
        <v>2</v>
      </c>
      <c r="D6" t="str">
        <f>'Rent Adjustment Worksheet'!$B29</f>
        <v>PHA write-in (if applicable)</v>
      </c>
      <c r="F6" t="s">
        <v>225</v>
      </c>
    </row>
    <row r="7" spans="1:8" x14ac:dyDescent="0.35">
      <c r="A7" s="1">
        <v>2.5</v>
      </c>
    </row>
    <row r="8" spans="1:8" x14ac:dyDescent="0.35">
      <c r="A8" s="1">
        <v>3</v>
      </c>
    </row>
    <row r="9" spans="1:8" x14ac:dyDescent="0.35">
      <c r="A9" s="1">
        <v>3.5</v>
      </c>
    </row>
    <row r="10" spans="1:8" x14ac:dyDescent="0.35">
      <c r="A10" s="1">
        <v>4</v>
      </c>
    </row>
    <row r="11" spans="1:8" x14ac:dyDescent="0.35">
      <c r="A11" s="1">
        <v>4.5</v>
      </c>
    </row>
  </sheetData>
  <customSheetViews>
    <customSheetView guid="{A4B793CE-738E-4476-8B1F-D42BECFCF658}">
      <selection activeCell="D5" sqref="D5"/>
      <pageMargins left="0" right="0" top="0" bottom="0" header="0" footer="0"/>
    </customSheetView>
  </customSheetView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0A9A4-F957-439C-9856-4C879A826D04}">
  <sheetPr codeName="Sheet23"/>
  <dimension ref="A1:N60"/>
  <sheetViews>
    <sheetView workbookViewId="0">
      <selection sqref="A1:XFD1048576"/>
    </sheetView>
  </sheetViews>
  <sheetFormatPr defaultRowHeight="14.5" x14ac:dyDescent="0.35"/>
  <cols>
    <col min="1" max="2" width="1.54296875" customWidth="1"/>
    <col min="3" max="3" width="16.1796875" style="18" customWidth="1"/>
    <col min="4" max="4" width="20.1796875" style="18" customWidth="1"/>
    <col min="5" max="6" width="9.453125" style="1" customWidth="1"/>
    <col min="7" max="8" width="9.453125" customWidth="1"/>
    <col min="9" max="9" width="10.1796875" style="1" customWidth="1"/>
    <col min="10" max="11" width="10.1796875" customWidth="1"/>
    <col min="12" max="12" width="10.1796875" style="1" customWidth="1"/>
    <col min="13" max="14" width="10.1796875" customWidth="1"/>
  </cols>
  <sheetData>
    <row r="1" spans="1:14" x14ac:dyDescent="0.35">
      <c r="A1" s="211" t="s">
        <v>88</v>
      </c>
      <c r="B1" s="211"/>
      <c r="C1" s="211"/>
      <c r="D1" s="211"/>
      <c r="E1" s="211"/>
      <c r="F1" s="211"/>
      <c r="G1" s="211"/>
      <c r="H1" s="211"/>
      <c r="I1" s="211"/>
      <c r="J1" s="211"/>
      <c r="K1" s="211"/>
      <c r="L1" s="212" t="s">
        <v>226</v>
      </c>
      <c r="M1" s="212"/>
      <c r="N1" s="212"/>
    </row>
    <row r="2" spans="1:14" x14ac:dyDescent="0.35">
      <c r="A2" s="213" t="s">
        <v>89</v>
      </c>
      <c r="B2" s="213"/>
      <c r="C2" s="213"/>
      <c r="D2" s="213"/>
      <c r="E2" s="213"/>
      <c r="F2" s="213"/>
      <c r="G2" s="213"/>
      <c r="H2" s="213"/>
      <c r="I2" s="213"/>
      <c r="J2" s="213"/>
      <c r="K2" s="213"/>
      <c r="L2" s="212" t="s">
        <v>227</v>
      </c>
      <c r="M2" s="212"/>
      <c r="N2" s="212"/>
    </row>
    <row r="3" spans="1:14" x14ac:dyDescent="0.35">
      <c r="A3" s="213" t="s">
        <v>90</v>
      </c>
      <c r="B3" s="213"/>
      <c r="C3" s="213"/>
      <c r="D3" s="213"/>
      <c r="E3" s="213"/>
      <c r="F3" s="213"/>
      <c r="G3" s="213"/>
      <c r="H3" s="213"/>
      <c r="I3" s="213"/>
      <c r="J3" s="213"/>
      <c r="K3" s="213"/>
      <c r="L3" s="213"/>
      <c r="M3" s="213"/>
      <c r="N3" s="213"/>
    </row>
    <row r="4" spans="1:14" ht="54" customHeight="1" x14ac:dyDescent="0.35">
      <c r="A4" s="214" t="s">
        <v>228</v>
      </c>
      <c r="B4" s="214"/>
      <c r="C4" s="214"/>
      <c r="D4" s="214"/>
      <c r="E4" s="214"/>
      <c r="F4" s="214"/>
      <c r="G4" s="214"/>
      <c r="H4" s="214"/>
      <c r="I4" s="214"/>
      <c r="J4" s="214"/>
      <c r="K4" s="214"/>
      <c r="L4" s="214"/>
      <c r="M4" s="214"/>
      <c r="N4" s="214"/>
    </row>
    <row r="5" spans="1:14" ht="16" thickBot="1" x14ac:dyDescent="0.4">
      <c r="A5" s="215">
        <v>1</v>
      </c>
      <c r="B5" s="215"/>
      <c r="C5" s="49" t="s">
        <v>91</v>
      </c>
      <c r="D5" s="268" t="s">
        <v>92</v>
      </c>
      <c r="E5" s="269"/>
      <c r="F5" s="218" t="s">
        <v>229</v>
      </c>
      <c r="G5" s="219"/>
      <c r="H5" s="219"/>
      <c r="I5" s="219"/>
      <c r="J5" s="219"/>
      <c r="K5" s="219"/>
      <c r="L5" s="219"/>
      <c r="M5" s="219"/>
      <c r="N5" s="219"/>
    </row>
    <row r="6" spans="1:14" x14ac:dyDescent="0.35">
      <c r="A6" s="248">
        <v>2</v>
      </c>
      <c r="B6" s="249"/>
      <c r="C6" s="254" t="s">
        <v>93</v>
      </c>
      <c r="D6" s="255"/>
      <c r="E6" s="256"/>
      <c r="F6" s="257" t="s">
        <v>94</v>
      </c>
      <c r="G6" s="258"/>
      <c r="H6" s="259"/>
      <c r="I6" s="257" t="s">
        <v>95</v>
      </c>
      <c r="J6" s="258"/>
      <c r="K6" s="259"/>
      <c r="L6" s="257" t="s">
        <v>96</v>
      </c>
      <c r="M6" s="258"/>
      <c r="N6" s="260"/>
    </row>
    <row r="7" spans="1:14" x14ac:dyDescent="0.35">
      <c r="A7" s="250"/>
      <c r="B7" s="251"/>
      <c r="C7" s="197" t="s">
        <v>132</v>
      </c>
      <c r="D7" s="273" t="s">
        <v>98</v>
      </c>
      <c r="E7" s="274"/>
      <c r="F7" s="270" t="s">
        <v>99</v>
      </c>
      <c r="G7" s="271"/>
      <c r="H7" s="272"/>
      <c r="I7" s="270" t="s">
        <v>99</v>
      </c>
      <c r="J7" s="271"/>
      <c r="K7" s="272"/>
      <c r="L7" s="270" t="s">
        <v>99</v>
      </c>
      <c r="M7" s="271"/>
      <c r="N7" s="272"/>
    </row>
    <row r="8" spans="1:14" x14ac:dyDescent="0.35">
      <c r="A8" s="250"/>
      <c r="B8" s="251"/>
      <c r="C8" s="197" t="s">
        <v>100</v>
      </c>
      <c r="D8" s="197" t="s">
        <v>101</v>
      </c>
      <c r="E8" s="198" t="s">
        <v>102</v>
      </c>
      <c r="F8" s="270" t="s">
        <v>103</v>
      </c>
      <c r="G8" s="271"/>
      <c r="H8" s="272"/>
      <c r="I8" s="270" t="s">
        <v>103</v>
      </c>
      <c r="J8" s="271"/>
      <c r="K8" s="272"/>
      <c r="L8" s="270" t="s">
        <v>103</v>
      </c>
      <c r="M8" s="271"/>
      <c r="N8" s="272"/>
    </row>
    <row r="9" spans="1:14" x14ac:dyDescent="0.35">
      <c r="A9" s="250"/>
      <c r="B9" s="251"/>
      <c r="C9" s="241" t="s">
        <v>3</v>
      </c>
      <c r="D9" s="242"/>
      <c r="E9" s="245" t="s">
        <v>106</v>
      </c>
      <c r="F9" s="234" t="s">
        <v>106</v>
      </c>
      <c r="G9" s="236" t="s">
        <v>107</v>
      </c>
      <c r="H9" s="247"/>
      <c r="I9" s="234" t="s">
        <v>106</v>
      </c>
      <c r="J9" s="236" t="s">
        <v>107</v>
      </c>
      <c r="K9" s="247"/>
      <c r="L9" s="234" t="s">
        <v>106</v>
      </c>
      <c r="M9" s="236" t="s">
        <v>107</v>
      </c>
      <c r="N9" s="237"/>
    </row>
    <row r="10" spans="1:14" x14ac:dyDescent="0.35">
      <c r="A10" s="252"/>
      <c r="B10" s="253"/>
      <c r="C10" s="243"/>
      <c r="D10" s="244"/>
      <c r="E10" s="246"/>
      <c r="F10" s="235"/>
      <c r="G10" s="16" t="s">
        <v>108</v>
      </c>
      <c r="H10" s="17" t="s">
        <v>109</v>
      </c>
      <c r="I10" s="235"/>
      <c r="J10" s="16" t="s">
        <v>108</v>
      </c>
      <c r="K10" s="17" t="s">
        <v>109</v>
      </c>
      <c r="L10" s="235"/>
      <c r="M10" s="16" t="s">
        <v>108</v>
      </c>
      <c r="N10" s="50" t="s">
        <v>109</v>
      </c>
    </row>
    <row r="11" spans="1:14" x14ac:dyDescent="0.35">
      <c r="A11" s="238" t="s">
        <v>110</v>
      </c>
      <c r="B11" s="239"/>
      <c r="C11" s="239"/>
      <c r="D11" s="239"/>
      <c r="E11" s="239"/>
      <c r="F11" s="239"/>
      <c r="G11" s="239"/>
      <c r="H11" s="239"/>
      <c r="I11" s="239"/>
      <c r="J11" s="239"/>
      <c r="K11" s="239"/>
      <c r="L11" s="239"/>
      <c r="M11" s="239"/>
      <c r="N11" s="240"/>
    </row>
    <row r="12" spans="1:14" x14ac:dyDescent="0.35">
      <c r="A12" s="231">
        <v>3</v>
      </c>
      <c r="B12" s="232"/>
      <c r="C12" s="233" t="s">
        <v>230</v>
      </c>
      <c r="D12" s="232"/>
      <c r="E12" s="9">
        <v>0</v>
      </c>
      <c r="F12" s="7"/>
      <c r="G12" s="11">
        <f>-IF(F12&gt;$E12,((F12-$E12)*F$45)*VLOOKUP($C12,'Rent Adjustment Worksheet'!$A:$C,3,FALSE),0)</f>
        <v>0</v>
      </c>
      <c r="H12" s="11" t="e">
        <f>-IF(F12&gt;$E12,0,((F12-$E12)*F$45)*VLOOKUP($C12,'Rent Adjustment Worksheet'!$A:$C,3,FALSE))</f>
        <v>#N/A</v>
      </c>
      <c r="I12" s="7">
        <v>0</v>
      </c>
      <c r="J12" s="11">
        <f>-IF(I12&gt;$E12,((I12-$E12)*I$45)*VLOOKUP($C12,'Rent Adjustment Worksheet'!$A:$C,3,FALSE),0)</f>
        <v>0</v>
      </c>
      <c r="K12" s="11" t="e">
        <f>-IF(I12&gt;$E12,0,((I12-$E12)*I$45)*VLOOKUP($C12,'Rent Adjustment Worksheet'!$A:$C,3,FALSE))</f>
        <v>#N/A</v>
      </c>
      <c r="L12" s="7">
        <v>0</v>
      </c>
      <c r="M12" s="11">
        <f>-IF(L12&gt;$E12,((L12-$E12)*L$45)*VLOOKUP($C12,'Rent Adjustment Worksheet'!$A:$C,3,FALSE),0)</f>
        <v>0</v>
      </c>
      <c r="N12" s="51" t="e">
        <f>-IF(L12&gt;$E12,0,((L12-$E12)*L$45)*VLOOKUP($C12,'Rent Adjustment Worksheet'!$A:$C,3,FALSE))</f>
        <v>#N/A</v>
      </c>
    </row>
    <row r="13" spans="1:14" x14ac:dyDescent="0.35">
      <c r="A13" s="231">
        <v>4</v>
      </c>
      <c r="B13" s="232"/>
      <c r="C13" s="233" t="s">
        <v>113</v>
      </c>
      <c r="D13" s="232"/>
      <c r="E13" s="74">
        <v>0</v>
      </c>
      <c r="F13" s="53">
        <v>0</v>
      </c>
      <c r="G13" s="54">
        <f>-IF($F$13&gt;$E$13,($F$13-$E$13)/(10*VLOOKUP($C13,'Rent Adjustment Worksheet'!$A:$C,3,0)))</f>
        <v>0</v>
      </c>
      <c r="H13" s="54" t="e">
        <f>-IF($F$13&gt;$E$13,0,($F$13-$E$13)/(10*VLOOKUP($C13,'Rent Adjustment Worksheet'!$A:$C,3,0)))</f>
        <v>#DIV/0!</v>
      </c>
      <c r="I13" s="53">
        <v>0</v>
      </c>
      <c r="J13" s="54">
        <f>-IF($I$13&gt;$E$13,($I$13-$E$13)/(10*VLOOKUP($C13,'Rent Adjustment Worksheet'!$A:$C,3,0)))</f>
        <v>0</v>
      </c>
      <c r="K13" s="54" t="e">
        <f>-IF($I$13&gt;$E$13,0,($I$13-$E$13)/(10*VLOOKUP($C13,'Rent Adjustment Worksheet'!$A:$C,3,0)))</f>
        <v>#DIV/0!</v>
      </c>
      <c r="L13" s="53">
        <v>0</v>
      </c>
      <c r="M13" s="54">
        <f>-IF($L$13&gt;$E$13,($L$13-$E$13)/(10*VLOOKUP($C13,'Rent Adjustment Worksheet'!$A:$C,3,0)))</f>
        <v>0</v>
      </c>
      <c r="N13" s="56" t="e">
        <f>-IF($L$13&gt;$E$13,0,($L$13-$E$13)/(10*VLOOKUP($C13,'Rent Adjustment Worksheet'!$A:$C,3,0)))</f>
        <v>#DIV/0!</v>
      </c>
    </row>
    <row r="14" spans="1:14" x14ac:dyDescent="0.35">
      <c r="A14" s="231">
        <v>5</v>
      </c>
      <c r="B14" s="232"/>
      <c r="C14" s="233" t="s">
        <v>114</v>
      </c>
      <c r="D14" s="232"/>
      <c r="E14" s="9">
        <v>0</v>
      </c>
      <c r="F14" s="7">
        <v>0</v>
      </c>
      <c r="G14" s="54">
        <f>-IF($F$14&gt;$E$14, ($F$14-$E$14)*'Rent Adjustment Worksheet'!$C$15, 0)</f>
        <v>0</v>
      </c>
      <c r="H14" s="54">
        <f>-IF($F$14&lt;$E$14, ($F$14-$E$14)*'Rent Adjustment Worksheet'!$C$15, 0)</f>
        <v>0</v>
      </c>
      <c r="I14" s="7">
        <v>0</v>
      </c>
      <c r="J14" s="54">
        <f>-IF($I$14&gt;$E$14, ($I$14-$E$14)*'Rent Adjustment Worksheet'!$C$15, 0)</f>
        <v>0</v>
      </c>
      <c r="K14" s="54">
        <f>-IF($I$14&lt;$E$14, ($I$14-$E$14)*'Rent Adjustment Worksheet'!$C$15, 0)</f>
        <v>0</v>
      </c>
      <c r="L14" s="7">
        <v>0</v>
      </c>
      <c r="M14" s="54">
        <f>-IF($L$14&gt;$E$14, ($L$14-$E$14)*'Rent Adjustment Worksheet'!$C$15, 0)</f>
        <v>0</v>
      </c>
      <c r="N14" s="56">
        <f>-IF($L$14&lt;$E$14, ($L$14-$E$14)*'Rent Adjustment Worksheet'!$C$15, 0)</f>
        <v>0</v>
      </c>
    </row>
    <row r="15" spans="1:14" x14ac:dyDescent="0.35">
      <c r="A15" s="231">
        <v>6</v>
      </c>
      <c r="B15" s="232"/>
      <c r="C15" s="233" t="s">
        <v>15</v>
      </c>
      <c r="D15" s="232"/>
      <c r="E15" s="74" t="s">
        <v>115</v>
      </c>
      <c r="F15" s="53" t="s">
        <v>115</v>
      </c>
      <c r="G15" s="54">
        <f>IF(AND($E15="N",F15="Y"),-VLOOKUP($C15,'Rent Adjustment Worksheet'!$B:$C,2,FALSE),0)</f>
        <v>0</v>
      </c>
      <c r="H15" s="54">
        <f>IF(AND($E15="Y",F15="N"),VLOOKUP($C15,'Rent Adjustment Worksheet'!$B:$C,2,FALSE),0)</f>
        <v>0</v>
      </c>
      <c r="I15" s="53" t="s">
        <v>115</v>
      </c>
      <c r="J15" s="54">
        <f>IF(AND($E15="N",I15="Y"),-VLOOKUP($C15,'Rent Adjustment Worksheet'!$B:$C,2,FALSE),0)</f>
        <v>0</v>
      </c>
      <c r="K15" s="54">
        <f>IF(AND($E15="Y",I15="N"),VLOOKUP($C15,'Rent Adjustment Worksheet'!$B:$C,2,FALSE),0)</f>
        <v>0</v>
      </c>
      <c r="L15" s="53" t="s">
        <v>115</v>
      </c>
      <c r="M15" s="54">
        <f>IF(AND($E15="N",L15="Y"),-VLOOKUP($C15,'Rent Adjustment Worksheet'!$B:$C,2,FALSE),0)</f>
        <v>0</v>
      </c>
      <c r="N15" s="56">
        <f>IF(AND($E15="Y",L15="N"),VLOOKUP($C15,'Rent Adjustment Worksheet'!$B:$C,2,FALSE),0)</f>
        <v>0</v>
      </c>
    </row>
    <row r="16" spans="1:14" x14ac:dyDescent="0.35">
      <c r="A16" s="231">
        <v>7</v>
      </c>
      <c r="B16" s="232"/>
      <c r="C16" s="233" t="s">
        <v>17</v>
      </c>
      <c r="D16" s="232"/>
      <c r="E16" s="74" t="s">
        <v>115</v>
      </c>
      <c r="F16" s="53" t="s">
        <v>115</v>
      </c>
      <c r="G16" s="54">
        <f>IF(AND($E16="N",F16="Y"),-VLOOKUP($C16,'Rent Adjustment Worksheet'!$B:$C,2,FALSE),0)</f>
        <v>0</v>
      </c>
      <c r="H16" s="54">
        <f>IF(AND($E16="Y",F16="N"),VLOOKUP($C16,'Rent Adjustment Worksheet'!$B:$C,2,FALSE),0)</f>
        <v>0</v>
      </c>
      <c r="I16" s="53" t="s">
        <v>115</v>
      </c>
      <c r="J16" s="54">
        <f>IF(AND($E16="N",I16="Y"),-VLOOKUP($C16,'Rent Adjustment Worksheet'!$B:$C,2,FALSE),0)</f>
        <v>0</v>
      </c>
      <c r="K16" s="54">
        <f>IF(AND($E16="Y",I16="N"),VLOOKUP($C16,'Rent Adjustment Worksheet'!$B:$C,2,FALSE),0)</f>
        <v>0</v>
      </c>
      <c r="L16" s="53" t="s">
        <v>115</v>
      </c>
      <c r="M16" s="54">
        <f>IF(AND($E16="N",L16="Y"),-VLOOKUP($C16,'Rent Adjustment Worksheet'!$B:$C,2,FALSE),0)</f>
        <v>0</v>
      </c>
      <c r="N16" s="56">
        <f>IF(AND($E16="Y",L16="N"),VLOOKUP($C16,'Rent Adjustment Worksheet'!$B:$C,2,FALSE),0)</f>
        <v>0</v>
      </c>
    </row>
    <row r="17" spans="1:14" x14ac:dyDescent="0.35">
      <c r="A17" s="231">
        <v>8</v>
      </c>
      <c r="B17" s="232"/>
      <c r="C17" s="233" t="s">
        <v>19</v>
      </c>
      <c r="D17" s="232"/>
      <c r="E17" s="74" t="s">
        <v>115</v>
      </c>
      <c r="F17" s="53" t="s">
        <v>115</v>
      </c>
      <c r="G17" s="54">
        <f>IF(AND($E17="N",F17="Y"),-VLOOKUP($C17,'Rent Adjustment Worksheet'!$B:$C,2,FALSE),0)</f>
        <v>0</v>
      </c>
      <c r="H17" s="54">
        <f>IF(AND($E17="Y",F17="N"),VLOOKUP($C17,'Rent Adjustment Worksheet'!$B:$C,2,FALSE),0)</f>
        <v>0</v>
      </c>
      <c r="I17" s="53" t="s">
        <v>115</v>
      </c>
      <c r="J17" s="54">
        <f>IF(AND($E17="N",I17="Y"),-VLOOKUP($C17,'Rent Adjustment Worksheet'!$B:$C,2,FALSE),0)</f>
        <v>0</v>
      </c>
      <c r="K17" s="54">
        <f>IF(AND($E17="Y",I17="N"),VLOOKUP($C17,'Rent Adjustment Worksheet'!$B:$C,2,FALSE),0)</f>
        <v>0</v>
      </c>
      <c r="L17" s="53" t="s">
        <v>115</v>
      </c>
      <c r="M17" s="54">
        <f>IF(AND($E17="N",L17="Y"),-VLOOKUP($C17,'Rent Adjustment Worksheet'!$B:$C,2,FALSE),0)</f>
        <v>0</v>
      </c>
      <c r="N17" s="56">
        <f>IF(AND($E17="Y",L17="N"),VLOOKUP($C17,'Rent Adjustment Worksheet'!$B:$C,2,FALSE),0)</f>
        <v>0</v>
      </c>
    </row>
    <row r="18" spans="1:14" x14ac:dyDescent="0.35">
      <c r="A18" s="231">
        <v>9</v>
      </c>
      <c r="B18" s="232"/>
      <c r="C18" s="233" t="s">
        <v>116</v>
      </c>
      <c r="D18" s="232"/>
      <c r="E18" s="74" t="s">
        <v>115</v>
      </c>
      <c r="F18" s="53" t="s">
        <v>115</v>
      </c>
      <c r="G18" s="54">
        <f>IF(AND($E18="N",F18="Y"),-VLOOKUP($C18,'Rent Adjustment Worksheet'!$B:$C,2,FALSE),0)</f>
        <v>0</v>
      </c>
      <c r="H18" s="54">
        <f>IF(AND($E18="Y",F18="N"),VLOOKUP($C18,'Rent Adjustment Worksheet'!$B:$C,2,FALSE),0)</f>
        <v>0</v>
      </c>
      <c r="I18" s="53" t="s">
        <v>115</v>
      </c>
      <c r="J18" s="54">
        <f>IF(AND($E18="N",I18="Y"),-VLOOKUP($C18,'Rent Adjustment Worksheet'!$B:$C,2,FALSE),0)</f>
        <v>0</v>
      </c>
      <c r="K18" s="54">
        <f>IF(AND($E18="Y",I18="N"),VLOOKUP($C18,'Rent Adjustment Worksheet'!$B:$C,2,FALSE),0)</f>
        <v>0</v>
      </c>
      <c r="L18" s="53" t="s">
        <v>115</v>
      </c>
      <c r="M18" s="54">
        <f>IF(AND($E18="N",L18="Y"),-VLOOKUP($C18,'Rent Adjustment Worksheet'!$B:$C,2,FALSE),0)</f>
        <v>0</v>
      </c>
      <c r="N18" s="56">
        <f>IF(AND($E18="Y",L18="N"),VLOOKUP($C18,'Rent Adjustment Worksheet'!$B:$C,2,FALSE),0)</f>
        <v>0</v>
      </c>
    </row>
    <row r="19" spans="1:14" x14ac:dyDescent="0.35">
      <c r="A19" s="231">
        <v>10</v>
      </c>
      <c r="B19" s="232"/>
      <c r="C19" s="233" t="s">
        <v>117</v>
      </c>
      <c r="D19" s="232"/>
      <c r="E19" s="74" t="s">
        <v>118</v>
      </c>
      <c r="F19" s="53" t="s">
        <v>118</v>
      </c>
      <c r="G19" s="54" t="e">
        <f>#REF!</f>
        <v>#REF!</v>
      </c>
      <c r="H19" s="54" t="e">
        <f>#REF!</f>
        <v>#REF!</v>
      </c>
      <c r="I19" s="53" t="s">
        <v>118</v>
      </c>
      <c r="J19" s="54" t="e">
        <f>#REF!</f>
        <v>#REF!</v>
      </c>
      <c r="K19" s="54" t="e">
        <f>#REF!</f>
        <v>#REF!</v>
      </c>
      <c r="L19" s="53" t="s">
        <v>118</v>
      </c>
      <c r="M19" s="54" t="e">
        <f>#REF!</f>
        <v>#REF!</v>
      </c>
      <c r="N19" s="56" t="e">
        <f>#REF!</f>
        <v>#REF!</v>
      </c>
    </row>
    <row r="20" spans="1:14" x14ac:dyDescent="0.35">
      <c r="A20" s="231">
        <v>11</v>
      </c>
      <c r="B20" s="232"/>
      <c r="C20" s="233" t="s">
        <v>231</v>
      </c>
      <c r="D20" s="232"/>
      <c r="E20" s="74" t="s">
        <v>115</v>
      </c>
      <c r="F20" s="53" t="s">
        <v>115</v>
      </c>
      <c r="G20" s="54">
        <f>IF(AND($E20="N",F20="Y"),-VLOOKUP($C20,'Rent Adjustment Worksheet'!$B:$C,2,FALSE),0)</f>
        <v>0</v>
      </c>
      <c r="H20" s="54">
        <f>IF(AND($E20="Y",F20="N"),VLOOKUP($C20,'Rent Adjustment Worksheet'!$B:$C,2,FALSE),0)</f>
        <v>0</v>
      </c>
      <c r="I20" s="53" t="s">
        <v>115</v>
      </c>
      <c r="J20" s="54">
        <f>IF(AND($E20="N",I20="Y"),-VLOOKUP($C20,'Rent Adjustment Worksheet'!$B:$C,2,FALSE),0)</f>
        <v>0</v>
      </c>
      <c r="K20" s="54">
        <f>IF(AND($E20="Y",I20="N"),VLOOKUP($C20,'Rent Adjustment Worksheet'!$B:$C,2,FALSE),0)</f>
        <v>0</v>
      </c>
      <c r="L20" s="53" t="s">
        <v>115</v>
      </c>
      <c r="M20" s="54">
        <f>IF(AND($E20="N",L20="Y"),-VLOOKUP($C20,'Rent Adjustment Worksheet'!$B:$C,2,FALSE),0)</f>
        <v>0</v>
      </c>
      <c r="N20" s="56">
        <f>IF(AND($E20="Y",L20="N"),VLOOKUP($C20,'Rent Adjustment Worksheet'!$B:$C,2,FALSE),0)</f>
        <v>0</v>
      </c>
    </row>
    <row r="21" spans="1:14" x14ac:dyDescent="0.35">
      <c r="A21" s="231">
        <v>12</v>
      </c>
      <c r="B21" s="232"/>
      <c r="C21" s="233" t="s">
        <v>28</v>
      </c>
      <c r="D21" s="232"/>
      <c r="E21" s="74" t="s">
        <v>115</v>
      </c>
      <c r="F21" s="53" t="s">
        <v>115</v>
      </c>
      <c r="G21" s="54">
        <f>IF(AND($E21="N",F21="Y"),-VLOOKUP($C21,'Rent Adjustment Worksheet'!$B:$C,2,FALSE),0)</f>
        <v>0</v>
      </c>
      <c r="H21" s="54">
        <f>IF(AND($E21="Y",F21="N"),VLOOKUP($C21,'Rent Adjustment Worksheet'!$B:$C,2,FALSE),0)</f>
        <v>0</v>
      </c>
      <c r="I21" s="53" t="s">
        <v>115</v>
      </c>
      <c r="J21" s="54">
        <f>IF(AND($E21="N",I21="Y"),-VLOOKUP($C21,'Rent Adjustment Worksheet'!$B:$C,2,FALSE),0)</f>
        <v>0</v>
      </c>
      <c r="K21" s="54">
        <f>IF(AND($E21="Y",I21="N"),VLOOKUP($C21,'Rent Adjustment Worksheet'!$B:$C,2,FALSE),0)</f>
        <v>0</v>
      </c>
      <c r="L21" s="53" t="s">
        <v>115</v>
      </c>
      <c r="M21" s="54">
        <f>IF(AND($E21="N",L21="Y"),-VLOOKUP($C21,'Rent Adjustment Worksheet'!$B:$C,2,FALSE),0)</f>
        <v>0</v>
      </c>
      <c r="N21" s="56">
        <f>IF(AND($E21="Y",L21="N"),VLOOKUP($C21,'Rent Adjustment Worksheet'!$B:$C,2,FALSE),0)</f>
        <v>0</v>
      </c>
    </row>
    <row r="22" spans="1:14" x14ac:dyDescent="0.35">
      <c r="A22" s="231">
        <v>13</v>
      </c>
      <c r="B22" s="232"/>
      <c r="C22" s="233" t="s">
        <v>119</v>
      </c>
      <c r="D22" s="232"/>
      <c r="E22" s="74" t="s">
        <v>115</v>
      </c>
      <c r="F22" s="53" t="s">
        <v>115</v>
      </c>
      <c r="G22" s="54">
        <f>IF(AND($E22="N",F22="Y"),-VLOOKUP($C22,'Rent Adjustment Worksheet'!$B:$C,2,FALSE),0)</f>
        <v>0</v>
      </c>
      <c r="H22" s="54">
        <f>IF(AND($E22="Y",F22="N"),VLOOKUP($C22,'Rent Adjustment Worksheet'!$B:$C,2,FALSE),0)</f>
        <v>0</v>
      </c>
      <c r="I22" s="53" t="s">
        <v>115</v>
      </c>
      <c r="J22" s="54">
        <f>IF(AND($E22="N",I22="Y"),-VLOOKUP($C22,'Rent Adjustment Worksheet'!$B:$C,2,FALSE),0)</f>
        <v>0</v>
      </c>
      <c r="K22" s="54">
        <f>IF(AND($E22="Y",I22="N"),VLOOKUP($C22,'Rent Adjustment Worksheet'!$B:$C,2,FALSE),0)</f>
        <v>0</v>
      </c>
      <c r="L22" s="53" t="s">
        <v>115</v>
      </c>
      <c r="M22" s="54">
        <f>IF(AND($E22="N",L22="Y"),-VLOOKUP($C22,'Rent Adjustment Worksheet'!$B:$C,2,FALSE),0)</f>
        <v>0</v>
      </c>
      <c r="N22" s="56">
        <f>IF(AND($E22="Y",L22="N"),VLOOKUP($C22,'Rent Adjustment Worksheet'!$B:$C,2,FALSE),0)</f>
        <v>0</v>
      </c>
    </row>
    <row r="23" spans="1:14" x14ac:dyDescent="0.35">
      <c r="A23" s="231">
        <v>14</v>
      </c>
      <c r="B23" s="232"/>
      <c r="C23" s="233" t="s">
        <v>32</v>
      </c>
      <c r="D23" s="232"/>
      <c r="E23" s="74" t="s">
        <v>115</v>
      </c>
      <c r="F23" s="53" t="s">
        <v>115</v>
      </c>
      <c r="G23" s="54">
        <f>IF(AND($E23="N",F23="Y"),-VLOOKUP($C23,'Rent Adjustment Worksheet'!$B:$C,2,FALSE),0)</f>
        <v>0</v>
      </c>
      <c r="H23" s="54">
        <f>IF(AND($E23="Y",F23="N"),VLOOKUP($C23,'Rent Adjustment Worksheet'!$B:$C,2,FALSE),0)</f>
        <v>0</v>
      </c>
      <c r="I23" s="53" t="s">
        <v>115</v>
      </c>
      <c r="J23" s="54">
        <f>IF(AND($E23="N",I23="Y"),-VLOOKUP($C23,'Rent Adjustment Worksheet'!$B:$C,2,FALSE),0)</f>
        <v>0</v>
      </c>
      <c r="K23" s="54">
        <f>IF(AND($E23="Y",I23="N"),VLOOKUP($C23,'Rent Adjustment Worksheet'!$B:$C,2,FALSE),0)</f>
        <v>0</v>
      </c>
      <c r="L23" s="53" t="s">
        <v>115</v>
      </c>
      <c r="M23" s="54">
        <f>IF(AND($E23="N",L23="Y"),-VLOOKUP($C23,'Rent Adjustment Worksheet'!$B:$C,2,FALSE),0)</f>
        <v>0</v>
      </c>
      <c r="N23" s="56">
        <f>IF(AND($E23="Y",L23="N"),VLOOKUP($C23,'Rent Adjustment Worksheet'!$B:$C,2,FALSE),0)</f>
        <v>0</v>
      </c>
    </row>
    <row r="24" spans="1:14" x14ac:dyDescent="0.35">
      <c r="A24" s="231">
        <v>15</v>
      </c>
      <c r="B24" s="232"/>
      <c r="C24" s="233" t="s">
        <v>34</v>
      </c>
      <c r="D24" s="232"/>
      <c r="E24" s="74" t="s">
        <v>115</v>
      </c>
      <c r="F24" s="53" t="s">
        <v>115</v>
      </c>
      <c r="G24" s="54">
        <f>IF(AND($E24="N",F24="Y"),-VLOOKUP($C24,'Rent Adjustment Worksheet'!$B:$C,2,FALSE),0)</f>
        <v>0</v>
      </c>
      <c r="H24" s="54">
        <f>IF(AND($E24="Y",F24="N"),VLOOKUP($C24,'Rent Adjustment Worksheet'!$B:$C,2,FALSE),0)</f>
        <v>0</v>
      </c>
      <c r="I24" s="53" t="s">
        <v>115</v>
      </c>
      <c r="J24" s="54">
        <f>IF(AND($E24="N",I24="Y"),-VLOOKUP($C24,'Rent Adjustment Worksheet'!$B:$C,2,FALSE),0)</f>
        <v>0</v>
      </c>
      <c r="K24" s="54">
        <f>IF(AND($E24="Y",I24="N"),VLOOKUP($C24,'Rent Adjustment Worksheet'!$B:$C,2,FALSE),0)</f>
        <v>0</v>
      </c>
      <c r="L24" s="53" t="s">
        <v>115</v>
      </c>
      <c r="M24" s="54">
        <f>IF(AND($E24="N",L24="Y"),-VLOOKUP($C24,'Rent Adjustment Worksheet'!$B:$C,2,FALSE),0)</f>
        <v>0</v>
      </c>
      <c r="N24" s="56">
        <f>IF(AND($E24="Y",L24="N"),VLOOKUP($C24,'Rent Adjustment Worksheet'!$B:$C,2,FALSE),0)</f>
        <v>0</v>
      </c>
    </row>
    <row r="25" spans="1:14" x14ac:dyDescent="0.35">
      <c r="A25" s="231">
        <v>16</v>
      </c>
      <c r="B25" s="232"/>
      <c r="C25" s="233" t="s">
        <v>36</v>
      </c>
      <c r="D25" s="232"/>
      <c r="E25" s="74" t="s">
        <v>115</v>
      </c>
      <c r="F25" s="53" t="s">
        <v>115</v>
      </c>
      <c r="G25" s="54">
        <f>IF(AND($E25="N",F25="Y"),-VLOOKUP($C25,'Rent Adjustment Worksheet'!$B:$C,2,FALSE),0)</f>
        <v>0</v>
      </c>
      <c r="H25" s="54">
        <f>IF(AND($E25="Y",F25="N"),VLOOKUP($C25,'Rent Adjustment Worksheet'!$B:$C,2,FALSE),0)</f>
        <v>0</v>
      </c>
      <c r="I25" s="53" t="s">
        <v>115</v>
      </c>
      <c r="J25" s="54">
        <f>IF(AND($E25="N",I25="Y"),-VLOOKUP($C25,'Rent Adjustment Worksheet'!$B:$C,2,FALSE),0)</f>
        <v>0</v>
      </c>
      <c r="K25" s="54">
        <f>IF(AND($E25="Y",I25="N"),VLOOKUP($C25,'Rent Adjustment Worksheet'!$B:$C,2,FALSE),0)</f>
        <v>0</v>
      </c>
      <c r="L25" s="53" t="s">
        <v>115</v>
      </c>
      <c r="M25" s="54">
        <f>IF(AND($E25="N",L25="Y"),-VLOOKUP($C25,'Rent Adjustment Worksheet'!$B:$C,2,FALSE),0)</f>
        <v>0</v>
      </c>
      <c r="N25" s="56">
        <f>IF(AND($E25="Y",L25="N"),VLOOKUP($C25,'Rent Adjustment Worksheet'!$B:$C,2,FALSE),0)</f>
        <v>0</v>
      </c>
    </row>
    <row r="26" spans="1:14" x14ac:dyDescent="0.35">
      <c r="A26" s="231">
        <v>17</v>
      </c>
      <c r="B26" s="232"/>
      <c r="C26" s="233" t="s">
        <v>38</v>
      </c>
      <c r="D26" s="232"/>
      <c r="E26" s="74" t="s">
        <v>115</v>
      </c>
      <c r="F26" s="53" t="s">
        <v>115</v>
      </c>
      <c r="G26" s="54">
        <f>IF(AND($E26="N",F26="Y"),-VLOOKUP($C26,'Rent Adjustment Worksheet'!$B:$C,2,FALSE),0)</f>
        <v>0</v>
      </c>
      <c r="H26" s="54">
        <f>IF(AND($E26="Y",F26="N"),VLOOKUP($C26,'Rent Adjustment Worksheet'!$B:$C,2,FALSE),0)</f>
        <v>0</v>
      </c>
      <c r="I26" s="53" t="s">
        <v>115</v>
      </c>
      <c r="J26" s="54">
        <f>IF(AND($E26="N",I26="Y"),-VLOOKUP($C26,'Rent Adjustment Worksheet'!$B:$C,2,FALSE),0)</f>
        <v>0</v>
      </c>
      <c r="K26" s="54">
        <f>IF(AND($E26="Y",I26="N"),VLOOKUP($C26,'Rent Adjustment Worksheet'!$B:$C,2,FALSE),0)</f>
        <v>0</v>
      </c>
      <c r="L26" s="53" t="s">
        <v>115</v>
      </c>
      <c r="M26" s="54">
        <f>IF(AND($E26="N",L26="Y"),-VLOOKUP($C26,'Rent Adjustment Worksheet'!$B:$C,2,FALSE),0)</f>
        <v>0</v>
      </c>
      <c r="N26" s="56">
        <f>IF(AND($E26="Y",L26="N"),VLOOKUP($C26,'Rent Adjustment Worksheet'!$B:$C,2,FALSE),0)</f>
        <v>0</v>
      </c>
    </row>
    <row r="27" spans="1:14" x14ac:dyDescent="0.35">
      <c r="A27" s="231">
        <v>18</v>
      </c>
      <c r="B27" s="232"/>
      <c r="C27" s="233" t="s">
        <v>39</v>
      </c>
      <c r="D27" s="232"/>
      <c r="E27" s="74" t="s">
        <v>115</v>
      </c>
      <c r="F27" s="53" t="s">
        <v>115</v>
      </c>
      <c r="G27" s="54">
        <f>IF(AND($E27="N",F27="Y"),-VLOOKUP($C27,'Rent Adjustment Worksheet'!$B:$C,2,FALSE),0)</f>
        <v>0</v>
      </c>
      <c r="H27" s="54">
        <f>IF(AND($E27="Y",F27="N"),VLOOKUP($C27,'Rent Adjustment Worksheet'!$B:$C,2,FALSE),0)</f>
        <v>0</v>
      </c>
      <c r="I27" s="53" t="s">
        <v>115</v>
      </c>
      <c r="J27" s="54">
        <f>IF(AND($E27="N",I27="Y"),-VLOOKUP($C27,'Rent Adjustment Worksheet'!$B:$C,2,FALSE),0)</f>
        <v>0</v>
      </c>
      <c r="K27" s="54">
        <f>IF(AND($E27="Y",I27="N"),VLOOKUP($C27,'Rent Adjustment Worksheet'!$B:$C,2,FALSE),0)</f>
        <v>0</v>
      </c>
      <c r="L27" s="53" t="s">
        <v>115</v>
      </c>
      <c r="M27" s="54">
        <f>IF(AND($E27="N",L27="Y"),-VLOOKUP($C27,'Rent Adjustment Worksheet'!$B:$C,2,FALSE),0)</f>
        <v>0</v>
      </c>
      <c r="N27" s="56">
        <f>IF(AND($E27="Y",L27="N"),VLOOKUP($C27,'Rent Adjustment Worksheet'!$B:$C,2,FALSE),0)</f>
        <v>0</v>
      </c>
    </row>
    <row r="28" spans="1:14" x14ac:dyDescent="0.35">
      <c r="A28" s="231">
        <v>19</v>
      </c>
      <c r="B28" s="232"/>
      <c r="C28" s="233" t="s">
        <v>41</v>
      </c>
      <c r="D28" s="232"/>
      <c r="E28" s="74" t="s">
        <v>115</v>
      </c>
      <c r="F28" s="53" t="s">
        <v>115</v>
      </c>
      <c r="G28" s="54">
        <f>IF(AND($E28="N",F28="Y"),-VLOOKUP($C28,'Rent Adjustment Worksheet'!$B:$C,2,FALSE),0)</f>
        <v>0</v>
      </c>
      <c r="H28" s="54">
        <f>IF(AND($E28="Y",F28="N"),VLOOKUP($C28,'Rent Adjustment Worksheet'!$B:$C,2,FALSE),0)</f>
        <v>0</v>
      </c>
      <c r="I28" s="53" t="s">
        <v>115</v>
      </c>
      <c r="J28" s="54">
        <f>IF(AND($E28="N",I28="Y"),-VLOOKUP($C28,'Rent Adjustment Worksheet'!$B:$C,2,FALSE),0)</f>
        <v>0</v>
      </c>
      <c r="K28" s="54">
        <f>IF(AND($E28="Y",I28="N"),VLOOKUP($C28,'Rent Adjustment Worksheet'!$B:$C,2,FALSE),0)</f>
        <v>0</v>
      </c>
      <c r="L28" s="53" t="s">
        <v>115</v>
      </c>
      <c r="M28" s="54">
        <f>IF(AND($E28="N",L28="Y"),-VLOOKUP($C28,'Rent Adjustment Worksheet'!$B:$C,2,FALSE),0)</f>
        <v>0</v>
      </c>
      <c r="N28" s="56">
        <f>IF(AND($E28="Y",L28="N"),VLOOKUP($C28,'Rent Adjustment Worksheet'!$B:$C,2,FALSE),0)</f>
        <v>0</v>
      </c>
    </row>
    <row r="29" spans="1:14" x14ac:dyDescent="0.35">
      <c r="A29" s="231">
        <v>20</v>
      </c>
      <c r="B29" s="232"/>
      <c r="C29" s="233" t="s">
        <v>43</v>
      </c>
      <c r="D29" s="232"/>
      <c r="E29" s="74" t="s">
        <v>115</v>
      </c>
      <c r="F29" s="53" t="s">
        <v>115</v>
      </c>
      <c r="G29" s="54">
        <f>IF(AND($E29="N",F29="Y"),-VLOOKUP($C29,'Rent Adjustment Worksheet'!$B:$C,2,FALSE),0)</f>
        <v>0</v>
      </c>
      <c r="H29" s="54">
        <f>IF(AND($E29="Y",F29="N"),VLOOKUP($C29,'Rent Adjustment Worksheet'!$B:$C,2,FALSE),0)</f>
        <v>0</v>
      </c>
      <c r="I29" s="53" t="s">
        <v>115</v>
      </c>
      <c r="J29" s="54">
        <f>IF(AND($E29="N",I29="Y"),-VLOOKUP($C29,'Rent Adjustment Worksheet'!$B:$C,2,FALSE),0)</f>
        <v>0</v>
      </c>
      <c r="K29" s="54">
        <f>IF(AND($E29="Y",I29="N"),VLOOKUP($C29,'Rent Adjustment Worksheet'!$B:$C,2,FALSE),0)</f>
        <v>0</v>
      </c>
      <c r="L29" s="53" t="s">
        <v>115</v>
      </c>
      <c r="M29" s="54">
        <f>IF(AND($E29="N",L29="Y"),-VLOOKUP($C29,'Rent Adjustment Worksheet'!$B:$C,2,FALSE),0)</f>
        <v>0</v>
      </c>
      <c r="N29" s="56">
        <f>IF(AND($E29="Y",L29="N"),VLOOKUP($C29,'Rent Adjustment Worksheet'!$B:$C,2,FALSE),0)</f>
        <v>0</v>
      </c>
    </row>
    <row r="30" spans="1:14" x14ac:dyDescent="0.35">
      <c r="A30" s="238" t="s">
        <v>120</v>
      </c>
      <c r="B30" s="239"/>
      <c r="C30" s="239"/>
      <c r="D30" s="239"/>
      <c r="E30" s="239"/>
      <c r="F30" s="239"/>
      <c r="G30" s="239"/>
      <c r="H30" s="239"/>
      <c r="I30" s="239"/>
      <c r="J30" s="239"/>
      <c r="K30" s="239"/>
      <c r="L30" s="239"/>
      <c r="M30" s="239"/>
      <c r="N30" s="240"/>
    </row>
    <row r="31" spans="1:14" x14ac:dyDescent="0.35">
      <c r="A31" s="231">
        <f>A29+1</f>
        <v>21</v>
      </c>
      <c r="B31" s="232"/>
      <c r="C31" s="233" t="s">
        <v>121</v>
      </c>
      <c r="D31" s="232"/>
      <c r="E31" s="74" t="s">
        <v>115</v>
      </c>
      <c r="F31" s="53" t="s">
        <v>115</v>
      </c>
      <c r="G31" s="54">
        <f>IF(AND($E31="N",F31="Y"),-VLOOKUP($C31,'Rent Adjustment Worksheet'!$B:$C,2,FALSE),0)</f>
        <v>0</v>
      </c>
      <c r="H31" s="54">
        <f>IF(AND($E31="Y",F31="N"),VLOOKUP($C31,'Rent Adjustment Worksheet'!$B:$C,2,FALSE),0)</f>
        <v>0</v>
      </c>
      <c r="I31" s="53" t="s">
        <v>115</v>
      </c>
      <c r="J31" s="54">
        <f>IF(AND($E31="N",I31="Y"),-VLOOKUP($C31,'Rent Adjustment Worksheet'!$B:$C,2,FALSE),0)</f>
        <v>0</v>
      </c>
      <c r="K31" s="54">
        <f>IF(AND($E31="Y",I31="N"),VLOOKUP($C31,'Rent Adjustment Worksheet'!$B:$C,2,FALSE),0)</f>
        <v>0</v>
      </c>
      <c r="L31" s="53" t="s">
        <v>115</v>
      </c>
      <c r="M31" s="54">
        <f>IF(AND($E31="N",L31="Y"),-VLOOKUP($C31,'Rent Adjustment Worksheet'!$B:$C,2,FALSE),0)</f>
        <v>0</v>
      </c>
      <c r="N31" s="56">
        <f>IF(AND($E31="Y",L31="N"),VLOOKUP($C31,'Rent Adjustment Worksheet'!$B:$C,2,FALSE),0)</f>
        <v>0</v>
      </c>
    </row>
    <row r="32" spans="1:14" x14ac:dyDescent="0.35">
      <c r="A32" s="231">
        <v>22</v>
      </c>
      <c r="B32" s="232"/>
      <c r="C32" s="233" t="s">
        <v>122</v>
      </c>
      <c r="D32" s="232"/>
      <c r="E32" s="74" t="s">
        <v>115</v>
      </c>
      <c r="F32" s="53" t="s">
        <v>115</v>
      </c>
      <c r="G32" s="54">
        <f>IF(AND($E32="N",F32="Y"),-VLOOKUP($C32,'Rent Adjustment Worksheet'!$B:$C,2,FALSE),0)</f>
        <v>0</v>
      </c>
      <c r="H32" s="54">
        <f>IF(AND($E32="Y",F32="N"),VLOOKUP($C32,'Rent Adjustment Worksheet'!$B:$C,2,FALSE),0)</f>
        <v>0</v>
      </c>
      <c r="I32" s="53" t="s">
        <v>115</v>
      </c>
      <c r="J32" s="54">
        <f>IF(AND($E32="N",I32="Y"),-VLOOKUP($C32,'Rent Adjustment Worksheet'!$B:$C,2,FALSE),0)</f>
        <v>0</v>
      </c>
      <c r="K32" s="54">
        <f>IF(AND($E32="Y",I32="N"),VLOOKUP($C32,'Rent Adjustment Worksheet'!$B:$C,2,FALSE),0)</f>
        <v>0</v>
      </c>
      <c r="L32" s="53" t="s">
        <v>115</v>
      </c>
      <c r="M32" s="54">
        <f>IF(AND($E32="N",L32="Y"),-VLOOKUP($C32,'Rent Adjustment Worksheet'!$B:$C,2,FALSE),0)</f>
        <v>0</v>
      </c>
      <c r="N32" s="56">
        <f>IF(AND($E32="Y",L32="N"),VLOOKUP($C32,'Rent Adjustment Worksheet'!$B:$C,2,FALSE),0)</f>
        <v>0</v>
      </c>
    </row>
    <row r="33" spans="1:14" x14ac:dyDescent="0.35">
      <c r="A33" s="231">
        <v>23</v>
      </c>
      <c r="B33" s="232"/>
      <c r="C33" s="233" t="s">
        <v>68</v>
      </c>
      <c r="D33" s="232"/>
      <c r="E33" s="74" t="s">
        <v>115</v>
      </c>
      <c r="F33" s="53" t="s">
        <v>115</v>
      </c>
      <c r="G33" s="54">
        <f>IF(AND($E33="N",F33="Y"),-VLOOKUP($C33,'Rent Adjustment Worksheet'!$B:$C,2,FALSE),0)</f>
        <v>0</v>
      </c>
      <c r="H33" s="54">
        <f>IF(AND($E33="Y",F33="N"),VLOOKUP($C33,'Rent Adjustment Worksheet'!$B:$C,2,FALSE),0)</f>
        <v>0</v>
      </c>
      <c r="I33" s="53" t="s">
        <v>115</v>
      </c>
      <c r="J33" s="54">
        <f>IF(AND($E33="N",I33="Y"),-VLOOKUP($C33,'Rent Adjustment Worksheet'!$B:$C,2,FALSE),0)</f>
        <v>0</v>
      </c>
      <c r="K33" s="54">
        <f>IF(AND($E33="Y",I33="N"),VLOOKUP($C33,'Rent Adjustment Worksheet'!$B:$C,2,FALSE),0)</f>
        <v>0</v>
      </c>
      <c r="L33" s="53" t="s">
        <v>115</v>
      </c>
      <c r="M33" s="54">
        <f>IF(AND($E33="N",L33="Y"),-VLOOKUP($C33,'Rent Adjustment Worksheet'!$B:$C,2,FALSE),0)</f>
        <v>0</v>
      </c>
      <c r="N33" s="56">
        <f>IF(AND($E33="Y",L33="N"),VLOOKUP($C33,'Rent Adjustment Worksheet'!$B:$C,2,FALSE),0)</f>
        <v>0</v>
      </c>
    </row>
    <row r="34" spans="1:14" x14ac:dyDescent="0.35">
      <c r="A34" s="231">
        <v>24</v>
      </c>
      <c r="B34" s="232"/>
      <c r="C34" s="233" t="s">
        <v>69</v>
      </c>
      <c r="D34" s="232"/>
      <c r="E34" s="74" t="s">
        <v>115</v>
      </c>
      <c r="F34" s="53" t="s">
        <v>115</v>
      </c>
      <c r="G34" s="54">
        <f>IF(AND($E34="N",F34="Y"),-VLOOKUP($C34,'Rent Adjustment Worksheet'!$B:$C,2,FALSE),0)</f>
        <v>0</v>
      </c>
      <c r="H34" s="54">
        <f>IF(AND($E34="Y",F34="N"),VLOOKUP($C34,'Rent Adjustment Worksheet'!$B:$C,2,FALSE),0)</f>
        <v>0</v>
      </c>
      <c r="I34" s="53" t="s">
        <v>115</v>
      </c>
      <c r="J34" s="54">
        <f>IF(AND($E34="N",I34="Y"),-VLOOKUP($C34,'Rent Adjustment Worksheet'!$B:$C,2,FALSE),0)</f>
        <v>0</v>
      </c>
      <c r="K34" s="54">
        <f>IF(AND($E34="Y",I34="N"),VLOOKUP($C34,'Rent Adjustment Worksheet'!$B:$C,2,FALSE),0)</f>
        <v>0</v>
      </c>
      <c r="L34" s="53" t="s">
        <v>115</v>
      </c>
      <c r="M34" s="54">
        <f>IF(AND($E34="N",L34="Y"),-VLOOKUP($C34,'Rent Adjustment Worksheet'!$B:$C,2,FALSE),0)</f>
        <v>0</v>
      </c>
      <c r="N34" s="56">
        <f>IF(AND($E34="Y",L34="N"),VLOOKUP($C34,'Rent Adjustment Worksheet'!$B:$C,2,FALSE),0)</f>
        <v>0</v>
      </c>
    </row>
    <row r="35" spans="1:14" x14ac:dyDescent="0.35">
      <c r="A35" s="231">
        <v>25</v>
      </c>
      <c r="B35" s="232"/>
      <c r="C35" s="233" t="s">
        <v>70</v>
      </c>
      <c r="D35" s="232"/>
      <c r="E35" s="74" t="s">
        <v>115</v>
      </c>
      <c r="F35" s="53" t="s">
        <v>115</v>
      </c>
      <c r="G35" s="54">
        <f>IF(AND($E35="N",F35="Y"),-VLOOKUP($C35,'Rent Adjustment Worksheet'!$B:$C,2,FALSE),0)</f>
        <v>0</v>
      </c>
      <c r="H35" s="54">
        <f>IF(AND($E35="Y",F35="N"),VLOOKUP($C35,'Rent Adjustment Worksheet'!$B:$C,2,FALSE),0)</f>
        <v>0</v>
      </c>
      <c r="I35" s="53" t="s">
        <v>115</v>
      </c>
      <c r="J35" s="54">
        <f>IF(AND($E35="N",I35="Y"),-VLOOKUP($C35,'Rent Adjustment Worksheet'!$B:$C,2,FALSE),0)</f>
        <v>0</v>
      </c>
      <c r="K35" s="54">
        <f>IF(AND($E35="Y",I35="N"),VLOOKUP($C35,'Rent Adjustment Worksheet'!$B:$C,2,FALSE),0)</f>
        <v>0</v>
      </c>
      <c r="L35" s="53" t="s">
        <v>115</v>
      </c>
      <c r="M35" s="54">
        <f>IF(AND($E35="N",L35="Y"),-VLOOKUP($C35,'Rent Adjustment Worksheet'!$B:$C,2,FALSE),0)</f>
        <v>0</v>
      </c>
      <c r="N35" s="56">
        <f>IF(AND($E35="Y",L35="N"),VLOOKUP($C35,'Rent Adjustment Worksheet'!$B:$C,2,FALSE),0)</f>
        <v>0</v>
      </c>
    </row>
    <row r="36" spans="1:14" x14ac:dyDescent="0.35">
      <c r="A36" s="231">
        <v>26</v>
      </c>
      <c r="B36" s="232"/>
      <c r="C36" s="233" t="s">
        <v>71</v>
      </c>
      <c r="D36" s="232"/>
      <c r="E36" s="74" t="s">
        <v>115</v>
      </c>
      <c r="F36" s="53" t="s">
        <v>115</v>
      </c>
      <c r="G36" s="54">
        <f>IF(AND($E36="N",F36="Y"),-VLOOKUP($C36,'Rent Adjustment Worksheet'!$B:$C,2,FALSE),0)</f>
        <v>0</v>
      </c>
      <c r="H36" s="54">
        <f>IF(AND($E36="Y",F36="N"),VLOOKUP($C36,'Rent Adjustment Worksheet'!$B:$C,2,FALSE),0)</f>
        <v>0</v>
      </c>
      <c r="I36" s="53" t="s">
        <v>115</v>
      </c>
      <c r="J36" s="54">
        <f>IF(AND($E36="N",I36="Y"),-VLOOKUP($C36,'Rent Adjustment Worksheet'!$B:$C,2,FALSE),0)</f>
        <v>0</v>
      </c>
      <c r="K36" s="54">
        <f>IF(AND($E36="Y",I36="N"),VLOOKUP($C36,'Rent Adjustment Worksheet'!$B:$C,2,FALSE),0)</f>
        <v>0</v>
      </c>
      <c r="L36" s="53" t="s">
        <v>115</v>
      </c>
      <c r="M36" s="54">
        <f>IF(AND($E36="N",L36="Y"),-VLOOKUP($C36,'Rent Adjustment Worksheet'!$B:$C,2,FALSE),0)</f>
        <v>0</v>
      </c>
      <c r="N36" s="56">
        <f>IF(AND($E36="Y",L36="N"),VLOOKUP($C36,'Rent Adjustment Worksheet'!$B:$C,2,FALSE),0)</f>
        <v>0</v>
      </c>
    </row>
    <row r="37" spans="1:14" x14ac:dyDescent="0.35">
      <c r="A37" s="231">
        <v>27</v>
      </c>
      <c r="B37" s="232"/>
      <c r="C37" s="233" t="s">
        <v>47</v>
      </c>
      <c r="D37" s="232"/>
      <c r="E37" s="74" t="s">
        <v>115</v>
      </c>
      <c r="F37" s="53" t="s">
        <v>115</v>
      </c>
      <c r="G37" s="54">
        <f>IF(AND($E37="N",F37="Y"),-VLOOKUP($C37,'Rent Adjustment Worksheet'!$B:$C,2,FALSE),0)</f>
        <v>0</v>
      </c>
      <c r="H37" s="54">
        <f>IF(AND($E37="Y",F37="N"),VLOOKUP($C37,'Rent Adjustment Worksheet'!$B:$C,2,FALSE),0)</f>
        <v>0</v>
      </c>
      <c r="I37" s="53" t="s">
        <v>115</v>
      </c>
      <c r="J37" s="54">
        <f>IF(AND($E37="N",I37="Y"),-VLOOKUP($C37,'Rent Adjustment Worksheet'!$B:$C,2,FALSE),0)</f>
        <v>0</v>
      </c>
      <c r="K37" s="54">
        <f>IF(AND($E37="Y",I37="N"),VLOOKUP($C37,'Rent Adjustment Worksheet'!$B:$C,2,FALSE),0)</f>
        <v>0</v>
      </c>
      <c r="L37" s="53" t="s">
        <v>115</v>
      </c>
      <c r="M37" s="54">
        <f>IF(AND($E37="N",L37="Y"),-VLOOKUP($C37,'Rent Adjustment Worksheet'!$B:$C,2,FALSE),0)</f>
        <v>0</v>
      </c>
      <c r="N37" s="56">
        <f>IF(AND($E37="Y",L37="N"),VLOOKUP($C37,'Rent Adjustment Worksheet'!$B:$C,2,FALSE),0)</f>
        <v>0</v>
      </c>
    </row>
    <row r="38" spans="1:14" x14ac:dyDescent="0.35">
      <c r="A38" s="238" t="s">
        <v>123</v>
      </c>
      <c r="B38" s="239"/>
      <c r="C38" s="239"/>
      <c r="D38" s="239"/>
      <c r="E38" s="239"/>
      <c r="F38" s="239"/>
      <c r="G38" s="239"/>
      <c r="H38" s="239"/>
      <c r="I38" s="239"/>
      <c r="J38" s="239"/>
      <c r="K38" s="239"/>
      <c r="L38" s="239"/>
      <c r="M38" s="239"/>
      <c r="N38" s="240"/>
    </row>
    <row r="39" spans="1:14" x14ac:dyDescent="0.35">
      <c r="A39" s="231">
        <v>28</v>
      </c>
      <c r="B39" s="232"/>
      <c r="C39" s="261" t="str">
        <f>IF(OR('Rent Adjustment Worksheet'!$B25="PHA write-in (if Applicable)",'Rent Adjustment Worksheet'!$B25=""),"",'Rent Adjustment Worksheet'!$B25)</f>
        <v/>
      </c>
      <c r="D39" s="262"/>
      <c r="E39" s="74" t="s">
        <v>115</v>
      </c>
      <c r="F39" s="53" t="s">
        <v>115</v>
      </c>
      <c r="G39" s="54">
        <f>IF($C39="",0,IF(AND($E39="N",F39="Y"),-VLOOKUP($C39,'Rent Adjustment Worksheet'!$B:$C,2,FALSE),0))</f>
        <v>0</v>
      </c>
      <c r="H39" s="54">
        <f>IF($C39="",0,IF(AND($E39="Y",F39="N"),VLOOKUP($C39,'Rent Adjustment Worksheet'!$B:$C,2,FALSE),0))</f>
        <v>0</v>
      </c>
      <c r="I39" s="53" t="s">
        <v>115</v>
      </c>
      <c r="J39" s="54">
        <f>IF($C39="",0,IF(AND($E39="N",I39="Y"),-VLOOKUP($C39,'Rent Adjustment Worksheet'!$B:$C,2,FALSE),0))</f>
        <v>0</v>
      </c>
      <c r="K39" s="54">
        <f>IF($C39="",0,IF(AND($E39="Y",I39="N"),VLOOKUP($C39,'Rent Adjustment Worksheet'!$B:$C,2,FALSE),0))</f>
        <v>0</v>
      </c>
      <c r="L39" s="53" t="s">
        <v>115</v>
      </c>
      <c r="M39" s="54">
        <f>IF($C39="",0,IF(AND($E39="N",L39="Y"),-VLOOKUP($C39,'Rent Adjustment Worksheet'!$B:$C,2,FALSE),0))</f>
        <v>0</v>
      </c>
      <c r="N39" s="56">
        <f>IF($C39="",0,IF(AND($E39="Y",L39="N"),VLOOKUP($C39,'Rent Adjustment Worksheet'!$B:$C,2,FALSE),0))</f>
        <v>0</v>
      </c>
    </row>
    <row r="40" spans="1:14" x14ac:dyDescent="0.35">
      <c r="A40" s="231">
        <v>29</v>
      </c>
      <c r="B40" s="232"/>
      <c r="C40" s="261" t="str">
        <f>IF(OR('Rent Adjustment Worksheet'!$B26="PHA write-in (if Applicable)",'Rent Adjustment Worksheet'!$B26=""),"",'Rent Adjustment Worksheet'!$B26)</f>
        <v/>
      </c>
      <c r="D40" s="262"/>
      <c r="E40" s="74" t="s">
        <v>115</v>
      </c>
      <c r="F40" s="53" t="s">
        <v>115</v>
      </c>
      <c r="G40" s="54">
        <f>IF($C40="",0,IF(AND($E40="N",F40="Y"),-VLOOKUP($C40,'Rent Adjustment Worksheet'!$B:$C,2,FALSE),0))</f>
        <v>0</v>
      </c>
      <c r="H40" s="54">
        <f>IF($C40="",0,IF(AND($E40="Y",F40="N"),VLOOKUP($C40,'Rent Adjustment Worksheet'!$B:$C,2,FALSE),0))</f>
        <v>0</v>
      </c>
      <c r="I40" s="53" t="s">
        <v>115</v>
      </c>
      <c r="J40" s="54">
        <f>IF($C40="",0,IF(AND($E40="N",I40="Y"),-VLOOKUP($C40,'Rent Adjustment Worksheet'!$B:$C,2,FALSE),0))</f>
        <v>0</v>
      </c>
      <c r="K40" s="54">
        <f>IF($C40="",0,IF(AND($E40="Y",I40="N"),VLOOKUP($C40,'Rent Adjustment Worksheet'!$B:$C,2,FALSE),0))</f>
        <v>0</v>
      </c>
      <c r="L40" s="53" t="s">
        <v>115</v>
      </c>
      <c r="M40" s="54">
        <f>IF($C40="",0,IF(AND($E40="N",L40="Y"),-VLOOKUP($C40,'Rent Adjustment Worksheet'!$B:$C,2,FALSE),0))</f>
        <v>0</v>
      </c>
      <c r="N40" s="56">
        <f>IF($C40="",0,IF(AND($E40="Y",L40="N"),VLOOKUP($C40,'Rent Adjustment Worksheet'!$B:$C,2,FALSE),0))</f>
        <v>0</v>
      </c>
    </row>
    <row r="41" spans="1:14" x14ac:dyDescent="0.35">
      <c r="A41" s="231">
        <v>30</v>
      </c>
      <c r="B41" s="232"/>
      <c r="C41" s="261" t="str">
        <f>IF(OR('Rent Adjustment Worksheet'!$B27="PHA write-in (if Applicable)",'Rent Adjustment Worksheet'!$B27=""),"",'Rent Adjustment Worksheet'!$B27)</f>
        <v/>
      </c>
      <c r="D41" s="262"/>
      <c r="E41" s="74" t="s">
        <v>115</v>
      </c>
      <c r="F41" s="53" t="s">
        <v>115</v>
      </c>
      <c r="G41" s="54">
        <f>IF($C41="",0,IF(AND($E41="N",F41="Y"),-VLOOKUP($C41,'Rent Adjustment Worksheet'!$B:$C,2,FALSE),0))</f>
        <v>0</v>
      </c>
      <c r="H41" s="54">
        <f>IF($C41="",0,IF(AND($E41="Y",F41="N"),VLOOKUP($C41,'Rent Adjustment Worksheet'!$B:$C,2,FALSE),0))</f>
        <v>0</v>
      </c>
      <c r="I41" s="53" t="s">
        <v>115</v>
      </c>
      <c r="J41" s="54">
        <f>IF($C41="",0,IF(AND($E41="N",I41="Y"),-VLOOKUP($C41,'Rent Adjustment Worksheet'!$B:$C,2,FALSE),0))</f>
        <v>0</v>
      </c>
      <c r="K41" s="54">
        <f>IF($C41="",0,IF(AND($E41="Y",I41="N"),VLOOKUP($C41,'Rent Adjustment Worksheet'!$B:$C,2,FALSE),0))</f>
        <v>0</v>
      </c>
      <c r="L41" s="53" t="s">
        <v>115</v>
      </c>
      <c r="M41" s="54">
        <f>IF($C41="",0,IF(AND($E41="N",L41="Y"),-VLOOKUP($C41,'Rent Adjustment Worksheet'!$B:$C,2,FALSE),0))</f>
        <v>0</v>
      </c>
      <c r="N41" s="56">
        <f>IF($C41="",0,IF(AND($E41="Y",L41="N"),VLOOKUP($C41,'Rent Adjustment Worksheet'!$B:$C,2,FALSE),0))</f>
        <v>0</v>
      </c>
    </row>
    <row r="42" spans="1:14" x14ac:dyDescent="0.35">
      <c r="A42" s="231">
        <v>31</v>
      </c>
      <c r="B42" s="232"/>
      <c r="C42" s="261" t="str">
        <f>IF(OR('Rent Adjustment Worksheet'!$B28="PHA write-in (if Applicable)",'Rent Adjustment Worksheet'!$B28=""),"",'Rent Adjustment Worksheet'!$B28)</f>
        <v/>
      </c>
      <c r="D42" s="262"/>
      <c r="E42" s="74" t="s">
        <v>115</v>
      </c>
      <c r="F42" s="53" t="s">
        <v>115</v>
      </c>
      <c r="G42" s="54">
        <f>IF($C42="",0,IF(AND($E42="N",F42="Y"),-VLOOKUP($C42,'Rent Adjustment Worksheet'!$B:$C,2,FALSE),0))</f>
        <v>0</v>
      </c>
      <c r="H42" s="54">
        <f>IF($C42="",0,IF(AND($E42="Y",F42="N"),VLOOKUP($C42,'Rent Adjustment Worksheet'!$B:$C,2,FALSE),0))</f>
        <v>0</v>
      </c>
      <c r="I42" s="53" t="s">
        <v>115</v>
      </c>
      <c r="J42" s="54">
        <f>IF($C42="",0,IF(AND($E42="N",I42="Y"),-VLOOKUP($C42,'Rent Adjustment Worksheet'!$B:$C,2,FALSE),0))</f>
        <v>0</v>
      </c>
      <c r="K42" s="54">
        <f>IF($C42="",0,IF(AND($E42="Y",I42="N"),VLOOKUP($C42,'Rent Adjustment Worksheet'!$B:$C,2,FALSE),0))</f>
        <v>0</v>
      </c>
      <c r="L42" s="53" t="s">
        <v>115</v>
      </c>
      <c r="M42" s="54">
        <f>IF($C42="",0,IF(AND($E42="N",L42="Y"),-VLOOKUP($C42,'Rent Adjustment Worksheet'!$B:$C,2,FALSE),0))</f>
        <v>0</v>
      </c>
      <c r="N42" s="56">
        <f>IF($C42="",0,IF(AND($E42="Y",L42="N"),VLOOKUP($C42,'Rent Adjustment Worksheet'!$B:$C,2,FALSE),0))</f>
        <v>0</v>
      </c>
    </row>
    <row r="43" spans="1:14" x14ac:dyDescent="0.35">
      <c r="A43" s="231">
        <v>32</v>
      </c>
      <c r="B43" s="232"/>
      <c r="C43" s="261" t="str">
        <f>IF(OR('Rent Adjustment Worksheet'!$B29="PHA write-in (if Applicable)",'Rent Adjustment Worksheet'!$B29=""),"",'Rent Adjustment Worksheet'!$B29)</f>
        <v/>
      </c>
      <c r="D43" s="262"/>
      <c r="E43" s="74" t="s">
        <v>115</v>
      </c>
      <c r="F43" s="53" t="s">
        <v>115</v>
      </c>
      <c r="G43" s="54">
        <f>IF($C43="",0,IF(AND($E43="N",F43="Y"),-VLOOKUP($C43,'Rent Adjustment Worksheet'!$B:$C,2,FALSE),0))</f>
        <v>0</v>
      </c>
      <c r="H43" s="54">
        <f>IF($C43="",0,IF(AND($E43="Y",F43="N"),VLOOKUP($C43,'Rent Adjustment Worksheet'!$B:$C,2,FALSE),0))</f>
        <v>0</v>
      </c>
      <c r="I43" s="53" t="s">
        <v>115</v>
      </c>
      <c r="J43" s="54">
        <f>IF($C43="",0,IF(AND($E43="N",I43="Y"),-VLOOKUP($C43,'Rent Adjustment Worksheet'!$B:$C,2,FALSE),0))</f>
        <v>0</v>
      </c>
      <c r="K43" s="54">
        <f>IF($C43="",0,IF(AND($E43="Y",I43="N"),VLOOKUP($C43,'Rent Adjustment Worksheet'!$B:$C,2,FALSE),0))</f>
        <v>0</v>
      </c>
      <c r="L43" s="53" t="s">
        <v>115</v>
      </c>
      <c r="M43" s="54">
        <f>IF($C43="",0,IF(AND($E43="N",L43="Y"),-VLOOKUP($C43,'Rent Adjustment Worksheet'!$B:$C,2,FALSE),0))</f>
        <v>0</v>
      </c>
      <c r="N43" s="56">
        <f>IF($C43="",0,IF(AND($E43="Y",L43="N"),VLOOKUP($C43,'Rent Adjustment Worksheet'!$B:$C,2,FALSE),0))</f>
        <v>0</v>
      </c>
    </row>
    <row r="44" spans="1:14" x14ac:dyDescent="0.35">
      <c r="A44" s="238" t="s">
        <v>232</v>
      </c>
      <c r="B44" s="239"/>
      <c r="C44" s="239"/>
      <c r="D44" s="239"/>
      <c r="E44" s="239"/>
      <c r="F44" s="239"/>
      <c r="G44" s="239"/>
      <c r="H44" s="239"/>
      <c r="I44" s="239"/>
      <c r="J44" s="239"/>
      <c r="K44" s="239"/>
      <c r="L44" s="239"/>
      <c r="M44" s="239"/>
      <c r="N44" s="240"/>
    </row>
    <row r="45" spans="1:14" x14ac:dyDescent="0.35">
      <c r="A45" s="231">
        <v>33</v>
      </c>
      <c r="B45" s="232"/>
      <c r="C45" s="233" t="s">
        <v>233</v>
      </c>
      <c r="D45" s="232"/>
      <c r="E45" s="52"/>
      <c r="F45" s="53">
        <v>0</v>
      </c>
      <c r="G45" s="54"/>
      <c r="H45" s="55"/>
      <c r="I45" s="53">
        <v>0</v>
      </c>
      <c r="J45" s="54"/>
      <c r="K45" s="55"/>
      <c r="L45" s="53">
        <v>0</v>
      </c>
      <c r="M45" s="54"/>
      <c r="N45" s="56"/>
    </row>
    <row r="46" spans="1:14" x14ac:dyDescent="0.35">
      <c r="A46" s="231">
        <v>34</v>
      </c>
      <c r="B46" s="232"/>
      <c r="C46" s="233" t="s">
        <v>234</v>
      </c>
      <c r="D46" s="232"/>
      <c r="E46" s="52"/>
      <c r="F46" s="57" t="e">
        <f>SUM(G46:H46)</f>
        <v>#REF!</v>
      </c>
      <c r="G46" s="58" t="e">
        <f>SUM(G12:G45)</f>
        <v>#REF!</v>
      </c>
      <c r="H46" s="59" t="e">
        <f>SUM(H12:H45)</f>
        <v>#N/A</v>
      </c>
      <c r="I46" s="57" t="e">
        <f>SUM(J46:K46)</f>
        <v>#REF!</v>
      </c>
      <c r="J46" s="58" t="e">
        <f>SUM(J12:J45)</f>
        <v>#REF!</v>
      </c>
      <c r="K46" s="59" t="e">
        <f>SUM(K12:K45)</f>
        <v>#N/A</v>
      </c>
      <c r="L46" s="57" t="e">
        <f>SUM(M46:N46)</f>
        <v>#REF!</v>
      </c>
      <c r="M46" s="58" t="e">
        <f>SUM(M12:M45)</f>
        <v>#REF!</v>
      </c>
      <c r="N46" s="60" t="e">
        <f>SUM(N12:N45)</f>
        <v>#N/A</v>
      </c>
    </row>
    <row r="47" spans="1:14" x14ac:dyDescent="0.35">
      <c r="A47" s="231">
        <v>35</v>
      </c>
      <c r="B47" s="232"/>
      <c r="C47" s="233" t="s">
        <v>235</v>
      </c>
      <c r="D47" s="232"/>
      <c r="E47" s="52"/>
      <c r="F47" s="57" t="e">
        <f>SUM(F45,F46)</f>
        <v>#REF!</v>
      </c>
      <c r="G47" s="61"/>
      <c r="H47" s="62"/>
      <c r="I47" s="57" t="e">
        <f>SUM(I45,I46)</f>
        <v>#REF!</v>
      </c>
      <c r="J47" s="61"/>
      <c r="K47" s="62"/>
      <c r="L47" s="57" t="e">
        <f>SUM(L45,L46)</f>
        <v>#REF!</v>
      </c>
      <c r="M47" s="61"/>
      <c r="N47" s="63"/>
    </row>
    <row r="48" spans="1:14" x14ac:dyDescent="0.35">
      <c r="A48" s="231">
        <v>36</v>
      </c>
      <c r="B48" s="232"/>
      <c r="C48" s="233" t="s">
        <v>236</v>
      </c>
      <c r="D48" s="232"/>
      <c r="E48" s="47" t="e">
        <f>AVERAGE(F47,I47,L47)</f>
        <v>#REF!</v>
      </c>
      <c r="F48" s="64"/>
      <c r="G48" s="65"/>
      <c r="H48" s="66"/>
      <c r="I48" s="64"/>
      <c r="J48" s="65"/>
      <c r="K48" s="66"/>
      <c r="L48" s="64"/>
      <c r="M48" s="65"/>
      <c r="N48" s="67"/>
    </row>
    <row r="49" spans="1:14" x14ac:dyDescent="0.35">
      <c r="A49" s="231">
        <v>37</v>
      </c>
      <c r="B49" s="232"/>
      <c r="C49" s="233" t="s">
        <v>237</v>
      </c>
      <c r="D49" s="232"/>
      <c r="E49" s="68"/>
      <c r="F49" s="64"/>
      <c r="G49" s="65"/>
      <c r="H49" s="66"/>
      <c r="I49" s="64"/>
      <c r="J49" s="65"/>
      <c r="K49" s="66"/>
      <c r="L49" s="64"/>
      <c r="M49" s="65"/>
      <c r="N49" s="67"/>
    </row>
    <row r="50" spans="1:14" x14ac:dyDescent="0.35">
      <c r="A50" s="231">
        <v>38</v>
      </c>
      <c r="B50" s="232"/>
      <c r="C50" s="233" t="s">
        <v>238</v>
      </c>
      <c r="D50" s="232"/>
      <c r="E50" s="68"/>
      <c r="F50" s="64"/>
      <c r="G50" s="65"/>
      <c r="H50" s="66"/>
      <c r="I50" s="64"/>
      <c r="J50" s="65"/>
      <c r="K50" s="66"/>
      <c r="L50" s="64"/>
      <c r="M50" s="65"/>
      <c r="N50" s="67"/>
    </row>
    <row r="51" spans="1:14" x14ac:dyDescent="0.35">
      <c r="A51" s="231">
        <v>39</v>
      </c>
      <c r="B51" s="232"/>
      <c r="C51" s="233" t="s">
        <v>222</v>
      </c>
      <c r="D51" s="232"/>
      <c r="E51" s="68"/>
      <c r="F51" s="64"/>
      <c r="G51" s="65"/>
      <c r="H51" s="66"/>
      <c r="I51" s="64"/>
      <c r="J51" s="65"/>
      <c r="K51" s="66"/>
      <c r="L51" s="64"/>
      <c r="M51" s="65"/>
      <c r="N51" s="67"/>
    </row>
    <row r="52" spans="1:14" ht="15" thickBot="1" x14ac:dyDescent="0.4">
      <c r="A52" s="231">
        <v>40</v>
      </c>
      <c r="B52" s="232"/>
      <c r="C52" s="373" t="s">
        <v>239</v>
      </c>
      <c r="D52" s="277"/>
      <c r="E52" s="69"/>
      <c r="F52" s="70"/>
      <c r="G52" s="71"/>
      <c r="H52" s="72"/>
      <c r="I52" s="70"/>
      <c r="J52" s="71"/>
      <c r="K52" s="72"/>
      <c r="L52" s="70"/>
      <c r="M52" s="71"/>
      <c r="N52" s="73"/>
    </row>
    <row r="53" spans="1:14" s="21" customFormat="1" ht="42" customHeight="1" x14ac:dyDescent="0.35">
      <c r="A53" s="263" t="s">
        <v>131</v>
      </c>
      <c r="B53" s="264"/>
      <c r="C53" s="264"/>
      <c r="D53" s="264"/>
      <c r="E53" s="264"/>
      <c r="F53" s="264"/>
      <c r="G53" s="264"/>
      <c r="H53" s="264"/>
      <c r="I53" s="264"/>
      <c r="J53" s="264"/>
      <c r="K53" s="264"/>
      <c r="L53" s="264"/>
      <c r="M53" s="264"/>
      <c r="N53" s="265"/>
    </row>
    <row r="54" spans="1:14" ht="51" customHeight="1" x14ac:dyDescent="0.35">
      <c r="A54" s="374" t="s">
        <v>240</v>
      </c>
      <c r="B54" s="375"/>
      <c r="C54" s="375"/>
      <c r="D54" s="375"/>
      <c r="E54" s="375"/>
      <c r="F54" s="375"/>
      <c r="G54" s="375"/>
      <c r="H54" s="375"/>
      <c r="I54" s="375"/>
      <c r="J54" s="375"/>
      <c r="K54" s="375"/>
      <c r="L54" s="375"/>
      <c r="M54" s="375"/>
      <c r="N54" s="376"/>
    </row>
    <row r="55" spans="1:14" x14ac:dyDescent="0.35">
      <c r="A55" s="377" t="s">
        <v>241</v>
      </c>
      <c r="B55" s="378"/>
      <c r="C55" s="378"/>
      <c r="D55" s="378"/>
      <c r="E55" s="378"/>
      <c r="F55" s="378"/>
      <c r="G55" s="378"/>
      <c r="H55" s="378"/>
      <c r="I55" s="378"/>
      <c r="J55" s="378"/>
      <c r="K55" s="378" t="s">
        <v>242</v>
      </c>
      <c r="L55" s="378"/>
      <c r="M55" s="378"/>
      <c r="N55" s="379"/>
    </row>
    <row r="56" spans="1:14" ht="7.5" customHeight="1" x14ac:dyDescent="0.35">
      <c r="A56" s="365"/>
      <c r="B56" s="366"/>
      <c r="C56" s="366"/>
      <c r="D56" s="366"/>
      <c r="E56" s="366"/>
      <c r="F56" s="366"/>
      <c r="G56" s="366"/>
      <c r="H56" s="366"/>
      <c r="I56" s="366"/>
      <c r="J56" s="366"/>
      <c r="K56" s="366"/>
      <c r="L56" s="366"/>
      <c r="M56" s="366"/>
      <c r="N56" s="367"/>
    </row>
    <row r="57" spans="1:14" ht="48" customHeight="1" x14ac:dyDescent="0.35">
      <c r="A57" s="368" t="s">
        <v>243</v>
      </c>
      <c r="B57" s="369"/>
      <c r="C57" s="369"/>
      <c r="D57" s="369"/>
      <c r="E57" s="369"/>
      <c r="F57" s="369"/>
      <c r="G57" s="369"/>
      <c r="H57" s="369"/>
      <c r="I57" s="369"/>
      <c r="J57" s="369"/>
      <c r="K57" s="369"/>
      <c r="L57" s="369"/>
      <c r="M57" s="369"/>
      <c r="N57" s="370"/>
    </row>
    <row r="58" spans="1:14" x14ac:dyDescent="0.35">
      <c r="A58" s="371" t="s">
        <v>244</v>
      </c>
      <c r="B58" s="211"/>
      <c r="C58" s="211"/>
      <c r="D58" s="211"/>
      <c r="E58" s="211"/>
      <c r="F58" s="211"/>
      <c r="G58" s="211"/>
      <c r="H58" s="211"/>
      <c r="I58" s="211"/>
      <c r="J58" s="211"/>
      <c r="K58" s="211" t="s">
        <v>242</v>
      </c>
      <c r="L58" s="211"/>
      <c r="M58" s="211"/>
      <c r="N58" s="372"/>
    </row>
    <row r="59" spans="1:14" ht="11.25" customHeight="1" x14ac:dyDescent="0.35">
      <c r="A59" s="365"/>
      <c r="B59" s="366"/>
      <c r="C59" s="366"/>
      <c r="D59" s="366"/>
      <c r="E59" s="366"/>
      <c r="F59" s="366"/>
      <c r="G59" s="366"/>
      <c r="H59" s="366"/>
      <c r="I59" s="366"/>
      <c r="J59" s="366"/>
      <c r="K59" s="366"/>
      <c r="L59" s="366"/>
      <c r="M59" s="366"/>
      <c r="N59" s="367"/>
    </row>
    <row r="60" spans="1:14" x14ac:dyDescent="0.35">
      <c r="A60" s="14"/>
      <c r="B60" s="14"/>
      <c r="C60" s="196"/>
      <c r="D60" s="196"/>
      <c r="E60" s="15"/>
      <c r="F60" s="15"/>
      <c r="G60" s="14"/>
      <c r="H60" s="14"/>
      <c r="I60" s="15"/>
      <c r="J60" s="14"/>
      <c r="K60" s="14"/>
      <c r="L60" s="15"/>
      <c r="M60" s="19"/>
      <c r="N60" s="20" t="s">
        <v>245</v>
      </c>
    </row>
  </sheetData>
  <mergeCells count="120">
    <mergeCell ref="A1:K1"/>
    <mergeCell ref="L1:N1"/>
    <mergeCell ref="A2:K2"/>
    <mergeCell ref="L2:N2"/>
    <mergeCell ref="A3:N3"/>
    <mergeCell ref="A4:N4"/>
    <mergeCell ref="A5:B5"/>
    <mergeCell ref="D5:E5"/>
    <mergeCell ref="F5:N5"/>
    <mergeCell ref="A11:N11"/>
    <mergeCell ref="A12:B12"/>
    <mergeCell ref="C12:D12"/>
    <mergeCell ref="I7:K7"/>
    <mergeCell ref="L7:N7"/>
    <mergeCell ref="F8:H8"/>
    <mergeCell ref="I8:K8"/>
    <mergeCell ref="L8:N8"/>
    <mergeCell ref="C9:D10"/>
    <mergeCell ref="E9:E10"/>
    <mergeCell ref="F9:F10"/>
    <mergeCell ref="G9:H9"/>
    <mergeCell ref="I9:I10"/>
    <mergeCell ref="A6:B10"/>
    <mergeCell ref="C6:E6"/>
    <mergeCell ref="F6:H6"/>
    <mergeCell ref="I6:K6"/>
    <mergeCell ref="L6:N6"/>
    <mergeCell ref="D7:E7"/>
    <mergeCell ref="F7:H7"/>
    <mergeCell ref="J9:K9"/>
    <mergeCell ref="L9:L10"/>
    <mergeCell ref="M9:N9"/>
    <mergeCell ref="A16:B16"/>
    <mergeCell ref="C16:D16"/>
    <mergeCell ref="A17:B17"/>
    <mergeCell ref="C17:D17"/>
    <mergeCell ref="A18:B18"/>
    <mergeCell ref="C18:D18"/>
    <mergeCell ref="A13:B13"/>
    <mergeCell ref="C13:D13"/>
    <mergeCell ref="A14:B14"/>
    <mergeCell ref="C14:D14"/>
    <mergeCell ref="A15:B15"/>
    <mergeCell ref="C15:D15"/>
    <mergeCell ref="A22:B22"/>
    <mergeCell ref="C22:D22"/>
    <mergeCell ref="A23:B23"/>
    <mergeCell ref="C23:D23"/>
    <mergeCell ref="A24:B24"/>
    <mergeCell ref="C24:D24"/>
    <mergeCell ref="A19:B19"/>
    <mergeCell ref="C19:D19"/>
    <mergeCell ref="A20:B20"/>
    <mergeCell ref="C20:D20"/>
    <mergeCell ref="A21:B21"/>
    <mergeCell ref="C21:D21"/>
    <mergeCell ref="A28:B28"/>
    <mergeCell ref="C28:D28"/>
    <mergeCell ref="A29:B29"/>
    <mergeCell ref="C29:D29"/>
    <mergeCell ref="A30:N30"/>
    <mergeCell ref="A31:B31"/>
    <mergeCell ref="C31:D31"/>
    <mergeCell ref="A25:B25"/>
    <mergeCell ref="C25:D25"/>
    <mergeCell ref="A26:B26"/>
    <mergeCell ref="C26:D26"/>
    <mergeCell ref="A27:B27"/>
    <mergeCell ref="C27:D27"/>
    <mergeCell ref="A35:B35"/>
    <mergeCell ref="C35:D35"/>
    <mergeCell ref="A36:B36"/>
    <mergeCell ref="C36:D36"/>
    <mergeCell ref="A37:B37"/>
    <mergeCell ref="C37:D37"/>
    <mergeCell ref="A32:B32"/>
    <mergeCell ref="C32:D32"/>
    <mergeCell ref="A33:B33"/>
    <mergeCell ref="C33:D33"/>
    <mergeCell ref="A34:B34"/>
    <mergeCell ref="C34:D34"/>
    <mergeCell ref="A42:B42"/>
    <mergeCell ref="C42:D42"/>
    <mergeCell ref="A43:B43"/>
    <mergeCell ref="C43:D43"/>
    <mergeCell ref="A44:N44"/>
    <mergeCell ref="A45:B45"/>
    <mergeCell ref="C45:D45"/>
    <mergeCell ref="A38:N38"/>
    <mergeCell ref="A39:B39"/>
    <mergeCell ref="C39:D39"/>
    <mergeCell ref="A40:B40"/>
    <mergeCell ref="C40:D40"/>
    <mergeCell ref="A41:B41"/>
    <mergeCell ref="C41:D41"/>
    <mergeCell ref="A49:B49"/>
    <mergeCell ref="C49:D49"/>
    <mergeCell ref="A50:B50"/>
    <mergeCell ref="C50:D50"/>
    <mergeCell ref="A51:B51"/>
    <mergeCell ref="C51:D51"/>
    <mergeCell ref="A46:B46"/>
    <mergeCell ref="C46:D46"/>
    <mergeCell ref="A47:B47"/>
    <mergeCell ref="C47:D47"/>
    <mergeCell ref="A48:B48"/>
    <mergeCell ref="C48:D48"/>
    <mergeCell ref="A56:J56"/>
    <mergeCell ref="K56:N56"/>
    <mergeCell ref="A57:N57"/>
    <mergeCell ref="A58:J58"/>
    <mergeCell ref="K58:N58"/>
    <mergeCell ref="A59:J59"/>
    <mergeCell ref="K59:N59"/>
    <mergeCell ref="A52:B52"/>
    <mergeCell ref="C52:D52"/>
    <mergeCell ref="A53:N53"/>
    <mergeCell ref="A54:N54"/>
    <mergeCell ref="A55:J55"/>
    <mergeCell ref="K55:N55"/>
  </mergeCells>
  <dataValidations count="2">
    <dataValidation allowBlank="1" showErrorMessage="1" promptTitle="Select PHA Write-In" sqref="C39:D43" xr:uid="{CB74E5D5-6766-4F77-A788-F30AB7C39910}"/>
    <dataValidation errorStyle="information" allowBlank="1" showInputMessage="1" showErrorMessage="1" errorTitle="Non Valid Adjustment" error="Please Select a Valid PHA Write-in adjustment." sqref="J39:K43 G39:H43 M39:N43" xr:uid="{3474ED94-F0B0-4B4A-8A05-C2B7B404E4B9}"/>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4E97EA8D-BAD8-4DDA-A9F5-738659FE02EC}">
          <x14:formula1>
            <xm:f>DropDown!$A$2:$A$10</xm:f>
          </x14:formula1>
          <xm:sqref>I14 E14:F14 L14</xm:sqref>
        </x14:dataValidation>
        <x14:dataValidation type="list" allowBlank="1" showInputMessage="1" showErrorMessage="1" xr:uid="{CF33DF18-7248-472B-8C2E-EE1636E864A9}">
          <x14:formula1>
            <xm:f>DropDown!$B$2:$B$3</xm:f>
          </x14:formula1>
          <xm:sqref>E20:F29 I20:I29 L20:L29 E31:F37 E39:F43 I15:I18 E15:F18 L15:L18 I31:I37 L31:L37 I39:I43 L39:L43</xm:sqref>
        </x14:dataValidation>
        <x14:dataValidation type="list" allowBlank="1" showInputMessage="1" showErrorMessage="1" xr:uid="{6BB88318-D8C5-486F-8CCA-E1CF06018D2D}">
          <x14:formula1>
            <xm:f>DropDown!$C$2:$C$3</xm:f>
          </x14:formula1>
          <xm:sqref>I19 E19:F19 L19</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6B452-B663-4F0F-9A85-FA0C818F11C7}">
  <sheetPr codeName="Sheet24">
    <tabColor theme="5"/>
  </sheetPr>
  <dimension ref="A1:H55"/>
  <sheetViews>
    <sheetView topLeftCell="B1" workbookViewId="0">
      <selection activeCell="B29" sqref="B29"/>
    </sheetView>
  </sheetViews>
  <sheetFormatPr defaultRowHeight="14.5" x14ac:dyDescent="0.35"/>
  <cols>
    <col min="1" max="1" width="37.81640625" hidden="1" customWidth="1"/>
    <col min="2" max="2" width="37.81640625" bestFit="1" customWidth="1"/>
    <col min="3" max="3" width="19.1796875" bestFit="1" customWidth="1"/>
    <col min="7" max="8" width="9.1796875" style="8"/>
  </cols>
  <sheetData>
    <row r="1" spans="1:8" s="3" customFormat="1" x14ac:dyDescent="0.35">
      <c r="A1" s="3" t="s">
        <v>166</v>
      </c>
      <c r="B1" s="5" t="s">
        <v>3</v>
      </c>
      <c r="C1" s="4" t="s">
        <v>246</v>
      </c>
      <c r="G1" s="10"/>
      <c r="H1" s="10"/>
    </row>
    <row r="2" spans="1:8" x14ac:dyDescent="0.35">
      <c r="A2" t="s">
        <v>230</v>
      </c>
      <c r="B2" s="6" t="s">
        <v>230</v>
      </c>
      <c r="C2" s="22">
        <v>6.4999999999999997E-3</v>
      </c>
      <c r="F2" s="8">
        <v>0</v>
      </c>
      <c r="G2" s="8">
        <v>1</v>
      </c>
      <c r="H2" s="8" t="s">
        <v>6</v>
      </c>
    </row>
    <row r="3" spans="1:8" x14ac:dyDescent="0.35">
      <c r="A3" t="s">
        <v>113</v>
      </c>
      <c r="B3" s="2" t="s">
        <v>7</v>
      </c>
      <c r="C3" s="12">
        <v>1</v>
      </c>
      <c r="F3" s="8">
        <v>1</v>
      </c>
      <c r="G3" s="8">
        <v>1.5</v>
      </c>
      <c r="H3" s="8" t="s">
        <v>9</v>
      </c>
    </row>
    <row r="4" spans="1:8" x14ac:dyDescent="0.35">
      <c r="B4" s="2" t="s">
        <v>169</v>
      </c>
      <c r="C4" s="12">
        <f>C5/2</f>
        <v>0</v>
      </c>
      <c r="F4" s="8">
        <v>2</v>
      </c>
      <c r="G4" s="8">
        <v>2</v>
      </c>
      <c r="H4" s="8" t="s">
        <v>11</v>
      </c>
    </row>
    <row r="5" spans="1:8" x14ac:dyDescent="0.35">
      <c r="B5" s="2" t="s">
        <v>170</v>
      </c>
      <c r="C5" s="13">
        <v>0</v>
      </c>
      <c r="F5" s="8" t="s">
        <v>113</v>
      </c>
      <c r="H5" s="8" t="s">
        <v>14</v>
      </c>
    </row>
    <row r="6" spans="1:8" x14ac:dyDescent="0.35">
      <c r="B6" s="2" t="s">
        <v>15</v>
      </c>
      <c r="C6" s="13">
        <v>7</v>
      </c>
      <c r="F6" s="8">
        <v>4</v>
      </c>
      <c r="G6" s="8">
        <v>3</v>
      </c>
      <c r="H6" s="8" t="s">
        <v>16</v>
      </c>
    </row>
    <row r="7" spans="1:8" x14ac:dyDescent="0.35">
      <c r="B7" s="2" t="s">
        <v>17</v>
      </c>
      <c r="C7" s="13">
        <v>20</v>
      </c>
      <c r="F7" s="8">
        <v>5</v>
      </c>
      <c r="H7" s="8" t="s">
        <v>18</v>
      </c>
    </row>
    <row r="8" spans="1:8" x14ac:dyDescent="0.35">
      <c r="B8" s="2" t="s">
        <v>19</v>
      </c>
      <c r="C8" s="13">
        <v>10</v>
      </c>
      <c r="H8" s="8" t="s">
        <v>20</v>
      </c>
    </row>
    <row r="9" spans="1:8" x14ac:dyDescent="0.35">
      <c r="B9" s="2" t="s">
        <v>116</v>
      </c>
      <c r="C9" s="13">
        <v>7</v>
      </c>
      <c r="H9" s="8" t="s">
        <v>22</v>
      </c>
    </row>
    <row r="10" spans="1:8" x14ac:dyDescent="0.35">
      <c r="A10" t="s">
        <v>134</v>
      </c>
      <c r="B10" s="2" t="s">
        <v>24</v>
      </c>
      <c r="C10" s="13">
        <v>76</v>
      </c>
      <c r="H10" s="8" t="s">
        <v>25</v>
      </c>
    </row>
    <row r="11" spans="1:8" x14ac:dyDescent="0.35">
      <c r="A11" t="s">
        <v>135</v>
      </c>
      <c r="B11" s="2" t="s">
        <v>26</v>
      </c>
      <c r="C11" s="13">
        <v>50</v>
      </c>
      <c r="H11" s="8" t="s">
        <v>27</v>
      </c>
    </row>
    <row r="12" spans="1:8" x14ac:dyDescent="0.35">
      <c r="B12" s="2" t="s">
        <v>231</v>
      </c>
      <c r="C12" s="13">
        <v>3</v>
      </c>
      <c r="H12" s="8" t="s">
        <v>29</v>
      </c>
    </row>
    <row r="13" spans="1:8" x14ac:dyDescent="0.35">
      <c r="B13" s="2" t="s">
        <v>28</v>
      </c>
      <c r="C13" s="13">
        <v>3</v>
      </c>
      <c r="H13" s="8" t="s">
        <v>31</v>
      </c>
    </row>
    <row r="14" spans="1:8" x14ac:dyDescent="0.35">
      <c r="B14" s="2" t="s">
        <v>119</v>
      </c>
      <c r="C14" s="13">
        <v>8</v>
      </c>
      <c r="H14" s="8" t="s">
        <v>33</v>
      </c>
    </row>
    <row r="15" spans="1:8" x14ac:dyDescent="0.35">
      <c r="B15" s="2" t="s">
        <v>32</v>
      </c>
      <c r="C15" s="13">
        <v>6</v>
      </c>
      <c r="H15" s="8" t="s">
        <v>35</v>
      </c>
    </row>
    <row r="16" spans="1:8" x14ac:dyDescent="0.35">
      <c r="B16" s="2" t="s">
        <v>34</v>
      </c>
      <c r="C16" s="13">
        <v>20</v>
      </c>
      <c r="H16" s="8" t="s">
        <v>37</v>
      </c>
    </row>
    <row r="17" spans="2:8" x14ac:dyDescent="0.35">
      <c r="B17" s="2" t="s">
        <v>36</v>
      </c>
      <c r="C17" s="13">
        <v>20</v>
      </c>
    </row>
    <row r="18" spans="2:8" x14ac:dyDescent="0.35">
      <c r="B18" s="2" t="s">
        <v>38</v>
      </c>
      <c r="C18" s="13">
        <v>6</v>
      </c>
      <c r="H18" s="8" t="s">
        <v>40</v>
      </c>
    </row>
    <row r="19" spans="2:8" x14ac:dyDescent="0.35">
      <c r="B19" s="2" t="s">
        <v>39</v>
      </c>
      <c r="C19" s="13">
        <v>14</v>
      </c>
      <c r="H19" s="8" t="s">
        <v>42</v>
      </c>
    </row>
    <row r="20" spans="2:8" x14ac:dyDescent="0.35">
      <c r="B20" s="2" t="s">
        <v>41</v>
      </c>
      <c r="C20" s="13">
        <v>13</v>
      </c>
      <c r="H20" s="8" t="s">
        <v>44</v>
      </c>
    </row>
    <row r="21" spans="2:8" x14ac:dyDescent="0.35">
      <c r="B21" s="2" t="s">
        <v>43</v>
      </c>
      <c r="C21" s="13">
        <v>33</v>
      </c>
      <c r="H21" s="8" t="s">
        <v>247</v>
      </c>
    </row>
    <row r="22" spans="2:8" x14ac:dyDescent="0.35">
      <c r="B22" s="2" t="s">
        <v>121</v>
      </c>
      <c r="C22" s="13">
        <v>50</v>
      </c>
      <c r="H22" s="8" t="s">
        <v>46</v>
      </c>
    </row>
    <row r="23" spans="2:8" x14ac:dyDescent="0.35">
      <c r="B23" s="2" t="s">
        <v>122</v>
      </c>
      <c r="C23" s="13">
        <v>25</v>
      </c>
      <c r="H23" s="8" t="s">
        <v>248</v>
      </c>
    </row>
    <row r="24" spans="2:8" x14ac:dyDescent="0.35">
      <c r="B24" s="2" t="s">
        <v>68</v>
      </c>
      <c r="C24" s="13">
        <v>25</v>
      </c>
      <c r="H24" s="8" t="s">
        <v>249</v>
      </c>
    </row>
    <row r="25" spans="2:8" x14ac:dyDescent="0.35">
      <c r="B25" s="2" t="s">
        <v>69</v>
      </c>
      <c r="C25" s="13">
        <v>25</v>
      </c>
      <c r="H25" s="8" t="s">
        <v>250</v>
      </c>
    </row>
    <row r="26" spans="2:8" x14ac:dyDescent="0.35">
      <c r="B26" s="2" t="s">
        <v>70</v>
      </c>
      <c r="C26" s="13">
        <v>25</v>
      </c>
      <c r="H26" s="8" t="s">
        <v>251</v>
      </c>
    </row>
    <row r="27" spans="2:8" x14ac:dyDescent="0.35">
      <c r="B27" s="2" t="s">
        <v>71</v>
      </c>
      <c r="C27" s="13">
        <v>10</v>
      </c>
      <c r="H27" s="8" t="s">
        <v>48</v>
      </c>
    </row>
    <row r="28" spans="2:8" x14ac:dyDescent="0.35">
      <c r="B28" s="2" t="s">
        <v>47</v>
      </c>
      <c r="C28" s="13">
        <v>10</v>
      </c>
      <c r="H28" s="8" t="s">
        <v>50</v>
      </c>
    </row>
    <row r="29" spans="2:8" x14ac:dyDescent="0.35">
      <c r="B29" s="48" t="s">
        <v>136</v>
      </c>
      <c r="C29" s="13">
        <v>99</v>
      </c>
      <c r="H29" s="8" t="s">
        <v>52</v>
      </c>
    </row>
    <row r="30" spans="2:8" x14ac:dyDescent="0.35">
      <c r="B30" s="48" t="s">
        <v>137</v>
      </c>
      <c r="C30" s="13">
        <v>15</v>
      </c>
      <c r="H30" s="8" t="s">
        <v>252</v>
      </c>
    </row>
    <row r="31" spans="2:8" x14ac:dyDescent="0.35">
      <c r="B31" s="48" t="s">
        <v>138</v>
      </c>
      <c r="C31" s="13">
        <v>32</v>
      </c>
      <c r="H31" s="8" t="s">
        <v>54</v>
      </c>
    </row>
    <row r="32" spans="2:8" x14ac:dyDescent="0.35">
      <c r="B32" s="48" t="s">
        <v>253</v>
      </c>
      <c r="C32" s="13">
        <v>22</v>
      </c>
      <c r="H32" s="8" t="s">
        <v>55</v>
      </c>
    </row>
    <row r="33" spans="2:8" x14ac:dyDescent="0.35">
      <c r="B33" s="48" t="s">
        <v>53</v>
      </c>
      <c r="C33" s="13">
        <v>0</v>
      </c>
      <c r="H33" s="8" t="s">
        <v>56</v>
      </c>
    </row>
    <row r="34" spans="2:8" x14ac:dyDescent="0.35">
      <c r="H34" s="8" t="s">
        <v>57</v>
      </c>
    </row>
    <row r="35" spans="2:8" x14ac:dyDescent="0.35">
      <c r="H35" s="8" t="s">
        <v>58</v>
      </c>
    </row>
    <row r="36" spans="2:8" x14ac:dyDescent="0.35">
      <c r="H36" s="8" t="s">
        <v>254</v>
      </c>
    </row>
    <row r="37" spans="2:8" x14ac:dyDescent="0.35">
      <c r="H37" s="8" t="s">
        <v>255</v>
      </c>
    </row>
    <row r="38" spans="2:8" x14ac:dyDescent="0.35">
      <c r="H38" s="8" t="s">
        <v>256</v>
      </c>
    </row>
    <row r="39" spans="2:8" x14ac:dyDescent="0.35">
      <c r="H39" s="8" t="s">
        <v>257</v>
      </c>
    </row>
    <row r="40" spans="2:8" x14ac:dyDescent="0.35">
      <c r="H40" s="8" t="s">
        <v>258</v>
      </c>
    </row>
    <row r="41" spans="2:8" x14ac:dyDescent="0.35">
      <c r="H41" s="8" t="s">
        <v>259</v>
      </c>
    </row>
    <row r="42" spans="2:8" x14ac:dyDescent="0.35">
      <c r="H42" s="8" t="s">
        <v>260</v>
      </c>
    </row>
    <row r="43" spans="2:8" x14ac:dyDescent="0.35">
      <c r="H43" s="8" t="s">
        <v>261</v>
      </c>
    </row>
    <row r="44" spans="2:8" x14ac:dyDescent="0.35">
      <c r="H44" s="8" t="s">
        <v>262</v>
      </c>
    </row>
    <row r="45" spans="2:8" x14ac:dyDescent="0.35">
      <c r="H45" s="8" t="s">
        <v>263</v>
      </c>
    </row>
    <row r="46" spans="2:8" x14ac:dyDescent="0.35">
      <c r="H46" s="8" t="s">
        <v>264</v>
      </c>
    </row>
    <row r="47" spans="2:8" x14ac:dyDescent="0.35">
      <c r="H47" s="8" t="s">
        <v>265</v>
      </c>
    </row>
    <row r="48" spans="2:8" x14ac:dyDescent="0.35">
      <c r="H48" s="8" t="s">
        <v>266</v>
      </c>
    </row>
    <row r="49" spans="8:8" x14ac:dyDescent="0.35">
      <c r="H49" s="8" t="s">
        <v>267</v>
      </c>
    </row>
    <row r="50" spans="8:8" x14ac:dyDescent="0.35">
      <c r="H50" s="8" t="s">
        <v>268</v>
      </c>
    </row>
    <row r="51" spans="8:8" x14ac:dyDescent="0.35">
      <c r="H51" s="8" t="s">
        <v>269</v>
      </c>
    </row>
    <row r="52" spans="8:8" x14ac:dyDescent="0.35">
      <c r="H52" s="8" t="s">
        <v>270</v>
      </c>
    </row>
    <row r="53" spans="8:8" x14ac:dyDescent="0.35">
      <c r="H53" s="8" t="s">
        <v>271</v>
      </c>
    </row>
    <row r="54" spans="8:8" x14ac:dyDescent="0.35">
      <c r="H54" s="8" t="s">
        <v>272</v>
      </c>
    </row>
    <row r="55" spans="8:8" x14ac:dyDescent="0.35">
      <c r="H55" s="8" t="s">
        <v>273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DED0F-7A2E-46FF-90BF-0189CD20107F}">
  <sheetPr codeName="Sheet3">
    <tabColor theme="9"/>
  </sheetPr>
  <dimension ref="B12:G32"/>
  <sheetViews>
    <sheetView showGridLines="0" showRowColHeaders="0" topLeftCell="A10" zoomScale="80" zoomScaleNormal="80" workbookViewId="0">
      <selection activeCell="H38" sqref="H38"/>
    </sheetView>
  </sheetViews>
  <sheetFormatPr defaultRowHeight="14.5" x14ac:dyDescent="0.35"/>
  <cols>
    <col min="2" max="2" width="30" hidden="1" customWidth="1"/>
    <col min="3" max="3" width="16.453125" customWidth="1"/>
    <col min="4" max="7" width="18.54296875" customWidth="1"/>
  </cols>
  <sheetData>
    <row r="12" spans="2:7" ht="18.5" x14ac:dyDescent="0.45">
      <c r="C12" s="162" t="s">
        <v>67</v>
      </c>
    </row>
    <row r="13" spans="2:7" ht="29" x14ac:dyDescent="0.35">
      <c r="C13" s="161"/>
      <c r="D13" s="95" t="s">
        <v>68</v>
      </c>
      <c r="E13" s="95" t="s">
        <v>69</v>
      </c>
      <c r="F13" s="95" t="s">
        <v>70</v>
      </c>
      <c r="G13" s="95" t="s">
        <v>71</v>
      </c>
    </row>
    <row r="14" spans="2:7" x14ac:dyDescent="0.35">
      <c r="B14" t="s">
        <v>72</v>
      </c>
      <c r="C14" s="180" t="s">
        <v>73</v>
      </c>
      <c r="D14" s="155">
        <v>50</v>
      </c>
      <c r="E14" s="155">
        <v>30</v>
      </c>
      <c r="F14" s="155">
        <f t="shared" ref="F14" si="0">E14+10</f>
        <v>40</v>
      </c>
      <c r="G14" s="155">
        <v>10</v>
      </c>
    </row>
    <row r="15" spans="2:7" x14ac:dyDescent="0.35">
      <c r="B15" t="s">
        <v>74</v>
      </c>
      <c r="C15" s="180" t="s">
        <v>75</v>
      </c>
      <c r="D15" s="155">
        <f>D14+2.5</f>
        <v>52.5</v>
      </c>
      <c r="E15" s="155">
        <f t="shared" ref="E15:F20" si="1">D15+10</f>
        <v>62.5</v>
      </c>
      <c r="F15" s="155">
        <f t="shared" si="1"/>
        <v>72.5</v>
      </c>
      <c r="G15" s="155">
        <f>G14+2.25</f>
        <v>12.25</v>
      </c>
    </row>
    <row r="16" spans="2:7" x14ac:dyDescent="0.35">
      <c r="B16" t="s">
        <v>76</v>
      </c>
      <c r="C16" s="180" t="s">
        <v>77</v>
      </c>
      <c r="D16" s="155">
        <f t="shared" ref="D16:D20" si="2">D15+2.5</f>
        <v>55</v>
      </c>
      <c r="E16" s="155">
        <f t="shared" si="1"/>
        <v>65</v>
      </c>
      <c r="F16" s="155">
        <f t="shared" si="1"/>
        <v>75</v>
      </c>
      <c r="G16" s="155">
        <f t="shared" ref="G16:G20" si="3">G15+2.25</f>
        <v>14.5</v>
      </c>
    </row>
    <row r="17" spans="2:7" x14ac:dyDescent="0.35">
      <c r="B17" t="s">
        <v>78</v>
      </c>
      <c r="C17" s="180" t="s">
        <v>79</v>
      </c>
      <c r="D17" s="155">
        <f t="shared" si="2"/>
        <v>57.5</v>
      </c>
      <c r="E17" s="155">
        <f t="shared" si="1"/>
        <v>67.5</v>
      </c>
      <c r="F17" s="155">
        <f t="shared" si="1"/>
        <v>77.5</v>
      </c>
      <c r="G17" s="155">
        <f t="shared" si="3"/>
        <v>16.75</v>
      </c>
    </row>
    <row r="18" spans="2:7" x14ac:dyDescent="0.35">
      <c r="B18" t="s">
        <v>80</v>
      </c>
      <c r="C18" s="180" t="s">
        <v>81</v>
      </c>
      <c r="D18" s="155">
        <f t="shared" si="2"/>
        <v>60</v>
      </c>
      <c r="E18" s="155">
        <f t="shared" si="1"/>
        <v>70</v>
      </c>
      <c r="F18" s="155">
        <f t="shared" si="1"/>
        <v>80</v>
      </c>
      <c r="G18" s="155">
        <f t="shared" si="3"/>
        <v>19</v>
      </c>
    </row>
    <row r="19" spans="2:7" x14ac:dyDescent="0.35">
      <c r="B19" t="s">
        <v>82</v>
      </c>
      <c r="C19" s="180" t="s">
        <v>83</v>
      </c>
      <c r="D19" s="155">
        <f t="shared" si="2"/>
        <v>62.5</v>
      </c>
      <c r="E19" s="155">
        <f t="shared" si="1"/>
        <v>72.5</v>
      </c>
      <c r="F19" s="155">
        <f t="shared" si="1"/>
        <v>82.5</v>
      </c>
      <c r="G19" s="155">
        <f t="shared" si="3"/>
        <v>21.25</v>
      </c>
    </row>
    <row r="20" spans="2:7" x14ac:dyDescent="0.35">
      <c r="B20" t="s">
        <v>84</v>
      </c>
      <c r="C20" s="180" t="s">
        <v>85</v>
      </c>
      <c r="D20" s="155">
        <f t="shared" si="2"/>
        <v>65</v>
      </c>
      <c r="E20" s="155">
        <f>D20+10</f>
        <v>75</v>
      </c>
      <c r="F20" s="155">
        <f t="shared" si="1"/>
        <v>85</v>
      </c>
      <c r="G20" s="155">
        <f t="shared" si="3"/>
        <v>23.5</v>
      </c>
    </row>
    <row r="24" spans="2:7" ht="18.5" x14ac:dyDescent="0.45">
      <c r="C24" s="162" t="s">
        <v>86</v>
      </c>
    </row>
    <row r="25" spans="2:7" x14ac:dyDescent="0.35">
      <c r="C25" s="95"/>
      <c r="D25" s="95" t="s">
        <v>87</v>
      </c>
    </row>
    <row r="26" spans="2:7" x14ac:dyDescent="0.35">
      <c r="C26" s="147" t="s">
        <v>73</v>
      </c>
      <c r="D26" s="155">
        <v>80</v>
      </c>
    </row>
    <row r="27" spans="2:7" x14ac:dyDescent="0.35">
      <c r="C27" s="147" t="s">
        <v>75</v>
      </c>
      <c r="D27" s="155">
        <v>85</v>
      </c>
    </row>
    <row r="28" spans="2:7" x14ac:dyDescent="0.35">
      <c r="C28" s="147" t="s">
        <v>77</v>
      </c>
      <c r="D28" s="155">
        <v>95</v>
      </c>
    </row>
    <row r="29" spans="2:7" x14ac:dyDescent="0.35">
      <c r="C29" s="147" t="s">
        <v>79</v>
      </c>
      <c r="D29" s="155">
        <v>100</v>
      </c>
    </row>
    <row r="30" spans="2:7" x14ac:dyDescent="0.35">
      <c r="C30" s="147" t="s">
        <v>81</v>
      </c>
      <c r="D30" s="155">
        <v>110</v>
      </c>
    </row>
    <row r="31" spans="2:7" x14ac:dyDescent="0.35">
      <c r="C31" s="147" t="s">
        <v>83</v>
      </c>
      <c r="D31" s="155">
        <v>115</v>
      </c>
    </row>
    <row r="32" spans="2:7" x14ac:dyDescent="0.35">
      <c r="C32" s="147" t="s">
        <v>85</v>
      </c>
      <c r="D32" s="155">
        <v>120</v>
      </c>
    </row>
  </sheetData>
  <sheetProtection algorithmName="SHA-512" hashValue="vjNV+JKYtKSYANnRgLNOGInNPU9aMda9pGhCmPKCKSP3IOGtUDTn7LFCNPMCaJ3ud1aXLJsc7RJnBXPmfnpdWA==" saltValue="bnYkfhlWGUtv5QddYmCBYg==" spinCount="100000" sheet="1" objects="1" scenarios="1" selectLockedCells="1" selectUnlockedCells="1"/>
  <dataValidations count="1">
    <dataValidation type="decimal" allowBlank="1" showInputMessage="1" showErrorMessage="1" errorTitle="Invalid Entry" error="Only valid numbers can be input into cells." sqref="D26:D32" xr:uid="{0871AF87-603C-44C8-A576-6AEE770BD43B}">
      <formula1>-9.99999999999999E+36</formula1>
      <formula2>9.99999999999999E+36</formula2>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0DC3A-55C9-4216-8E14-326F40CA0BBB}">
  <sheetPr codeName="Sheet4">
    <tabColor theme="9"/>
  </sheetPr>
  <dimension ref="B3:O53"/>
  <sheetViews>
    <sheetView showGridLines="0" showRowColHeaders="0" zoomScale="80" zoomScaleNormal="80" workbookViewId="0">
      <selection activeCell="AA26" sqref="AA26"/>
    </sheetView>
  </sheetViews>
  <sheetFormatPr defaultRowHeight="14.5" x14ac:dyDescent="0.35"/>
  <cols>
    <col min="1" max="1" width="5.54296875" customWidth="1"/>
    <col min="2" max="3" width="1.54296875" customWidth="1"/>
    <col min="4" max="4" width="16.1796875" style="18" customWidth="1"/>
    <col min="5" max="5" width="20.1796875" style="18" customWidth="1"/>
    <col min="6" max="6" width="14.1796875" style="1" customWidth="1"/>
    <col min="7" max="7" width="9.453125" style="1" customWidth="1"/>
    <col min="8" max="9" width="9.453125" customWidth="1"/>
    <col min="10" max="10" width="10.1796875" style="1" customWidth="1"/>
    <col min="11" max="12" width="10.1796875" customWidth="1"/>
    <col min="13" max="13" width="10.1796875" style="1" customWidth="1"/>
    <col min="14" max="15" width="10.1796875" customWidth="1"/>
  </cols>
  <sheetData>
    <row r="3" spans="2:15" x14ac:dyDescent="0.35">
      <c r="B3" s="211" t="s">
        <v>88</v>
      </c>
      <c r="C3" s="211"/>
      <c r="D3" s="211"/>
      <c r="E3" s="211"/>
      <c r="F3" s="211"/>
      <c r="G3" s="211"/>
      <c r="H3" s="211"/>
      <c r="I3" s="211"/>
      <c r="J3" s="211"/>
      <c r="K3" s="211"/>
      <c r="L3" s="211"/>
      <c r="M3" s="212"/>
      <c r="N3" s="212"/>
      <c r="O3" s="212"/>
    </row>
    <row r="4" spans="2:15" x14ac:dyDescent="0.35">
      <c r="B4" s="213" t="s">
        <v>89</v>
      </c>
      <c r="C4" s="213"/>
      <c r="D4" s="213"/>
      <c r="E4" s="213"/>
      <c r="F4" s="213"/>
      <c r="G4" s="213"/>
      <c r="H4" s="213"/>
      <c r="I4" s="213"/>
      <c r="J4" s="213"/>
      <c r="K4" s="213"/>
      <c r="L4" s="213"/>
      <c r="M4" s="212"/>
      <c r="N4" s="212"/>
      <c r="O4" s="212"/>
    </row>
    <row r="5" spans="2:15" x14ac:dyDescent="0.35">
      <c r="B5" s="213" t="s">
        <v>90</v>
      </c>
      <c r="C5" s="213"/>
      <c r="D5" s="213"/>
      <c r="E5" s="213"/>
      <c r="F5" s="213"/>
      <c r="G5" s="213"/>
      <c r="H5" s="213"/>
      <c r="I5" s="213"/>
      <c r="J5" s="213"/>
      <c r="K5" s="213"/>
      <c r="L5" s="213"/>
      <c r="M5" s="213"/>
      <c r="N5" s="213"/>
      <c r="O5" s="213"/>
    </row>
    <row r="6" spans="2:15" x14ac:dyDescent="0.35">
      <c r="B6" s="214"/>
      <c r="C6" s="214"/>
      <c r="D6" s="214"/>
      <c r="E6" s="214"/>
      <c r="F6" s="214"/>
      <c r="G6" s="214"/>
      <c r="H6" s="214"/>
      <c r="I6" s="214"/>
      <c r="J6" s="214"/>
      <c r="K6" s="214"/>
      <c r="L6" s="214"/>
      <c r="M6" s="214"/>
      <c r="N6" s="214"/>
      <c r="O6" s="214"/>
    </row>
    <row r="7" spans="2:15" ht="16" thickBot="1" x14ac:dyDescent="0.4">
      <c r="B7" s="215">
        <v>1</v>
      </c>
      <c r="C7" s="215"/>
      <c r="D7" s="49" t="s">
        <v>91</v>
      </c>
      <c r="E7" s="216" t="s">
        <v>92</v>
      </c>
      <c r="F7" s="217"/>
      <c r="G7" s="218" t="s">
        <v>74</v>
      </c>
      <c r="H7" s="219"/>
      <c r="I7" s="219"/>
      <c r="J7" s="219"/>
      <c r="K7" s="219"/>
      <c r="L7" s="219"/>
      <c r="M7" s="219"/>
      <c r="N7" s="219"/>
      <c r="O7" s="219"/>
    </row>
    <row r="8" spans="2:15" x14ac:dyDescent="0.35">
      <c r="B8" s="248">
        <v>2</v>
      </c>
      <c r="C8" s="249"/>
      <c r="D8" s="254" t="s">
        <v>93</v>
      </c>
      <c r="E8" s="255"/>
      <c r="F8" s="256"/>
      <c r="G8" s="257" t="s">
        <v>94</v>
      </c>
      <c r="H8" s="258"/>
      <c r="I8" s="259"/>
      <c r="J8" s="257" t="s">
        <v>95</v>
      </c>
      <c r="K8" s="258"/>
      <c r="L8" s="259"/>
      <c r="M8" s="257" t="s">
        <v>96</v>
      </c>
      <c r="N8" s="258"/>
      <c r="O8" s="260"/>
    </row>
    <row r="9" spans="2:15" x14ac:dyDescent="0.35">
      <c r="B9" s="250"/>
      <c r="C9" s="251"/>
      <c r="D9" s="191" t="s">
        <v>97</v>
      </c>
      <c r="E9" s="220" t="s">
        <v>98</v>
      </c>
      <c r="F9" s="221"/>
      <c r="G9" s="222" t="s">
        <v>99</v>
      </c>
      <c r="H9" s="223"/>
      <c r="I9" s="224"/>
      <c r="J9" s="222" t="s">
        <v>99</v>
      </c>
      <c r="K9" s="223"/>
      <c r="L9" s="224"/>
      <c r="M9" s="222" t="s">
        <v>99</v>
      </c>
      <c r="N9" s="223"/>
      <c r="O9" s="224"/>
    </row>
    <row r="10" spans="2:15" x14ac:dyDescent="0.35">
      <c r="B10" s="250"/>
      <c r="C10" s="251"/>
      <c r="D10" s="191" t="s">
        <v>100</v>
      </c>
      <c r="E10" s="191" t="s">
        <v>101</v>
      </c>
      <c r="F10" s="192" t="s">
        <v>102</v>
      </c>
      <c r="G10" s="222" t="s">
        <v>103</v>
      </c>
      <c r="H10" s="223"/>
      <c r="I10" s="224"/>
      <c r="J10" s="222" t="s">
        <v>103</v>
      </c>
      <c r="K10" s="223"/>
      <c r="L10" s="224"/>
      <c r="M10" s="222" t="s">
        <v>103</v>
      </c>
      <c r="N10" s="223"/>
      <c r="O10" s="224"/>
    </row>
    <row r="11" spans="2:15" x14ac:dyDescent="0.35">
      <c r="B11" s="250"/>
      <c r="C11" s="251"/>
      <c r="D11" s="225" t="s">
        <v>104</v>
      </c>
      <c r="E11" s="226"/>
      <c r="F11" s="227"/>
      <c r="G11" s="228" t="s">
        <v>105</v>
      </c>
      <c r="H11" s="229"/>
      <c r="I11" s="230"/>
      <c r="J11" s="228" t="s">
        <v>105</v>
      </c>
      <c r="K11" s="229"/>
      <c r="L11" s="230"/>
      <c r="M11" s="228" t="s">
        <v>105</v>
      </c>
      <c r="N11" s="229"/>
      <c r="O11" s="230"/>
    </row>
    <row r="12" spans="2:15" x14ac:dyDescent="0.35">
      <c r="B12" s="250"/>
      <c r="C12" s="251"/>
      <c r="D12" s="241" t="s">
        <v>3</v>
      </c>
      <c r="E12" s="242"/>
      <c r="F12" s="245" t="s">
        <v>106</v>
      </c>
      <c r="G12" s="234" t="s">
        <v>106</v>
      </c>
      <c r="H12" s="236" t="s">
        <v>107</v>
      </c>
      <c r="I12" s="247"/>
      <c r="J12" s="234" t="s">
        <v>106</v>
      </c>
      <c r="K12" s="236" t="s">
        <v>107</v>
      </c>
      <c r="L12" s="247"/>
      <c r="M12" s="234" t="s">
        <v>106</v>
      </c>
      <c r="N12" s="236" t="s">
        <v>107</v>
      </c>
      <c r="O12" s="237"/>
    </row>
    <row r="13" spans="2:15" x14ac:dyDescent="0.35">
      <c r="B13" s="252"/>
      <c r="C13" s="253"/>
      <c r="D13" s="243"/>
      <c r="E13" s="244"/>
      <c r="F13" s="246"/>
      <c r="G13" s="235"/>
      <c r="H13" s="16" t="s">
        <v>108</v>
      </c>
      <c r="I13" s="17" t="s">
        <v>109</v>
      </c>
      <c r="J13" s="235"/>
      <c r="K13" s="16" t="s">
        <v>108</v>
      </c>
      <c r="L13" s="17" t="s">
        <v>109</v>
      </c>
      <c r="M13" s="235"/>
      <c r="N13" s="16" t="s">
        <v>108</v>
      </c>
      <c r="O13" s="50" t="s">
        <v>109</v>
      </c>
    </row>
    <row r="14" spans="2:15" x14ac:dyDescent="0.35">
      <c r="B14" s="238" t="s">
        <v>110</v>
      </c>
      <c r="C14" s="239"/>
      <c r="D14" s="239"/>
      <c r="E14" s="239"/>
      <c r="F14" s="239"/>
      <c r="G14" s="239"/>
      <c r="H14" s="239"/>
      <c r="I14" s="239"/>
      <c r="J14" s="239"/>
      <c r="K14" s="239"/>
      <c r="L14" s="239"/>
      <c r="M14" s="239"/>
      <c r="N14" s="239"/>
      <c r="O14" s="240"/>
    </row>
    <row r="15" spans="2:15" x14ac:dyDescent="0.35">
      <c r="B15" s="231">
        <v>3</v>
      </c>
      <c r="C15" s="232"/>
      <c r="D15" s="233" t="s">
        <v>111</v>
      </c>
      <c r="E15" s="232"/>
      <c r="F15" s="84"/>
      <c r="G15" s="85"/>
      <c r="H15" s="11" t="s">
        <v>112</v>
      </c>
      <c r="I15" s="11" t="s">
        <v>112</v>
      </c>
      <c r="J15" s="85"/>
      <c r="K15" s="11" t="s">
        <v>112</v>
      </c>
      <c r="L15" s="11" t="s">
        <v>112</v>
      </c>
      <c r="M15" s="85"/>
      <c r="N15" s="11" t="s">
        <v>112</v>
      </c>
      <c r="O15" s="90" t="s">
        <v>112</v>
      </c>
    </row>
    <row r="16" spans="2:15" x14ac:dyDescent="0.35">
      <c r="B16" s="231">
        <v>4</v>
      </c>
      <c r="C16" s="232"/>
      <c r="D16" s="233" t="s">
        <v>113</v>
      </c>
      <c r="E16" s="232"/>
      <c r="F16" s="86"/>
      <c r="G16" s="87"/>
      <c r="H16" s="54" t="s">
        <v>112</v>
      </c>
      <c r="I16" s="54" t="s">
        <v>112</v>
      </c>
      <c r="J16" s="87"/>
      <c r="K16" s="54" t="s">
        <v>112</v>
      </c>
      <c r="L16" s="54" t="s">
        <v>112</v>
      </c>
      <c r="M16" s="87"/>
      <c r="N16" s="54" t="s">
        <v>112</v>
      </c>
      <c r="O16" s="56" t="s">
        <v>112</v>
      </c>
    </row>
    <row r="17" spans="2:15" x14ac:dyDescent="0.35">
      <c r="B17" s="231">
        <v>5</v>
      </c>
      <c r="C17" s="232"/>
      <c r="D17" s="233" t="s">
        <v>114</v>
      </c>
      <c r="E17" s="232"/>
      <c r="F17" s="84">
        <v>0</v>
      </c>
      <c r="G17" s="85">
        <v>0</v>
      </c>
      <c r="H17" s="54">
        <v>0</v>
      </c>
      <c r="I17" s="54">
        <v>0</v>
      </c>
      <c r="J17" s="85">
        <v>0</v>
      </c>
      <c r="K17" s="54">
        <v>0</v>
      </c>
      <c r="L17" s="54">
        <v>0</v>
      </c>
      <c r="M17" s="85">
        <v>0</v>
      </c>
      <c r="N17" s="54">
        <v>0</v>
      </c>
      <c r="O17" s="56">
        <v>0</v>
      </c>
    </row>
    <row r="18" spans="2:15" x14ac:dyDescent="0.35">
      <c r="B18" s="231">
        <v>6</v>
      </c>
      <c r="C18" s="232"/>
      <c r="D18" s="233" t="s">
        <v>15</v>
      </c>
      <c r="E18" s="232"/>
      <c r="F18" s="86" t="s">
        <v>115</v>
      </c>
      <c r="G18" s="87" t="s">
        <v>115</v>
      </c>
      <c r="H18" s="54">
        <v>0</v>
      </c>
      <c r="I18" s="54">
        <v>0</v>
      </c>
      <c r="J18" s="87" t="s">
        <v>115</v>
      </c>
      <c r="K18" s="54">
        <v>0</v>
      </c>
      <c r="L18" s="54">
        <v>0</v>
      </c>
      <c r="M18" s="87" t="s">
        <v>115</v>
      </c>
      <c r="N18" s="54">
        <v>0</v>
      </c>
      <c r="O18" s="56">
        <v>0</v>
      </c>
    </row>
    <row r="19" spans="2:15" x14ac:dyDescent="0.35">
      <c r="B19" s="231">
        <v>7</v>
      </c>
      <c r="C19" s="232"/>
      <c r="D19" s="233" t="s">
        <v>17</v>
      </c>
      <c r="E19" s="232"/>
      <c r="F19" s="86" t="s">
        <v>115</v>
      </c>
      <c r="G19" s="87" t="s">
        <v>115</v>
      </c>
      <c r="H19" s="54">
        <v>0</v>
      </c>
      <c r="I19" s="54">
        <v>0</v>
      </c>
      <c r="J19" s="87" t="s">
        <v>115</v>
      </c>
      <c r="K19" s="54">
        <v>0</v>
      </c>
      <c r="L19" s="54">
        <v>0</v>
      </c>
      <c r="M19" s="87" t="s">
        <v>115</v>
      </c>
      <c r="N19" s="54">
        <v>0</v>
      </c>
      <c r="O19" s="56">
        <v>0</v>
      </c>
    </row>
    <row r="20" spans="2:15" x14ac:dyDescent="0.35">
      <c r="B20" s="231">
        <v>8</v>
      </c>
      <c r="C20" s="232"/>
      <c r="D20" s="233" t="s">
        <v>19</v>
      </c>
      <c r="E20" s="232"/>
      <c r="F20" s="86" t="s">
        <v>115</v>
      </c>
      <c r="G20" s="87" t="s">
        <v>115</v>
      </c>
      <c r="H20" s="54">
        <v>0</v>
      </c>
      <c r="I20" s="54">
        <v>0</v>
      </c>
      <c r="J20" s="87" t="s">
        <v>115</v>
      </c>
      <c r="K20" s="54">
        <v>0</v>
      </c>
      <c r="L20" s="54">
        <v>0</v>
      </c>
      <c r="M20" s="87" t="s">
        <v>115</v>
      </c>
      <c r="N20" s="54">
        <v>0</v>
      </c>
      <c r="O20" s="56">
        <v>0</v>
      </c>
    </row>
    <row r="21" spans="2:15" x14ac:dyDescent="0.35">
      <c r="B21" s="231">
        <v>9</v>
      </c>
      <c r="C21" s="232"/>
      <c r="D21" s="233" t="s">
        <v>116</v>
      </c>
      <c r="E21" s="232"/>
      <c r="F21" s="86" t="s">
        <v>115</v>
      </c>
      <c r="G21" s="87" t="s">
        <v>115</v>
      </c>
      <c r="H21" s="54">
        <v>0</v>
      </c>
      <c r="I21" s="54">
        <v>0</v>
      </c>
      <c r="J21" s="87" t="s">
        <v>115</v>
      </c>
      <c r="K21" s="54">
        <v>0</v>
      </c>
      <c r="L21" s="54">
        <v>0</v>
      </c>
      <c r="M21" s="87" t="s">
        <v>115</v>
      </c>
      <c r="N21" s="54">
        <v>0</v>
      </c>
      <c r="O21" s="56">
        <v>0</v>
      </c>
    </row>
    <row r="22" spans="2:15" x14ac:dyDescent="0.35">
      <c r="B22" s="231">
        <v>10</v>
      </c>
      <c r="C22" s="232"/>
      <c r="D22" s="233" t="s">
        <v>117</v>
      </c>
      <c r="E22" s="232"/>
      <c r="F22" s="86" t="s">
        <v>118</v>
      </c>
      <c r="G22" s="87" t="s">
        <v>118</v>
      </c>
      <c r="H22" s="54">
        <v>0</v>
      </c>
      <c r="I22" s="54">
        <v>0</v>
      </c>
      <c r="J22" s="87" t="s">
        <v>118</v>
      </c>
      <c r="K22" s="54">
        <v>0</v>
      </c>
      <c r="L22" s="54">
        <v>0</v>
      </c>
      <c r="M22" s="87" t="s">
        <v>118</v>
      </c>
      <c r="N22" s="54">
        <v>0</v>
      </c>
      <c r="O22" s="56">
        <v>0</v>
      </c>
    </row>
    <row r="23" spans="2:15" x14ac:dyDescent="0.35">
      <c r="B23" s="231">
        <v>11</v>
      </c>
      <c r="C23" s="232"/>
      <c r="D23" s="233" t="s">
        <v>28</v>
      </c>
      <c r="E23" s="232"/>
      <c r="F23" s="86" t="s">
        <v>115</v>
      </c>
      <c r="G23" s="87" t="s">
        <v>115</v>
      </c>
      <c r="H23" s="54">
        <v>0</v>
      </c>
      <c r="I23" s="54">
        <v>0</v>
      </c>
      <c r="J23" s="87" t="s">
        <v>115</v>
      </c>
      <c r="K23" s="54">
        <v>0</v>
      </c>
      <c r="L23" s="54">
        <v>0</v>
      </c>
      <c r="M23" s="87" t="s">
        <v>115</v>
      </c>
      <c r="N23" s="54">
        <v>0</v>
      </c>
      <c r="O23" s="56">
        <v>0</v>
      </c>
    </row>
    <row r="24" spans="2:15" x14ac:dyDescent="0.35">
      <c r="B24" s="231">
        <v>12</v>
      </c>
      <c r="C24" s="232"/>
      <c r="D24" s="233" t="s">
        <v>119</v>
      </c>
      <c r="E24" s="232"/>
      <c r="F24" s="86" t="s">
        <v>115</v>
      </c>
      <c r="G24" s="87" t="s">
        <v>115</v>
      </c>
      <c r="H24" s="54">
        <v>0</v>
      </c>
      <c r="I24" s="54">
        <v>0</v>
      </c>
      <c r="J24" s="87" t="s">
        <v>115</v>
      </c>
      <c r="K24" s="54">
        <v>0</v>
      </c>
      <c r="L24" s="54">
        <v>0</v>
      </c>
      <c r="M24" s="87" t="s">
        <v>115</v>
      </c>
      <c r="N24" s="54">
        <v>0</v>
      </c>
      <c r="O24" s="56">
        <v>0</v>
      </c>
    </row>
    <row r="25" spans="2:15" x14ac:dyDescent="0.35">
      <c r="B25" s="231">
        <v>13</v>
      </c>
      <c r="C25" s="232"/>
      <c r="D25" s="233" t="s">
        <v>32</v>
      </c>
      <c r="E25" s="232"/>
      <c r="F25" s="86" t="s">
        <v>115</v>
      </c>
      <c r="G25" s="87" t="s">
        <v>115</v>
      </c>
      <c r="H25" s="54">
        <v>0</v>
      </c>
      <c r="I25" s="54">
        <v>0</v>
      </c>
      <c r="J25" s="87" t="s">
        <v>115</v>
      </c>
      <c r="K25" s="54">
        <v>0</v>
      </c>
      <c r="L25" s="54">
        <v>0</v>
      </c>
      <c r="M25" s="87" t="s">
        <v>115</v>
      </c>
      <c r="N25" s="54">
        <v>0</v>
      </c>
      <c r="O25" s="56">
        <v>0</v>
      </c>
    </row>
    <row r="26" spans="2:15" x14ac:dyDescent="0.35">
      <c r="B26" s="231">
        <v>14</v>
      </c>
      <c r="C26" s="232"/>
      <c r="D26" s="233" t="s">
        <v>34</v>
      </c>
      <c r="E26" s="232"/>
      <c r="F26" s="86" t="s">
        <v>115</v>
      </c>
      <c r="G26" s="87" t="s">
        <v>115</v>
      </c>
      <c r="H26" s="54">
        <v>0</v>
      </c>
      <c r="I26" s="54">
        <v>0</v>
      </c>
      <c r="J26" s="87" t="s">
        <v>115</v>
      </c>
      <c r="K26" s="54">
        <v>0</v>
      </c>
      <c r="L26" s="54">
        <v>0</v>
      </c>
      <c r="M26" s="87" t="s">
        <v>115</v>
      </c>
      <c r="N26" s="54">
        <v>0</v>
      </c>
      <c r="O26" s="56">
        <v>0</v>
      </c>
    </row>
    <row r="27" spans="2:15" x14ac:dyDescent="0.35">
      <c r="B27" s="231">
        <v>15</v>
      </c>
      <c r="C27" s="232"/>
      <c r="D27" s="233" t="s">
        <v>36</v>
      </c>
      <c r="E27" s="232"/>
      <c r="F27" s="86" t="s">
        <v>115</v>
      </c>
      <c r="G27" s="87" t="s">
        <v>115</v>
      </c>
      <c r="H27" s="54">
        <v>0</v>
      </c>
      <c r="I27" s="54">
        <v>0</v>
      </c>
      <c r="J27" s="87" t="s">
        <v>115</v>
      </c>
      <c r="K27" s="54">
        <v>0</v>
      </c>
      <c r="L27" s="54">
        <v>0</v>
      </c>
      <c r="M27" s="87" t="s">
        <v>115</v>
      </c>
      <c r="N27" s="54">
        <v>0</v>
      </c>
      <c r="O27" s="56">
        <v>0</v>
      </c>
    </row>
    <row r="28" spans="2:15" x14ac:dyDescent="0.35">
      <c r="B28" s="231">
        <v>16</v>
      </c>
      <c r="C28" s="232"/>
      <c r="D28" s="233" t="s">
        <v>38</v>
      </c>
      <c r="E28" s="232"/>
      <c r="F28" s="86" t="s">
        <v>115</v>
      </c>
      <c r="G28" s="87" t="s">
        <v>115</v>
      </c>
      <c r="H28" s="54">
        <v>0</v>
      </c>
      <c r="I28" s="54">
        <v>0</v>
      </c>
      <c r="J28" s="87" t="s">
        <v>115</v>
      </c>
      <c r="K28" s="54">
        <v>0</v>
      </c>
      <c r="L28" s="54">
        <v>0</v>
      </c>
      <c r="M28" s="87" t="s">
        <v>115</v>
      </c>
      <c r="N28" s="54">
        <v>0</v>
      </c>
      <c r="O28" s="56">
        <v>0</v>
      </c>
    </row>
    <row r="29" spans="2:15" x14ac:dyDescent="0.35">
      <c r="B29" s="231">
        <v>17</v>
      </c>
      <c r="C29" s="232"/>
      <c r="D29" s="233" t="s">
        <v>39</v>
      </c>
      <c r="E29" s="232"/>
      <c r="F29" s="86" t="s">
        <v>115</v>
      </c>
      <c r="G29" s="87" t="s">
        <v>115</v>
      </c>
      <c r="H29" s="54">
        <v>0</v>
      </c>
      <c r="I29" s="54">
        <v>0</v>
      </c>
      <c r="J29" s="87" t="s">
        <v>115</v>
      </c>
      <c r="K29" s="54">
        <v>0</v>
      </c>
      <c r="L29" s="54">
        <v>0</v>
      </c>
      <c r="M29" s="87" t="s">
        <v>115</v>
      </c>
      <c r="N29" s="54">
        <v>0</v>
      </c>
      <c r="O29" s="56">
        <v>0</v>
      </c>
    </row>
    <row r="30" spans="2:15" x14ac:dyDescent="0.35">
      <c r="B30" s="231">
        <v>18</v>
      </c>
      <c r="C30" s="232"/>
      <c r="D30" s="233" t="s">
        <v>41</v>
      </c>
      <c r="E30" s="232"/>
      <c r="F30" s="86" t="s">
        <v>115</v>
      </c>
      <c r="G30" s="87" t="s">
        <v>115</v>
      </c>
      <c r="H30" s="54">
        <v>0</v>
      </c>
      <c r="I30" s="54">
        <v>0</v>
      </c>
      <c r="J30" s="87" t="s">
        <v>115</v>
      </c>
      <c r="K30" s="54">
        <v>0</v>
      </c>
      <c r="L30" s="54">
        <v>0</v>
      </c>
      <c r="M30" s="87" t="s">
        <v>115</v>
      </c>
      <c r="N30" s="54">
        <v>0</v>
      </c>
      <c r="O30" s="56">
        <v>0</v>
      </c>
    </row>
    <row r="31" spans="2:15" x14ac:dyDescent="0.35">
      <c r="B31" s="231">
        <v>19</v>
      </c>
      <c r="C31" s="232"/>
      <c r="D31" s="233" t="s">
        <v>43</v>
      </c>
      <c r="E31" s="232"/>
      <c r="F31" s="86" t="s">
        <v>115</v>
      </c>
      <c r="G31" s="87" t="s">
        <v>115</v>
      </c>
      <c r="H31" s="54">
        <v>0</v>
      </c>
      <c r="I31" s="54">
        <v>0</v>
      </c>
      <c r="J31" s="87" t="s">
        <v>115</v>
      </c>
      <c r="K31" s="54">
        <v>0</v>
      </c>
      <c r="L31" s="54">
        <v>0</v>
      </c>
      <c r="M31" s="87" t="s">
        <v>115</v>
      </c>
      <c r="N31" s="54">
        <v>0</v>
      </c>
      <c r="O31" s="56">
        <v>0</v>
      </c>
    </row>
    <row r="32" spans="2:15" x14ac:dyDescent="0.35">
      <c r="B32" s="238" t="s">
        <v>120</v>
      </c>
      <c r="C32" s="239"/>
      <c r="D32" s="239"/>
      <c r="E32" s="239"/>
      <c r="F32" s="239"/>
      <c r="G32" s="239"/>
      <c r="H32" s="239"/>
      <c r="I32" s="239"/>
      <c r="J32" s="239"/>
      <c r="K32" s="239"/>
      <c r="L32" s="239"/>
      <c r="M32" s="239"/>
      <c r="N32" s="239"/>
      <c r="O32" s="240"/>
    </row>
    <row r="33" spans="2:15" x14ac:dyDescent="0.35">
      <c r="B33" s="231">
        <v>20</v>
      </c>
      <c r="C33" s="232"/>
      <c r="D33" s="233" t="s">
        <v>121</v>
      </c>
      <c r="E33" s="232"/>
      <c r="F33" s="86" t="s">
        <v>115</v>
      </c>
      <c r="G33" s="87" t="s">
        <v>115</v>
      </c>
      <c r="H33" s="54">
        <v>0</v>
      </c>
      <c r="I33" s="54">
        <v>0</v>
      </c>
      <c r="J33" s="87" t="s">
        <v>115</v>
      </c>
      <c r="K33" s="54">
        <v>0</v>
      </c>
      <c r="L33" s="54">
        <v>0</v>
      </c>
      <c r="M33" s="87" t="s">
        <v>115</v>
      </c>
      <c r="N33" s="54">
        <v>0</v>
      </c>
      <c r="O33" s="56">
        <v>0</v>
      </c>
    </row>
    <row r="34" spans="2:15" x14ac:dyDescent="0.35">
      <c r="B34" s="231">
        <v>21</v>
      </c>
      <c r="C34" s="232"/>
      <c r="D34" s="233" t="s">
        <v>122</v>
      </c>
      <c r="E34" s="232"/>
      <c r="F34" s="86" t="s">
        <v>115</v>
      </c>
      <c r="G34" s="87" t="s">
        <v>115</v>
      </c>
      <c r="H34" s="54">
        <v>0</v>
      </c>
      <c r="I34" s="54">
        <v>0</v>
      </c>
      <c r="J34" s="87" t="s">
        <v>115</v>
      </c>
      <c r="K34" s="54">
        <v>0</v>
      </c>
      <c r="L34" s="54">
        <v>0</v>
      </c>
      <c r="M34" s="87" t="s">
        <v>115</v>
      </c>
      <c r="N34" s="54">
        <v>0</v>
      </c>
      <c r="O34" s="56">
        <v>0</v>
      </c>
    </row>
    <row r="35" spans="2:15" x14ac:dyDescent="0.35">
      <c r="B35" s="231">
        <v>22</v>
      </c>
      <c r="C35" s="232"/>
      <c r="D35" s="233" t="s">
        <v>68</v>
      </c>
      <c r="E35" s="232"/>
      <c r="F35" s="86" t="s">
        <v>115</v>
      </c>
      <c r="G35" s="87" t="s">
        <v>115</v>
      </c>
      <c r="H35" s="54">
        <v>0</v>
      </c>
      <c r="I35" s="54">
        <v>0</v>
      </c>
      <c r="J35" s="87" t="s">
        <v>115</v>
      </c>
      <c r="K35" s="54">
        <v>0</v>
      </c>
      <c r="L35" s="54">
        <v>0</v>
      </c>
      <c r="M35" s="87" t="s">
        <v>115</v>
      </c>
      <c r="N35" s="54">
        <v>0</v>
      </c>
      <c r="O35" s="56">
        <v>0</v>
      </c>
    </row>
    <row r="36" spans="2:15" x14ac:dyDescent="0.35">
      <c r="B36" s="231">
        <v>23</v>
      </c>
      <c r="C36" s="232"/>
      <c r="D36" s="233" t="s">
        <v>69</v>
      </c>
      <c r="E36" s="232"/>
      <c r="F36" s="86" t="s">
        <v>115</v>
      </c>
      <c r="G36" s="87" t="s">
        <v>115</v>
      </c>
      <c r="H36" s="54">
        <v>0</v>
      </c>
      <c r="I36" s="54">
        <v>0</v>
      </c>
      <c r="J36" s="87" t="s">
        <v>115</v>
      </c>
      <c r="K36" s="54">
        <v>0</v>
      </c>
      <c r="L36" s="54">
        <v>0</v>
      </c>
      <c r="M36" s="87" t="s">
        <v>115</v>
      </c>
      <c r="N36" s="54">
        <v>0</v>
      </c>
      <c r="O36" s="56">
        <v>0</v>
      </c>
    </row>
    <row r="37" spans="2:15" x14ac:dyDescent="0.35">
      <c r="B37" s="231">
        <v>24</v>
      </c>
      <c r="C37" s="232"/>
      <c r="D37" s="233" t="s">
        <v>70</v>
      </c>
      <c r="E37" s="232"/>
      <c r="F37" s="86" t="s">
        <v>115</v>
      </c>
      <c r="G37" s="87" t="s">
        <v>115</v>
      </c>
      <c r="H37" s="54">
        <v>0</v>
      </c>
      <c r="I37" s="54">
        <v>0</v>
      </c>
      <c r="J37" s="87" t="s">
        <v>115</v>
      </c>
      <c r="K37" s="54">
        <v>0</v>
      </c>
      <c r="L37" s="54">
        <v>0</v>
      </c>
      <c r="M37" s="87" t="s">
        <v>115</v>
      </c>
      <c r="N37" s="54">
        <v>0</v>
      </c>
      <c r="O37" s="56">
        <v>0</v>
      </c>
    </row>
    <row r="38" spans="2:15" x14ac:dyDescent="0.35">
      <c r="B38" s="231">
        <v>25</v>
      </c>
      <c r="C38" s="232"/>
      <c r="D38" s="233" t="s">
        <v>71</v>
      </c>
      <c r="E38" s="232"/>
      <c r="F38" s="86" t="s">
        <v>115</v>
      </c>
      <c r="G38" s="87" t="s">
        <v>115</v>
      </c>
      <c r="H38" s="54">
        <v>0</v>
      </c>
      <c r="I38" s="54">
        <v>0</v>
      </c>
      <c r="J38" s="87" t="s">
        <v>115</v>
      </c>
      <c r="K38" s="54">
        <v>0</v>
      </c>
      <c r="L38" s="54">
        <v>0</v>
      </c>
      <c r="M38" s="87" t="s">
        <v>115</v>
      </c>
      <c r="N38" s="54">
        <v>0</v>
      </c>
      <c r="O38" s="56">
        <v>0</v>
      </c>
    </row>
    <row r="39" spans="2:15" x14ac:dyDescent="0.35">
      <c r="B39" s="231">
        <v>26</v>
      </c>
      <c r="C39" s="232"/>
      <c r="D39" s="233" t="s">
        <v>47</v>
      </c>
      <c r="E39" s="232"/>
      <c r="F39" s="86" t="s">
        <v>115</v>
      </c>
      <c r="G39" s="87" t="s">
        <v>115</v>
      </c>
      <c r="H39" s="54">
        <v>0</v>
      </c>
      <c r="I39" s="54">
        <v>0</v>
      </c>
      <c r="J39" s="87" t="s">
        <v>115</v>
      </c>
      <c r="K39" s="54">
        <v>0</v>
      </c>
      <c r="L39" s="54">
        <v>0</v>
      </c>
      <c r="M39" s="87" t="s">
        <v>115</v>
      </c>
      <c r="N39" s="54">
        <v>0</v>
      </c>
      <c r="O39" s="56">
        <v>0</v>
      </c>
    </row>
    <row r="40" spans="2:15" x14ac:dyDescent="0.35">
      <c r="B40" s="238" t="s">
        <v>123</v>
      </c>
      <c r="C40" s="239"/>
      <c r="D40" s="239"/>
      <c r="E40" s="239"/>
      <c r="F40" s="239"/>
      <c r="G40" s="239"/>
      <c r="H40" s="239"/>
      <c r="I40" s="239"/>
      <c r="J40" s="239"/>
      <c r="K40" s="239"/>
      <c r="L40" s="239"/>
      <c r="M40" s="239"/>
      <c r="N40" s="239"/>
      <c r="O40" s="240"/>
    </row>
    <row r="41" spans="2:15" x14ac:dyDescent="0.35">
      <c r="B41" s="231">
        <v>27</v>
      </c>
      <c r="C41" s="232"/>
      <c r="D41" s="261" t="s">
        <v>112</v>
      </c>
      <c r="E41" s="262"/>
      <c r="F41" s="86" t="s">
        <v>115</v>
      </c>
      <c r="G41" s="87" t="s">
        <v>115</v>
      </c>
      <c r="H41" s="54">
        <v>0</v>
      </c>
      <c r="I41" s="54">
        <v>0</v>
      </c>
      <c r="J41" s="87" t="s">
        <v>115</v>
      </c>
      <c r="K41" s="54">
        <v>0</v>
      </c>
      <c r="L41" s="54">
        <v>0</v>
      </c>
      <c r="M41" s="87" t="s">
        <v>115</v>
      </c>
      <c r="N41" s="54">
        <v>0</v>
      </c>
      <c r="O41" s="56">
        <v>0</v>
      </c>
    </row>
    <row r="42" spans="2:15" x14ac:dyDescent="0.35">
      <c r="B42" s="231">
        <v>28</v>
      </c>
      <c r="C42" s="232"/>
      <c r="D42" s="261" t="s">
        <v>112</v>
      </c>
      <c r="E42" s="262"/>
      <c r="F42" s="86" t="s">
        <v>115</v>
      </c>
      <c r="G42" s="87" t="s">
        <v>115</v>
      </c>
      <c r="H42" s="54">
        <v>0</v>
      </c>
      <c r="I42" s="54">
        <v>0</v>
      </c>
      <c r="J42" s="87" t="s">
        <v>115</v>
      </c>
      <c r="K42" s="54">
        <v>0</v>
      </c>
      <c r="L42" s="54">
        <v>0</v>
      </c>
      <c r="M42" s="87" t="s">
        <v>115</v>
      </c>
      <c r="N42" s="54">
        <v>0</v>
      </c>
      <c r="O42" s="56">
        <v>0</v>
      </c>
    </row>
    <row r="43" spans="2:15" x14ac:dyDescent="0.35">
      <c r="B43" s="231">
        <v>29</v>
      </c>
      <c r="C43" s="232"/>
      <c r="D43" s="261" t="s">
        <v>112</v>
      </c>
      <c r="E43" s="262"/>
      <c r="F43" s="86" t="s">
        <v>115</v>
      </c>
      <c r="G43" s="87" t="s">
        <v>115</v>
      </c>
      <c r="H43" s="54">
        <v>0</v>
      </c>
      <c r="I43" s="54">
        <v>0</v>
      </c>
      <c r="J43" s="87" t="s">
        <v>115</v>
      </c>
      <c r="K43" s="54">
        <v>0</v>
      </c>
      <c r="L43" s="54">
        <v>0</v>
      </c>
      <c r="M43" s="87" t="s">
        <v>115</v>
      </c>
      <c r="N43" s="54">
        <v>0</v>
      </c>
      <c r="O43" s="56">
        <v>0</v>
      </c>
    </row>
    <row r="44" spans="2:15" x14ac:dyDescent="0.35">
      <c r="B44" s="231">
        <v>30</v>
      </c>
      <c r="C44" s="232"/>
      <c r="D44" s="261" t="s">
        <v>112</v>
      </c>
      <c r="E44" s="262"/>
      <c r="F44" s="86" t="s">
        <v>115</v>
      </c>
      <c r="G44" s="87" t="s">
        <v>115</v>
      </c>
      <c r="H44" s="54">
        <v>0</v>
      </c>
      <c r="I44" s="54">
        <v>0</v>
      </c>
      <c r="J44" s="87" t="s">
        <v>115</v>
      </c>
      <c r="K44" s="54">
        <v>0</v>
      </c>
      <c r="L44" s="54">
        <v>0</v>
      </c>
      <c r="M44" s="87" t="s">
        <v>115</v>
      </c>
      <c r="N44" s="54">
        <v>0</v>
      </c>
      <c r="O44" s="56">
        <v>0</v>
      </c>
    </row>
    <row r="45" spans="2:15" x14ac:dyDescent="0.35">
      <c r="B45" s="231">
        <v>31</v>
      </c>
      <c r="C45" s="232"/>
      <c r="D45" s="261" t="s">
        <v>112</v>
      </c>
      <c r="E45" s="262"/>
      <c r="F45" s="86" t="s">
        <v>115</v>
      </c>
      <c r="G45" s="87" t="s">
        <v>115</v>
      </c>
      <c r="H45" s="54">
        <v>0</v>
      </c>
      <c r="I45" s="54">
        <v>0</v>
      </c>
      <c r="J45" s="87" t="s">
        <v>115</v>
      </c>
      <c r="K45" s="54">
        <v>0</v>
      </c>
      <c r="L45" s="54">
        <v>0</v>
      </c>
      <c r="M45" s="87" t="s">
        <v>115</v>
      </c>
      <c r="N45" s="54">
        <v>0</v>
      </c>
      <c r="O45" s="56">
        <v>0</v>
      </c>
    </row>
    <row r="46" spans="2:15" x14ac:dyDescent="0.35">
      <c r="B46" s="238" t="s">
        <v>124</v>
      </c>
      <c r="C46" s="239"/>
      <c r="D46" s="239"/>
      <c r="E46" s="239"/>
      <c r="F46" s="239"/>
      <c r="G46" s="239"/>
      <c r="H46" s="239"/>
      <c r="I46" s="239"/>
      <c r="J46" s="239"/>
      <c r="K46" s="239"/>
      <c r="L46" s="239"/>
      <c r="M46" s="239"/>
      <c r="N46" s="239"/>
      <c r="O46" s="240"/>
    </row>
    <row r="47" spans="2:15" x14ac:dyDescent="0.35">
      <c r="B47" s="231">
        <v>32</v>
      </c>
      <c r="C47" s="232"/>
      <c r="D47" s="233" t="s">
        <v>125</v>
      </c>
      <c r="E47" s="232"/>
      <c r="F47" s="52"/>
      <c r="G47" s="100" t="s">
        <v>112</v>
      </c>
      <c r="H47" s="54"/>
      <c r="I47" s="55"/>
      <c r="J47" s="100" t="s">
        <v>112</v>
      </c>
      <c r="K47" s="54"/>
      <c r="L47" s="55"/>
      <c r="M47" s="100" t="s">
        <v>112</v>
      </c>
      <c r="N47" s="54"/>
      <c r="O47" s="56"/>
    </row>
    <row r="48" spans="2:15" x14ac:dyDescent="0.35">
      <c r="B48" s="231">
        <v>33</v>
      </c>
      <c r="C48" s="232"/>
      <c r="D48" s="233" t="s">
        <v>126</v>
      </c>
      <c r="E48" s="232"/>
      <c r="F48" s="52"/>
      <c r="G48" s="57" t="s">
        <v>112</v>
      </c>
      <c r="H48" s="58" t="s">
        <v>112</v>
      </c>
      <c r="I48" s="59" t="s">
        <v>112</v>
      </c>
      <c r="J48" s="57" t="s">
        <v>112</v>
      </c>
      <c r="K48" s="58" t="s">
        <v>112</v>
      </c>
      <c r="L48" s="59" t="s">
        <v>112</v>
      </c>
      <c r="M48" s="57" t="s">
        <v>112</v>
      </c>
      <c r="N48" s="58" t="s">
        <v>112</v>
      </c>
      <c r="O48" s="56" t="s">
        <v>112</v>
      </c>
    </row>
    <row r="49" spans="2:15" x14ac:dyDescent="0.35">
      <c r="B49" s="231">
        <v>34</v>
      </c>
      <c r="C49" s="232"/>
      <c r="D49" s="233" t="s">
        <v>127</v>
      </c>
      <c r="E49" s="232"/>
      <c r="F49" s="52"/>
      <c r="G49" s="57" t="s">
        <v>112</v>
      </c>
      <c r="H49" s="61"/>
      <c r="I49" s="62"/>
      <c r="J49" s="57" t="s">
        <v>112</v>
      </c>
      <c r="K49" s="61"/>
      <c r="L49" s="62"/>
      <c r="M49" s="57" t="s">
        <v>112</v>
      </c>
      <c r="N49" s="61"/>
      <c r="O49" s="63"/>
    </row>
    <row r="50" spans="2:15" x14ac:dyDescent="0.35">
      <c r="B50" s="231">
        <v>35</v>
      </c>
      <c r="C50" s="232"/>
      <c r="D50" s="233" t="s">
        <v>128</v>
      </c>
      <c r="E50" s="232"/>
      <c r="F50" s="102" t="s">
        <v>112</v>
      </c>
      <c r="G50" s="101"/>
      <c r="H50" s="65"/>
      <c r="I50" s="66"/>
      <c r="J50" s="64"/>
      <c r="K50" s="65"/>
      <c r="L50" s="66"/>
      <c r="M50" s="64"/>
      <c r="N50" s="65"/>
      <c r="O50" s="67"/>
    </row>
    <row r="51" spans="2:15" x14ac:dyDescent="0.35">
      <c r="B51" s="231">
        <v>36</v>
      </c>
      <c r="C51" s="232"/>
      <c r="D51" s="233" t="s">
        <v>129</v>
      </c>
      <c r="E51" s="232"/>
      <c r="F51" s="103"/>
      <c r="G51" s="91"/>
      <c r="H51" s="92"/>
      <c r="I51" s="92"/>
      <c r="J51" s="64"/>
      <c r="K51" s="65"/>
      <c r="L51" s="66"/>
      <c r="M51" s="64"/>
      <c r="N51" s="65"/>
      <c r="O51" s="67"/>
    </row>
    <row r="52" spans="2:15" ht="15" thickBot="1" x14ac:dyDescent="0.4">
      <c r="B52" s="231">
        <v>37</v>
      </c>
      <c r="C52" s="232"/>
      <c r="D52" s="266" t="s">
        <v>130</v>
      </c>
      <c r="E52" s="267"/>
      <c r="F52" s="104"/>
      <c r="G52" s="91"/>
      <c r="H52" s="92"/>
      <c r="I52" s="64"/>
      <c r="J52" s="64"/>
      <c r="K52" s="65"/>
      <c r="L52" s="66"/>
      <c r="M52" s="64"/>
      <c r="N52" s="65"/>
      <c r="O52" s="67"/>
    </row>
    <row r="53" spans="2:15" s="21" customFormat="1" ht="42" customHeight="1" x14ac:dyDescent="0.35">
      <c r="B53" s="263" t="s">
        <v>131</v>
      </c>
      <c r="C53" s="264"/>
      <c r="D53" s="264"/>
      <c r="E53" s="264"/>
      <c r="F53" s="264"/>
      <c r="G53" s="264"/>
      <c r="H53" s="264"/>
      <c r="I53" s="264"/>
      <c r="J53" s="264"/>
      <c r="K53" s="264"/>
      <c r="L53" s="264"/>
      <c r="M53" s="264"/>
      <c r="N53" s="264"/>
      <c r="O53" s="265"/>
    </row>
  </sheetData>
  <sheetProtection selectLockedCells="1" selectUnlockedCells="1"/>
  <mergeCells count="108">
    <mergeCell ref="B53:O53"/>
    <mergeCell ref="B50:C50"/>
    <mergeCell ref="D50:E50"/>
    <mergeCell ref="B51:C51"/>
    <mergeCell ref="D51:E51"/>
    <mergeCell ref="B52:C52"/>
    <mergeCell ref="D52:E52"/>
    <mergeCell ref="B46:O46"/>
    <mergeCell ref="B47:C47"/>
    <mergeCell ref="D47:E47"/>
    <mergeCell ref="B48:C48"/>
    <mergeCell ref="D48:E48"/>
    <mergeCell ref="B49:C49"/>
    <mergeCell ref="D49:E49"/>
    <mergeCell ref="B43:C43"/>
    <mergeCell ref="D43:E43"/>
    <mergeCell ref="B44:C44"/>
    <mergeCell ref="D44:E44"/>
    <mergeCell ref="B45:C45"/>
    <mergeCell ref="D45:E45"/>
    <mergeCell ref="B39:C39"/>
    <mergeCell ref="D39:E39"/>
    <mergeCell ref="B40:O40"/>
    <mergeCell ref="B41:C41"/>
    <mergeCell ref="D41:E41"/>
    <mergeCell ref="B42:C42"/>
    <mergeCell ref="D42:E42"/>
    <mergeCell ref="B36:C36"/>
    <mergeCell ref="D36:E36"/>
    <mergeCell ref="B37:C37"/>
    <mergeCell ref="D37:E37"/>
    <mergeCell ref="B38:C38"/>
    <mergeCell ref="D38:E38"/>
    <mergeCell ref="B32:O32"/>
    <mergeCell ref="B33:C33"/>
    <mergeCell ref="D33:E33"/>
    <mergeCell ref="B34:C34"/>
    <mergeCell ref="D34:E34"/>
    <mergeCell ref="B35:C35"/>
    <mergeCell ref="D35:E35"/>
    <mergeCell ref="B29:C29"/>
    <mergeCell ref="D29:E29"/>
    <mergeCell ref="B30:C30"/>
    <mergeCell ref="D30:E30"/>
    <mergeCell ref="B31:C31"/>
    <mergeCell ref="D31:E31"/>
    <mergeCell ref="B26:C26"/>
    <mergeCell ref="D26:E26"/>
    <mergeCell ref="B27:C27"/>
    <mergeCell ref="D27:E27"/>
    <mergeCell ref="B28:C28"/>
    <mergeCell ref="D28:E28"/>
    <mergeCell ref="B23:C23"/>
    <mergeCell ref="D23:E23"/>
    <mergeCell ref="B24:C24"/>
    <mergeCell ref="D24:E24"/>
    <mergeCell ref="B25:C25"/>
    <mergeCell ref="D25:E25"/>
    <mergeCell ref="B20:C20"/>
    <mergeCell ref="D20:E20"/>
    <mergeCell ref="B21:C21"/>
    <mergeCell ref="D21:E21"/>
    <mergeCell ref="B22:C22"/>
    <mergeCell ref="D22:E22"/>
    <mergeCell ref="B17:C17"/>
    <mergeCell ref="D17:E17"/>
    <mergeCell ref="B18:C18"/>
    <mergeCell ref="D18:E18"/>
    <mergeCell ref="B19:C19"/>
    <mergeCell ref="D19:E19"/>
    <mergeCell ref="M12:M13"/>
    <mergeCell ref="N12:O12"/>
    <mergeCell ref="B14:O14"/>
    <mergeCell ref="B15:C15"/>
    <mergeCell ref="D15:E15"/>
    <mergeCell ref="B16:C16"/>
    <mergeCell ref="D16:E16"/>
    <mergeCell ref="D12:E13"/>
    <mergeCell ref="F12:F13"/>
    <mergeCell ref="G12:G13"/>
    <mergeCell ref="H12:I12"/>
    <mergeCell ref="J12:J13"/>
    <mergeCell ref="K12:L12"/>
    <mergeCell ref="B8:C13"/>
    <mergeCell ref="D8:F8"/>
    <mergeCell ref="G8:I8"/>
    <mergeCell ref="J8:L8"/>
    <mergeCell ref="M8:O8"/>
    <mergeCell ref="E9:F9"/>
    <mergeCell ref="G9:I9"/>
    <mergeCell ref="J9:L9"/>
    <mergeCell ref="M9:O9"/>
    <mergeCell ref="G10:I10"/>
    <mergeCell ref="J10:L10"/>
    <mergeCell ref="M10:O10"/>
    <mergeCell ref="D11:F11"/>
    <mergeCell ref="G11:I11"/>
    <mergeCell ref="J11:L11"/>
    <mergeCell ref="M11:O11"/>
    <mergeCell ref="B3:L3"/>
    <mergeCell ref="M3:O3"/>
    <mergeCell ref="B4:L4"/>
    <mergeCell ref="M4:O4"/>
    <mergeCell ref="B5:O5"/>
    <mergeCell ref="B6:O6"/>
    <mergeCell ref="B7:C7"/>
    <mergeCell ref="E7:F7"/>
    <mergeCell ref="G7:O7"/>
  </mergeCells>
  <dataValidations count="2">
    <dataValidation allowBlank="1" showErrorMessage="1" promptTitle="Select PHA Write-In" sqref="D41:E45" xr:uid="{BF6C500A-062C-422B-AB99-C3BBBB8F0DD5}"/>
    <dataValidation errorStyle="information" allowBlank="1" showInputMessage="1" showErrorMessage="1" errorTitle="Non Valid Adjustment" error="Please Select a Valid PHA Write-in adjustment." sqref="K41:L45 H41:I45 N41:O45" xr:uid="{5F6D1288-51E7-4F93-BC90-210714BC2157}"/>
  </dataValidations>
  <pageMargins left="0.7" right="0.7" top="0.75" bottom="0.75" header="0.3" footer="0.3"/>
  <drawing r:id="rId1"/>
  <extLst>
    <ext xmlns:x14="http://schemas.microsoft.com/office/spreadsheetml/2009/9/main" uri="{CCE6A557-97BC-4b89-ADB6-D9C93CAAB3DF}">
      <x14:dataValidations xmlns:xm="http://schemas.microsoft.com/office/excel/2006/main" count="4">
        <x14:dataValidation type="list" allowBlank="1" showInputMessage="1" showErrorMessage="1" xr:uid="{4761B306-D4A9-4246-85E2-4C9E059B8CD8}">
          <x14:formula1>
            <xm:f>DropDown!$C$2:$C$4</xm:f>
          </x14:formula1>
          <xm:sqref>F22:G22 J22 M22</xm:sqref>
        </x14:dataValidation>
        <x14:dataValidation type="list" allowBlank="1" showInputMessage="1" showErrorMessage="1" xr:uid="{74F26D2F-5801-4FF3-9A4B-E991AE46C947}">
          <x14:formula1>
            <xm:f>DropDown!$E$1:$E$3</xm:f>
          </x14:formula1>
          <xm:sqref>D52:E52</xm:sqref>
        </x14:dataValidation>
        <x14:dataValidation type="list" allowBlank="1" showInputMessage="1" showErrorMessage="1" xr:uid="{5D43DFB2-9D5C-45B3-B31D-245CC081A13A}">
          <x14:formula1>
            <xm:f>DropDown!$A$2:$A$10</xm:f>
          </x14:formula1>
          <xm:sqref>J17 F17:G17 M17</xm:sqref>
        </x14:dataValidation>
        <x14:dataValidation type="list" allowBlank="1" showInputMessage="1" showErrorMessage="1" xr:uid="{3D228BE9-DF41-4766-90D5-E2CB3F16CD42}">
          <x14:formula1>
            <xm:f>DropDown!$B$2:$B$3</xm:f>
          </x14:formula1>
          <xm:sqref>F33:G39 F41:G45 J18:J21 F18:G21 M18:M21 J33:J39 M33:M39 J41:J45 M41:M45 M23:M31 J23:J31 F23:G31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6F10A-2BBB-4C57-BFC0-FF210891E412}">
  <sheetPr codeName="Sheet5">
    <tabColor theme="9"/>
    <pageSetUpPr fitToPage="1"/>
  </sheetPr>
  <dimension ref="B2:O51"/>
  <sheetViews>
    <sheetView showGridLines="0" showRowColHeaders="0" showRuler="0" zoomScale="75" zoomScaleNormal="75" workbookViewId="0">
      <selection activeCell="K20" sqref="K20"/>
    </sheetView>
  </sheetViews>
  <sheetFormatPr defaultRowHeight="14.5" x14ac:dyDescent="0.35"/>
  <cols>
    <col min="1" max="1" width="5.54296875" customWidth="1"/>
    <col min="2" max="2" width="3.453125" customWidth="1"/>
    <col min="3" max="3" width="3" customWidth="1"/>
    <col min="4" max="4" width="16.1796875" style="18" customWidth="1"/>
    <col min="5" max="5" width="20.1796875" style="18" customWidth="1"/>
    <col min="6" max="7" width="9.453125" style="1" customWidth="1"/>
    <col min="8" max="9" width="9.453125" customWidth="1"/>
    <col min="10" max="10" width="10.1796875" style="1" customWidth="1"/>
    <col min="11" max="12" width="10.1796875" customWidth="1"/>
    <col min="13" max="13" width="10.1796875" style="1" customWidth="1"/>
    <col min="14" max="15" width="10.1796875" customWidth="1"/>
  </cols>
  <sheetData>
    <row r="2" spans="2:15" x14ac:dyDescent="0.35">
      <c r="B2" s="211" t="s">
        <v>88</v>
      </c>
      <c r="C2" s="211"/>
      <c r="D2" s="211"/>
      <c r="E2" s="211"/>
      <c r="F2" s="211"/>
      <c r="G2" s="211"/>
      <c r="H2" s="211"/>
      <c r="I2" s="211"/>
      <c r="J2" s="211"/>
      <c r="K2" s="211"/>
      <c r="L2" s="211"/>
      <c r="M2" s="212"/>
      <c r="N2" s="212"/>
      <c r="O2" s="212"/>
    </row>
    <row r="3" spans="2:15" x14ac:dyDescent="0.35">
      <c r="B3" s="213" t="s">
        <v>89</v>
      </c>
      <c r="C3" s="213"/>
      <c r="D3" s="213"/>
      <c r="E3" s="213"/>
      <c r="F3" s="213"/>
      <c r="G3" s="213"/>
      <c r="H3" s="213"/>
      <c r="I3" s="213"/>
      <c r="J3" s="213"/>
      <c r="K3" s="213"/>
      <c r="L3" s="213"/>
      <c r="M3" s="212"/>
      <c r="N3" s="212"/>
      <c r="O3" s="212"/>
    </row>
    <row r="4" spans="2:15" x14ac:dyDescent="0.35">
      <c r="B4" s="213" t="s">
        <v>90</v>
      </c>
      <c r="C4" s="213"/>
      <c r="D4" s="213"/>
      <c r="E4" s="213"/>
      <c r="F4" s="213"/>
      <c r="G4" s="213"/>
      <c r="H4" s="213"/>
      <c r="I4" s="213"/>
      <c r="J4" s="213"/>
      <c r="K4" s="213"/>
      <c r="L4" s="213"/>
      <c r="M4" s="213"/>
      <c r="N4" s="213"/>
      <c r="O4" s="213"/>
    </row>
    <row r="5" spans="2:15" x14ac:dyDescent="0.35">
      <c r="B5" s="214"/>
      <c r="C5" s="214"/>
      <c r="D5" s="214"/>
      <c r="E5" s="214"/>
      <c r="F5" s="214"/>
      <c r="G5" s="214"/>
      <c r="H5" s="214"/>
      <c r="I5" s="214"/>
      <c r="J5" s="214"/>
      <c r="K5" s="214"/>
      <c r="L5" s="214"/>
      <c r="M5" s="214"/>
      <c r="N5" s="214"/>
      <c r="O5" s="214"/>
    </row>
    <row r="6" spans="2:15" ht="16" thickBot="1" x14ac:dyDescent="0.4">
      <c r="B6" s="215">
        <v>1</v>
      </c>
      <c r="C6" s="215"/>
      <c r="D6" s="49" t="s">
        <v>91</v>
      </c>
      <c r="E6" s="268">
        <v>43416</v>
      </c>
      <c r="F6" s="269"/>
      <c r="G6" s="218" t="s">
        <v>74</v>
      </c>
      <c r="H6" s="219"/>
      <c r="I6" s="219"/>
      <c r="J6" s="219"/>
      <c r="K6" s="219"/>
      <c r="L6" s="219"/>
      <c r="M6" s="219"/>
      <c r="N6" s="219"/>
      <c r="O6" s="219"/>
    </row>
    <row r="7" spans="2:15" x14ac:dyDescent="0.35">
      <c r="B7" s="248">
        <v>2</v>
      </c>
      <c r="C7" s="249"/>
      <c r="D7" s="254" t="s">
        <v>93</v>
      </c>
      <c r="E7" s="255"/>
      <c r="F7" s="256"/>
      <c r="G7" s="257" t="s">
        <v>94</v>
      </c>
      <c r="H7" s="258"/>
      <c r="I7" s="259"/>
      <c r="J7" s="257" t="s">
        <v>95</v>
      </c>
      <c r="K7" s="258"/>
      <c r="L7" s="259"/>
      <c r="M7" s="257" t="s">
        <v>96</v>
      </c>
      <c r="N7" s="258"/>
      <c r="O7" s="260"/>
    </row>
    <row r="8" spans="2:15" x14ac:dyDescent="0.35">
      <c r="B8" s="250"/>
      <c r="C8" s="251"/>
      <c r="D8" s="197" t="s">
        <v>132</v>
      </c>
      <c r="E8" s="273" t="s">
        <v>98</v>
      </c>
      <c r="F8" s="274"/>
      <c r="G8" s="270" t="s">
        <v>99</v>
      </c>
      <c r="H8" s="271"/>
      <c r="I8" s="272"/>
      <c r="J8" s="270" t="s">
        <v>99</v>
      </c>
      <c r="K8" s="271"/>
      <c r="L8" s="272"/>
      <c r="M8" s="270" t="s">
        <v>99</v>
      </c>
      <c r="N8" s="271"/>
      <c r="O8" s="272"/>
    </row>
    <row r="9" spans="2:15" x14ac:dyDescent="0.35">
      <c r="B9" s="250"/>
      <c r="C9" s="251"/>
      <c r="D9" s="197" t="s">
        <v>100</v>
      </c>
      <c r="E9" s="197" t="s">
        <v>101</v>
      </c>
      <c r="F9" s="198" t="s">
        <v>102</v>
      </c>
      <c r="G9" s="270" t="s">
        <v>103</v>
      </c>
      <c r="H9" s="271"/>
      <c r="I9" s="272"/>
      <c r="J9" s="270" t="s">
        <v>103</v>
      </c>
      <c r="K9" s="271"/>
      <c r="L9" s="272"/>
      <c r="M9" s="270" t="s">
        <v>103</v>
      </c>
      <c r="N9" s="271"/>
      <c r="O9" s="272"/>
    </row>
    <row r="10" spans="2:15" x14ac:dyDescent="0.35">
      <c r="B10" s="250"/>
      <c r="C10" s="251"/>
      <c r="D10" s="241" t="s">
        <v>3</v>
      </c>
      <c r="E10" s="242"/>
      <c r="F10" s="245" t="s">
        <v>106</v>
      </c>
      <c r="G10" s="234" t="s">
        <v>106</v>
      </c>
      <c r="H10" s="236" t="s">
        <v>107</v>
      </c>
      <c r="I10" s="247"/>
      <c r="J10" s="234" t="s">
        <v>106</v>
      </c>
      <c r="K10" s="236" t="s">
        <v>107</v>
      </c>
      <c r="L10" s="247"/>
      <c r="M10" s="234" t="s">
        <v>106</v>
      </c>
      <c r="N10" s="236" t="s">
        <v>107</v>
      </c>
      <c r="O10" s="237"/>
    </row>
    <row r="11" spans="2:15" x14ac:dyDescent="0.35">
      <c r="B11" s="252"/>
      <c r="C11" s="253"/>
      <c r="D11" s="243"/>
      <c r="E11" s="244"/>
      <c r="F11" s="246"/>
      <c r="G11" s="235"/>
      <c r="H11" s="16" t="s">
        <v>108</v>
      </c>
      <c r="I11" s="17" t="s">
        <v>109</v>
      </c>
      <c r="J11" s="235"/>
      <c r="K11" s="16" t="s">
        <v>108</v>
      </c>
      <c r="L11" s="17" t="s">
        <v>109</v>
      </c>
      <c r="M11" s="235"/>
      <c r="N11" s="16" t="s">
        <v>108</v>
      </c>
      <c r="O11" s="50" t="s">
        <v>109</v>
      </c>
    </row>
    <row r="12" spans="2:15" x14ac:dyDescent="0.35">
      <c r="B12" s="238" t="s">
        <v>110</v>
      </c>
      <c r="C12" s="239"/>
      <c r="D12" s="239"/>
      <c r="E12" s="239"/>
      <c r="F12" s="239"/>
      <c r="G12" s="239"/>
      <c r="H12" s="239"/>
      <c r="I12" s="239"/>
      <c r="J12" s="239"/>
      <c r="K12" s="239"/>
      <c r="L12" s="239"/>
      <c r="M12" s="239"/>
      <c r="N12" s="239"/>
      <c r="O12" s="240"/>
    </row>
    <row r="13" spans="2:15" x14ac:dyDescent="0.35">
      <c r="B13" s="231">
        <v>3</v>
      </c>
      <c r="C13" s="232"/>
      <c r="D13" s="233" t="s">
        <v>111</v>
      </c>
      <c r="E13" s="232"/>
      <c r="F13" s="9">
        <v>1967</v>
      </c>
      <c r="G13" s="7">
        <v>1992</v>
      </c>
      <c r="H13" s="11">
        <v>-105.625</v>
      </c>
      <c r="I13" s="11">
        <v>0</v>
      </c>
      <c r="J13" s="7">
        <v>1928</v>
      </c>
      <c r="K13" s="11">
        <v>0</v>
      </c>
      <c r="L13" s="11">
        <v>120.41249999999999</v>
      </c>
      <c r="M13" s="7">
        <v>2006</v>
      </c>
      <c r="N13" s="11">
        <v>-185.05499999999998</v>
      </c>
      <c r="O13" s="51">
        <v>0</v>
      </c>
    </row>
    <row r="14" spans="2:15" x14ac:dyDescent="0.35">
      <c r="B14" s="231">
        <v>4</v>
      </c>
      <c r="C14" s="232"/>
      <c r="D14" s="233" t="s">
        <v>113</v>
      </c>
      <c r="E14" s="232"/>
      <c r="F14" s="74">
        <v>950</v>
      </c>
      <c r="G14" s="53">
        <v>800</v>
      </c>
      <c r="H14" s="54">
        <v>0</v>
      </c>
      <c r="I14" s="54">
        <v>15</v>
      </c>
      <c r="J14" s="53">
        <v>1100</v>
      </c>
      <c r="K14" s="54">
        <v>-15</v>
      </c>
      <c r="L14" s="54">
        <v>0</v>
      </c>
      <c r="M14" s="53">
        <v>650</v>
      </c>
      <c r="N14" s="54">
        <v>0</v>
      </c>
      <c r="O14" s="56">
        <v>30</v>
      </c>
    </row>
    <row r="15" spans="2:15" x14ac:dyDescent="0.35">
      <c r="B15" s="231">
        <v>5</v>
      </c>
      <c r="C15" s="232"/>
      <c r="D15" s="233" t="s">
        <v>114</v>
      </c>
      <c r="E15" s="232"/>
      <c r="F15" s="9">
        <v>2</v>
      </c>
      <c r="G15" s="7">
        <v>1.5</v>
      </c>
      <c r="H15" s="54">
        <v>0</v>
      </c>
      <c r="I15" s="54">
        <v>50</v>
      </c>
      <c r="J15" s="7">
        <v>1</v>
      </c>
      <c r="K15" s="54">
        <v>0</v>
      </c>
      <c r="L15" s="54">
        <v>100</v>
      </c>
      <c r="M15" s="7">
        <v>1.5</v>
      </c>
      <c r="N15" s="54">
        <v>0</v>
      </c>
      <c r="O15" s="56">
        <v>50</v>
      </c>
    </row>
    <row r="16" spans="2:15" x14ac:dyDescent="0.35">
      <c r="B16" s="231">
        <v>6</v>
      </c>
      <c r="C16" s="232"/>
      <c r="D16" s="233" t="s">
        <v>15</v>
      </c>
      <c r="E16" s="232"/>
      <c r="F16" s="74" t="s">
        <v>115</v>
      </c>
      <c r="G16" s="53" t="s">
        <v>133</v>
      </c>
      <c r="H16" s="54">
        <v>-7</v>
      </c>
      <c r="I16" s="54">
        <v>0</v>
      </c>
      <c r="J16" s="53" t="s">
        <v>115</v>
      </c>
      <c r="K16" s="54">
        <v>0</v>
      </c>
      <c r="L16" s="54">
        <v>0</v>
      </c>
      <c r="M16" s="53" t="s">
        <v>133</v>
      </c>
      <c r="N16" s="54">
        <v>-7</v>
      </c>
      <c r="O16" s="56">
        <v>0</v>
      </c>
    </row>
    <row r="17" spans="2:15" x14ac:dyDescent="0.35">
      <c r="B17" s="231">
        <v>7</v>
      </c>
      <c r="C17" s="232"/>
      <c r="D17" s="233" t="s">
        <v>17</v>
      </c>
      <c r="E17" s="232"/>
      <c r="F17" s="74" t="s">
        <v>133</v>
      </c>
      <c r="G17" s="53" t="s">
        <v>115</v>
      </c>
      <c r="H17" s="54">
        <v>0</v>
      </c>
      <c r="I17" s="54">
        <v>20</v>
      </c>
      <c r="J17" s="53" t="s">
        <v>133</v>
      </c>
      <c r="K17" s="54">
        <v>0</v>
      </c>
      <c r="L17" s="54">
        <v>0</v>
      </c>
      <c r="M17" s="53" t="s">
        <v>133</v>
      </c>
      <c r="N17" s="54">
        <v>0</v>
      </c>
      <c r="O17" s="56">
        <v>0</v>
      </c>
    </row>
    <row r="18" spans="2:15" x14ac:dyDescent="0.35">
      <c r="B18" s="231">
        <v>8</v>
      </c>
      <c r="C18" s="232"/>
      <c r="D18" s="233" t="s">
        <v>19</v>
      </c>
      <c r="E18" s="232"/>
      <c r="F18" s="74" t="s">
        <v>115</v>
      </c>
      <c r="G18" s="53" t="s">
        <v>133</v>
      </c>
      <c r="H18" s="54">
        <v>-10</v>
      </c>
      <c r="I18" s="54">
        <v>0</v>
      </c>
      <c r="J18" s="53" t="s">
        <v>133</v>
      </c>
      <c r="K18" s="54">
        <v>-10</v>
      </c>
      <c r="L18" s="54">
        <v>0</v>
      </c>
      <c r="M18" s="53" t="s">
        <v>115</v>
      </c>
      <c r="N18" s="54">
        <v>0</v>
      </c>
      <c r="O18" s="56">
        <v>0</v>
      </c>
    </row>
    <row r="19" spans="2:15" x14ac:dyDescent="0.35">
      <c r="B19" s="231">
        <v>9</v>
      </c>
      <c r="C19" s="232"/>
      <c r="D19" s="233" t="s">
        <v>116</v>
      </c>
      <c r="E19" s="232"/>
      <c r="F19" s="74" t="s">
        <v>133</v>
      </c>
      <c r="G19" s="53" t="s">
        <v>115</v>
      </c>
      <c r="H19" s="54">
        <v>0</v>
      </c>
      <c r="I19" s="54">
        <v>7</v>
      </c>
      <c r="J19" s="53" t="s">
        <v>115</v>
      </c>
      <c r="K19" s="54">
        <v>0</v>
      </c>
      <c r="L19" s="54">
        <v>7</v>
      </c>
      <c r="M19" s="53" t="s">
        <v>133</v>
      </c>
      <c r="N19" s="54">
        <v>0</v>
      </c>
      <c r="O19" s="56">
        <v>0</v>
      </c>
    </row>
    <row r="20" spans="2:15" x14ac:dyDescent="0.35">
      <c r="B20" s="231">
        <v>10</v>
      </c>
      <c r="C20" s="232"/>
      <c r="D20" s="233" t="s">
        <v>117</v>
      </c>
      <c r="E20" s="232"/>
      <c r="F20" s="74" t="s">
        <v>134</v>
      </c>
      <c r="G20" s="53" t="s">
        <v>134</v>
      </c>
      <c r="H20" s="54">
        <v>0</v>
      </c>
      <c r="I20" s="54">
        <v>0</v>
      </c>
      <c r="J20" s="53" t="s">
        <v>135</v>
      </c>
      <c r="K20" s="54">
        <v>0</v>
      </c>
      <c r="L20" s="54">
        <v>26</v>
      </c>
      <c r="M20" s="53" t="s">
        <v>134</v>
      </c>
      <c r="N20" s="54">
        <v>0</v>
      </c>
      <c r="O20" s="56">
        <v>76</v>
      </c>
    </row>
    <row r="21" spans="2:15" x14ac:dyDescent="0.35">
      <c r="B21" s="231">
        <v>11</v>
      </c>
      <c r="C21" s="232"/>
      <c r="D21" s="233" t="s">
        <v>28</v>
      </c>
      <c r="E21" s="232"/>
      <c r="F21" s="74" t="s">
        <v>133</v>
      </c>
      <c r="G21" s="53" t="s">
        <v>133</v>
      </c>
      <c r="H21" s="54">
        <v>0</v>
      </c>
      <c r="I21" s="54">
        <v>0</v>
      </c>
      <c r="J21" s="53" t="s">
        <v>115</v>
      </c>
      <c r="K21" s="54">
        <v>0</v>
      </c>
      <c r="L21" s="54">
        <v>3</v>
      </c>
      <c r="M21" s="53" t="s">
        <v>115</v>
      </c>
      <c r="N21" s="54">
        <v>0</v>
      </c>
      <c r="O21" s="56">
        <v>3</v>
      </c>
    </row>
    <row r="22" spans="2:15" x14ac:dyDescent="0.35">
      <c r="B22" s="231">
        <v>12</v>
      </c>
      <c r="C22" s="232"/>
      <c r="D22" s="233" t="s">
        <v>119</v>
      </c>
      <c r="E22" s="232"/>
      <c r="F22" s="74" t="s">
        <v>115</v>
      </c>
      <c r="G22" s="53" t="s">
        <v>133</v>
      </c>
      <c r="H22" s="54">
        <v>-8</v>
      </c>
      <c r="I22" s="54">
        <v>0</v>
      </c>
      <c r="J22" s="53" t="s">
        <v>133</v>
      </c>
      <c r="K22" s="54">
        <v>-8</v>
      </c>
      <c r="L22" s="54">
        <v>0</v>
      </c>
      <c r="M22" s="53" t="s">
        <v>133</v>
      </c>
      <c r="N22" s="54">
        <v>-8</v>
      </c>
      <c r="O22" s="56">
        <v>0</v>
      </c>
    </row>
    <row r="23" spans="2:15" x14ac:dyDescent="0.35">
      <c r="B23" s="231">
        <v>13</v>
      </c>
      <c r="C23" s="232"/>
      <c r="D23" s="233" t="s">
        <v>32</v>
      </c>
      <c r="E23" s="232"/>
      <c r="F23" s="74" t="s">
        <v>133</v>
      </c>
      <c r="G23" s="53" t="s">
        <v>115</v>
      </c>
      <c r="H23" s="54">
        <v>0</v>
      </c>
      <c r="I23" s="54">
        <v>6</v>
      </c>
      <c r="J23" s="53" t="s">
        <v>133</v>
      </c>
      <c r="K23" s="54">
        <v>0</v>
      </c>
      <c r="L23" s="54">
        <v>0</v>
      </c>
      <c r="M23" s="53" t="s">
        <v>115</v>
      </c>
      <c r="N23" s="54">
        <v>0</v>
      </c>
      <c r="O23" s="56">
        <v>6</v>
      </c>
    </row>
    <row r="24" spans="2:15" x14ac:dyDescent="0.35">
      <c r="B24" s="231">
        <v>14</v>
      </c>
      <c r="C24" s="232"/>
      <c r="D24" s="233" t="s">
        <v>34</v>
      </c>
      <c r="E24" s="232"/>
      <c r="F24" s="74" t="s">
        <v>133</v>
      </c>
      <c r="G24" s="53" t="s">
        <v>133</v>
      </c>
      <c r="H24" s="54">
        <v>0</v>
      </c>
      <c r="I24" s="54">
        <v>0</v>
      </c>
      <c r="J24" s="53" t="s">
        <v>115</v>
      </c>
      <c r="K24" s="54">
        <v>0</v>
      </c>
      <c r="L24" s="54">
        <v>20</v>
      </c>
      <c r="M24" s="53" t="s">
        <v>133</v>
      </c>
      <c r="N24" s="54">
        <v>0</v>
      </c>
      <c r="O24" s="56">
        <v>0</v>
      </c>
    </row>
    <row r="25" spans="2:15" x14ac:dyDescent="0.35">
      <c r="B25" s="231">
        <v>15</v>
      </c>
      <c r="C25" s="232"/>
      <c r="D25" s="233" t="s">
        <v>36</v>
      </c>
      <c r="E25" s="232"/>
      <c r="F25" s="74" t="s">
        <v>115</v>
      </c>
      <c r="G25" s="53" t="s">
        <v>115</v>
      </c>
      <c r="H25" s="54">
        <v>0</v>
      </c>
      <c r="I25" s="54">
        <v>0</v>
      </c>
      <c r="J25" s="53" t="s">
        <v>133</v>
      </c>
      <c r="K25" s="54">
        <v>-20</v>
      </c>
      <c r="L25" s="54">
        <v>0</v>
      </c>
      <c r="M25" s="53" t="s">
        <v>133</v>
      </c>
      <c r="N25" s="54">
        <v>-20</v>
      </c>
      <c r="O25" s="56">
        <v>0</v>
      </c>
    </row>
    <row r="26" spans="2:15" x14ac:dyDescent="0.35">
      <c r="B26" s="231">
        <v>16</v>
      </c>
      <c r="C26" s="232"/>
      <c r="D26" s="233" t="s">
        <v>38</v>
      </c>
      <c r="E26" s="232"/>
      <c r="F26" s="74" t="s">
        <v>133</v>
      </c>
      <c r="G26" s="53" t="s">
        <v>115</v>
      </c>
      <c r="H26" s="54">
        <v>0</v>
      </c>
      <c r="I26" s="54">
        <v>6</v>
      </c>
      <c r="J26" s="53" t="s">
        <v>115</v>
      </c>
      <c r="K26" s="54">
        <v>0</v>
      </c>
      <c r="L26" s="54">
        <v>6</v>
      </c>
      <c r="M26" s="53" t="s">
        <v>133</v>
      </c>
      <c r="N26" s="54">
        <v>0</v>
      </c>
      <c r="O26" s="56">
        <v>0</v>
      </c>
    </row>
    <row r="27" spans="2:15" x14ac:dyDescent="0.35">
      <c r="B27" s="231">
        <v>17</v>
      </c>
      <c r="C27" s="232"/>
      <c r="D27" s="233" t="s">
        <v>39</v>
      </c>
      <c r="E27" s="232"/>
      <c r="F27" s="74" t="s">
        <v>115</v>
      </c>
      <c r="G27" s="53" t="s">
        <v>115</v>
      </c>
      <c r="H27" s="54">
        <v>0</v>
      </c>
      <c r="I27" s="54">
        <v>0</v>
      </c>
      <c r="J27" s="53" t="s">
        <v>133</v>
      </c>
      <c r="K27" s="54">
        <v>-14</v>
      </c>
      <c r="L27" s="54">
        <v>0</v>
      </c>
      <c r="M27" s="53" t="s">
        <v>115</v>
      </c>
      <c r="N27" s="54">
        <v>0</v>
      </c>
      <c r="O27" s="56">
        <v>0</v>
      </c>
    </row>
    <row r="28" spans="2:15" x14ac:dyDescent="0.35">
      <c r="B28" s="231">
        <v>18</v>
      </c>
      <c r="C28" s="232"/>
      <c r="D28" s="233" t="s">
        <v>41</v>
      </c>
      <c r="E28" s="232"/>
      <c r="F28" s="74" t="s">
        <v>133</v>
      </c>
      <c r="G28" s="53" t="s">
        <v>133</v>
      </c>
      <c r="H28" s="54">
        <v>0</v>
      </c>
      <c r="I28" s="54">
        <v>0</v>
      </c>
      <c r="J28" s="53" t="s">
        <v>115</v>
      </c>
      <c r="K28" s="54">
        <v>0</v>
      </c>
      <c r="L28" s="54">
        <v>13</v>
      </c>
      <c r="M28" s="53" t="s">
        <v>133</v>
      </c>
      <c r="N28" s="54">
        <v>0</v>
      </c>
      <c r="O28" s="56">
        <v>0</v>
      </c>
    </row>
    <row r="29" spans="2:15" x14ac:dyDescent="0.35">
      <c r="B29" s="231">
        <v>19</v>
      </c>
      <c r="C29" s="232"/>
      <c r="D29" s="233" t="s">
        <v>43</v>
      </c>
      <c r="E29" s="232"/>
      <c r="F29" s="74" t="s">
        <v>115</v>
      </c>
      <c r="G29" s="53" t="s">
        <v>115</v>
      </c>
      <c r="H29" s="54">
        <v>0</v>
      </c>
      <c r="I29" s="54">
        <v>0</v>
      </c>
      <c r="J29" s="53" t="s">
        <v>133</v>
      </c>
      <c r="K29" s="54">
        <v>-33</v>
      </c>
      <c r="L29" s="54">
        <v>0</v>
      </c>
      <c r="M29" s="53" t="s">
        <v>133</v>
      </c>
      <c r="N29" s="54">
        <v>-33</v>
      </c>
      <c r="O29" s="56">
        <v>0</v>
      </c>
    </row>
    <row r="30" spans="2:15" x14ac:dyDescent="0.35">
      <c r="B30" s="238" t="s">
        <v>120</v>
      </c>
      <c r="C30" s="239"/>
      <c r="D30" s="239"/>
      <c r="E30" s="239"/>
      <c r="F30" s="239"/>
      <c r="G30" s="239"/>
      <c r="H30" s="239"/>
      <c r="I30" s="239"/>
      <c r="J30" s="239"/>
      <c r="K30" s="239"/>
      <c r="L30" s="239"/>
      <c r="M30" s="239"/>
      <c r="N30" s="239"/>
      <c r="O30" s="240"/>
    </row>
    <row r="31" spans="2:15" x14ac:dyDescent="0.35">
      <c r="B31" s="231">
        <f>B29+1</f>
        <v>20</v>
      </c>
      <c r="C31" s="232"/>
      <c r="D31" s="233" t="s">
        <v>121</v>
      </c>
      <c r="E31" s="232"/>
      <c r="F31" s="74" t="s">
        <v>133</v>
      </c>
      <c r="G31" s="53" t="s">
        <v>115</v>
      </c>
      <c r="H31" s="54">
        <v>0</v>
      </c>
      <c r="I31" s="54">
        <v>50</v>
      </c>
      <c r="J31" s="53" t="s">
        <v>133</v>
      </c>
      <c r="K31" s="54">
        <v>0</v>
      </c>
      <c r="L31" s="54">
        <v>0</v>
      </c>
      <c r="M31" s="53" t="s">
        <v>115</v>
      </c>
      <c r="N31" s="54">
        <v>0</v>
      </c>
      <c r="O31" s="56">
        <v>50</v>
      </c>
    </row>
    <row r="32" spans="2:15" x14ac:dyDescent="0.35">
      <c r="B32" s="231">
        <f>B31+1</f>
        <v>21</v>
      </c>
      <c r="C32" s="232"/>
      <c r="D32" s="233" t="s">
        <v>122</v>
      </c>
      <c r="E32" s="232"/>
      <c r="F32" s="74" t="s">
        <v>133</v>
      </c>
      <c r="G32" s="53" t="s">
        <v>115</v>
      </c>
      <c r="H32" s="54">
        <v>0</v>
      </c>
      <c r="I32" s="54">
        <v>25</v>
      </c>
      <c r="J32" s="53" t="s">
        <v>115</v>
      </c>
      <c r="K32" s="54">
        <v>0</v>
      </c>
      <c r="L32" s="54">
        <v>25</v>
      </c>
      <c r="M32" s="53" t="s">
        <v>133</v>
      </c>
      <c r="N32" s="54">
        <v>0</v>
      </c>
      <c r="O32" s="56">
        <v>0</v>
      </c>
    </row>
    <row r="33" spans="2:15" x14ac:dyDescent="0.35">
      <c r="B33" s="231">
        <f t="shared" ref="B33:B37" si="0">B32+1</f>
        <v>22</v>
      </c>
      <c r="C33" s="232"/>
      <c r="D33" s="233" t="s">
        <v>68</v>
      </c>
      <c r="E33" s="232"/>
      <c r="F33" s="74" t="s">
        <v>115</v>
      </c>
      <c r="G33" s="53" t="s">
        <v>133</v>
      </c>
      <c r="H33" s="54">
        <v>-25</v>
      </c>
      <c r="I33" s="54">
        <v>0</v>
      </c>
      <c r="J33" s="53" t="s">
        <v>133</v>
      </c>
      <c r="K33" s="54">
        <v>-25</v>
      </c>
      <c r="L33" s="54">
        <v>0</v>
      </c>
      <c r="M33" s="53" t="s">
        <v>115</v>
      </c>
      <c r="N33" s="54">
        <v>0</v>
      </c>
      <c r="O33" s="56">
        <v>0</v>
      </c>
    </row>
    <row r="34" spans="2:15" x14ac:dyDescent="0.35">
      <c r="B34" s="231">
        <f t="shared" si="0"/>
        <v>23</v>
      </c>
      <c r="C34" s="232"/>
      <c r="D34" s="233" t="s">
        <v>69</v>
      </c>
      <c r="E34" s="232"/>
      <c r="F34" s="74" t="s">
        <v>115</v>
      </c>
      <c r="G34" s="53" t="s">
        <v>133</v>
      </c>
      <c r="H34" s="54">
        <v>-25</v>
      </c>
      <c r="I34" s="54">
        <v>0</v>
      </c>
      <c r="J34" s="53" t="s">
        <v>115</v>
      </c>
      <c r="K34" s="54">
        <v>0</v>
      </c>
      <c r="L34" s="54">
        <v>0</v>
      </c>
      <c r="M34" s="53" t="s">
        <v>133</v>
      </c>
      <c r="N34" s="54">
        <v>-25</v>
      </c>
      <c r="O34" s="56">
        <v>0</v>
      </c>
    </row>
    <row r="35" spans="2:15" x14ac:dyDescent="0.35">
      <c r="B35" s="231">
        <f t="shared" si="0"/>
        <v>24</v>
      </c>
      <c r="C35" s="232"/>
      <c r="D35" s="233" t="s">
        <v>70</v>
      </c>
      <c r="E35" s="232"/>
      <c r="F35" s="74" t="s">
        <v>115</v>
      </c>
      <c r="G35" s="53" t="s">
        <v>115</v>
      </c>
      <c r="H35" s="54">
        <v>0</v>
      </c>
      <c r="I35" s="54">
        <v>0</v>
      </c>
      <c r="J35" s="53" t="s">
        <v>133</v>
      </c>
      <c r="K35" s="54">
        <v>-25</v>
      </c>
      <c r="L35" s="54">
        <v>0</v>
      </c>
      <c r="M35" s="53" t="s">
        <v>115</v>
      </c>
      <c r="N35" s="54">
        <v>0</v>
      </c>
      <c r="O35" s="56">
        <v>0</v>
      </c>
    </row>
    <row r="36" spans="2:15" x14ac:dyDescent="0.35">
      <c r="B36" s="231">
        <f t="shared" si="0"/>
        <v>25</v>
      </c>
      <c r="C36" s="232"/>
      <c r="D36" s="233" t="s">
        <v>71</v>
      </c>
      <c r="E36" s="232"/>
      <c r="F36" s="74" t="s">
        <v>133</v>
      </c>
      <c r="G36" s="53" t="s">
        <v>115</v>
      </c>
      <c r="H36" s="54">
        <v>0</v>
      </c>
      <c r="I36" s="54">
        <v>10</v>
      </c>
      <c r="J36" s="53" t="s">
        <v>115</v>
      </c>
      <c r="K36" s="54">
        <v>0</v>
      </c>
      <c r="L36" s="54">
        <v>10</v>
      </c>
      <c r="M36" s="53" t="s">
        <v>133</v>
      </c>
      <c r="N36" s="54">
        <v>0</v>
      </c>
      <c r="O36" s="56">
        <v>0</v>
      </c>
    </row>
    <row r="37" spans="2:15" x14ac:dyDescent="0.35">
      <c r="B37" s="231">
        <f t="shared" si="0"/>
        <v>26</v>
      </c>
      <c r="C37" s="232"/>
      <c r="D37" s="233" t="s">
        <v>47</v>
      </c>
      <c r="E37" s="232"/>
      <c r="F37" s="74" t="s">
        <v>115</v>
      </c>
      <c r="G37" s="53" t="s">
        <v>133</v>
      </c>
      <c r="H37" s="54">
        <v>-10</v>
      </c>
      <c r="I37" s="54">
        <v>0</v>
      </c>
      <c r="J37" s="53" t="s">
        <v>133</v>
      </c>
      <c r="K37" s="54">
        <v>-10</v>
      </c>
      <c r="L37" s="54">
        <v>0</v>
      </c>
      <c r="M37" s="53" t="s">
        <v>115</v>
      </c>
      <c r="N37" s="54">
        <v>0</v>
      </c>
      <c r="O37" s="56">
        <v>0</v>
      </c>
    </row>
    <row r="38" spans="2:15" x14ac:dyDescent="0.35">
      <c r="B38" s="238" t="s">
        <v>123</v>
      </c>
      <c r="C38" s="239"/>
      <c r="D38" s="239"/>
      <c r="E38" s="239"/>
      <c r="F38" s="239"/>
      <c r="G38" s="239"/>
      <c r="H38" s="239"/>
      <c r="I38" s="239"/>
      <c r="J38" s="239"/>
      <c r="K38" s="239"/>
      <c r="L38" s="239"/>
      <c r="M38" s="239"/>
      <c r="N38" s="239"/>
      <c r="O38" s="240"/>
    </row>
    <row r="39" spans="2:15" x14ac:dyDescent="0.35">
      <c r="B39" s="231">
        <f>27</f>
        <v>27</v>
      </c>
      <c r="C39" s="232"/>
      <c r="D39" s="261" t="s">
        <v>136</v>
      </c>
      <c r="E39" s="262"/>
      <c r="F39" s="74" t="s">
        <v>133</v>
      </c>
      <c r="G39" s="53" t="s">
        <v>115</v>
      </c>
      <c r="H39" s="54">
        <v>0</v>
      </c>
      <c r="I39" s="54">
        <v>99</v>
      </c>
      <c r="J39" s="53" t="s">
        <v>115</v>
      </c>
      <c r="K39" s="54">
        <v>0</v>
      </c>
      <c r="L39" s="54">
        <v>99</v>
      </c>
      <c r="M39" s="53" t="s">
        <v>133</v>
      </c>
      <c r="N39" s="54">
        <v>0</v>
      </c>
      <c r="O39" s="56">
        <v>0</v>
      </c>
    </row>
    <row r="40" spans="2:15" x14ac:dyDescent="0.35">
      <c r="B40" s="231">
        <f>B39+1</f>
        <v>28</v>
      </c>
      <c r="C40" s="232"/>
      <c r="D40" s="261" t="s">
        <v>137</v>
      </c>
      <c r="E40" s="262"/>
      <c r="F40" s="74" t="s">
        <v>115</v>
      </c>
      <c r="G40" s="53" t="s">
        <v>133</v>
      </c>
      <c r="H40" s="54">
        <v>-15</v>
      </c>
      <c r="I40" s="54">
        <v>0</v>
      </c>
      <c r="J40" s="53" t="s">
        <v>133</v>
      </c>
      <c r="K40" s="54">
        <v>-15</v>
      </c>
      <c r="L40" s="54">
        <v>0</v>
      </c>
      <c r="M40" s="53" t="s">
        <v>115</v>
      </c>
      <c r="N40" s="54">
        <v>0</v>
      </c>
      <c r="O40" s="56">
        <v>0</v>
      </c>
    </row>
    <row r="41" spans="2:15" x14ac:dyDescent="0.35">
      <c r="B41" s="231">
        <f t="shared" ref="B41:B43" si="1">B40+1</f>
        <v>29</v>
      </c>
      <c r="C41" s="232"/>
      <c r="D41" s="261" t="s">
        <v>138</v>
      </c>
      <c r="E41" s="262"/>
      <c r="F41" s="74" t="s">
        <v>133</v>
      </c>
      <c r="G41" s="53" t="s">
        <v>115</v>
      </c>
      <c r="H41" s="54">
        <v>0</v>
      </c>
      <c r="I41" s="54">
        <v>32</v>
      </c>
      <c r="J41" s="53" t="s">
        <v>115</v>
      </c>
      <c r="K41" s="54">
        <v>0</v>
      </c>
      <c r="L41" s="54">
        <v>32</v>
      </c>
      <c r="M41" s="53" t="s">
        <v>133</v>
      </c>
      <c r="N41" s="54">
        <v>0</v>
      </c>
      <c r="O41" s="56">
        <v>0</v>
      </c>
    </row>
    <row r="42" spans="2:15" x14ac:dyDescent="0.35">
      <c r="B42" s="231">
        <f t="shared" si="1"/>
        <v>30</v>
      </c>
      <c r="C42" s="232"/>
      <c r="D42" s="261" t="s">
        <v>112</v>
      </c>
      <c r="E42" s="262"/>
      <c r="F42" s="74" t="s">
        <v>115</v>
      </c>
      <c r="G42" s="53" t="s">
        <v>115</v>
      </c>
      <c r="H42" s="54">
        <v>0</v>
      </c>
      <c r="I42" s="54">
        <v>0</v>
      </c>
      <c r="J42" s="53" t="s">
        <v>115</v>
      </c>
      <c r="K42" s="54">
        <v>0</v>
      </c>
      <c r="L42" s="54">
        <v>0</v>
      </c>
      <c r="M42" s="53" t="s">
        <v>115</v>
      </c>
      <c r="N42" s="54">
        <v>0</v>
      </c>
      <c r="O42" s="56">
        <v>0</v>
      </c>
    </row>
    <row r="43" spans="2:15" x14ac:dyDescent="0.35">
      <c r="B43" s="231">
        <f t="shared" si="1"/>
        <v>31</v>
      </c>
      <c r="C43" s="232"/>
      <c r="D43" s="261" t="s">
        <v>112</v>
      </c>
      <c r="E43" s="262"/>
      <c r="F43" s="74" t="s">
        <v>115</v>
      </c>
      <c r="G43" s="53" t="s">
        <v>115</v>
      </c>
      <c r="H43" s="54">
        <v>0</v>
      </c>
      <c r="I43" s="54">
        <v>0</v>
      </c>
      <c r="J43" s="53" t="s">
        <v>115</v>
      </c>
      <c r="K43" s="54">
        <v>0</v>
      </c>
      <c r="L43" s="54">
        <v>0</v>
      </c>
      <c r="M43" s="53" t="s">
        <v>115</v>
      </c>
      <c r="N43" s="54">
        <v>0</v>
      </c>
      <c r="O43" s="56">
        <v>0</v>
      </c>
    </row>
    <row r="44" spans="2:15" x14ac:dyDescent="0.35">
      <c r="B44" s="238" t="s">
        <v>124</v>
      </c>
      <c r="C44" s="239"/>
      <c r="D44" s="239"/>
      <c r="E44" s="239"/>
      <c r="F44" s="239"/>
      <c r="G44" s="239"/>
      <c r="H44" s="239"/>
      <c r="I44" s="239"/>
      <c r="J44" s="239"/>
      <c r="K44" s="239"/>
      <c r="L44" s="239"/>
      <c r="M44" s="239"/>
      <c r="N44" s="239"/>
      <c r="O44" s="240"/>
    </row>
    <row r="45" spans="2:15" x14ac:dyDescent="0.35">
      <c r="B45" s="231">
        <v>32</v>
      </c>
      <c r="C45" s="232"/>
      <c r="D45" s="233" t="s">
        <v>125</v>
      </c>
      <c r="E45" s="232"/>
      <c r="F45" s="52"/>
      <c r="G45" s="53">
        <v>650</v>
      </c>
      <c r="H45" s="54"/>
      <c r="I45" s="55"/>
      <c r="J45" s="53">
        <v>475</v>
      </c>
      <c r="K45" s="54"/>
      <c r="L45" s="55"/>
      <c r="M45" s="53">
        <v>730</v>
      </c>
      <c r="N45" s="54"/>
      <c r="O45" s="56"/>
    </row>
    <row r="46" spans="2:15" x14ac:dyDescent="0.35">
      <c r="B46" s="231">
        <f>B45+1</f>
        <v>33</v>
      </c>
      <c r="C46" s="232"/>
      <c r="D46" s="233" t="s">
        <v>126</v>
      </c>
      <c r="E46" s="232"/>
      <c r="F46" s="52"/>
      <c r="G46" s="57">
        <v>114.375</v>
      </c>
      <c r="H46" s="58">
        <v>-205.625</v>
      </c>
      <c r="I46" s="59">
        <v>320</v>
      </c>
      <c r="J46" s="57">
        <v>286.41250000000002</v>
      </c>
      <c r="K46" s="58">
        <v>-175</v>
      </c>
      <c r="L46" s="59">
        <v>461.41250000000002</v>
      </c>
      <c r="M46" s="57">
        <v>-63.05499999999995</v>
      </c>
      <c r="N46" s="58">
        <v>-278.05499999999995</v>
      </c>
      <c r="O46" s="60">
        <v>215</v>
      </c>
    </row>
    <row r="47" spans="2:15" x14ac:dyDescent="0.35">
      <c r="B47" s="231">
        <f t="shared" ref="B47:B48" si="2">B46+1</f>
        <v>34</v>
      </c>
      <c r="C47" s="232"/>
      <c r="D47" s="233" t="s">
        <v>127</v>
      </c>
      <c r="E47" s="232"/>
      <c r="F47" s="52"/>
      <c r="G47" s="57">
        <v>764.375</v>
      </c>
      <c r="H47" s="61"/>
      <c r="I47" s="62"/>
      <c r="J47" s="57">
        <v>761.41250000000002</v>
      </c>
      <c r="K47" s="61"/>
      <c r="L47" s="62"/>
      <c r="M47" s="57">
        <v>666.94500000000005</v>
      </c>
      <c r="N47" s="61"/>
      <c r="O47" s="63"/>
    </row>
    <row r="48" spans="2:15" x14ac:dyDescent="0.35">
      <c r="B48" s="231">
        <f t="shared" si="2"/>
        <v>35</v>
      </c>
      <c r="C48" s="232"/>
      <c r="D48" s="233" t="s">
        <v>128</v>
      </c>
      <c r="E48" s="232"/>
      <c r="F48" s="47">
        <v>730.91083333333336</v>
      </c>
      <c r="G48" s="64"/>
      <c r="H48" s="65"/>
      <c r="I48" s="66"/>
      <c r="J48" s="64"/>
      <c r="K48" s="65"/>
      <c r="L48" s="66"/>
      <c r="M48" s="64"/>
      <c r="N48" s="65"/>
      <c r="O48" s="67"/>
    </row>
    <row r="49" spans="2:15" x14ac:dyDescent="0.35">
      <c r="B49" s="231">
        <v>37</v>
      </c>
      <c r="C49" s="232"/>
      <c r="D49" s="233" t="s">
        <v>129</v>
      </c>
      <c r="E49" s="232"/>
      <c r="F49" s="93"/>
      <c r="G49" s="91"/>
      <c r="H49" s="92"/>
      <c r="I49" s="92"/>
      <c r="J49" s="64"/>
      <c r="K49" s="65"/>
      <c r="L49" s="66"/>
      <c r="M49" s="64"/>
      <c r="N49" s="65"/>
      <c r="O49" s="67"/>
    </row>
    <row r="50" spans="2:15" ht="15" thickBot="1" x14ac:dyDescent="0.4">
      <c r="B50" s="231">
        <v>38</v>
      </c>
      <c r="C50" s="232"/>
      <c r="D50" s="266" t="s">
        <v>139</v>
      </c>
      <c r="E50" s="267"/>
      <c r="F50" s="93"/>
      <c r="G50" s="91"/>
      <c r="H50" s="92"/>
      <c r="I50" s="64"/>
      <c r="J50" s="64"/>
      <c r="K50" s="65"/>
      <c r="L50" s="66"/>
      <c r="M50" s="64"/>
      <c r="N50" s="65"/>
      <c r="O50" s="67"/>
    </row>
    <row r="51" spans="2:15" s="21" customFormat="1" ht="42" customHeight="1" x14ac:dyDescent="0.35">
      <c r="B51" s="263" t="s">
        <v>140</v>
      </c>
      <c r="C51" s="264"/>
      <c r="D51" s="264"/>
      <c r="E51" s="264"/>
      <c r="F51" s="264"/>
      <c r="G51" s="264"/>
      <c r="H51" s="264"/>
      <c r="I51" s="264"/>
      <c r="J51" s="264"/>
      <c r="K51" s="264"/>
      <c r="L51" s="264"/>
      <c r="M51" s="264"/>
      <c r="N51" s="264"/>
      <c r="O51" s="265"/>
    </row>
  </sheetData>
  <sheetProtection selectLockedCells="1" selectUnlockedCells="1"/>
  <mergeCells count="104">
    <mergeCell ref="B51:O51"/>
    <mergeCell ref="B49:C49"/>
    <mergeCell ref="D49:E49"/>
    <mergeCell ref="B50:C50"/>
    <mergeCell ref="D50:E50"/>
    <mergeCell ref="B46:C46"/>
    <mergeCell ref="D46:E46"/>
    <mergeCell ref="B47:C47"/>
    <mergeCell ref="D47:E47"/>
    <mergeCell ref="B48:C48"/>
    <mergeCell ref="D48:E48"/>
    <mergeCell ref="B42:C42"/>
    <mergeCell ref="D42:E42"/>
    <mergeCell ref="B43:C43"/>
    <mergeCell ref="D43:E43"/>
    <mergeCell ref="B44:O44"/>
    <mergeCell ref="B45:C45"/>
    <mergeCell ref="D45:E45"/>
    <mergeCell ref="B38:O38"/>
    <mergeCell ref="B39:C39"/>
    <mergeCell ref="D39:E39"/>
    <mergeCell ref="B40:C40"/>
    <mergeCell ref="D40:E40"/>
    <mergeCell ref="B41:C41"/>
    <mergeCell ref="D41:E41"/>
    <mergeCell ref="B35:C35"/>
    <mergeCell ref="D35:E35"/>
    <mergeCell ref="B36:C36"/>
    <mergeCell ref="D36:E36"/>
    <mergeCell ref="B37:C37"/>
    <mergeCell ref="D37:E37"/>
    <mergeCell ref="B32:C32"/>
    <mergeCell ref="D32:E32"/>
    <mergeCell ref="B33:C33"/>
    <mergeCell ref="D33:E33"/>
    <mergeCell ref="B34:C34"/>
    <mergeCell ref="D34:E34"/>
    <mergeCell ref="B28:C28"/>
    <mergeCell ref="D28:E28"/>
    <mergeCell ref="B29:C29"/>
    <mergeCell ref="D29:E29"/>
    <mergeCell ref="B30:O30"/>
    <mergeCell ref="B31:C31"/>
    <mergeCell ref="D31:E31"/>
    <mergeCell ref="B25:C25"/>
    <mergeCell ref="D25:E25"/>
    <mergeCell ref="B26:C26"/>
    <mergeCell ref="D26:E26"/>
    <mergeCell ref="B27:C27"/>
    <mergeCell ref="D27:E27"/>
    <mergeCell ref="B22:C22"/>
    <mergeCell ref="D22:E22"/>
    <mergeCell ref="B23:C23"/>
    <mergeCell ref="D23:E23"/>
    <mergeCell ref="B24:C24"/>
    <mergeCell ref="D24:E24"/>
    <mergeCell ref="B20:C20"/>
    <mergeCell ref="D20:E20"/>
    <mergeCell ref="B21:C21"/>
    <mergeCell ref="D21:E21"/>
    <mergeCell ref="B17:C17"/>
    <mergeCell ref="D17:E17"/>
    <mergeCell ref="B18:C18"/>
    <mergeCell ref="D18:E18"/>
    <mergeCell ref="B19:C19"/>
    <mergeCell ref="D19:E19"/>
    <mergeCell ref="B14:C14"/>
    <mergeCell ref="D14:E14"/>
    <mergeCell ref="B15:C15"/>
    <mergeCell ref="D15:E15"/>
    <mergeCell ref="B16:C16"/>
    <mergeCell ref="D16:E16"/>
    <mergeCell ref="B12:O12"/>
    <mergeCell ref="B13:C13"/>
    <mergeCell ref="D13:E13"/>
    <mergeCell ref="J8:L8"/>
    <mergeCell ref="M8:O8"/>
    <mergeCell ref="G9:I9"/>
    <mergeCell ref="J9:L9"/>
    <mergeCell ref="M9:O9"/>
    <mergeCell ref="D10:E11"/>
    <mergeCell ref="F10:F11"/>
    <mergeCell ref="G10:G11"/>
    <mergeCell ref="H10:I10"/>
    <mergeCell ref="J10:J11"/>
    <mergeCell ref="B7:C11"/>
    <mergeCell ref="D7:F7"/>
    <mergeCell ref="G7:I7"/>
    <mergeCell ref="J7:L7"/>
    <mergeCell ref="M7:O7"/>
    <mergeCell ref="E8:F8"/>
    <mergeCell ref="G8:I8"/>
    <mergeCell ref="K10:L10"/>
    <mergeCell ref="M10:M11"/>
    <mergeCell ref="N10:O10"/>
    <mergeCell ref="B2:L2"/>
    <mergeCell ref="M2:O2"/>
    <mergeCell ref="B3:L3"/>
    <mergeCell ref="M3:O3"/>
    <mergeCell ref="B4:O4"/>
    <mergeCell ref="B5:O5"/>
    <mergeCell ref="B6:C6"/>
    <mergeCell ref="E6:F6"/>
    <mergeCell ref="G6:O6"/>
  </mergeCells>
  <dataValidations count="2">
    <dataValidation allowBlank="1" showErrorMessage="1" promptTitle="Select PHA Write-In" sqref="D39:E43" xr:uid="{B7A5A543-A9D7-48D6-AACD-2234F896373D}"/>
    <dataValidation errorStyle="information" allowBlank="1" showInputMessage="1" showErrorMessage="1" errorTitle="Non Valid Adjustment" error="Please Select a Valid PHA Write-in adjustment." sqref="K39:L43 H39:I43 N39:O43" xr:uid="{9734B25F-F1BF-44A5-BC24-C71937962FA7}"/>
  </dataValidations>
  <pageMargins left="0.7" right="0.7" top="0.75" bottom="0.75" header="0.3" footer="0.3"/>
  <pageSetup scale="61" orientation="landscape" r:id="rId1"/>
  <headerFooter>
    <oddHeader>&amp;C&amp;"-,Bold"&amp;14&amp;A</oddHeader>
  </headerFooter>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69BA33F1-5319-452A-BE20-A717E59A96C8}">
          <x14:formula1>
            <xm:f>DropDown!$B$2:$B$3</xm:f>
          </x14:formula1>
          <xm:sqref>F31:G37 J16:J19 M39:M43 M16:M19 J31:J37 M31:M37 F39:G43 J39:J43 G16:G19 F16 F18:F19 M21:M29 J21:J29 F21:G29</xm:sqref>
        </x14:dataValidation>
        <x14:dataValidation type="list" allowBlank="1" showInputMessage="1" showErrorMessage="1" xr:uid="{2176D922-D48E-44AE-925A-79C1BAE9071C}">
          <x14:formula1>
            <xm:f>DropDown!$A$2:$A$10</xm:f>
          </x14:formula1>
          <xm:sqref>J15 F15:G15 M15</xm:sqref>
        </x14:dataValidation>
        <x14:dataValidation type="list" allowBlank="1" showInputMessage="1" showErrorMessage="1" errorTitle="User guidance" error="Please select value from dropdown menu." xr:uid="{63BA8ECA-2695-428D-A0DD-8B70BF56127A}">
          <x14:formula1>
            <xm:f>DropDown!$B$2:$B$3</xm:f>
          </x14:formula1>
          <xm:sqref>F17</xm:sqref>
        </x14:dataValidation>
        <x14:dataValidation type="list" allowBlank="1" showInputMessage="1" showErrorMessage="1" xr:uid="{5D7F7820-9754-4EE0-879A-B1B17EEE12D4}">
          <x14:formula1>
            <xm:f>DropDown!$E$1:$E$3</xm:f>
          </x14:formula1>
          <xm:sqref>D50:E50</xm:sqref>
        </x14:dataValidation>
        <x14:dataValidation type="list" allowBlank="1" showInputMessage="1" showErrorMessage="1" xr:uid="{E2B113F8-6A0E-4105-B259-A044201EA95A}">
          <x14:formula1>
            <xm:f>DropDown!$C$2:$C$3</xm:f>
          </x14:formula1>
          <xm:sqref>J20 F20:G20 M20</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99D6F-3421-41D9-94CB-17D94F582B4F}">
  <sheetPr codeName="Sheet25">
    <tabColor theme="9"/>
    <pageSetUpPr fitToPage="1"/>
  </sheetPr>
  <dimension ref="B8:O62"/>
  <sheetViews>
    <sheetView showGridLines="0" showRowColHeaders="0" zoomScale="70" zoomScaleNormal="70" workbookViewId="0">
      <selection activeCell="AC43" sqref="AC43"/>
    </sheetView>
  </sheetViews>
  <sheetFormatPr defaultRowHeight="14.5" x14ac:dyDescent="0.35"/>
  <cols>
    <col min="1" max="1" width="5.54296875" customWidth="1"/>
    <col min="2" max="3" width="1.54296875" customWidth="1"/>
    <col min="4" max="4" width="15.1796875" style="18" customWidth="1"/>
    <col min="5" max="5" width="20.1796875" style="18" customWidth="1"/>
    <col min="6" max="6" width="14.1796875" style="1" customWidth="1"/>
    <col min="7" max="7" width="9.453125" style="1" customWidth="1"/>
    <col min="8" max="9" width="9.453125" customWidth="1"/>
    <col min="10" max="10" width="10.1796875" style="1" customWidth="1"/>
    <col min="11" max="12" width="10.1796875" customWidth="1"/>
    <col min="13" max="13" width="10.1796875" style="1" customWidth="1"/>
    <col min="14" max="15" width="10.1796875" customWidth="1"/>
  </cols>
  <sheetData>
    <row r="8" spans="2:15" x14ac:dyDescent="0.35">
      <c r="B8" s="211" t="s">
        <v>88</v>
      </c>
      <c r="C8" s="211"/>
      <c r="D8" s="211"/>
      <c r="E8" s="211"/>
      <c r="F8" s="211"/>
      <c r="G8" s="211"/>
      <c r="H8" s="211"/>
      <c r="I8" s="211"/>
      <c r="J8" s="211"/>
      <c r="K8" s="211"/>
      <c r="L8" s="211"/>
      <c r="M8" s="212" t="s">
        <v>141</v>
      </c>
      <c r="N8" s="212"/>
      <c r="O8" s="212"/>
    </row>
    <row r="9" spans="2:15" x14ac:dyDescent="0.35">
      <c r="B9" s="213" t="s">
        <v>89</v>
      </c>
      <c r="C9" s="213"/>
      <c r="D9" s="213"/>
      <c r="E9" s="213"/>
      <c r="F9" s="213"/>
      <c r="G9" s="213"/>
      <c r="H9" s="213"/>
      <c r="I9" s="213"/>
      <c r="J9" s="213"/>
      <c r="K9" s="213"/>
      <c r="L9" s="213"/>
      <c r="M9" s="303" t="s">
        <v>142</v>
      </c>
      <c r="N9" s="303"/>
      <c r="O9" s="303"/>
    </row>
    <row r="10" spans="2:15" x14ac:dyDescent="0.35">
      <c r="B10" s="117" t="s">
        <v>90</v>
      </c>
      <c r="C10" s="117"/>
      <c r="D10" s="117"/>
      <c r="E10" s="117"/>
      <c r="F10" s="117"/>
      <c r="G10" s="117"/>
      <c r="H10" s="117"/>
      <c r="I10" s="117"/>
      <c r="J10" s="117"/>
      <c r="K10" s="117"/>
      <c r="L10" s="117"/>
      <c r="M10" s="117"/>
      <c r="N10" s="212" t="s">
        <v>143</v>
      </c>
      <c r="O10" s="212"/>
    </row>
    <row r="11" spans="2:15" ht="15" thickBot="1" x14ac:dyDescent="0.4">
      <c r="B11" s="117"/>
      <c r="D11" s="117"/>
      <c r="E11" s="117"/>
      <c r="F11" s="117"/>
      <c r="G11" s="117"/>
      <c r="H11" s="117"/>
      <c r="I11" s="117"/>
      <c r="J11" s="117"/>
      <c r="K11" s="117"/>
      <c r="L11" s="117"/>
      <c r="M11" s="117"/>
      <c r="N11" s="195"/>
      <c r="O11" s="195"/>
    </row>
    <row r="12" spans="2:15" x14ac:dyDescent="0.35">
      <c r="B12" s="304">
        <v>1</v>
      </c>
      <c r="C12" s="305"/>
      <c r="D12" s="308" t="s">
        <v>144</v>
      </c>
      <c r="E12" s="309"/>
      <c r="F12" s="310"/>
      <c r="G12" s="122"/>
      <c r="H12" s="122"/>
      <c r="I12" s="122"/>
      <c r="J12" s="122"/>
      <c r="K12" s="122"/>
      <c r="L12" s="122"/>
      <c r="M12" s="122"/>
      <c r="N12" s="122"/>
      <c r="O12" s="122"/>
    </row>
    <row r="13" spans="2:15" ht="16" thickBot="1" x14ac:dyDescent="0.4">
      <c r="B13" s="306"/>
      <c r="C13" s="307"/>
      <c r="D13" s="142" t="s">
        <v>91</v>
      </c>
      <c r="E13" s="311">
        <v>43664</v>
      </c>
      <c r="F13" s="312"/>
      <c r="G13" s="313" t="s">
        <v>76</v>
      </c>
      <c r="H13" s="219"/>
      <c r="I13" s="219"/>
      <c r="J13" s="219"/>
      <c r="K13" s="219"/>
      <c r="L13" s="219"/>
      <c r="M13" s="219"/>
      <c r="N13" s="219"/>
      <c r="O13" s="219"/>
    </row>
    <row r="14" spans="2:15" x14ac:dyDescent="0.35">
      <c r="B14" s="250">
        <v>2</v>
      </c>
      <c r="C14" s="251"/>
      <c r="D14" s="284" t="s">
        <v>93</v>
      </c>
      <c r="E14" s="285"/>
      <c r="F14" s="286"/>
      <c r="G14" s="287" t="s">
        <v>94</v>
      </c>
      <c r="H14" s="258"/>
      <c r="I14" s="260"/>
      <c r="J14" s="258" t="s">
        <v>95</v>
      </c>
      <c r="K14" s="258"/>
      <c r="L14" s="258"/>
      <c r="M14" s="287" t="s">
        <v>96</v>
      </c>
      <c r="N14" s="258"/>
      <c r="O14" s="260"/>
    </row>
    <row r="15" spans="2:15" x14ac:dyDescent="0.35">
      <c r="B15" s="250"/>
      <c r="C15" s="251"/>
      <c r="D15" s="191" t="s">
        <v>145</v>
      </c>
      <c r="E15" s="220" t="s">
        <v>146</v>
      </c>
      <c r="F15" s="302"/>
      <c r="G15" s="288" t="s">
        <v>147</v>
      </c>
      <c r="H15" s="223"/>
      <c r="I15" s="224"/>
      <c r="J15" s="223" t="s">
        <v>148</v>
      </c>
      <c r="K15" s="223"/>
      <c r="L15" s="223"/>
      <c r="M15" s="288" t="s">
        <v>149</v>
      </c>
      <c r="N15" s="223"/>
      <c r="O15" s="224"/>
    </row>
    <row r="16" spans="2:15" x14ac:dyDescent="0.35">
      <c r="B16" s="250"/>
      <c r="C16" s="251"/>
      <c r="D16" s="191" t="s">
        <v>150</v>
      </c>
      <c r="E16" s="191" t="s">
        <v>151</v>
      </c>
      <c r="F16" s="199" t="s">
        <v>152</v>
      </c>
      <c r="G16" s="288" t="s">
        <v>153</v>
      </c>
      <c r="H16" s="223"/>
      <c r="I16" s="224"/>
      <c r="J16" s="223" t="s">
        <v>153</v>
      </c>
      <c r="K16" s="223"/>
      <c r="L16" s="223"/>
      <c r="M16" s="288" t="s">
        <v>153</v>
      </c>
      <c r="N16" s="223"/>
      <c r="O16" s="224"/>
    </row>
    <row r="17" spans="2:15" x14ac:dyDescent="0.35">
      <c r="B17" s="250"/>
      <c r="C17" s="251"/>
      <c r="D17" s="299" t="s">
        <v>104</v>
      </c>
      <c r="E17" s="300"/>
      <c r="F17" s="301"/>
      <c r="G17" s="289">
        <v>525</v>
      </c>
      <c r="H17" s="229"/>
      <c r="I17" s="230"/>
      <c r="J17" s="229">
        <v>450</v>
      </c>
      <c r="K17" s="229"/>
      <c r="L17" s="229"/>
      <c r="M17" s="289">
        <v>650</v>
      </c>
      <c r="N17" s="229"/>
      <c r="O17" s="230"/>
    </row>
    <row r="18" spans="2:15" x14ac:dyDescent="0.35">
      <c r="B18" s="250"/>
      <c r="C18" s="251"/>
      <c r="D18" s="186" t="s">
        <v>154</v>
      </c>
      <c r="E18" s="221" t="s">
        <v>155</v>
      </c>
      <c r="F18" s="224"/>
      <c r="G18" s="289" t="s">
        <v>156</v>
      </c>
      <c r="H18" s="229"/>
      <c r="I18" s="230"/>
      <c r="J18" s="229" t="s">
        <v>157</v>
      </c>
      <c r="K18" s="229"/>
      <c r="L18" s="229"/>
      <c r="M18" s="289" t="s">
        <v>156</v>
      </c>
      <c r="N18" s="229"/>
      <c r="O18" s="230"/>
    </row>
    <row r="19" spans="2:15" x14ac:dyDescent="0.35">
      <c r="B19" s="250"/>
      <c r="C19" s="251"/>
      <c r="D19" s="119"/>
      <c r="E19" s="120"/>
      <c r="F19" s="124" t="s">
        <v>158</v>
      </c>
      <c r="G19" s="135"/>
      <c r="H19" s="141"/>
      <c r="I19" s="194"/>
      <c r="J19" s="123"/>
      <c r="K19" s="193"/>
      <c r="L19" s="193"/>
      <c r="M19" s="135"/>
      <c r="N19" s="193"/>
      <c r="O19" s="194"/>
    </row>
    <row r="20" spans="2:15" x14ac:dyDescent="0.35">
      <c r="B20" s="250"/>
      <c r="C20" s="251"/>
      <c r="D20" s="241" t="s">
        <v>3</v>
      </c>
      <c r="E20" s="242"/>
      <c r="F20" s="292" t="s">
        <v>106</v>
      </c>
      <c r="G20" s="294" t="s">
        <v>106</v>
      </c>
      <c r="H20" s="236" t="s">
        <v>107</v>
      </c>
      <c r="I20" s="237"/>
      <c r="J20" s="296" t="s">
        <v>106</v>
      </c>
      <c r="K20" s="236" t="s">
        <v>107</v>
      </c>
      <c r="L20" s="298"/>
      <c r="M20" s="294" t="s">
        <v>106</v>
      </c>
      <c r="N20" s="236" t="s">
        <v>107</v>
      </c>
      <c r="O20" s="237"/>
    </row>
    <row r="21" spans="2:15" x14ac:dyDescent="0.35">
      <c r="B21" s="250"/>
      <c r="C21" s="251"/>
      <c r="D21" s="290"/>
      <c r="E21" s="291"/>
      <c r="F21" s="293"/>
      <c r="G21" s="295"/>
      <c r="H21" s="16" t="s">
        <v>108</v>
      </c>
      <c r="I21" s="50" t="s">
        <v>109</v>
      </c>
      <c r="J21" s="297"/>
      <c r="K21" s="125" t="s">
        <v>108</v>
      </c>
      <c r="L21" s="136" t="s">
        <v>109</v>
      </c>
      <c r="M21" s="295"/>
      <c r="N21" s="16" t="s">
        <v>108</v>
      </c>
      <c r="O21" s="50" t="s">
        <v>109</v>
      </c>
    </row>
    <row r="22" spans="2:15" x14ac:dyDescent="0.35">
      <c r="B22" s="238" t="s">
        <v>110</v>
      </c>
      <c r="C22" s="239"/>
      <c r="D22" s="239"/>
      <c r="E22" s="239"/>
      <c r="F22" s="239"/>
      <c r="G22" s="239"/>
      <c r="H22" s="239"/>
      <c r="I22" s="239"/>
      <c r="J22" s="239"/>
      <c r="K22" s="239"/>
      <c r="L22" s="239"/>
      <c r="M22" s="239"/>
      <c r="N22" s="239"/>
      <c r="O22" s="240"/>
    </row>
    <row r="23" spans="2:15" x14ac:dyDescent="0.35">
      <c r="B23" s="231">
        <v>3</v>
      </c>
      <c r="C23" s="232"/>
      <c r="D23" s="233" t="s">
        <v>111</v>
      </c>
      <c r="E23" s="232"/>
      <c r="F23" s="133">
        <v>1965</v>
      </c>
      <c r="G23" s="131">
        <v>1990</v>
      </c>
      <c r="H23" s="11">
        <v>-16</v>
      </c>
      <c r="I23" s="127"/>
      <c r="J23" s="131">
        <v>1987</v>
      </c>
      <c r="K23" s="11">
        <v>-14</v>
      </c>
      <c r="L23" s="90"/>
      <c r="M23" s="129">
        <v>2011</v>
      </c>
      <c r="N23" s="11">
        <v>-30</v>
      </c>
      <c r="O23" s="90"/>
    </row>
    <row r="24" spans="2:15" x14ac:dyDescent="0.35">
      <c r="B24" s="231">
        <v>4</v>
      </c>
      <c r="C24" s="232"/>
      <c r="D24" s="233" t="s">
        <v>113</v>
      </c>
      <c r="E24" s="232"/>
      <c r="F24" s="134">
        <v>800</v>
      </c>
      <c r="G24" s="132">
        <v>920</v>
      </c>
      <c r="H24" s="54">
        <v>-12</v>
      </c>
      <c r="I24" s="128"/>
      <c r="J24" s="132">
        <v>1000</v>
      </c>
      <c r="K24" s="54">
        <v>-20</v>
      </c>
      <c r="L24" s="56"/>
      <c r="M24" s="130">
        <v>1100</v>
      </c>
      <c r="N24" s="54">
        <v>-30</v>
      </c>
      <c r="O24" s="56"/>
    </row>
    <row r="25" spans="2:15" x14ac:dyDescent="0.35">
      <c r="B25" s="231">
        <v>5</v>
      </c>
      <c r="C25" s="232"/>
      <c r="D25" s="233" t="s">
        <v>114</v>
      </c>
      <c r="E25" s="232"/>
      <c r="F25" s="133">
        <v>1</v>
      </c>
      <c r="G25" s="131">
        <v>1</v>
      </c>
      <c r="H25" s="54">
        <v>0</v>
      </c>
      <c r="I25" s="128">
        <v>0</v>
      </c>
      <c r="J25" s="131">
        <v>1</v>
      </c>
      <c r="K25" s="54">
        <v>0</v>
      </c>
      <c r="L25" s="56">
        <v>0</v>
      </c>
      <c r="M25" s="129">
        <v>1</v>
      </c>
      <c r="N25" s="54">
        <v>0</v>
      </c>
      <c r="O25" s="56">
        <v>0</v>
      </c>
    </row>
    <row r="26" spans="2:15" x14ac:dyDescent="0.35">
      <c r="B26" s="231">
        <v>6</v>
      </c>
      <c r="C26" s="232"/>
      <c r="D26" s="233" t="s">
        <v>15</v>
      </c>
      <c r="E26" s="232"/>
      <c r="F26" s="134" t="s">
        <v>115</v>
      </c>
      <c r="G26" s="132" t="s">
        <v>115</v>
      </c>
      <c r="H26" s="54">
        <v>0</v>
      </c>
      <c r="I26" s="128">
        <v>0</v>
      </c>
      <c r="J26" s="132" t="s">
        <v>115</v>
      </c>
      <c r="K26" s="54">
        <v>0</v>
      </c>
      <c r="L26" s="56">
        <v>0</v>
      </c>
      <c r="M26" s="130" t="s">
        <v>133</v>
      </c>
      <c r="N26" s="54">
        <v>-3</v>
      </c>
      <c r="O26" s="56">
        <v>0</v>
      </c>
    </row>
    <row r="27" spans="2:15" x14ac:dyDescent="0.35">
      <c r="B27" s="231">
        <v>7</v>
      </c>
      <c r="C27" s="232"/>
      <c r="D27" s="233" t="s">
        <v>17</v>
      </c>
      <c r="E27" s="232"/>
      <c r="F27" s="134" t="s">
        <v>115</v>
      </c>
      <c r="G27" s="132" t="s">
        <v>133</v>
      </c>
      <c r="H27" s="54">
        <v>-2</v>
      </c>
      <c r="I27" s="128">
        <v>0</v>
      </c>
      <c r="J27" s="132" t="s">
        <v>115</v>
      </c>
      <c r="K27" s="54">
        <v>0</v>
      </c>
      <c r="L27" s="56">
        <v>0</v>
      </c>
      <c r="M27" s="130" t="s">
        <v>133</v>
      </c>
      <c r="N27" s="54">
        <v>-2</v>
      </c>
      <c r="O27" s="56">
        <v>0</v>
      </c>
    </row>
    <row r="28" spans="2:15" x14ac:dyDescent="0.35">
      <c r="B28" s="231">
        <v>8</v>
      </c>
      <c r="C28" s="232"/>
      <c r="D28" s="233" t="s">
        <v>159</v>
      </c>
      <c r="E28" s="232"/>
      <c r="F28" s="134" t="s">
        <v>160</v>
      </c>
      <c r="G28" s="132" t="s">
        <v>160</v>
      </c>
      <c r="H28" s="54">
        <v>0</v>
      </c>
      <c r="I28" s="56">
        <v>0</v>
      </c>
      <c r="J28" s="132" t="s">
        <v>118</v>
      </c>
      <c r="K28" s="54">
        <v>0</v>
      </c>
      <c r="L28" s="56">
        <v>7</v>
      </c>
      <c r="M28" s="182" t="s">
        <v>161</v>
      </c>
      <c r="N28" s="54">
        <v>-5</v>
      </c>
      <c r="O28" s="56">
        <v>0</v>
      </c>
    </row>
    <row r="29" spans="2:15" x14ac:dyDescent="0.35">
      <c r="B29" s="231">
        <v>9</v>
      </c>
      <c r="C29" s="232"/>
      <c r="D29" s="233" t="s">
        <v>117</v>
      </c>
      <c r="E29" s="232"/>
      <c r="F29" s="134" t="s">
        <v>118</v>
      </c>
      <c r="G29" s="132" t="s">
        <v>134</v>
      </c>
      <c r="H29" s="54">
        <v>-18</v>
      </c>
      <c r="I29" s="56">
        <v>0</v>
      </c>
      <c r="J29" s="132" t="s">
        <v>135</v>
      </c>
      <c r="K29" s="54">
        <v>-7</v>
      </c>
      <c r="L29" s="56">
        <v>0</v>
      </c>
      <c r="M29" s="130" t="s">
        <v>134</v>
      </c>
      <c r="N29" s="54">
        <v>-18</v>
      </c>
      <c r="O29" s="56">
        <v>0</v>
      </c>
    </row>
    <row r="30" spans="2:15" x14ac:dyDescent="0.35">
      <c r="B30" s="231">
        <v>10</v>
      </c>
      <c r="C30" s="232"/>
      <c r="D30" s="233" t="s">
        <v>28</v>
      </c>
      <c r="E30" s="232"/>
      <c r="F30" s="134" t="s">
        <v>115</v>
      </c>
      <c r="G30" s="132" t="s">
        <v>115</v>
      </c>
      <c r="H30" s="54">
        <v>0</v>
      </c>
      <c r="I30" s="128">
        <v>0</v>
      </c>
      <c r="J30" s="132" t="s">
        <v>115</v>
      </c>
      <c r="K30" s="54">
        <v>0</v>
      </c>
      <c r="L30" s="56">
        <v>0</v>
      </c>
      <c r="M30" s="130" t="s">
        <v>115</v>
      </c>
      <c r="N30" s="54">
        <v>0</v>
      </c>
      <c r="O30" s="56">
        <v>0</v>
      </c>
    </row>
    <row r="31" spans="2:15" x14ac:dyDescent="0.35">
      <c r="B31" s="231">
        <v>11</v>
      </c>
      <c r="C31" s="232"/>
      <c r="D31" s="233" t="s">
        <v>119</v>
      </c>
      <c r="E31" s="232"/>
      <c r="F31" s="134" t="s">
        <v>115</v>
      </c>
      <c r="G31" s="132" t="s">
        <v>133</v>
      </c>
      <c r="H31" s="54">
        <v>-4</v>
      </c>
      <c r="I31" s="128">
        <v>0</v>
      </c>
      <c r="J31" s="132" t="s">
        <v>115</v>
      </c>
      <c r="K31" s="54">
        <v>0</v>
      </c>
      <c r="L31" s="56">
        <v>0</v>
      </c>
      <c r="M31" s="130" t="s">
        <v>133</v>
      </c>
      <c r="N31" s="54">
        <v>-4</v>
      </c>
      <c r="O31" s="56">
        <v>0</v>
      </c>
    </row>
    <row r="32" spans="2:15" x14ac:dyDescent="0.35">
      <c r="B32" s="231">
        <v>12</v>
      </c>
      <c r="C32" s="232"/>
      <c r="D32" s="233" t="s">
        <v>32</v>
      </c>
      <c r="E32" s="232"/>
      <c r="F32" s="134" t="s">
        <v>115</v>
      </c>
      <c r="G32" s="132" t="s">
        <v>115</v>
      </c>
      <c r="H32" s="54">
        <v>0</v>
      </c>
      <c r="I32" s="128">
        <v>0</v>
      </c>
      <c r="J32" s="132" t="s">
        <v>115</v>
      </c>
      <c r="K32" s="54">
        <v>0</v>
      </c>
      <c r="L32" s="56">
        <v>0</v>
      </c>
      <c r="M32" s="130" t="s">
        <v>133</v>
      </c>
      <c r="N32" s="54">
        <v>-6</v>
      </c>
      <c r="O32" s="56">
        <v>0</v>
      </c>
    </row>
    <row r="33" spans="2:15" x14ac:dyDescent="0.35">
      <c r="B33" s="231">
        <v>13</v>
      </c>
      <c r="C33" s="232"/>
      <c r="D33" s="233" t="s">
        <v>34</v>
      </c>
      <c r="E33" s="232"/>
      <c r="F33" s="134" t="s">
        <v>115</v>
      </c>
      <c r="G33" s="132" t="s">
        <v>115</v>
      </c>
      <c r="H33" s="54">
        <v>0</v>
      </c>
      <c r="I33" s="128">
        <v>0</v>
      </c>
      <c r="J33" s="132" t="s">
        <v>115</v>
      </c>
      <c r="K33" s="54">
        <v>0</v>
      </c>
      <c r="L33" s="56">
        <v>0</v>
      </c>
      <c r="M33" s="130" t="s">
        <v>115</v>
      </c>
      <c r="N33" s="54">
        <v>0</v>
      </c>
      <c r="O33" s="56">
        <v>0</v>
      </c>
    </row>
    <row r="34" spans="2:15" x14ac:dyDescent="0.35">
      <c r="B34" s="231">
        <v>14</v>
      </c>
      <c r="C34" s="232"/>
      <c r="D34" s="233" t="s">
        <v>36</v>
      </c>
      <c r="E34" s="232"/>
      <c r="F34" s="134" t="s">
        <v>115</v>
      </c>
      <c r="G34" s="132" t="s">
        <v>115</v>
      </c>
      <c r="H34" s="54">
        <v>0</v>
      </c>
      <c r="I34" s="128">
        <v>0</v>
      </c>
      <c r="J34" s="132" t="s">
        <v>115</v>
      </c>
      <c r="K34" s="54">
        <v>0</v>
      </c>
      <c r="L34" s="56">
        <v>0</v>
      </c>
      <c r="M34" s="130" t="s">
        <v>133</v>
      </c>
      <c r="N34" s="54">
        <v>-12</v>
      </c>
      <c r="O34" s="56">
        <v>0</v>
      </c>
    </row>
    <row r="35" spans="2:15" x14ac:dyDescent="0.35">
      <c r="B35" s="231">
        <v>15</v>
      </c>
      <c r="C35" s="232"/>
      <c r="D35" s="233" t="s">
        <v>38</v>
      </c>
      <c r="E35" s="232"/>
      <c r="F35" s="134" t="s">
        <v>115</v>
      </c>
      <c r="G35" s="132" t="s">
        <v>115</v>
      </c>
      <c r="H35" s="54">
        <v>0</v>
      </c>
      <c r="I35" s="128">
        <v>0</v>
      </c>
      <c r="J35" s="132" t="s">
        <v>115</v>
      </c>
      <c r="K35" s="54">
        <v>0</v>
      </c>
      <c r="L35" s="56">
        <v>0</v>
      </c>
      <c r="M35" s="130" t="s">
        <v>115</v>
      </c>
      <c r="N35" s="54">
        <v>0</v>
      </c>
      <c r="O35" s="56">
        <v>0</v>
      </c>
    </row>
    <row r="36" spans="2:15" x14ac:dyDescent="0.35">
      <c r="B36" s="231">
        <v>16</v>
      </c>
      <c r="C36" s="232"/>
      <c r="D36" s="233" t="s">
        <v>39</v>
      </c>
      <c r="E36" s="232"/>
      <c r="F36" s="134" t="s">
        <v>133</v>
      </c>
      <c r="G36" s="132" t="s">
        <v>115</v>
      </c>
      <c r="H36" s="54">
        <v>0</v>
      </c>
      <c r="I36" s="128">
        <v>7</v>
      </c>
      <c r="J36" s="132" t="s">
        <v>115</v>
      </c>
      <c r="K36" s="54">
        <v>0</v>
      </c>
      <c r="L36" s="56">
        <v>7</v>
      </c>
      <c r="M36" s="130" t="s">
        <v>133</v>
      </c>
      <c r="N36" s="54">
        <v>0</v>
      </c>
      <c r="O36" s="56">
        <v>0</v>
      </c>
    </row>
    <row r="37" spans="2:15" x14ac:dyDescent="0.35">
      <c r="B37" s="231">
        <v>17</v>
      </c>
      <c r="C37" s="232"/>
      <c r="D37" s="233" t="s">
        <v>41</v>
      </c>
      <c r="E37" s="232"/>
      <c r="F37" s="134" t="s">
        <v>115</v>
      </c>
      <c r="G37" s="132" t="s">
        <v>115</v>
      </c>
      <c r="H37" s="54">
        <v>0</v>
      </c>
      <c r="I37" s="128">
        <v>0</v>
      </c>
      <c r="J37" s="132" t="s">
        <v>115</v>
      </c>
      <c r="K37" s="54">
        <v>0</v>
      </c>
      <c r="L37" s="56">
        <v>0</v>
      </c>
      <c r="M37" s="130" t="s">
        <v>115</v>
      </c>
      <c r="N37" s="54">
        <v>0</v>
      </c>
      <c r="O37" s="56">
        <v>0</v>
      </c>
    </row>
    <row r="38" spans="2:15" x14ac:dyDescent="0.35">
      <c r="B38" s="231">
        <v>18</v>
      </c>
      <c r="C38" s="232"/>
      <c r="D38" s="233" t="s">
        <v>43</v>
      </c>
      <c r="E38" s="232"/>
      <c r="F38" s="134" t="s">
        <v>115</v>
      </c>
      <c r="G38" s="132" t="s">
        <v>115</v>
      </c>
      <c r="H38" s="54">
        <v>0</v>
      </c>
      <c r="I38" s="128">
        <v>0</v>
      </c>
      <c r="J38" s="132" t="s">
        <v>115</v>
      </c>
      <c r="K38" s="54">
        <v>0</v>
      </c>
      <c r="L38" s="56">
        <v>0</v>
      </c>
      <c r="M38" s="130" t="s">
        <v>133</v>
      </c>
      <c r="N38" s="54">
        <v>-6</v>
      </c>
      <c r="O38" s="56">
        <v>0</v>
      </c>
    </row>
    <row r="39" spans="2:15" x14ac:dyDescent="0.35">
      <c r="B39" s="238" t="s">
        <v>120</v>
      </c>
      <c r="C39" s="239"/>
      <c r="D39" s="239"/>
      <c r="E39" s="239"/>
      <c r="F39" s="239"/>
      <c r="G39" s="239"/>
      <c r="H39" s="239"/>
      <c r="I39" s="239"/>
      <c r="J39" s="239"/>
      <c r="K39" s="239"/>
      <c r="L39" s="239"/>
      <c r="M39" s="239"/>
      <c r="N39" s="239"/>
      <c r="O39" s="240"/>
    </row>
    <row r="40" spans="2:15" x14ac:dyDescent="0.35">
      <c r="B40" s="231">
        <v>19</v>
      </c>
      <c r="C40" s="232"/>
      <c r="D40" s="233" t="s">
        <v>121</v>
      </c>
      <c r="E40" s="232"/>
      <c r="F40" s="134" t="s">
        <v>115</v>
      </c>
      <c r="G40" s="132" t="s">
        <v>133</v>
      </c>
      <c r="H40" s="54">
        <v>-21</v>
      </c>
      <c r="I40" s="56">
        <v>0</v>
      </c>
      <c r="J40" s="130" t="s">
        <v>115</v>
      </c>
      <c r="K40" s="54">
        <v>0</v>
      </c>
      <c r="L40" s="128">
        <v>0</v>
      </c>
      <c r="M40" s="132" t="s">
        <v>133</v>
      </c>
      <c r="N40" s="54">
        <v>-21</v>
      </c>
      <c r="O40" s="56">
        <v>0</v>
      </c>
    </row>
    <row r="41" spans="2:15" x14ac:dyDescent="0.35">
      <c r="B41" s="231">
        <v>20</v>
      </c>
      <c r="C41" s="232"/>
      <c r="D41" s="233" t="s">
        <v>122</v>
      </c>
      <c r="E41" s="232"/>
      <c r="F41" s="134" t="s">
        <v>115</v>
      </c>
      <c r="G41" s="132" t="s">
        <v>115</v>
      </c>
      <c r="H41" s="54">
        <v>0</v>
      </c>
      <c r="I41" s="56">
        <v>0</v>
      </c>
      <c r="J41" s="130" t="s">
        <v>133</v>
      </c>
      <c r="K41" s="54">
        <v>-18</v>
      </c>
      <c r="L41" s="128">
        <v>0</v>
      </c>
      <c r="M41" s="132" t="s">
        <v>133</v>
      </c>
      <c r="N41" s="54">
        <v>-18</v>
      </c>
      <c r="O41" s="56">
        <v>0</v>
      </c>
    </row>
    <row r="42" spans="2:15" x14ac:dyDescent="0.35">
      <c r="B42" s="231">
        <v>21</v>
      </c>
      <c r="C42" s="232"/>
      <c r="D42" s="233" t="s">
        <v>68</v>
      </c>
      <c r="E42" s="232"/>
      <c r="F42" s="134" t="s">
        <v>115</v>
      </c>
      <c r="G42" s="132" t="s">
        <v>133</v>
      </c>
      <c r="H42" s="54">
        <v>-53</v>
      </c>
      <c r="I42" s="56">
        <v>0</v>
      </c>
      <c r="J42" s="130" t="s">
        <v>115</v>
      </c>
      <c r="K42" s="54">
        <v>0</v>
      </c>
      <c r="L42" s="56">
        <v>0</v>
      </c>
      <c r="M42" s="132" t="s">
        <v>133</v>
      </c>
      <c r="N42" s="54">
        <v>-53</v>
      </c>
      <c r="O42" s="56">
        <v>0</v>
      </c>
    </row>
    <row r="43" spans="2:15" x14ac:dyDescent="0.35">
      <c r="B43" s="231">
        <v>22</v>
      </c>
      <c r="C43" s="232"/>
      <c r="D43" s="233" t="s">
        <v>69</v>
      </c>
      <c r="E43" s="232"/>
      <c r="F43" s="134" t="s">
        <v>115</v>
      </c>
      <c r="G43" s="132" t="s">
        <v>115</v>
      </c>
      <c r="H43" s="54">
        <v>0</v>
      </c>
      <c r="I43" s="56">
        <v>0</v>
      </c>
      <c r="J43" s="130" t="s">
        <v>115</v>
      </c>
      <c r="K43" s="54">
        <v>0</v>
      </c>
      <c r="L43" s="56">
        <v>0</v>
      </c>
      <c r="M43" s="132" t="s">
        <v>115</v>
      </c>
      <c r="N43" s="54">
        <v>0</v>
      </c>
      <c r="O43" s="56">
        <v>0</v>
      </c>
    </row>
    <row r="44" spans="2:15" x14ac:dyDescent="0.35">
      <c r="B44" s="231">
        <v>23</v>
      </c>
      <c r="C44" s="232"/>
      <c r="D44" s="233" t="s">
        <v>70</v>
      </c>
      <c r="E44" s="232"/>
      <c r="F44" s="134" t="s">
        <v>133</v>
      </c>
      <c r="G44" s="132" t="s">
        <v>115</v>
      </c>
      <c r="H44" s="54">
        <v>0</v>
      </c>
      <c r="I44" s="210">
        <v>130</v>
      </c>
      <c r="J44" s="190" t="s">
        <v>115</v>
      </c>
      <c r="K44" s="54">
        <v>0</v>
      </c>
      <c r="L44" s="56">
        <v>0</v>
      </c>
      <c r="M44" s="132" t="s">
        <v>133</v>
      </c>
      <c r="N44" s="54">
        <v>-73</v>
      </c>
      <c r="O44" s="56">
        <v>0</v>
      </c>
    </row>
    <row r="45" spans="2:15" x14ac:dyDescent="0.35">
      <c r="B45" s="231">
        <v>24</v>
      </c>
      <c r="C45" s="232"/>
      <c r="D45" s="233" t="s">
        <v>71</v>
      </c>
      <c r="E45" s="232"/>
      <c r="F45" s="134" t="s">
        <v>133</v>
      </c>
      <c r="G45" s="132" t="s">
        <v>133</v>
      </c>
      <c r="H45" s="54">
        <v>0</v>
      </c>
      <c r="I45" s="56">
        <v>0</v>
      </c>
      <c r="J45" s="130" t="s">
        <v>115</v>
      </c>
      <c r="K45" s="54">
        <v>0</v>
      </c>
      <c r="L45" s="56">
        <v>12</v>
      </c>
      <c r="M45" s="132" t="s">
        <v>115</v>
      </c>
      <c r="N45" s="54">
        <v>0</v>
      </c>
      <c r="O45" s="56">
        <v>0</v>
      </c>
    </row>
    <row r="46" spans="2:15" x14ac:dyDescent="0.35">
      <c r="B46" s="231">
        <v>25</v>
      </c>
      <c r="C46" s="232"/>
      <c r="D46" s="233" t="s">
        <v>47</v>
      </c>
      <c r="E46" s="232"/>
      <c r="F46" s="134" t="s">
        <v>133</v>
      </c>
      <c r="G46" s="132" t="s">
        <v>133</v>
      </c>
      <c r="H46" s="54">
        <v>0</v>
      </c>
      <c r="I46" s="56">
        <v>0</v>
      </c>
      <c r="J46" s="130" t="s">
        <v>115</v>
      </c>
      <c r="K46" s="54">
        <v>0</v>
      </c>
      <c r="L46" s="128">
        <v>0</v>
      </c>
      <c r="M46" s="132" t="s">
        <v>133</v>
      </c>
      <c r="N46" s="54">
        <v>0</v>
      </c>
      <c r="O46" s="56">
        <v>12</v>
      </c>
    </row>
    <row r="47" spans="2:15" x14ac:dyDescent="0.35">
      <c r="B47" s="238" t="s">
        <v>123</v>
      </c>
      <c r="C47" s="239"/>
      <c r="D47" s="239"/>
      <c r="E47" s="239"/>
      <c r="F47" s="239"/>
      <c r="G47" s="239"/>
      <c r="H47" s="239"/>
      <c r="I47" s="239"/>
      <c r="J47" s="239"/>
      <c r="K47" s="239"/>
      <c r="L47" s="239"/>
      <c r="M47" s="239"/>
      <c r="N47" s="239"/>
      <c r="O47" s="240"/>
    </row>
    <row r="48" spans="2:15" x14ac:dyDescent="0.35">
      <c r="B48" s="231">
        <v>26</v>
      </c>
      <c r="C48" s="232"/>
      <c r="D48" s="261" t="s">
        <v>49</v>
      </c>
      <c r="E48" s="262"/>
      <c r="F48" s="134" t="s">
        <v>115</v>
      </c>
      <c r="G48" s="132" t="s">
        <v>115</v>
      </c>
      <c r="H48" s="54">
        <v>0</v>
      </c>
      <c r="I48" s="56">
        <v>0</v>
      </c>
      <c r="J48" s="130" t="s">
        <v>115</v>
      </c>
      <c r="K48" s="54">
        <v>0</v>
      </c>
      <c r="L48" s="128">
        <v>0</v>
      </c>
      <c r="M48" s="132" t="s">
        <v>115</v>
      </c>
      <c r="N48" s="54">
        <v>0</v>
      </c>
      <c r="O48" s="56">
        <v>0</v>
      </c>
    </row>
    <row r="49" spans="2:15" x14ac:dyDescent="0.35">
      <c r="B49" s="231">
        <v>27</v>
      </c>
      <c r="C49" s="232"/>
      <c r="D49" s="261" t="s">
        <v>51</v>
      </c>
      <c r="E49" s="262"/>
      <c r="F49" s="134" t="s">
        <v>115</v>
      </c>
      <c r="G49" s="132" t="s">
        <v>133</v>
      </c>
      <c r="H49" s="54">
        <v>-15</v>
      </c>
      <c r="I49" s="56">
        <v>0</v>
      </c>
      <c r="J49" s="130" t="s">
        <v>115</v>
      </c>
      <c r="K49" s="54">
        <v>0</v>
      </c>
      <c r="L49" s="128">
        <v>0</v>
      </c>
      <c r="M49" s="132" t="s">
        <v>133</v>
      </c>
      <c r="N49" s="54">
        <v>-15</v>
      </c>
      <c r="O49" s="56">
        <v>0</v>
      </c>
    </row>
    <row r="50" spans="2:15" x14ac:dyDescent="0.35">
      <c r="B50" s="231">
        <v>28</v>
      </c>
      <c r="C50" s="232"/>
      <c r="D50" s="261" t="s">
        <v>112</v>
      </c>
      <c r="E50" s="262"/>
      <c r="F50" s="134" t="s">
        <v>115</v>
      </c>
      <c r="G50" s="132" t="s">
        <v>115</v>
      </c>
      <c r="H50" s="54">
        <v>0</v>
      </c>
      <c r="I50" s="56">
        <v>0</v>
      </c>
      <c r="J50" s="130" t="s">
        <v>115</v>
      </c>
      <c r="K50" s="54">
        <v>0</v>
      </c>
      <c r="L50" s="128">
        <v>0</v>
      </c>
      <c r="M50" s="132" t="s">
        <v>115</v>
      </c>
      <c r="N50" s="54">
        <v>0</v>
      </c>
      <c r="O50" s="56">
        <v>0</v>
      </c>
    </row>
    <row r="51" spans="2:15" x14ac:dyDescent="0.35">
      <c r="B51" s="231">
        <v>29</v>
      </c>
      <c r="C51" s="232"/>
      <c r="D51" s="261" t="s">
        <v>112</v>
      </c>
      <c r="E51" s="262"/>
      <c r="F51" s="134" t="s">
        <v>115</v>
      </c>
      <c r="G51" s="132" t="s">
        <v>115</v>
      </c>
      <c r="H51" s="54">
        <v>0</v>
      </c>
      <c r="I51" s="56">
        <v>0</v>
      </c>
      <c r="J51" s="130" t="s">
        <v>115</v>
      </c>
      <c r="K51" s="54">
        <v>0</v>
      </c>
      <c r="L51" s="128">
        <v>0</v>
      </c>
      <c r="M51" s="132" t="s">
        <v>115</v>
      </c>
      <c r="N51" s="54">
        <v>0</v>
      </c>
      <c r="O51" s="56">
        <v>0</v>
      </c>
    </row>
    <row r="52" spans="2:15" x14ac:dyDescent="0.35">
      <c r="B52" s="231">
        <v>30</v>
      </c>
      <c r="C52" s="232"/>
      <c r="D52" s="261" t="s">
        <v>112</v>
      </c>
      <c r="E52" s="262"/>
      <c r="F52" s="134" t="s">
        <v>115</v>
      </c>
      <c r="G52" s="132" t="s">
        <v>115</v>
      </c>
      <c r="H52" s="54">
        <v>0</v>
      </c>
      <c r="I52" s="56">
        <v>0</v>
      </c>
      <c r="J52" s="130" t="s">
        <v>115</v>
      </c>
      <c r="K52" s="54">
        <v>0</v>
      </c>
      <c r="L52" s="128">
        <v>0</v>
      </c>
      <c r="M52" s="132" t="s">
        <v>115</v>
      </c>
      <c r="N52" s="54">
        <v>0</v>
      </c>
      <c r="O52" s="56">
        <v>0</v>
      </c>
    </row>
    <row r="53" spans="2:15" x14ac:dyDescent="0.35">
      <c r="B53" s="238" t="s">
        <v>124</v>
      </c>
      <c r="C53" s="239"/>
      <c r="D53" s="239"/>
      <c r="E53" s="239"/>
      <c r="F53" s="239"/>
      <c r="G53" s="239"/>
      <c r="H53" s="239"/>
      <c r="I53" s="239"/>
      <c r="J53" s="239"/>
      <c r="K53" s="239"/>
      <c r="L53" s="239"/>
      <c r="M53" s="239"/>
      <c r="N53" s="239"/>
      <c r="O53" s="240"/>
    </row>
    <row r="54" spans="2:15" x14ac:dyDescent="0.35">
      <c r="B54" s="231">
        <v>31</v>
      </c>
      <c r="C54" s="232"/>
      <c r="D54" s="233" t="s">
        <v>125</v>
      </c>
      <c r="E54" s="232"/>
      <c r="F54" s="52"/>
      <c r="G54" s="100">
        <v>525</v>
      </c>
      <c r="H54" s="54"/>
      <c r="I54" s="128"/>
      <c r="J54" s="139">
        <v>450</v>
      </c>
      <c r="K54" s="54"/>
      <c r="L54" s="128"/>
      <c r="M54" s="139">
        <v>650</v>
      </c>
      <c r="N54" s="54"/>
      <c r="O54" s="56"/>
    </row>
    <row r="55" spans="2:15" x14ac:dyDescent="0.35">
      <c r="B55" s="231">
        <v>32</v>
      </c>
      <c r="C55" s="232"/>
      <c r="D55" s="233" t="s">
        <v>126</v>
      </c>
      <c r="E55" s="232"/>
      <c r="F55" s="52"/>
      <c r="G55" s="57">
        <v>-206</v>
      </c>
      <c r="H55" s="58">
        <v>-213</v>
      </c>
      <c r="I55" s="137">
        <v>7</v>
      </c>
      <c r="J55" s="140">
        <v>-23</v>
      </c>
      <c r="K55" s="58">
        <v>-59</v>
      </c>
      <c r="L55" s="137">
        <v>36</v>
      </c>
      <c r="M55" s="140">
        <v>-305</v>
      </c>
      <c r="N55" s="58">
        <v>-305</v>
      </c>
      <c r="O55" s="59">
        <v>0</v>
      </c>
    </row>
    <row r="56" spans="2:15" x14ac:dyDescent="0.35">
      <c r="B56" s="231">
        <v>33</v>
      </c>
      <c r="C56" s="232"/>
      <c r="D56" s="233" t="s">
        <v>127</v>
      </c>
      <c r="E56" s="232"/>
      <c r="F56" s="52"/>
      <c r="G56" s="57">
        <v>319</v>
      </c>
      <c r="H56" s="61"/>
      <c r="I56" s="138"/>
      <c r="J56" s="140">
        <v>412</v>
      </c>
      <c r="K56" s="61"/>
      <c r="L56" s="138"/>
      <c r="M56" s="140">
        <v>345</v>
      </c>
      <c r="N56" s="61"/>
      <c r="O56" s="63"/>
    </row>
    <row r="57" spans="2:15" x14ac:dyDescent="0.35">
      <c r="B57" s="231">
        <v>34</v>
      </c>
      <c r="C57" s="232"/>
      <c r="D57" s="233" t="s">
        <v>128</v>
      </c>
      <c r="E57" s="232"/>
      <c r="F57" s="102">
        <v>364</v>
      </c>
      <c r="G57" s="101"/>
      <c r="H57" s="65"/>
      <c r="I57" s="66"/>
      <c r="J57" s="64"/>
      <c r="K57" s="65"/>
      <c r="L57" s="66"/>
      <c r="M57" s="64"/>
      <c r="N57" s="65"/>
      <c r="O57" s="67"/>
    </row>
    <row r="58" spans="2:15" x14ac:dyDescent="0.35">
      <c r="B58" s="231">
        <v>35</v>
      </c>
      <c r="C58" s="232"/>
      <c r="D58" s="233" t="s">
        <v>129</v>
      </c>
      <c r="E58" s="232"/>
      <c r="F58" s="143">
        <v>438</v>
      </c>
      <c r="G58" s="91"/>
      <c r="H58" s="92"/>
      <c r="I58" s="92"/>
      <c r="J58" s="64"/>
      <c r="K58" s="65"/>
      <c r="L58" s="66"/>
      <c r="M58" s="64"/>
      <c r="N58" s="65"/>
      <c r="O58" s="67"/>
    </row>
    <row r="59" spans="2:15" ht="15" thickBot="1" x14ac:dyDescent="0.4">
      <c r="B59" s="276">
        <v>36</v>
      </c>
      <c r="C59" s="277"/>
      <c r="D59" s="278" t="s">
        <v>162</v>
      </c>
      <c r="E59" s="279"/>
      <c r="F59" s="144">
        <v>420</v>
      </c>
      <c r="G59" s="91"/>
      <c r="H59" s="92"/>
      <c r="I59" s="64"/>
      <c r="J59" s="64"/>
      <c r="K59" s="65"/>
      <c r="L59" s="66"/>
      <c r="M59" s="64"/>
      <c r="N59" s="65"/>
      <c r="O59" s="67"/>
    </row>
    <row r="60" spans="2:15" s="21" customFormat="1" ht="42" customHeight="1" x14ac:dyDescent="0.35">
      <c r="B60" s="280" t="s">
        <v>131</v>
      </c>
      <c r="C60" s="281"/>
      <c r="D60" s="281"/>
      <c r="E60" s="281"/>
      <c r="F60" s="281"/>
      <c r="G60" s="281"/>
      <c r="H60" s="281"/>
      <c r="I60" s="281"/>
      <c r="J60" s="281"/>
      <c r="K60" s="281"/>
      <c r="L60" s="281"/>
      <c r="M60" s="281"/>
      <c r="N60" s="281"/>
      <c r="O60" s="282"/>
    </row>
    <row r="61" spans="2:15" ht="75" customHeight="1" x14ac:dyDescent="0.35">
      <c r="B61" s="283" t="s">
        <v>163</v>
      </c>
      <c r="C61" s="283"/>
      <c r="D61" s="283"/>
      <c r="E61" s="283"/>
      <c r="F61" s="283"/>
      <c r="G61" s="283"/>
      <c r="H61" s="283"/>
      <c r="I61" s="283"/>
      <c r="J61" s="283"/>
      <c r="K61" s="283"/>
      <c r="L61" s="283"/>
      <c r="M61" s="283"/>
      <c r="N61" s="283"/>
      <c r="O61" s="283"/>
    </row>
    <row r="62" spans="2:15" x14ac:dyDescent="0.35">
      <c r="B62" s="118"/>
      <c r="C62" s="118"/>
      <c r="D62" s="118"/>
      <c r="E62" s="118"/>
      <c r="M62" s="275" t="s">
        <v>164</v>
      </c>
      <c r="N62" s="275"/>
      <c r="O62" s="275"/>
    </row>
  </sheetData>
  <sheetProtection selectLockedCells="1" selectUnlockedCells="1"/>
  <protectedRanges>
    <protectedRange sqref="D19:O19" name="Section 2_2_2_1"/>
    <protectedRange sqref="E16:F16" name="Section 2_1_1_1_1"/>
    <protectedRange sqref="G18:O18" name="Section 2_2_1_2_1"/>
    <protectedRange sqref="D18:F18" name="Section 2_2_2"/>
    <protectedRange sqref="G16:O16" name="Section 2_4_1_1"/>
    <protectedRange sqref="G17:O17" name="Section 2_3_2_1_1"/>
  </protectedRanges>
  <mergeCells count="112">
    <mergeCell ref="E15:F15"/>
    <mergeCell ref="G15:I15"/>
    <mergeCell ref="J15:L15"/>
    <mergeCell ref="B8:L8"/>
    <mergeCell ref="M8:O8"/>
    <mergeCell ref="B9:L9"/>
    <mergeCell ref="M9:O9"/>
    <mergeCell ref="N10:O10"/>
    <mergeCell ref="B12:C13"/>
    <mergeCell ref="D12:F12"/>
    <mergeCell ref="E13:F13"/>
    <mergeCell ref="G13:O13"/>
    <mergeCell ref="G20:G21"/>
    <mergeCell ref="H20:I20"/>
    <mergeCell ref="J20:J21"/>
    <mergeCell ref="K20:L20"/>
    <mergeCell ref="M20:M21"/>
    <mergeCell ref="E18:F18"/>
    <mergeCell ref="J16:L16"/>
    <mergeCell ref="M16:O16"/>
    <mergeCell ref="D17:F17"/>
    <mergeCell ref="G17:I17"/>
    <mergeCell ref="J17:L17"/>
    <mergeCell ref="M17:O17"/>
    <mergeCell ref="B25:C25"/>
    <mergeCell ref="D25:E25"/>
    <mergeCell ref="B26:C26"/>
    <mergeCell ref="D26:E26"/>
    <mergeCell ref="B27:C27"/>
    <mergeCell ref="D27:E27"/>
    <mergeCell ref="N20:O20"/>
    <mergeCell ref="B22:O22"/>
    <mergeCell ref="B23:C23"/>
    <mergeCell ref="D23:E23"/>
    <mergeCell ref="B24:C24"/>
    <mergeCell ref="D24:E24"/>
    <mergeCell ref="B14:C21"/>
    <mergeCell ref="D14:F14"/>
    <mergeCell ref="G14:I14"/>
    <mergeCell ref="J14:L14"/>
    <mergeCell ref="M14:O14"/>
    <mergeCell ref="M15:O15"/>
    <mergeCell ref="G16:I16"/>
    <mergeCell ref="G18:I18"/>
    <mergeCell ref="J18:L18"/>
    <mergeCell ref="M18:O18"/>
    <mergeCell ref="D20:E21"/>
    <mergeCell ref="F20:F21"/>
    <mergeCell ref="B31:C31"/>
    <mergeCell ref="D31:E31"/>
    <mergeCell ref="B32:C32"/>
    <mergeCell ref="D32:E32"/>
    <mergeCell ref="B33:C33"/>
    <mergeCell ref="D33:E33"/>
    <mergeCell ref="B28:C28"/>
    <mergeCell ref="D28:E28"/>
    <mergeCell ref="B29:C29"/>
    <mergeCell ref="D29:E29"/>
    <mergeCell ref="B30:C30"/>
    <mergeCell ref="D30:E30"/>
    <mergeCell ref="B37:C37"/>
    <mergeCell ref="D37:E37"/>
    <mergeCell ref="B38:C38"/>
    <mergeCell ref="D38:E38"/>
    <mergeCell ref="B39:O39"/>
    <mergeCell ref="B40:C40"/>
    <mergeCell ref="D40:E40"/>
    <mergeCell ref="B34:C34"/>
    <mergeCell ref="D34:E34"/>
    <mergeCell ref="B35:C35"/>
    <mergeCell ref="D35:E35"/>
    <mergeCell ref="B36:C36"/>
    <mergeCell ref="D36:E36"/>
    <mergeCell ref="B44:C44"/>
    <mergeCell ref="D44:E44"/>
    <mergeCell ref="B45:C45"/>
    <mergeCell ref="D45:E45"/>
    <mergeCell ref="B46:C46"/>
    <mergeCell ref="D46:E46"/>
    <mergeCell ref="B41:C41"/>
    <mergeCell ref="D41:E41"/>
    <mergeCell ref="B42:C42"/>
    <mergeCell ref="D42:E42"/>
    <mergeCell ref="B43:C43"/>
    <mergeCell ref="D43:E43"/>
    <mergeCell ref="B51:C51"/>
    <mergeCell ref="D51:E51"/>
    <mergeCell ref="B52:C52"/>
    <mergeCell ref="D52:E52"/>
    <mergeCell ref="B53:O53"/>
    <mergeCell ref="B54:C54"/>
    <mergeCell ref="D54:E54"/>
    <mergeCell ref="B47:O47"/>
    <mergeCell ref="B48:C48"/>
    <mergeCell ref="D48:E48"/>
    <mergeCell ref="B49:C49"/>
    <mergeCell ref="D49:E49"/>
    <mergeCell ref="B50:C50"/>
    <mergeCell ref="D50:E50"/>
    <mergeCell ref="M62:O62"/>
    <mergeCell ref="B58:C58"/>
    <mergeCell ref="D58:E58"/>
    <mergeCell ref="B59:C59"/>
    <mergeCell ref="D59:E59"/>
    <mergeCell ref="B60:O60"/>
    <mergeCell ref="B61:O61"/>
    <mergeCell ref="B55:C55"/>
    <mergeCell ref="D55:E55"/>
    <mergeCell ref="B56:C56"/>
    <mergeCell ref="D56:E56"/>
    <mergeCell ref="B57:C57"/>
    <mergeCell ref="D57:E57"/>
  </mergeCells>
  <conditionalFormatting sqref="I44">
    <cfRule type="cellIs" dxfId="42" priority="1" operator="greaterThan">
      <formula>$F$49*0.25</formula>
    </cfRule>
  </conditionalFormatting>
  <dataValidations count="2">
    <dataValidation errorStyle="information" allowBlank="1" showInputMessage="1" showErrorMessage="1" errorTitle="Non Valid Adjustment" error="Please Select a Valid PHA Write-in adjustment." sqref="K48:L52 H48:I52 N48:O52" xr:uid="{44022024-1BD4-4274-B506-B47881D22ED2}"/>
    <dataValidation allowBlank="1" showErrorMessage="1" promptTitle="Select PHA Write-In" sqref="D48:E52" xr:uid="{7AC6065E-C6BF-4724-941B-B9D3CF581C0C}"/>
  </dataValidations>
  <pageMargins left="0.7" right="0.7" top="0.75" bottom="0.75" header="0.3" footer="0.3"/>
  <pageSetup scale="6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5093" r:id="rId4" name="Check Box 37">
              <controlPr locked="0" defaultSize="0" autoFill="0" autoLine="0" autoPict="0">
                <anchor moveWithCells="1">
                  <from>
                    <xdr:col>7</xdr:col>
                    <xdr:colOff>127000</xdr:colOff>
                    <xdr:row>17</xdr:row>
                    <xdr:rowOff>95250</xdr:rowOff>
                  </from>
                  <to>
                    <xdr:col>7</xdr:col>
                    <xdr:colOff>482600</xdr:colOff>
                    <xdr:row>19</xdr:row>
                    <xdr:rowOff>120650</xdr:rowOff>
                  </to>
                </anchor>
              </controlPr>
            </control>
          </mc:Choice>
        </mc:AlternateContent>
        <mc:AlternateContent xmlns:mc="http://schemas.openxmlformats.org/markup-compatibility/2006">
          <mc:Choice Requires="x14">
            <control shapeId="45094" r:id="rId5" name="Check Box 38">
              <controlPr defaultSize="0" autoFill="0" autoLine="0" autoPict="0">
                <anchor moveWithCells="1">
                  <from>
                    <xdr:col>10</xdr:col>
                    <xdr:colOff>292100</xdr:colOff>
                    <xdr:row>17</xdr:row>
                    <xdr:rowOff>63500</xdr:rowOff>
                  </from>
                  <to>
                    <xdr:col>10</xdr:col>
                    <xdr:colOff>641350</xdr:colOff>
                    <xdr:row>19</xdr:row>
                    <xdr:rowOff>146050</xdr:rowOff>
                  </to>
                </anchor>
              </controlPr>
            </control>
          </mc:Choice>
        </mc:AlternateContent>
        <mc:AlternateContent xmlns:mc="http://schemas.openxmlformats.org/markup-compatibility/2006">
          <mc:Choice Requires="x14">
            <control shapeId="45095" r:id="rId6" name="Check Box 39">
              <controlPr defaultSize="0" autoFill="0" autoLine="0" autoPict="0">
                <anchor moveWithCells="1">
                  <from>
                    <xdr:col>13</xdr:col>
                    <xdr:colOff>501650</xdr:colOff>
                    <xdr:row>17</xdr:row>
                    <xdr:rowOff>95250</xdr:rowOff>
                  </from>
                  <to>
                    <xdr:col>14</xdr:col>
                    <xdr:colOff>139700</xdr:colOff>
                    <xdr:row>19</xdr:row>
                    <xdr:rowOff>120650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allowBlank="1" showInputMessage="1" showErrorMessage="1" xr:uid="{5EB12C75-B17F-4498-B331-A62B7631857B}">
          <x14:formula1>
            <xm:f>DropDown!$H$2:$H$4</xm:f>
          </x14:formula1>
          <xm:sqref>F28:G28 J28 M28</xm:sqref>
        </x14:dataValidation>
        <x14:dataValidation type="list" allowBlank="1" showInputMessage="1" showErrorMessage="1" xr:uid="{6CA92FA3-F087-4E30-A221-E8E6D4842CFF}">
          <x14:formula1>
            <xm:f>DropDown!$F$1:$F$6</xm:f>
          </x14:formula1>
          <xm:sqref>G18:O18 E18</xm:sqref>
        </x14:dataValidation>
        <x14:dataValidation type="list" allowBlank="1" showInputMessage="1" showErrorMessage="1" xr:uid="{FFAF8FE6-B2BE-4EE2-8742-379F166B63D5}">
          <x14:formula1>
            <xm:f>DropDown!$C$2:$C$4</xm:f>
          </x14:formula1>
          <xm:sqref>F29:G29 J29 M29</xm:sqref>
        </x14:dataValidation>
        <x14:dataValidation type="list" allowBlank="1" showInputMessage="1" showErrorMessage="1" xr:uid="{8572C4D2-31AE-423D-B599-7288DF8594D5}">
          <x14:formula1>
            <xm:f>DropDown!$E$1:$E$3</xm:f>
          </x14:formula1>
          <xm:sqref>D59:E59</xm:sqref>
        </x14:dataValidation>
        <x14:dataValidation type="list" allowBlank="1" showInputMessage="1" showErrorMessage="1" xr:uid="{FA934189-8A34-43A9-AC5E-7F75D962A816}">
          <x14:formula1>
            <xm:f>DropDown!$A$2:$A$10</xm:f>
          </x14:formula1>
          <xm:sqref>F25:G25 J25 M25</xm:sqref>
        </x14:dataValidation>
        <x14:dataValidation type="list" allowBlank="1" showInputMessage="1" showErrorMessage="1" xr:uid="{70A8163B-DE76-4400-8D90-EA2EC2E694A5}">
          <x14:formula1>
            <xm:f>DropDown!$B$2:$B$3</xm:f>
          </x14:formula1>
          <xm:sqref>F40:G46 F48:G52 F26:G27 F30:G38 J26:J27 J40:J46 M40:M46 J48:J52 M48:M52 M30:M38 J30:J38 M26:M27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dimension ref="A1:O29"/>
  <sheetViews>
    <sheetView showGridLines="0" showRowColHeaders="0" zoomScaleNormal="100" workbookViewId="0">
      <selection activeCell="C7" sqref="C7"/>
    </sheetView>
  </sheetViews>
  <sheetFormatPr defaultRowHeight="14.5" x14ac:dyDescent="0.35"/>
  <cols>
    <col min="1" max="1" width="3" style="8" customWidth="1"/>
    <col min="2" max="2" width="33" customWidth="1"/>
    <col min="3" max="3" width="24.54296875" customWidth="1"/>
    <col min="5" max="5" width="20.54296875" customWidth="1"/>
    <col min="6" max="6" width="15.54296875" customWidth="1"/>
    <col min="10" max="11" width="0" hidden="1" customWidth="1"/>
    <col min="15" max="15" width="11.54296875" bestFit="1" customWidth="1"/>
  </cols>
  <sheetData>
    <row r="1" spans="1:15" ht="15" thickBot="1" x14ac:dyDescent="0.4">
      <c r="J1" t="s">
        <v>165</v>
      </c>
    </row>
    <row r="2" spans="1:15" s="3" customFormat="1" x14ac:dyDescent="0.35">
      <c r="A2" s="10" t="s">
        <v>166</v>
      </c>
      <c r="B2" s="5" t="s">
        <v>3</v>
      </c>
      <c r="C2" s="5" t="s">
        <v>4</v>
      </c>
      <c r="J2" s="23">
        <v>0.5</v>
      </c>
      <c r="K2" s="116">
        <f>C5</f>
        <v>0</v>
      </c>
    </row>
    <row r="3" spans="1:15" x14ac:dyDescent="0.35">
      <c r="A3" s="110" t="s">
        <v>167</v>
      </c>
      <c r="B3" s="147" t="s">
        <v>168</v>
      </c>
      <c r="C3" s="155">
        <v>0</v>
      </c>
      <c r="J3" s="24">
        <v>1</v>
      </c>
      <c r="K3" s="29">
        <f>$C$6</f>
        <v>0</v>
      </c>
    </row>
    <row r="4" spans="1:15" x14ac:dyDescent="0.35">
      <c r="A4" s="111" t="s">
        <v>113</v>
      </c>
      <c r="B4" s="147" t="s">
        <v>7</v>
      </c>
      <c r="C4" s="155">
        <v>0</v>
      </c>
      <c r="J4" s="24">
        <f>J3+0.5</f>
        <v>1.5</v>
      </c>
      <c r="K4" s="29">
        <f>$C$6+$C$5</f>
        <v>0</v>
      </c>
    </row>
    <row r="5" spans="1:15" x14ac:dyDescent="0.35">
      <c r="B5" s="147" t="s">
        <v>169</v>
      </c>
      <c r="C5" s="155">
        <v>0</v>
      </c>
      <c r="J5" s="24">
        <f t="shared" ref="J5:J22" si="0">J4+0.5</f>
        <v>2</v>
      </c>
      <c r="K5" s="29">
        <f>$C$6*$J5</f>
        <v>0</v>
      </c>
    </row>
    <row r="6" spans="1:15" x14ac:dyDescent="0.35">
      <c r="B6" s="147" t="s">
        <v>170</v>
      </c>
      <c r="C6" s="155">
        <v>0</v>
      </c>
      <c r="J6" s="24">
        <f t="shared" si="0"/>
        <v>2.5</v>
      </c>
      <c r="K6" s="29">
        <f>K5+$C$5</f>
        <v>0</v>
      </c>
    </row>
    <row r="7" spans="1:15" x14ac:dyDescent="0.35">
      <c r="B7" s="147" t="s">
        <v>15</v>
      </c>
      <c r="C7" s="155">
        <v>0</v>
      </c>
      <c r="J7" s="24">
        <f t="shared" si="0"/>
        <v>3</v>
      </c>
      <c r="K7" s="29">
        <f>$C$6*$J7</f>
        <v>0</v>
      </c>
    </row>
    <row r="8" spans="1:15" x14ac:dyDescent="0.35">
      <c r="B8" s="147" t="s">
        <v>17</v>
      </c>
      <c r="C8" s="155">
        <v>0</v>
      </c>
      <c r="J8" s="24">
        <f t="shared" si="0"/>
        <v>3.5</v>
      </c>
      <c r="K8" s="29">
        <f>K7+$C$5</f>
        <v>0</v>
      </c>
    </row>
    <row r="9" spans="1:15" x14ac:dyDescent="0.35">
      <c r="B9" s="147" t="s">
        <v>19</v>
      </c>
      <c r="C9" s="155">
        <v>0</v>
      </c>
      <c r="J9" s="24">
        <f t="shared" si="0"/>
        <v>4</v>
      </c>
      <c r="K9" s="29">
        <f>$C$6*$J9</f>
        <v>0</v>
      </c>
    </row>
    <row r="10" spans="1:15" x14ac:dyDescent="0.35">
      <c r="B10" s="147" t="s">
        <v>171</v>
      </c>
      <c r="C10" s="155">
        <v>0</v>
      </c>
      <c r="J10" s="24">
        <f t="shared" si="0"/>
        <v>4.5</v>
      </c>
      <c r="K10" s="29">
        <f>K9+$C$5</f>
        <v>0</v>
      </c>
    </row>
    <row r="11" spans="1:15" x14ac:dyDescent="0.35">
      <c r="B11" s="147" t="s">
        <v>23</v>
      </c>
      <c r="C11" s="155">
        <v>0</v>
      </c>
      <c r="J11" s="24"/>
      <c r="K11" s="29"/>
    </row>
    <row r="12" spans="1:15" x14ac:dyDescent="0.35">
      <c r="A12" s="112" t="s">
        <v>24</v>
      </c>
      <c r="B12" s="147" t="s">
        <v>24</v>
      </c>
      <c r="C12" s="155">
        <v>0</v>
      </c>
      <c r="J12" s="24">
        <f>J10+0.5</f>
        <v>5</v>
      </c>
      <c r="K12" s="29">
        <f>$C$6*$J12</f>
        <v>0</v>
      </c>
    </row>
    <row r="13" spans="1:15" x14ac:dyDescent="0.35">
      <c r="A13" s="112" t="s">
        <v>26</v>
      </c>
      <c r="B13" s="147" t="s">
        <v>26</v>
      </c>
      <c r="C13" s="155">
        <v>0</v>
      </c>
      <c r="J13" s="24">
        <f t="shared" si="0"/>
        <v>5.5</v>
      </c>
      <c r="K13" s="29">
        <f>K12+$C$5</f>
        <v>0</v>
      </c>
    </row>
    <row r="14" spans="1:15" x14ac:dyDescent="0.35">
      <c r="B14" s="147" t="s">
        <v>28</v>
      </c>
      <c r="C14" s="155">
        <v>0</v>
      </c>
      <c r="J14" s="24">
        <f t="shared" si="0"/>
        <v>6</v>
      </c>
      <c r="K14" s="29">
        <f>$C$6*$J14</f>
        <v>0</v>
      </c>
    </row>
    <row r="15" spans="1:15" x14ac:dyDescent="0.35">
      <c r="B15" s="147" t="s">
        <v>119</v>
      </c>
      <c r="C15" s="155">
        <v>0</v>
      </c>
      <c r="J15" s="24">
        <f t="shared" si="0"/>
        <v>6.5</v>
      </c>
      <c r="K15" s="29">
        <f>K14+$C$5</f>
        <v>0</v>
      </c>
      <c r="O15" s="156"/>
    </row>
    <row r="16" spans="1:15" x14ac:dyDescent="0.35">
      <c r="B16" s="147" t="s">
        <v>32</v>
      </c>
      <c r="C16" s="155">
        <v>0</v>
      </c>
      <c r="J16" s="24">
        <f t="shared" si="0"/>
        <v>7</v>
      </c>
      <c r="K16" s="29">
        <f>$C$6*$J16</f>
        <v>0</v>
      </c>
    </row>
    <row r="17" spans="2:15" x14ac:dyDescent="0.35">
      <c r="B17" s="147" t="s">
        <v>34</v>
      </c>
      <c r="C17" s="155">
        <v>0</v>
      </c>
      <c r="J17" s="24">
        <f t="shared" si="0"/>
        <v>7.5</v>
      </c>
      <c r="K17" s="29">
        <f>K16+$C$5</f>
        <v>0</v>
      </c>
      <c r="O17" s="157"/>
    </row>
    <row r="18" spans="2:15" x14ac:dyDescent="0.35">
      <c r="B18" s="147" t="s">
        <v>36</v>
      </c>
      <c r="C18" s="155">
        <v>0</v>
      </c>
      <c r="J18" s="24">
        <f t="shared" si="0"/>
        <v>8</v>
      </c>
      <c r="K18" s="29">
        <f>$C$6*$J18</f>
        <v>0</v>
      </c>
    </row>
    <row r="19" spans="2:15" x14ac:dyDescent="0.35">
      <c r="B19" s="147" t="s">
        <v>38</v>
      </c>
      <c r="C19" s="155">
        <v>0</v>
      </c>
      <c r="J19" s="24">
        <f t="shared" si="0"/>
        <v>8.5</v>
      </c>
      <c r="K19" s="29">
        <f>K18+$C$5</f>
        <v>0</v>
      </c>
    </row>
    <row r="20" spans="2:15" x14ac:dyDescent="0.35">
      <c r="B20" s="147" t="s">
        <v>39</v>
      </c>
      <c r="C20" s="155">
        <v>0</v>
      </c>
      <c r="J20" s="24">
        <f t="shared" si="0"/>
        <v>9</v>
      </c>
      <c r="K20" s="29">
        <f>$C$6*$J20</f>
        <v>0</v>
      </c>
    </row>
    <row r="21" spans="2:15" x14ac:dyDescent="0.35">
      <c r="B21" s="147" t="s">
        <v>41</v>
      </c>
      <c r="C21" s="155">
        <v>0</v>
      </c>
      <c r="J21" s="24">
        <f t="shared" si="0"/>
        <v>9.5</v>
      </c>
      <c r="K21" s="29">
        <f>K20+$C$5</f>
        <v>0</v>
      </c>
    </row>
    <row r="22" spans="2:15" ht="15" thickBot="1" x14ac:dyDescent="0.4">
      <c r="B22" s="147" t="s">
        <v>43</v>
      </c>
      <c r="C22" s="155">
        <v>0</v>
      </c>
      <c r="J22" s="25">
        <f t="shared" si="0"/>
        <v>10</v>
      </c>
      <c r="K22" s="30">
        <f>$C$6*$J22</f>
        <v>0</v>
      </c>
    </row>
    <row r="23" spans="2:15" x14ac:dyDescent="0.35">
      <c r="B23" s="147" t="s">
        <v>122</v>
      </c>
      <c r="C23" s="155">
        <v>0</v>
      </c>
    </row>
    <row r="24" spans="2:15" x14ac:dyDescent="0.35">
      <c r="B24" s="147" t="s">
        <v>47</v>
      </c>
      <c r="C24" s="155">
        <v>0</v>
      </c>
    </row>
    <row r="25" spans="2:15" x14ac:dyDescent="0.35">
      <c r="B25" s="183" t="s">
        <v>53</v>
      </c>
      <c r="C25" s="155">
        <v>0</v>
      </c>
    </row>
    <row r="26" spans="2:15" x14ac:dyDescent="0.35">
      <c r="B26" s="183" t="s">
        <v>53</v>
      </c>
      <c r="C26" s="155">
        <v>0</v>
      </c>
    </row>
    <row r="27" spans="2:15" x14ac:dyDescent="0.35">
      <c r="B27" s="183" t="s">
        <v>53</v>
      </c>
      <c r="C27" s="155">
        <v>0</v>
      </c>
    </row>
    <row r="28" spans="2:15" x14ac:dyDescent="0.35">
      <c r="B28" s="183" t="s">
        <v>53</v>
      </c>
      <c r="C28" s="155">
        <v>0</v>
      </c>
    </row>
    <row r="29" spans="2:15" x14ac:dyDescent="0.35">
      <c r="B29" s="183" t="s">
        <v>53</v>
      </c>
      <c r="C29" s="155">
        <v>0</v>
      </c>
    </row>
  </sheetData>
  <sheetProtection sheet="1" selectLockedCells="1"/>
  <customSheetViews>
    <customSheetView guid="{A4B793CE-738E-4476-8B1F-D42BECFCF658}" scale="85" hiddenColumns="1" topLeftCell="B1">
      <selection activeCell="B33" sqref="B33"/>
      <pageMargins left="0" right="0" top="0" bottom="0" header="0" footer="0"/>
      <pageSetup orientation="portrait" r:id="rId1"/>
    </customSheetView>
  </customSheetViews>
  <phoneticPr fontId="20" type="noConversion"/>
  <dataValidations count="1">
    <dataValidation type="decimal" allowBlank="1" showInputMessage="1" showErrorMessage="1" errorTitle="Invalid Entry" error="Only valid numbers can be input into cells." sqref="C3:C29" xr:uid="{6AA59B9B-3059-4F50-A551-32EC4F9476B0}">
      <formula1>-9.99999999999999E+36</formula1>
      <formula2>9.99999999999999E+36</formula2>
    </dataValidation>
  </dataValidation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27DD5-43C0-4133-9BC1-2CEA9D3206DA}">
  <sheetPr codeName="Sheet8"/>
  <dimension ref="B2:G21"/>
  <sheetViews>
    <sheetView showGridLines="0" showRowColHeaders="0" workbookViewId="0">
      <selection activeCell="D15" sqref="D15"/>
    </sheetView>
  </sheetViews>
  <sheetFormatPr defaultRowHeight="14.5" x14ac:dyDescent="0.35"/>
  <cols>
    <col min="2" max="2" width="30" hidden="1" customWidth="1"/>
    <col min="3" max="3" width="16.453125" customWidth="1"/>
    <col min="4" max="7" width="17.1796875" customWidth="1"/>
  </cols>
  <sheetData>
    <row r="2" spans="2:7" ht="18.5" x14ac:dyDescent="0.45">
      <c r="C2" s="162" t="s">
        <v>172</v>
      </c>
    </row>
    <row r="3" spans="2:7" ht="29" x14ac:dyDescent="0.35">
      <c r="C3" s="161"/>
      <c r="D3" s="95" t="s">
        <v>68</v>
      </c>
      <c r="E3" s="95" t="s">
        <v>69</v>
      </c>
      <c r="F3" s="95" t="s">
        <v>70</v>
      </c>
      <c r="G3" s="95" t="s">
        <v>71</v>
      </c>
    </row>
    <row r="4" spans="2:7" x14ac:dyDescent="0.35">
      <c r="B4" t="s">
        <v>72</v>
      </c>
      <c r="C4" s="180" t="s">
        <v>73</v>
      </c>
      <c r="D4" s="155"/>
      <c r="E4" s="155" t="s">
        <v>173</v>
      </c>
      <c r="F4" s="155" t="s">
        <v>173</v>
      </c>
      <c r="G4" s="155" t="s">
        <v>173</v>
      </c>
    </row>
    <row r="5" spans="2:7" x14ac:dyDescent="0.35">
      <c r="B5" t="s">
        <v>74</v>
      </c>
      <c r="C5" s="180" t="s">
        <v>75</v>
      </c>
      <c r="D5" s="155"/>
      <c r="E5" s="155"/>
      <c r="F5" s="155"/>
      <c r="G5" s="155"/>
    </row>
    <row r="6" spans="2:7" x14ac:dyDescent="0.35">
      <c r="B6" t="s">
        <v>76</v>
      </c>
      <c r="C6" s="180" t="s">
        <v>77</v>
      </c>
      <c r="D6" s="155"/>
      <c r="E6" s="155"/>
      <c r="F6" s="155"/>
      <c r="G6" s="155"/>
    </row>
    <row r="7" spans="2:7" x14ac:dyDescent="0.35">
      <c r="B7" t="s">
        <v>78</v>
      </c>
      <c r="C7" s="180" t="s">
        <v>79</v>
      </c>
      <c r="D7" s="155"/>
      <c r="E7" s="155"/>
      <c r="F7" s="155"/>
      <c r="G7" s="155"/>
    </row>
    <row r="8" spans="2:7" x14ac:dyDescent="0.35">
      <c r="B8" t="s">
        <v>80</v>
      </c>
      <c r="C8" s="180" t="s">
        <v>81</v>
      </c>
      <c r="D8" s="155"/>
      <c r="E8" s="155"/>
      <c r="F8" s="155"/>
      <c r="G8" s="155"/>
    </row>
    <row r="9" spans="2:7" x14ac:dyDescent="0.35">
      <c r="B9" t="s">
        <v>82</v>
      </c>
      <c r="C9" s="180" t="s">
        <v>83</v>
      </c>
      <c r="D9" s="155"/>
      <c r="E9" s="155"/>
      <c r="F9" s="155"/>
      <c r="G9" s="155"/>
    </row>
    <row r="10" spans="2:7" x14ac:dyDescent="0.35">
      <c r="B10" t="s">
        <v>84</v>
      </c>
      <c r="C10" s="180" t="s">
        <v>85</v>
      </c>
      <c r="D10" s="155"/>
      <c r="E10" s="155"/>
      <c r="F10" s="155"/>
      <c r="G10" s="155" t="s">
        <v>173</v>
      </c>
    </row>
    <row r="13" spans="2:7" ht="18.5" x14ac:dyDescent="0.45">
      <c r="C13" s="162" t="s">
        <v>86</v>
      </c>
    </row>
    <row r="14" spans="2:7" x14ac:dyDescent="0.35">
      <c r="C14" s="95"/>
      <c r="D14" s="95" t="s">
        <v>174</v>
      </c>
    </row>
    <row r="15" spans="2:7" x14ac:dyDescent="0.35">
      <c r="C15" s="147" t="s">
        <v>73</v>
      </c>
      <c r="D15" s="155"/>
    </row>
    <row r="16" spans="2:7" x14ac:dyDescent="0.35">
      <c r="C16" s="147" t="s">
        <v>75</v>
      </c>
      <c r="D16" s="155"/>
    </row>
    <row r="17" spans="3:4" x14ac:dyDescent="0.35">
      <c r="C17" s="147" t="s">
        <v>77</v>
      </c>
      <c r="D17" s="155"/>
    </row>
    <row r="18" spans="3:4" x14ac:dyDescent="0.35">
      <c r="C18" s="147" t="s">
        <v>79</v>
      </c>
      <c r="D18" s="155"/>
    </row>
    <row r="19" spans="3:4" x14ac:dyDescent="0.35">
      <c r="C19" s="147" t="s">
        <v>81</v>
      </c>
      <c r="D19" s="155"/>
    </row>
    <row r="20" spans="3:4" x14ac:dyDescent="0.35">
      <c r="C20" s="147" t="s">
        <v>83</v>
      </c>
      <c r="D20" s="155"/>
    </row>
    <row r="21" spans="3:4" x14ac:dyDescent="0.35">
      <c r="C21" s="147" t="s">
        <v>85</v>
      </c>
      <c r="D21" s="155"/>
    </row>
  </sheetData>
  <sheetProtection algorithmName="SHA-512" hashValue="u5TykUfBjQmy4J4z3IzIK4VngHknewy2MAIXRnh3/oOZcLjuK/j39qE1paEc0AQYUPZJnLstc2hbM5YROC5oCA==" saltValue="OEddnMBsrklxEG8XJvc6xw==" spinCount="100000" sheet="1" objects="1" scenarios="1" selectLockedCells="1"/>
  <dataValidations count="1">
    <dataValidation type="decimal" allowBlank="1" showInputMessage="1" showErrorMessage="1" errorTitle="Invalid Entry" error="Only valid numbers can be input into cells." sqref="D15:D21" xr:uid="{6AA59B9B-3059-4F50-A551-32EC4F9476B0}">
      <formula1>-9.99999999999999E+36</formula1>
      <formula2>9.99999999999999E+36</formula2>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tabColor rgb="FFFFC000"/>
    <pageSetUpPr fitToPage="1"/>
  </sheetPr>
  <dimension ref="B1:O54"/>
  <sheetViews>
    <sheetView showGridLines="0" showRowColHeaders="0" topLeftCell="A5" zoomScale="80" zoomScaleNormal="80" zoomScaleSheetLayoutView="100" workbookViewId="0">
      <selection activeCell="D5" sqref="D5:F5"/>
    </sheetView>
  </sheetViews>
  <sheetFormatPr defaultRowHeight="14.5" x14ac:dyDescent="0.35"/>
  <cols>
    <col min="1" max="1" width="5.54296875" customWidth="1"/>
    <col min="2" max="3" width="1.54296875" customWidth="1"/>
    <col min="4" max="4" width="15.1796875" style="18" customWidth="1"/>
    <col min="5" max="5" width="20.1796875" style="18" customWidth="1"/>
    <col min="6" max="6" width="14.1796875" style="1" customWidth="1"/>
    <col min="7" max="7" width="10" style="1" customWidth="1"/>
    <col min="8" max="9" width="10" customWidth="1"/>
    <col min="10" max="10" width="10" style="1" customWidth="1"/>
    <col min="11" max="12" width="10" customWidth="1"/>
    <col min="13" max="13" width="10" style="1" customWidth="1"/>
    <col min="14" max="15" width="10" customWidth="1"/>
  </cols>
  <sheetData>
    <row r="1" spans="2:15" x14ac:dyDescent="0.35">
      <c r="B1" s="211" t="s">
        <v>88</v>
      </c>
      <c r="C1" s="211"/>
      <c r="D1" s="211"/>
      <c r="E1" s="211"/>
      <c r="F1" s="211"/>
      <c r="G1" s="211"/>
      <c r="H1" s="211"/>
      <c r="I1" s="211"/>
      <c r="J1" s="211"/>
      <c r="K1" s="211"/>
      <c r="L1" s="211"/>
      <c r="M1" s="212" t="s">
        <v>141</v>
      </c>
      <c r="N1" s="212"/>
      <c r="O1" s="212"/>
    </row>
    <row r="2" spans="2:15" x14ac:dyDescent="0.35">
      <c r="B2" s="213" t="s">
        <v>89</v>
      </c>
      <c r="C2" s="213"/>
      <c r="D2" s="213"/>
      <c r="E2" s="213"/>
      <c r="F2" s="213"/>
      <c r="G2" s="213"/>
      <c r="H2" s="213"/>
      <c r="I2" s="213"/>
      <c r="J2" s="213"/>
      <c r="K2" s="213"/>
      <c r="L2" s="213"/>
      <c r="M2" s="303" t="s">
        <v>142</v>
      </c>
      <c r="N2" s="303"/>
      <c r="O2" s="303"/>
    </row>
    <row r="3" spans="2:15" x14ac:dyDescent="0.35">
      <c r="B3" s="117" t="s">
        <v>90</v>
      </c>
      <c r="C3" s="117"/>
      <c r="D3" s="117"/>
      <c r="E3" s="117"/>
      <c r="F3" s="117"/>
      <c r="G3" s="117"/>
      <c r="H3" s="117"/>
      <c r="I3" s="117"/>
      <c r="J3" s="117"/>
      <c r="K3" s="117"/>
      <c r="L3" s="117"/>
      <c r="M3" s="117"/>
      <c r="N3" s="212" t="s">
        <v>143</v>
      </c>
      <c r="O3" s="212"/>
    </row>
    <row r="4" spans="2:15" ht="15" thickBot="1" x14ac:dyDescent="0.4">
      <c r="B4" s="117"/>
      <c r="D4" s="117"/>
      <c r="E4" s="117"/>
      <c r="F4" s="117"/>
      <c r="G4" s="117"/>
      <c r="H4" s="117"/>
      <c r="I4" s="117"/>
      <c r="J4" s="117"/>
      <c r="K4" s="117"/>
      <c r="L4" s="117"/>
      <c r="M4" s="117"/>
      <c r="N4" s="195"/>
      <c r="O4" s="195"/>
    </row>
    <row r="5" spans="2:15" x14ac:dyDescent="0.35">
      <c r="B5" s="304">
        <v>1</v>
      </c>
      <c r="C5" s="305"/>
      <c r="D5" s="308" t="s">
        <v>282</v>
      </c>
      <c r="E5" s="309"/>
      <c r="F5" s="310"/>
      <c r="G5" s="122"/>
      <c r="H5" s="122"/>
      <c r="I5" s="122"/>
      <c r="J5" s="122"/>
      <c r="K5" s="122"/>
      <c r="L5" s="122"/>
      <c r="M5" s="122"/>
      <c r="N5" s="122"/>
      <c r="O5" s="122"/>
    </row>
    <row r="6" spans="2:15" ht="16" thickBot="1" x14ac:dyDescent="0.4">
      <c r="B6" s="306"/>
      <c r="C6" s="307"/>
      <c r="D6" s="142" t="s">
        <v>91</v>
      </c>
      <c r="E6" s="311" t="s">
        <v>92</v>
      </c>
      <c r="F6" s="312"/>
      <c r="G6" s="313" t="s">
        <v>72</v>
      </c>
      <c r="H6" s="219"/>
      <c r="I6" s="219"/>
      <c r="J6" s="219"/>
      <c r="K6" s="219"/>
      <c r="L6" s="219"/>
      <c r="M6" s="219"/>
      <c r="N6" s="219"/>
      <c r="O6" s="219"/>
    </row>
    <row r="7" spans="2:15" x14ac:dyDescent="0.35">
      <c r="B7" s="250">
        <v>2</v>
      </c>
      <c r="C7" s="251"/>
      <c r="D7" s="284" t="s">
        <v>93</v>
      </c>
      <c r="E7" s="285"/>
      <c r="F7" s="286"/>
      <c r="G7" s="287" t="s">
        <v>94</v>
      </c>
      <c r="H7" s="258"/>
      <c r="I7" s="260"/>
      <c r="J7" s="258" t="s">
        <v>95</v>
      </c>
      <c r="K7" s="258"/>
      <c r="L7" s="258"/>
      <c r="M7" s="287" t="s">
        <v>96</v>
      </c>
      <c r="N7" s="258"/>
      <c r="O7" s="260"/>
    </row>
    <row r="8" spans="2:15" x14ac:dyDescent="0.35">
      <c r="B8" s="250"/>
      <c r="C8" s="251"/>
      <c r="D8" s="200" t="s">
        <v>97</v>
      </c>
      <c r="E8" s="220" t="s">
        <v>202</v>
      </c>
      <c r="F8" s="302"/>
      <c r="G8" s="288" t="s">
        <v>99</v>
      </c>
      <c r="H8" s="223"/>
      <c r="I8" s="224"/>
      <c r="J8" s="223" t="s">
        <v>99</v>
      </c>
      <c r="K8" s="223"/>
      <c r="L8" s="223"/>
      <c r="M8" s="288" t="s">
        <v>99</v>
      </c>
      <c r="N8" s="223"/>
      <c r="O8" s="224"/>
    </row>
    <row r="9" spans="2:15" x14ac:dyDescent="0.35">
      <c r="B9" s="250"/>
      <c r="C9" s="251"/>
      <c r="D9" s="200" t="s">
        <v>100</v>
      </c>
      <c r="E9" s="200" t="s">
        <v>101</v>
      </c>
      <c r="F9" s="204" t="s">
        <v>102</v>
      </c>
      <c r="G9" s="288" t="s">
        <v>103</v>
      </c>
      <c r="H9" s="223"/>
      <c r="I9" s="224"/>
      <c r="J9" s="223" t="s">
        <v>103</v>
      </c>
      <c r="K9" s="223"/>
      <c r="L9" s="223"/>
      <c r="M9" s="288" t="s">
        <v>103</v>
      </c>
      <c r="N9" s="223"/>
      <c r="O9" s="224"/>
    </row>
    <row r="10" spans="2:15" x14ac:dyDescent="0.35">
      <c r="B10" s="250"/>
      <c r="C10" s="251"/>
      <c r="D10" s="299" t="s">
        <v>104</v>
      </c>
      <c r="E10" s="300"/>
      <c r="F10" s="301"/>
      <c r="G10" s="289">
        <v>200</v>
      </c>
      <c r="H10" s="229"/>
      <c r="I10" s="230"/>
      <c r="J10" s="229" t="s">
        <v>105</v>
      </c>
      <c r="K10" s="229"/>
      <c r="L10" s="229"/>
      <c r="M10" s="289" t="s">
        <v>105</v>
      </c>
      <c r="N10" s="229"/>
      <c r="O10" s="230"/>
    </row>
    <row r="11" spans="2:15" x14ac:dyDescent="0.35">
      <c r="B11" s="250"/>
      <c r="C11" s="251"/>
      <c r="D11" s="186" t="s">
        <v>154</v>
      </c>
      <c r="E11" s="221" t="s">
        <v>155</v>
      </c>
      <c r="F11" s="224"/>
      <c r="G11" s="289" t="s">
        <v>155</v>
      </c>
      <c r="H11" s="229"/>
      <c r="I11" s="230"/>
      <c r="J11" s="229" t="s">
        <v>155</v>
      </c>
      <c r="K11" s="229"/>
      <c r="L11" s="229"/>
      <c r="M11" s="289" t="s">
        <v>155</v>
      </c>
      <c r="N11" s="229"/>
      <c r="O11" s="230"/>
    </row>
    <row r="12" spans="2:15" x14ac:dyDescent="0.35">
      <c r="B12" s="250"/>
      <c r="C12" s="251"/>
      <c r="D12" s="119"/>
      <c r="E12" s="120"/>
      <c r="F12" s="124" t="s">
        <v>158</v>
      </c>
      <c r="G12" s="135"/>
      <c r="H12" s="141"/>
      <c r="I12" s="202"/>
      <c r="J12" s="123"/>
      <c r="K12" s="201"/>
      <c r="L12" s="201"/>
      <c r="M12" s="135"/>
      <c r="N12" s="201"/>
      <c r="O12" s="202"/>
    </row>
    <row r="13" spans="2:15" x14ac:dyDescent="0.35">
      <c r="B13" s="250"/>
      <c r="C13" s="251"/>
      <c r="D13" s="241" t="s">
        <v>3</v>
      </c>
      <c r="E13" s="242"/>
      <c r="F13" s="292" t="s">
        <v>106</v>
      </c>
      <c r="G13" s="294" t="s">
        <v>106</v>
      </c>
      <c r="H13" s="236" t="s">
        <v>107</v>
      </c>
      <c r="I13" s="237"/>
      <c r="J13" s="296" t="s">
        <v>106</v>
      </c>
      <c r="K13" s="236" t="s">
        <v>107</v>
      </c>
      <c r="L13" s="298"/>
      <c r="M13" s="294" t="s">
        <v>106</v>
      </c>
      <c r="N13" s="236" t="s">
        <v>107</v>
      </c>
      <c r="O13" s="237"/>
    </row>
    <row r="14" spans="2:15" x14ac:dyDescent="0.35">
      <c r="B14" s="250"/>
      <c r="C14" s="251"/>
      <c r="D14" s="290"/>
      <c r="E14" s="291"/>
      <c r="F14" s="293"/>
      <c r="G14" s="295"/>
      <c r="H14" s="16" t="s">
        <v>108</v>
      </c>
      <c r="I14" s="50" t="s">
        <v>109</v>
      </c>
      <c r="J14" s="297"/>
      <c r="K14" s="125" t="s">
        <v>108</v>
      </c>
      <c r="L14" s="136" t="s">
        <v>109</v>
      </c>
      <c r="M14" s="295"/>
      <c r="N14" s="16" t="s">
        <v>108</v>
      </c>
      <c r="O14" s="50" t="s">
        <v>109</v>
      </c>
    </row>
    <row r="15" spans="2:15" x14ac:dyDescent="0.35">
      <c r="B15" s="238" t="s">
        <v>110</v>
      </c>
      <c r="C15" s="239"/>
      <c r="D15" s="239"/>
      <c r="E15" s="239"/>
      <c r="F15" s="239"/>
      <c r="G15" s="239"/>
      <c r="H15" s="239"/>
      <c r="I15" s="239"/>
      <c r="J15" s="239"/>
      <c r="K15" s="239"/>
      <c r="L15" s="239"/>
      <c r="M15" s="239"/>
      <c r="N15" s="239"/>
      <c r="O15" s="240"/>
    </row>
    <row r="16" spans="2:15" x14ac:dyDescent="0.35">
      <c r="B16" s="231">
        <v>3</v>
      </c>
      <c r="C16" s="232"/>
      <c r="D16" s="233" t="s">
        <v>111</v>
      </c>
      <c r="E16" s="232"/>
      <c r="F16" s="133">
        <v>2000</v>
      </c>
      <c r="G16" s="131">
        <v>2010</v>
      </c>
      <c r="H16" s="11">
        <f>IF(G16="","",-IF(G16&gt;$F16,((G16-$F16)*'Rent Adjustment Worksheet'!$C$3),0))</f>
        <v>0</v>
      </c>
      <c r="I16" s="127">
        <f>IF(G16="","",IFERROR(-IF(G16&gt;$F16,0,((G16-$F16)*'Rent Adjustment Worksheet'!$C$3)),0))</f>
        <v>0</v>
      </c>
      <c r="J16" s="131">
        <v>2009</v>
      </c>
      <c r="K16" s="11">
        <f>IF(J16="","",-IF(J16&gt;$F16,((J16-$F16)*'Rent Adjustment Worksheet'!$C$3),0))</f>
        <v>0</v>
      </c>
      <c r="L16" s="90">
        <f>IF(J16="","",IFERROR(-IF(J16&gt;$F16,0,((J16-$F16)*'Rent Adjustment Worksheet'!$C$3)),0))</f>
        <v>0</v>
      </c>
      <c r="M16" s="129">
        <v>2013</v>
      </c>
      <c r="N16" s="11">
        <f>IF(M16="","",-IF(M16&gt;$F16,((M16-$F16)*'Rent Adjustment Worksheet'!$C$3),0))</f>
        <v>0</v>
      </c>
      <c r="O16" s="90">
        <f>IF(M16="","",IFERROR(-IF(M16&gt;$F16,0,((M16-$F16)*'Rent Adjustment Worksheet'!$C$3)),0))</f>
        <v>0</v>
      </c>
    </row>
    <row r="17" spans="2:15" x14ac:dyDescent="0.35">
      <c r="B17" s="231">
        <v>4</v>
      </c>
      <c r="C17" s="232"/>
      <c r="D17" s="233" t="s">
        <v>113</v>
      </c>
      <c r="E17" s="232"/>
      <c r="F17" s="134">
        <v>0</v>
      </c>
      <c r="G17" s="132">
        <v>0</v>
      </c>
      <c r="H17" s="54">
        <f>IF(G17="","",IFERROR(-IF($G$17&gt;$F$17,($G$17-$F$17)*VLOOKUP($D17,'Rent Adjustment Worksheet'!$A:$C,3,0)/10),0))</f>
        <v>0</v>
      </c>
      <c r="I17" s="128">
        <f>IF(G17="","",IFERROR(-IF($G$17&gt;$F$17,0,($G$17-$F$17)*VLOOKUP($D17,'Rent Adjustment Worksheet'!$A:$C,3,0)/10),0))</f>
        <v>0</v>
      </c>
      <c r="J17" s="132">
        <v>0</v>
      </c>
      <c r="K17" s="54">
        <f>IF(J17="","",IFERROR(-IF($J$17&gt;$F$17,($J$17-$F$17)*VLOOKUP($D17,'Rent Adjustment Worksheet'!$A:$C,3,0)/10),0))</f>
        <v>0</v>
      </c>
      <c r="L17" s="56">
        <f>IF(J17="","",IFERROR(-IF($J$17&gt;$F$17,0,($J$17-$F$17)*VLOOKUP($D17,'Rent Adjustment Worksheet'!$A:$C,3,0)/10),0))</f>
        <v>0</v>
      </c>
      <c r="M17" s="130">
        <v>0</v>
      </c>
      <c r="N17" s="54">
        <f>IF(M17="","",IFERROR(-IF($M$17&gt;$F$17,($M$17-$F$17)*VLOOKUP($D17,'Rent Adjustment Worksheet'!$A:$C,3,0)/10),0))</f>
        <v>0</v>
      </c>
      <c r="O17" s="56">
        <f>IF(M17="","",IFERROR(-IF($M$17&gt;$F$17,0,($M$17-$F$17)*VLOOKUP($D17,'Rent Adjustment Worksheet'!$A:$C,3,0)/10),0))</f>
        <v>0</v>
      </c>
    </row>
    <row r="18" spans="2:15" x14ac:dyDescent="0.35">
      <c r="B18" s="231">
        <v>5</v>
      </c>
      <c r="C18" s="232"/>
      <c r="D18" s="233" t="s">
        <v>114</v>
      </c>
      <c r="E18" s="232"/>
      <c r="F18" s="133">
        <v>0</v>
      </c>
      <c r="G18" s="131">
        <v>0</v>
      </c>
      <c r="H18" s="54">
        <f>-IF($G$18&gt;$F$18, VLOOKUP(($G$18-$F$18),'Rent Adjustment Worksheet'!$J:$K,2,FALSE), 0)</f>
        <v>0</v>
      </c>
      <c r="I18" s="128">
        <f>IF($G$18&lt;$F$18, VLOOKUP(($F$18-$G$18),'Rent Adjustment Worksheet'!$J:$K,2,FALSE), 0)</f>
        <v>0</v>
      </c>
      <c r="J18" s="131">
        <v>0</v>
      </c>
      <c r="K18" s="54">
        <f>-IF($J$18&gt;$F$18, VLOOKUP(($J$18-$F$18),'Rent Adjustment Worksheet'!$J:$K,2,FALSE), 0)</f>
        <v>0</v>
      </c>
      <c r="L18" s="56">
        <f>IF($J$18&lt;$F$18, VLOOKUP(($F$18-$J$18),'Rent Adjustment Worksheet'!$J:$K,2,FALSE), 0)</f>
        <v>0</v>
      </c>
      <c r="M18" s="129">
        <v>0</v>
      </c>
      <c r="N18" s="54">
        <f>-IF($M$18&gt;$F$18, VLOOKUP(($M$18-$F$18),'Rent Adjustment Worksheet'!$J:$K,2,FALSE), 0)</f>
        <v>0</v>
      </c>
      <c r="O18" s="56">
        <f>IF($M$18&lt;$F$18, VLOOKUP(($F$18-$M$18),'Rent Adjustment Worksheet'!$J:$K,2,FALSE), 0)</f>
        <v>0</v>
      </c>
    </row>
    <row r="19" spans="2:15" x14ac:dyDescent="0.35">
      <c r="B19" s="231">
        <v>6</v>
      </c>
      <c r="C19" s="232"/>
      <c r="D19" s="233" t="s">
        <v>15</v>
      </c>
      <c r="E19" s="232"/>
      <c r="F19" s="134" t="s">
        <v>115</v>
      </c>
      <c r="G19" s="132" t="s">
        <v>115</v>
      </c>
      <c r="H19" s="54">
        <f>IF(AND($F19="N",G19="Y"),-VLOOKUP($D19,'Rent Adjustment Worksheet'!$B:$C,2,FALSE),0)</f>
        <v>0</v>
      </c>
      <c r="I19" s="128">
        <f>IF(AND($F19="Y",G19="N"),VLOOKUP($D19,'Rent Adjustment Worksheet'!$B:$C,2,FALSE),0)</f>
        <v>0</v>
      </c>
      <c r="J19" s="132" t="s">
        <v>115</v>
      </c>
      <c r="K19" s="54">
        <f>IF(AND($F19="N",J19="Y"),-VLOOKUP($D19,'Rent Adjustment Worksheet'!$B:$C,2,FALSE),0)</f>
        <v>0</v>
      </c>
      <c r="L19" s="56">
        <f>IF(AND($F19="Y",J19="N"),VLOOKUP($D19,'Rent Adjustment Worksheet'!$B:$C,2,FALSE),0)</f>
        <v>0</v>
      </c>
      <c r="M19" s="130" t="s">
        <v>115</v>
      </c>
      <c r="N19" s="54">
        <f>IF(AND($F19="N",M19="Y"),-VLOOKUP($D19,'Rent Adjustment Worksheet'!$B:$C,2,FALSE),0)</f>
        <v>0</v>
      </c>
      <c r="O19" s="56">
        <f>IF(AND($F19="Y",M19="N"),VLOOKUP($D19,'Rent Adjustment Worksheet'!$B:$C,2,FALSE),0)</f>
        <v>0</v>
      </c>
    </row>
    <row r="20" spans="2:15" x14ac:dyDescent="0.35">
      <c r="B20" s="231">
        <v>7</v>
      </c>
      <c r="C20" s="232"/>
      <c r="D20" s="233" t="s">
        <v>17</v>
      </c>
      <c r="E20" s="232"/>
      <c r="F20" s="134" t="s">
        <v>115</v>
      </c>
      <c r="G20" s="132" t="s">
        <v>115</v>
      </c>
      <c r="H20" s="54">
        <f>IF(AND($F20="N",G20="Y"),-VLOOKUP($D20,'Rent Adjustment Worksheet'!$B:$C,2,FALSE),0)</f>
        <v>0</v>
      </c>
      <c r="I20" s="128">
        <f>IF(AND($F20="Y",G20="N"),VLOOKUP($D20,'Rent Adjustment Worksheet'!$B:$C,2,FALSE),0)</f>
        <v>0</v>
      </c>
      <c r="J20" s="132" t="s">
        <v>115</v>
      </c>
      <c r="K20" s="54">
        <f>IF(AND($F20="N",J20="Y"),-VLOOKUP($D20,'Rent Adjustment Worksheet'!$B:$C,2,FALSE),0)</f>
        <v>0</v>
      </c>
      <c r="L20" s="56">
        <f>IF(AND($F20="Y",J20="N"),VLOOKUP($D20,'Rent Adjustment Worksheet'!$B:$C,2,FALSE),0)</f>
        <v>0</v>
      </c>
      <c r="M20" s="130" t="s">
        <v>115</v>
      </c>
      <c r="N20" s="54">
        <f>IF(AND($F20="N",M20="Y"),-VLOOKUP($D20,'Rent Adjustment Worksheet'!$B:$C,2,FALSE),0)</f>
        <v>0</v>
      </c>
      <c r="O20" s="56">
        <f>IF(AND($F20="Y",M20="N"),VLOOKUP($D20,'Rent Adjustment Worksheet'!$B:$C,2,FALSE),0)</f>
        <v>0</v>
      </c>
    </row>
    <row r="21" spans="2:15" x14ac:dyDescent="0.35">
      <c r="B21" s="231">
        <v>8</v>
      </c>
      <c r="C21" s="232"/>
      <c r="D21" s="233" t="s">
        <v>159</v>
      </c>
      <c r="E21" s="232"/>
      <c r="F21" s="134" t="s">
        <v>118</v>
      </c>
      <c r="G21" s="132" t="s">
        <v>118</v>
      </c>
      <c r="H21" s="54">
        <f>SUMIFS(Laundry!$F:$F,Laundry!$A:$A,$G$6,Laundry!$B:$B,$G$7)</f>
        <v>0</v>
      </c>
      <c r="I21" s="56">
        <f>SUMIFS(Laundry!$G:$G,Laundry!$A:$A,$G$6,Laundry!$B:$B,$G$7)</f>
        <v>0</v>
      </c>
      <c r="J21" s="134" t="s">
        <v>118</v>
      </c>
      <c r="K21" s="54">
        <f>SUMIFS(Laundry!$F:$F,Laundry!$A:$A,$G$6,Laundry!$B:$B,$J$7)</f>
        <v>0</v>
      </c>
      <c r="L21" s="56">
        <f>SUMIFS(Laundry!$G:$G,Laundry!$A:$A,$G$6,Laundry!$B:$B,$J$7)</f>
        <v>0</v>
      </c>
      <c r="M21" s="134" t="s">
        <v>118</v>
      </c>
      <c r="N21" s="54">
        <f>SUMIFS(Laundry!$F:$F,Laundry!$A:$A,$G$6,Laundry!$B:$B,$M$7)</f>
        <v>0</v>
      </c>
      <c r="O21" s="56">
        <f>SUMIFS(Laundry!$G:$G,Laundry!$A:$A,$G$6,Laundry!$B:$B,$M$7)</f>
        <v>0</v>
      </c>
    </row>
    <row r="22" spans="2:15" x14ac:dyDescent="0.35">
      <c r="B22" s="231">
        <v>9</v>
      </c>
      <c r="C22" s="232"/>
      <c r="D22" s="233" t="s">
        <v>117</v>
      </c>
      <c r="E22" s="232"/>
      <c r="F22" s="134" t="s">
        <v>118</v>
      </c>
      <c r="G22" s="132" t="s">
        <v>118</v>
      </c>
      <c r="H22" s="54">
        <f>SUMIFS(AC!$F:$F,AC!$A:$A,$G$6,AC!$B:$B,$G$7)</f>
        <v>0</v>
      </c>
      <c r="I22" s="56">
        <f>SUMIFS(AC!$G:$G,AC!$A:$A,$G$6,AC!$B:$B,$G$7)</f>
        <v>0</v>
      </c>
      <c r="J22" s="132" t="s">
        <v>118</v>
      </c>
      <c r="K22" s="54">
        <f>SUMIFS(AC!$F:$F,AC!$A:$A,$G$6,AC!$B:$B,$J$7)</f>
        <v>0</v>
      </c>
      <c r="L22" s="56">
        <f>SUMIFS(AC!$G:$G,AC!$A:$A,$G$6,AC!$B:$B,$J$7)</f>
        <v>0</v>
      </c>
      <c r="M22" s="130" t="s">
        <v>118</v>
      </c>
      <c r="N22" s="54">
        <f>SUMIFS(AC!$F:$F,AC!$A:$A,$G$6,AC!$B:$B,$M$7)</f>
        <v>0</v>
      </c>
      <c r="O22" s="56">
        <f>SUMIFS(AC!$G:$G,AC!$A:$A,$G$6,AC!$B:$B,$M$7)</f>
        <v>0</v>
      </c>
    </row>
    <row r="23" spans="2:15" x14ac:dyDescent="0.35">
      <c r="B23" s="231">
        <v>10</v>
      </c>
      <c r="C23" s="232"/>
      <c r="D23" s="233" t="s">
        <v>28</v>
      </c>
      <c r="E23" s="232"/>
      <c r="F23" s="134" t="s">
        <v>115</v>
      </c>
      <c r="G23" s="132" t="s">
        <v>115</v>
      </c>
      <c r="H23" s="54">
        <f>IF(AND($F23="N",G23="Y"),-VLOOKUP($D23,'Rent Adjustment Worksheet'!$B:$C,2,FALSE),0)</f>
        <v>0</v>
      </c>
      <c r="I23" s="128">
        <f>IF(AND($F23="Y",G23="N"),VLOOKUP($D23,'Rent Adjustment Worksheet'!$B:$C,2,FALSE),0)</f>
        <v>0</v>
      </c>
      <c r="J23" s="132" t="s">
        <v>115</v>
      </c>
      <c r="K23" s="54">
        <f>IF(AND($F23="N",J23="Y"),-VLOOKUP($D23,'Rent Adjustment Worksheet'!$B:$C,2,FALSE),0)</f>
        <v>0</v>
      </c>
      <c r="L23" s="56">
        <f>IF(AND($F23="Y",J23="N"),VLOOKUP($D23,'Rent Adjustment Worksheet'!$B:$C,2,FALSE),0)</f>
        <v>0</v>
      </c>
      <c r="M23" s="130" t="s">
        <v>115</v>
      </c>
      <c r="N23" s="54">
        <f>IF(AND($F23="N",M23="Y"),-VLOOKUP($D23,'Rent Adjustment Worksheet'!$B:$C,2,FALSE),0)</f>
        <v>0</v>
      </c>
      <c r="O23" s="56">
        <f>IF(AND($F23="Y",M23="N"),VLOOKUP($D23,'Rent Adjustment Worksheet'!$B:$C,2,FALSE),0)</f>
        <v>0</v>
      </c>
    </row>
    <row r="24" spans="2:15" x14ac:dyDescent="0.35">
      <c r="B24" s="231">
        <v>11</v>
      </c>
      <c r="C24" s="232"/>
      <c r="D24" s="233" t="s">
        <v>119</v>
      </c>
      <c r="E24" s="232"/>
      <c r="F24" s="134" t="s">
        <v>115</v>
      </c>
      <c r="G24" s="132" t="s">
        <v>115</v>
      </c>
      <c r="H24" s="54">
        <f>IF(AND($F24="N",G24="Y"),-VLOOKUP($D24,'Rent Adjustment Worksheet'!$B:$C,2,FALSE),0)</f>
        <v>0</v>
      </c>
      <c r="I24" s="128">
        <f>IF(AND($F24="Y",G24="N"),VLOOKUP($D24,'Rent Adjustment Worksheet'!$B:$C,2,FALSE),0)</f>
        <v>0</v>
      </c>
      <c r="J24" s="132" t="s">
        <v>115</v>
      </c>
      <c r="K24" s="54">
        <f>IF(AND($F24="N",J24="Y"),-VLOOKUP($D24,'Rent Adjustment Worksheet'!$B:$C,2,FALSE),0)</f>
        <v>0</v>
      </c>
      <c r="L24" s="56">
        <f>IF(AND($F24="Y",J24="N"),VLOOKUP($D24,'Rent Adjustment Worksheet'!$B:$C,2,FALSE),0)</f>
        <v>0</v>
      </c>
      <c r="M24" s="130" t="s">
        <v>115</v>
      </c>
      <c r="N24" s="54">
        <f>IF(AND($F24="N",M24="Y"),-VLOOKUP($D24,'Rent Adjustment Worksheet'!$B:$C,2,FALSE),0)</f>
        <v>0</v>
      </c>
      <c r="O24" s="56">
        <f>IF(AND($F24="Y",M24="N"),VLOOKUP($D24,'Rent Adjustment Worksheet'!$B:$C,2,FALSE),0)</f>
        <v>0</v>
      </c>
    </row>
    <row r="25" spans="2:15" x14ac:dyDescent="0.35">
      <c r="B25" s="231">
        <v>12</v>
      </c>
      <c r="C25" s="232"/>
      <c r="D25" s="233" t="s">
        <v>32</v>
      </c>
      <c r="E25" s="232"/>
      <c r="F25" s="134" t="s">
        <v>115</v>
      </c>
      <c r="G25" s="132" t="s">
        <v>115</v>
      </c>
      <c r="H25" s="54">
        <f>IF(AND($F25="N",G25="Y"),-VLOOKUP($D25,'Rent Adjustment Worksheet'!$B:$C,2,FALSE),0)</f>
        <v>0</v>
      </c>
      <c r="I25" s="128">
        <f>IF(AND($F25="Y",G25="N"),VLOOKUP($D25,'Rent Adjustment Worksheet'!$B:$C,2,FALSE),0)</f>
        <v>0</v>
      </c>
      <c r="J25" s="132" t="s">
        <v>115</v>
      </c>
      <c r="K25" s="54">
        <f>IF(AND($F25="N",J25="Y"),-VLOOKUP($D25,'Rent Adjustment Worksheet'!$B:$C,2,FALSE),0)</f>
        <v>0</v>
      </c>
      <c r="L25" s="56">
        <f>IF(AND($F25="Y",J25="N"),VLOOKUP($D25,'Rent Adjustment Worksheet'!$B:$C,2,FALSE),0)</f>
        <v>0</v>
      </c>
      <c r="M25" s="130" t="s">
        <v>115</v>
      </c>
      <c r="N25" s="54">
        <f>IF(AND($F25="N",M25="Y"),-VLOOKUP($D25,'Rent Adjustment Worksheet'!$B:$C,2,FALSE),0)</f>
        <v>0</v>
      </c>
      <c r="O25" s="56">
        <f>IF(AND($F25="Y",M25="N"),VLOOKUP($D25,'Rent Adjustment Worksheet'!$B:$C,2,FALSE),0)</f>
        <v>0</v>
      </c>
    </row>
    <row r="26" spans="2:15" x14ac:dyDescent="0.35">
      <c r="B26" s="231">
        <v>13</v>
      </c>
      <c r="C26" s="232"/>
      <c r="D26" s="233" t="s">
        <v>34</v>
      </c>
      <c r="E26" s="232"/>
      <c r="F26" s="134" t="s">
        <v>115</v>
      </c>
      <c r="G26" s="132" t="s">
        <v>115</v>
      </c>
      <c r="H26" s="54">
        <f>IF(AND($F26="N",G26="Y"),-VLOOKUP($D26,'Rent Adjustment Worksheet'!$B:$C,2,FALSE),0)</f>
        <v>0</v>
      </c>
      <c r="I26" s="128">
        <f>IF(AND($F26="Y",G26="N"),VLOOKUP($D26,'Rent Adjustment Worksheet'!$B:$C,2,FALSE),0)</f>
        <v>0</v>
      </c>
      <c r="J26" s="132" t="s">
        <v>115</v>
      </c>
      <c r="K26" s="54">
        <f>IF(AND($F26="N",J26="Y"),-VLOOKUP($D26,'Rent Adjustment Worksheet'!$B:$C,2,FALSE),0)</f>
        <v>0</v>
      </c>
      <c r="L26" s="56">
        <f>IF(AND($F26="Y",J26="N"),VLOOKUP($D26,'Rent Adjustment Worksheet'!$B:$C,2,FALSE),0)</f>
        <v>0</v>
      </c>
      <c r="M26" s="130" t="s">
        <v>115</v>
      </c>
      <c r="N26" s="54">
        <f>IF(AND($F26="N",M26="Y"),-VLOOKUP($D26,'Rent Adjustment Worksheet'!$B:$C,2,FALSE),0)</f>
        <v>0</v>
      </c>
      <c r="O26" s="56">
        <f>IF(AND($F26="Y",M26="N"),VLOOKUP($D26,'Rent Adjustment Worksheet'!$B:$C,2,FALSE),0)</f>
        <v>0</v>
      </c>
    </row>
    <row r="27" spans="2:15" x14ac:dyDescent="0.35">
      <c r="B27" s="231">
        <v>14</v>
      </c>
      <c r="C27" s="232"/>
      <c r="D27" s="233" t="s">
        <v>36</v>
      </c>
      <c r="E27" s="232"/>
      <c r="F27" s="134" t="s">
        <v>115</v>
      </c>
      <c r="G27" s="132" t="s">
        <v>115</v>
      </c>
      <c r="H27" s="54">
        <f>IF(AND($F27="N",G27="Y"),-VLOOKUP($D27,'Rent Adjustment Worksheet'!$B:$C,2,FALSE),0)</f>
        <v>0</v>
      </c>
      <c r="I27" s="128">
        <f>IF(AND($F27="Y",G27="N"),VLOOKUP($D27,'Rent Adjustment Worksheet'!$B:$C,2,FALSE),0)</f>
        <v>0</v>
      </c>
      <c r="J27" s="132" t="s">
        <v>115</v>
      </c>
      <c r="K27" s="54">
        <f>IF(AND($F27="N",J27="Y"),-VLOOKUP($D27,'Rent Adjustment Worksheet'!$B:$C,2,FALSE),0)</f>
        <v>0</v>
      </c>
      <c r="L27" s="56">
        <f>IF(AND($F27="Y",J27="N"),VLOOKUP($D27,'Rent Adjustment Worksheet'!$B:$C,2,FALSE),0)</f>
        <v>0</v>
      </c>
      <c r="M27" s="130" t="s">
        <v>115</v>
      </c>
      <c r="N27" s="54">
        <f>IF(AND($F27="N",M27="Y"),-VLOOKUP($D27,'Rent Adjustment Worksheet'!$B:$C,2,FALSE),0)</f>
        <v>0</v>
      </c>
      <c r="O27" s="56">
        <f>IF(AND($F27="Y",M27="N"),VLOOKUP($D27,'Rent Adjustment Worksheet'!$B:$C,2,FALSE),0)</f>
        <v>0</v>
      </c>
    </row>
    <row r="28" spans="2:15" x14ac:dyDescent="0.35">
      <c r="B28" s="231">
        <v>15</v>
      </c>
      <c r="C28" s="232"/>
      <c r="D28" s="233" t="s">
        <v>38</v>
      </c>
      <c r="E28" s="232"/>
      <c r="F28" s="134" t="s">
        <v>115</v>
      </c>
      <c r="G28" s="132" t="s">
        <v>115</v>
      </c>
      <c r="H28" s="54">
        <f>IF(AND($F28="N",G28="Y"),-VLOOKUP($D28,'Rent Adjustment Worksheet'!$B:$C,2,FALSE),0)</f>
        <v>0</v>
      </c>
      <c r="I28" s="128">
        <f>IF(AND($F28="Y",G28="N"),VLOOKUP($D28,'Rent Adjustment Worksheet'!$B:$C,2,FALSE),0)</f>
        <v>0</v>
      </c>
      <c r="J28" s="132" t="s">
        <v>115</v>
      </c>
      <c r="K28" s="54">
        <f>IF(AND($F28="N",J28="Y"),-VLOOKUP($D28,'Rent Adjustment Worksheet'!$B:$C,2,FALSE),0)</f>
        <v>0</v>
      </c>
      <c r="L28" s="56">
        <f>IF(AND($F28="Y",J28="N"),VLOOKUP($D28,'Rent Adjustment Worksheet'!$B:$C,2,FALSE),0)</f>
        <v>0</v>
      </c>
      <c r="M28" s="130" t="s">
        <v>115</v>
      </c>
      <c r="N28" s="54">
        <f>IF(AND($F28="N",M28="Y"),-VLOOKUP($D28,'Rent Adjustment Worksheet'!$B:$C,2,FALSE),0)</f>
        <v>0</v>
      </c>
      <c r="O28" s="56">
        <f>IF(AND($F28="Y",M28="N"),VLOOKUP($D28,'Rent Adjustment Worksheet'!$B:$C,2,FALSE),0)</f>
        <v>0</v>
      </c>
    </row>
    <row r="29" spans="2:15" x14ac:dyDescent="0.35">
      <c r="B29" s="231">
        <v>16</v>
      </c>
      <c r="C29" s="232"/>
      <c r="D29" s="233" t="s">
        <v>39</v>
      </c>
      <c r="E29" s="232"/>
      <c r="F29" s="134" t="s">
        <v>115</v>
      </c>
      <c r="G29" s="132" t="s">
        <v>115</v>
      </c>
      <c r="H29" s="54">
        <f>IF(AND($F29="N",G29="Y"),-VLOOKUP($D29,'Rent Adjustment Worksheet'!$B:$C,2,FALSE),0)</f>
        <v>0</v>
      </c>
      <c r="I29" s="128">
        <f>IF(AND($F29="Y",G29="N"),VLOOKUP($D29,'Rent Adjustment Worksheet'!$B:$C,2,FALSE),0)</f>
        <v>0</v>
      </c>
      <c r="J29" s="132" t="s">
        <v>115</v>
      </c>
      <c r="K29" s="54">
        <f>IF(AND($F29="N",J29="Y"),-VLOOKUP($D29,'Rent Adjustment Worksheet'!$B:$C,2,FALSE),0)</f>
        <v>0</v>
      </c>
      <c r="L29" s="56">
        <f>IF(AND($F29="Y",J29="N"),VLOOKUP($D29,'Rent Adjustment Worksheet'!$B:$C,2,FALSE),0)</f>
        <v>0</v>
      </c>
      <c r="M29" s="130" t="s">
        <v>115</v>
      </c>
      <c r="N29" s="54">
        <f>IF(AND($F29="N",M29="Y"),-VLOOKUP($D29,'Rent Adjustment Worksheet'!$B:$C,2,FALSE),0)</f>
        <v>0</v>
      </c>
      <c r="O29" s="56">
        <f>IF(AND($F29="Y",M29="N"),VLOOKUP($D29,'Rent Adjustment Worksheet'!$B:$C,2,FALSE),0)</f>
        <v>0</v>
      </c>
    </row>
    <row r="30" spans="2:15" x14ac:dyDescent="0.35">
      <c r="B30" s="231">
        <v>17</v>
      </c>
      <c r="C30" s="232"/>
      <c r="D30" s="233" t="s">
        <v>41</v>
      </c>
      <c r="E30" s="232"/>
      <c r="F30" s="134" t="s">
        <v>115</v>
      </c>
      <c r="G30" s="132" t="s">
        <v>115</v>
      </c>
      <c r="H30" s="54">
        <f>IF(AND($F30="N",G30="Y"),-VLOOKUP($D30,'Rent Adjustment Worksheet'!$B:$C,2,FALSE),0)</f>
        <v>0</v>
      </c>
      <c r="I30" s="128">
        <f>IF(AND($F30="Y",G30="N"),VLOOKUP($D30,'Rent Adjustment Worksheet'!$B:$C,2,FALSE),0)</f>
        <v>0</v>
      </c>
      <c r="J30" s="132" t="s">
        <v>115</v>
      </c>
      <c r="K30" s="54">
        <f>IF(AND($F30="N",J30="Y"),-VLOOKUP($D30,'Rent Adjustment Worksheet'!$B:$C,2,FALSE),0)</f>
        <v>0</v>
      </c>
      <c r="L30" s="56">
        <f>IF(AND($F30="Y",J30="N"),VLOOKUP($D30,'Rent Adjustment Worksheet'!$B:$C,2,FALSE),0)</f>
        <v>0</v>
      </c>
      <c r="M30" s="130" t="s">
        <v>115</v>
      </c>
      <c r="N30" s="54">
        <f>IF(AND($F30="N",M30="Y"),-VLOOKUP($D30,'Rent Adjustment Worksheet'!$B:$C,2,FALSE),0)</f>
        <v>0</v>
      </c>
      <c r="O30" s="56">
        <f>IF(AND($F30="Y",M30="N"),VLOOKUP($D30,'Rent Adjustment Worksheet'!$B:$C,2,FALSE),0)</f>
        <v>0</v>
      </c>
    </row>
    <row r="31" spans="2:15" x14ac:dyDescent="0.35">
      <c r="B31" s="231">
        <v>18</v>
      </c>
      <c r="C31" s="232"/>
      <c r="D31" s="233" t="s">
        <v>43</v>
      </c>
      <c r="E31" s="232"/>
      <c r="F31" s="134" t="s">
        <v>115</v>
      </c>
      <c r="G31" s="132" t="s">
        <v>115</v>
      </c>
      <c r="H31" s="54">
        <f>IF(AND($F31="N",G31="Y"),-VLOOKUP($D31,'Rent Adjustment Worksheet'!$B:$C,2,FALSE),0)</f>
        <v>0</v>
      </c>
      <c r="I31" s="128">
        <f>IF(AND($F31="Y",G31="N"),VLOOKUP($D31,'Rent Adjustment Worksheet'!$B:$C,2,FALSE),0)</f>
        <v>0</v>
      </c>
      <c r="J31" s="132" t="s">
        <v>115</v>
      </c>
      <c r="K31" s="54">
        <f>IF(AND($F31="N",J31="Y"),-VLOOKUP($D31,'Rent Adjustment Worksheet'!$B:$C,2,FALSE),0)</f>
        <v>0</v>
      </c>
      <c r="L31" s="56">
        <f>IF(AND($F31="Y",J31="N"),VLOOKUP($D31,'Rent Adjustment Worksheet'!$B:$C,2,FALSE),0)</f>
        <v>0</v>
      </c>
      <c r="M31" s="130" t="s">
        <v>115</v>
      </c>
      <c r="N31" s="54">
        <f>IF(AND($F31="N",M31="Y"),-VLOOKUP($D31,'Rent Adjustment Worksheet'!$B:$C,2,FALSE),0)</f>
        <v>0</v>
      </c>
      <c r="O31" s="56">
        <f>IF(AND($F31="Y",M31="N"),VLOOKUP($D31,'Rent Adjustment Worksheet'!$B:$C,2,FALSE),0)</f>
        <v>0</v>
      </c>
    </row>
    <row r="32" spans="2:15" x14ac:dyDescent="0.35">
      <c r="B32" s="238" t="s">
        <v>120</v>
      </c>
      <c r="C32" s="239"/>
      <c r="D32" s="239"/>
      <c r="E32" s="239"/>
      <c r="F32" s="239"/>
      <c r="G32" s="239"/>
      <c r="H32" s="239"/>
      <c r="I32" s="239"/>
      <c r="J32" s="239"/>
      <c r="K32" s="239"/>
      <c r="L32" s="239"/>
      <c r="M32" s="239"/>
      <c r="N32" s="239"/>
      <c r="O32" s="240"/>
    </row>
    <row r="33" spans="2:15" x14ac:dyDescent="0.35">
      <c r="B33" s="231">
        <v>19</v>
      </c>
      <c r="C33" s="232"/>
      <c r="D33" s="233" t="s">
        <v>122</v>
      </c>
      <c r="E33" s="232"/>
      <c r="F33" s="134" t="s">
        <v>115</v>
      </c>
      <c r="G33" s="132" t="s">
        <v>115</v>
      </c>
      <c r="H33" s="54">
        <f>IF(AND($F33="N",G33="Y"),-VLOOKUP($D33,'Rent Adjustment Worksheet'!$B:$C,2,FALSE),0)</f>
        <v>0</v>
      </c>
      <c r="I33" s="56">
        <f>IF(AND($F33="Y",G33="N"),VLOOKUP($D33,'Rent Adjustment Worksheet'!$B:$C,2,FALSE),0)</f>
        <v>0</v>
      </c>
      <c r="J33" s="130" t="s">
        <v>115</v>
      </c>
      <c r="K33" s="54">
        <f>IF(AND($F33="N",J33="Y"),-VLOOKUP($D33,'Rent Adjustment Worksheet'!$B:$C,2,FALSE),0)</f>
        <v>0</v>
      </c>
      <c r="L33" s="128">
        <f>IF(AND($F33="Y",J33="N"),VLOOKUP($D33,'Rent Adjustment Worksheet'!$B:$C,2,FALSE),0)</f>
        <v>0</v>
      </c>
      <c r="M33" s="132" t="s">
        <v>115</v>
      </c>
      <c r="N33" s="54">
        <f>IF(AND($F33="N",M33="Y"),-VLOOKUP($D33,'Rent Adjustment Worksheet'!$B:$C,2,FALSE),0)</f>
        <v>0</v>
      </c>
      <c r="O33" s="56">
        <f>IF(AND($F33="Y",M33="N"),VLOOKUP($D33,'Rent Adjustment Worksheet'!$B:$C,2,FALSE),0)</f>
        <v>0</v>
      </c>
    </row>
    <row r="34" spans="2:15" x14ac:dyDescent="0.35">
      <c r="B34" s="231">
        <v>20</v>
      </c>
      <c r="C34" s="232"/>
      <c r="D34" s="233" t="s">
        <v>68</v>
      </c>
      <c r="E34" s="232"/>
      <c r="F34" s="134" t="s">
        <v>115</v>
      </c>
      <c r="G34" s="132" t="s">
        <v>115</v>
      </c>
      <c r="H34" s="54">
        <f>IF(AND($F34="N",G34="Y"),-VLOOKUP($G$6,'Utilities Worksheet'!$B$3:$G$10,3,FALSE),0)</f>
        <v>0</v>
      </c>
      <c r="I34" s="56">
        <f>IF(AND($F34="Y",G34="N"),VLOOKUP($G$6,'Utilities Worksheet'!$B$3:$G$10,3,FALSE),0)</f>
        <v>0</v>
      </c>
      <c r="J34" s="130" t="s">
        <v>115</v>
      </c>
      <c r="K34" s="54">
        <f>IF(AND($F34="N",J34="Y"),-VLOOKUP($G$6,'Utilities Worksheet'!$B$3:$G$10,3,FALSE),0)</f>
        <v>0</v>
      </c>
      <c r="L34" s="56">
        <f>IF(AND($F34="Y",J34="N"),VLOOKUP($G$6,'Utilities Worksheet'!$B$3:$G$10,3,FALSE),0)</f>
        <v>0</v>
      </c>
      <c r="M34" s="132" t="s">
        <v>115</v>
      </c>
      <c r="N34" s="54">
        <f>IF(AND($F34="N",M34="Y"),-VLOOKUP($G$6,'Utilities Worksheet'!$B$3:$G$10,3,FALSE),0)</f>
        <v>0</v>
      </c>
      <c r="O34" s="56">
        <f>IF(AND($F34="Y",M34="N"),VLOOKUP($G$6,'Utilities Worksheet'!$B$3:$G$10,3,FALSE),0)</f>
        <v>0</v>
      </c>
    </row>
    <row r="35" spans="2:15" x14ac:dyDescent="0.35">
      <c r="B35" s="231">
        <v>21</v>
      </c>
      <c r="C35" s="232"/>
      <c r="D35" s="233" t="s">
        <v>69</v>
      </c>
      <c r="E35" s="232"/>
      <c r="F35" s="134" t="s">
        <v>115</v>
      </c>
      <c r="G35" s="132" t="s">
        <v>115</v>
      </c>
      <c r="H35" s="54">
        <f>IF(AND($F35="N",G35="Y"),-VLOOKUP($G$6,'Utilities Worksheet'!$B$3:$G$10,4,FALSE),0)</f>
        <v>0</v>
      </c>
      <c r="I35" s="56">
        <f>IF(AND($F35="Y",G35="N"),VLOOKUP($G$6,'Utilities Worksheet'!$B$3:$G$10,4,FALSE),0)</f>
        <v>0</v>
      </c>
      <c r="J35" s="130" t="s">
        <v>115</v>
      </c>
      <c r="K35" s="54">
        <f>IF(AND($F35="N",J35="Y"),-VLOOKUP($G$6,'Utilities Worksheet'!$B$3:$G$10,4,FALSE),0)</f>
        <v>0</v>
      </c>
      <c r="L35" s="56">
        <f>IF(AND($F35="Y",J35="N"),VLOOKUP($G$6,'Utilities Worksheet'!$B$3:$G$10,4,FALSE),0)</f>
        <v>0</v>
      </c>
      <c r="M35" s="132" t="s">
        <v>115</v>
      </c>
      <c r="N35" s="54">
        <f>IF(AND($F35="N",M35="Y"),-VLOOKUP($G$6,'Utilities Worksheet'!$B$3:$G$10,4,FALSE),0)</f>
        <v>0</v>
      </c>
      <c r="O35" s="56">
        <f>IF(AND($F35="Y",M35="N"),VLOOKUP($G$6,'Utilities Worksheet'!$B$3:$G$10,4,FALSE),0)</f>
        <v>0</v>
      </c>
    </row>
    <row r="36" spans="2:15" x14ac:dyDescent="0.35">
      <c r="B36" s="231">
        <v>22</v>
      </c>
      <c r="C36" s="232"/>
      <c r="D36" s="233" t="s">
        <v>70</v>
      </c>
      <c r="E36" s="232"/>
      <c r="F36" s="134" t="s">
        <v>115</v>
      </c>
      <c r="G36" s="132" t="s">
        <v>115</v>
      </c>
      <c r="H36" s="54">
        <f>IF(AND($F36="N",G36="Y"),-VLOOKUP($G$6,'Utilities Worksheet'!$B$3:$G$10,5,FALSE),0)</f>
        <v>0</v>
      </c>
      <c r="I36" s="56">
        <f>IF(AND($F36="Y",G36="N"),VLOOKUP($G$6,'Utilities Worksheet'!$B$3:$G$10,5,FALSE),0)</f>
        <v>0</v>
      </c>
      <c r="J36" s="130" t="s">
        <v>115</v>
      </c>
      <c r="K36" s="54">
        <f>IF(AND($F36="N",J36="Y"),-VLOOKUP($G$6,'Utilities Worksheet'!$B$3:$G$10,5,FALSE),0)</f>
        <v>0</v>
      </c>
      <c r="L36" s="56">
        <f>IF(AND($F36="Y",J36="N"),VLOOKUP($G$6,'Utilities Worksheet'!$B$3:$G$10,5,FALSE),0)</f>
        <v>0</v>
      </c>
      <c r="M36" s="132" t="s">
        <v>115</v>
      </c>
      <c r="N36" s="54">
        <f>IF(AND($F36="N",M36="Y"),-VLOOKUP($G$6,'Utilities Worksheet'!$B$3:$G$10,5,FALSE),0)</f>
        <v>0</v>
      </c>
      <c r="O36" s="56">
        <f>IF(AND($F36="Y",M36="N"),VLOOKUP($G$6,'Utilities Worksheet'!$B$3:$G$10,5,FALSE),0)</f>
        <v>0</v>
      </c>
    </row>
    <row r="37" spans="2:15" x14ac:dyDescent="0.35">
      <c r="B37" s="231">
        <v>23</v>
      </c>
      <c r="C37" s="232"/>
      <c r="D37" s="233" t="s">
        <v>71</v>
      </c>
      <c r="E37" s="232"/>
      <c r="F37" s="134" t="s">
        <v>115</v>
      </c>
      <c r="G37" s="132" t="s">
        <v>115</v>
      </c>
      <c r="H37" s="54">
        <f>IF(AND($F37="N",G37="Y"),-VLOOKUP($G$6,'Utilities Worksheet'!$B$3:$G$10,6,FALSE),0)</f>
        <v>0</v>
      </c>
      <c r="I37" s="56">
        <f>IF(AND($F37="Y",G37="N"),VLOOKUP($G$6,'Utilities Worksheet'!$B$3:$G$10,6,FALSE),0)</f>
        <v>0</v>
      </c>
      <c r="J37" s="130" t="s">
        <v>115</v>
      </c>
      <c r="K37" s="54">
        <f>IF(AND($F37="N",J37="Y"),-VLOOKUP($G$6,'Utilities Worksheet'!$B$3:$G$10,6,FALSE),0)</f>
        <v>0</v>
      </c>
      <c r="L37" s="56">
        <f>IF(AND($F37="Y",J37="N"),VLOOKUP($G$6,'Utilities Worksheet'!$B$3:$G$10,6,FALSE),0)</f>
        <v>0</v>
      </c>
      <c r="M37" s="132" t="s">
        <v>115</v>
      </c>
      <c r="N37" s="54">
        <f>IF(AND($F37="N",M37="Y"),-VLOOKUP($G$6,'Utilities Worksheet'!$B$3:$G$10,6,FALSE),0)</f>
        <v>0</v>
      </c>
      <c r="O37" s="56">
        <f>IF(AND($F37="Y",M37="N"),VLOOKUP($G$6,'Utilities Worksheet'!$B$3:$G$10,6,FALSE),0)</f>
        <v>0</v>
      </c>
    </row>
    <row r="38" spans="2:15" x14ac:dyDescent="0.35">
      <c r="B38" s="231">
        <v>24</v>
      </c>
      <c r="C38" s="232"/>
      <c r="D38" s="233" t="s">
        <v>47</v>
      </c>
      <c r="E38" s="232"/>
      <c r="F38" s="134" t="s">
        <v>115</v>
      </c>
      <c r="G38" s="132" t="s">
        <v>115</v>
      </c>
      <c r="H38" s="54">
        <f>IF(AND($F38="N",G38="Y"),-VLOOKUP($D38,'Rent Adjustment Worksheet'!$B:$C,2,FALSE),0)</f>
        <v>0</v>
      </c>
      <c r="I38" s="56">
        <f>IF(AND($F38="Y",G38="N"),VLOOKUP($D38,'Rent Adjustment Worksheet'!$B:$C,2,FALSE),0)</f>
        <v>0</v>
      </c>
      <c r="J38" s="130" t="s">
        <v>115</v>
      </c>
      <c r="K38" s="54">
        <f>IF(AND($F38="N",J38="Y"),-VLOOKUP($D38,'Rent Adjustment Worksheet'!$B:$C,2,FALSE),0)</f>
        <v>0</v>
      </c>
      <c r="L38" s="128">
        <f>IF(AND($F38="Y",J38="N"),VLOOKUP($D38,'Rent Adjustment Worksheet'!$B:$C,2,FALSE),0)</f>
        <v>0</v>
      </c>
      <c r="M38" s="132" t="s">
        <v>115</v>
      </c>
      <c r="N38" s="54">
        <f>IF(AND($F38="N",M38="Y"),-VLOOKUP($D38,'Rent Adjustment Worksheet'!$B:$C,2,FALSE),0)</f>
        <v>0</v>
      </c>
      <c r="O38" s="56">
        <f>IF(AND($F38="Y",M38="N"),VLOOKUP($D38,'Rent Adjustment Worksheet'!$B:$C,2,FALSE),0)</f>
        <v>0</v>
      </c>
    </row>
    <row r="39" spans="2:15" x14ac:dyDescent="0.35">
      <c r="B39" s="238" t="s">
        <v>123</v>
      </c>
      <c r="C39" s="239"/>
      <c r="D39" s="239"/>
      <c r="E39" s="239"/>
      <c r="F39" s="239"/>
      <c r="G39" s="239"/>
      <c r="H39" s="239"/>
      <c r="I39" s="239"/>
      <c r="J39" s="239"/>
      <c r="K39" s="239"/>
      <c r="L39" s="239"/>
      <c r="M39" s="239"/>
      <c r="N39" s="239"/>
      <c r="O39" s="240"/>
    </row>
    <row r="40" spans="2:15" x14ac:dyDescent="0.35">
      <c r="B40" s="231">
        <v>25</v>
      </c>
      <c r="C40" s="232"/>
      <c r="D40" s="261" t="str">
        <f>IF(OR('Rent Adjustment Worksheet'!$B25="PHA write-in (if Applicable)",'Rent Adjustment Worksheet'!$B25=""),"",'Rent Adjustment Worksheet'!$B25)</f>
        <v/>
      </c>
      <c r="E40" s="262"/>
      <c r="F40" s="134" t="s">
        <v>115</v>
      </c>
      <c r="G40" s="132" t="s">
        <v>115</v>
      </c>
      <c r="H40" s="54">
        <f>IF($D40="",0,IF(AND($F40="N",G40="Y"),-VLOOKUP($D40,'Rent Adjustment Worksheet'!$B:$C,2,FALSE),0))</f>
        <v>0</v>
      </c>
      <c r="I40" s="56">
        <f>IF($D40="",0,IF(AND($F40="Y",G40="N"),VLOOKUP($D40,'Rent Adjustment Worksheet'!$B:$C,2,FALSE),0))</f>
        <v>0</v>
      </c>
      <c r="J40" s="130" t="s">
        <v>115</v>
      </c>
      <c r="K40" s="54">
        <f>IF($D40="",0,IF(AND($F40="N",J40="Y"),-VLOOKUP($D40,'Rent Adjustment Worksheet'!$B:$C,2,FALSE),0))</f>
        <v>0</v>
      </c>
      <c r="L40" s="128">
        <f>IF($D40="",0,IF(AND($F40="Y",J40="N"),VLOOKUP($D40,'Rent Adjustment Worksheet'!$B:$C,2,FALSE),0))</f>
        <v>0</v>
      </c>
      <c r="M40" s="132" t="s">
        <v>115</v>
      </c>
      <c r="N40" s="54">
        <f>IF($D40="",0,IF(AND($F40="N",M40="Y"),-VLOOKUP($D40,'Rent Adjustment Worksheet'!$B:$C,2,FALSE),0))</f>
        <v>0</v>
      </c>
      <c r="O40" s="56">
        <f>IF($D40="",0,IF(AND($F40="Y",M40="N"),VLOOKUP($D40,'Rent Adjustment Worksheet'!$B:$C,2,FALSE),0))</f>
        <v>0</v>
      </c>
    </row>
    <row r="41" spans="2:15" x14ac:dyDescent="0.35">
      <c r="B41" s="231">
        <v>26</v>
      </c>
      <c r="C41" s="232"/>
      <c r="D41" s="261" t="str">
        <f>IF(OR('Rent Adjustment Worksheet'!$B26="PHA write-in (if Applicable)",'Rent Adjustment Worksheet'!$B26=""),"",'Rent Adjustment Worksheet'!$B26)</f>
        <v/>
      </c>
      <c r="E41" s="262"/>
      <c r="F41" s="134" t="s">
        <v>115</v>
      </c>
      <c r="G41" s="132" t="s">
        <v>115</v>
      </c>
      <c r="H41" s="54">
        <f>IF($D41="",0,IF(AND($F41="N",G41="Y"),-VLOOKUP($D41,'Rent Adjustment Worksheet'!$B:$C,2,FALSE),0))</f>
        <v>0</v>
      </c>
      <c r="I41" s="56">
        <f>IF($D41="",0,IF(AND($F41="Y",G41="N"),VLOOKUP($D41,'Rent Adjustment Worksheet'!$B:$C,2,FALSE),0))</f>
        <v>0</v>
      </c>
      <c r="J41" s="130" t="s">
        <v>115</v>
      </c>
      <c r="K41" s="54">
        <f>IF($D41="",0,IF(AND($F41="N",J41="Y"),-VLOOKUP($D41,'Rent Adjustment Worksheet'!$B:$C,2,FALSE),0))</f>
        <v>0</v>
      </c>
      <c r="L41" s="128">
        <f>IF($D41="",0,IF(AND($F41="Y",J41="N"),VLOOKUP($D41,'Rent Adjustment Worksheet'!$B:$C,2,FALSE),0))</f>
        <v>0</v>
      </c>
      <c r="M41" s="132" t="s">
        <v>115</v>
      </c>
      <c r="N41" s="54">
        <f>IF($D41="",0,IF(AND($F41="N",M41="Y"),-VLOOKUP($D41,'Rent Adjustment Worksheet'!$B:$C,2,FALSE),0))</f>
        <v>0</v>
      </c>
      <c r="O41" s="56">
        <f>IF($D41="",0,IF(AND($F41="Y",M41="N"),VLOOKUP($D41,'Rent Adjustment Worksheet'!$B:$C,2,FALSE),0))</f>
        <v>0</v>
      </c>
    </row>
    <row r="42" spans="2:15" x14ac:dyDescent="0.35">
      <c r="B42" s="231">
        <v>27</v>
      </c>
      <c r="C42" s="232"/>
      <c r="D42" s="261" t="str">
        <f>IF(OR('Rent Adjustment Worksheet'!$B27="PHA write-in (if Applicable)",'Rent Adjustment Worksheet'!$B27=""),"",'Rent Adjustment Worksheet'!$B27)</f>
        <v/>
      </c>
      <c r="E42" s="262"/>
      <c r="F42" s="134" t="s">
        <v>115</v>
      </c>
      <c r="G42" s="132" t="s">
        <v>115</v>
      </c>
      <c r="H42" s="54">
        <f>IF($D42="",0,IF(AND($F42="N",G42="Y"),-VLOOKUP($D42,'Rent Adjustment Worksheet'!$B:$C,2,FALSE),0))</f>
        <v>0</v>
      </c>
      <c r="I42" s="56">
        <f>IF($D42="",0,IF(AND($F42="Y",G42="N"),VLOOKUP($D42,'Rent Adjustment Worksheet'!$B:$C,2,FALSE),0))</f>
        <v>0</v>
      </c>
      <c r="J42" s="130" t="s">
        <v>115</v>
      </c>
      <c r="K42" s="54">
        <f>IF($D42="",0,IF(AND($F42="N",J42="Y"),-VLOOKUP($D42,'Rent Adjustment Worksheet'!$B:$C,2,FALSE),0))</f>
        <v>0</v>
      </c>
      <c r="L42" s="128">
        <f>IF($D42="",0,IF(AND($F42="Y",J42="N"),VLOOKUP($D42,'Rent Adjustment Worksheet'!$B:$C,2,FALSE),0))</f>
        <v>0</v>
      </c>
      <c r="M42" s="132" t="s">
        <v>115</v>
      </c>
      <c r="N42" s="54">
        <f>IF($D42="",0,IF(AND($F42="N",M42="Y"),-VLOOKUP($D42,'Rent Adjustment Worksheet'!$B:$C,2,FALSE),0))</f>
        <v>0</v>
      </c>
      <c r="O42" s="56">
        <f>IF($D42="",0,IF(AND($F42="Y",M42="N"),VLOOKUP($D42,'Rent Adjustment Worksheet'!$B:$C,2,FALSE),0))</f>
        <v>0</v>
      </c>
    </row>
    <row r="43" spans="2:15" x14ac:dyDescent="0.35">
      <c r="B43" s="231">
        <v>28</v>
      </c>
      <c r="C43" s="232"/>
      <c r="D43" s="261" t="str">
        <f>IF(OR('Rent Adjustment Worksheet'!$B28="PHA write-in (if Applicable)",'Rent Adjustment Worksheet'!$B28=""),"",'Rent Adjustment Worksheet'!$B28)</f>
        <v/>
      </c>
      <c r="E43" s="262"/>
      <c r="F43" s="134" t="s">
        <v>115</v>
      </c>
      <c r="G43" s="132" t="s">
        <v>115</v>
      </c>
      <c r="H43" s="54">
        <f>IF($D43="",0,IF(AND($F43="N",G43="Y"),-VLOOKUP($D43,'Rent Adjustment Worksheet'!$B:$C,2,FALSE),0))</f>
        <v>0</v>
      </c>
      <c r="I43" s="56">
        <f>IF($D43="",0,IF(AND($F43="Y",G43="N"),VLOOKUP($D43,'Rent Adjustment Worksheet'!$B:$C,2,FALSE),0))</f>
        <v>0</v>
      </c>
      <c r="J43" s="130" t="s">
        <v>115</v>
      </c>
      <c r="K43" s="54">
        <f>IF($D43="",0,IF(AND($F43="N",J43="Y"),-VLOOKUP($D43,'Rent Adjustment Worksheet'!$B:$C,2,FALSE),0))</f>
        <v>0</v>
      </c>
      <c r="L43" s="128">
        <f>IF($D43="",0,IF(AND($F43="Y",J43="N"),VLOOKUP($D43,'Rent Adjustment Worksheet'!$B:$C,2,FALSE),0))</f>
        <v>0</v>
      </c>
      <c r="M43" s="132" t="s">
        <v>115</v>
      </c>
      <c r="N43" s="54">
        <f>IF($D43="",0,IF(AND($F43="N",M43="Y"),-VLOOKUP($D43,'Rent Adjustment Worksheet'!$B:$C,2,FALSE),0))</f>
        <v>0</v>
      </c>
      <c r="O43" s="56">
        <f>IF($D43="",0,IF(AND($F43="Y",M43="N"),VLOOKUP($D43,'Rent Adjustment Worksheet'!$B:$C,2,FALSE),0))</f>
        <v>0</v>
      </c>
    </row>
    <row r="44" spans="2:15" x14ac:dyDescent="0.35">
      <c r="B44" s="231">
        <v>29</v>
      </c>
      <c r="C44" s="232"/>
      <c r="D44" s="261" t="str">
        <f>IF(OR('Rent Adjustment Worksheet'!$B29="PHA write-in (if Applicable)",'Rent Adjustment Worksheet'!$B29=""),"",'Rent Adjustment Worksheet'!$B29)</f>
        <v/>
      </c>
      <c r="E44" s="262"/>
      <c r="F44" s="134" t="s">
        <v>115</v>
      </c>
      <c r="G44" s="132" t="s">
        <v>115</v>
      </c>
      <c r="H44" s="54">
        <f>IF($D44="",0,IF(AND($F44="N",G44="Y"),-VLOOKUP($D44,'Rent Adjustment Worksheet'!$B:$C,2,FALSE),0))</f>
        <v>0</v>
      </c>
      <c r="I44" s="56">
        <f>IF($D44="",0,IF(AND($F44="Y",G44="N"),VLOOKUP($D44,'Rent Adjustment Worksheet'!$B:$C,2,FALSE),0))</f>
        <v>0</v>
      </c>
      <c r="J44" s="130" t="s">
        <v>115</v>
      </c>
      <c r="K44" s="54">
        <f>IF($D44="",0,IF(AND($F44="N",J44="Y"),-VLOOKUP($D44,'Rent Adjustment Worksheet'!$B:$C,2,FALSE),0))</f>
        <v>0</v>
      </c>
      <c r="L44" s="128">
        <f>IF($D44="",0,IF(AND($F44="Y",J44="N"),VLOOKUP($D44,'Rent Adjustment Worksheet'!$B:$C,2,FALSE),0))</f>
        <v>0</v>
      </c>
      <c r="M44" s="132" t="s">
        <v>115</v>
      </c>
      <c r="N44" s="54">
        <f>IF($D44="",0,IF(AND($F44="N",M44="Y"),-VLOOKUP($D44,'Rent Adjustment Worksheet'!$B:$C,2,FALSE),0))</f>
        <v>0</v>
      </c>
      <c r="O44" s="56">
        <f>IF($D44="",0,IF(AND($F44="Y",M44="N"),VLOOKUP($D44,'Rent Adjustment Worksheet'!$B:$C,2,FALSE),0))</f>
        <v>0</v>
      </c>
    </row>
    <row r="45" spans="2:15" x14ac:dyDescent="0.35">
      <c r="B45" s="238" t="s">
        <v>124</v>
      </c>
      <c r="C45" s="239"/>
      <c r="D45" s="239"/>
      <c r="E45" s="239"/>
      <c r="F45" s="239"/>
      <c r="G45" s="239"/>
      <c r="H45" s="239"/>
      <c r="I45" s="239"/>
      <c r="J45" s="239"/>
      <c r="K45" s="239"/>
      <c r="L45" s="239"/>
      <c r="M45" s="239"/>
      <c r="N45" s="239"/>
      <c r="O45" s="240"/>
    </row>
    <row r="46" spans="2:15" x14ac:dyDescent="0.35">
      <c r="B46" s="231">
        <v>30</v>
      </c>
      <c r="C46" s="232"/>
      <c r="D46" s="233" t="s">
        <v>125</v>
      </c>
      <c r="E46" s="232"/>
      <c r="F46" s="52"/>
      <c r="G46" s="139">
        <f>IF(ISNUMBER(G10)=FALSE,"",G10)</f>
        <v>200</v>
      </c>
      <c r="H46" s="54"/>
      <c r="I46" s="128"/>
      <c r="J46" s="139" t="str">
        <f>IF(ISNUMBER(J10)=FALSE,"",J10)</f>
        <v/>
      </c>
      <c r="K46" s="54"/>
      <c r="L46" s="128"/>
      <c r="M46" s="139" t="str">
        <f>IF(ISNUMBER(M10)=FALSE,"",M10)</f>
        <v/>
      </c>
      <c r="N46" s="54"/>
      <c r="O46" s="56"/>
    </row>
    <row r="47" spans="2:15" x14ac:dyDescent="0.35">
      <c r="B47" s="231">
        <v>31</v>
      </c>
      <c r="C47" s="232"/>
      <c r="D47" s="233" t="s">
        <v>126</v>
      </c>
      <c r="E47" s="232"/>
      <c r="F47" s="52"/>
      <c r="G47" s="57">
        <f>IF(G46="","",SUM(H47:I47))</f>
        <v>0</v>
      </c>
      <c r="H47" s="58">
        <f>IF(G46="","",SUM(H16:H44))</f>
        <v>0</v>
      </c>
      <c r="I47" s="137">
        <f>IF(G46="","",SUM(I16:I44))</f>
        <v>0</v>
      </c>
      <c r="J47" s="140" t="str">
        <f>IF(J46="","",SUM(K47:L47))</f>
        <v/>
      </c>
      <c r="K47" s="58" t="str">
        <f>IF(J46="","",SUM(K16:K44))</f>
        <v/>
      </c>
      <c r="L47" s="137" t="str">
        <f>IF(J46="","",SUM(L16:L44))</f>
        <v/>
      </c>
      <c r="M47" s="140" t="str">
        <f>IF(M46="","",SUM(N47:O47))</f>
        <v/>
      </c>
      <c r="N47" s="58" t="str">
        <f>IF(M46="","",SUM(N16:N44))</f>
        <v/>
      </c>
      <c r="O47" s="59" t="str">
        <f>IF(M46="","",SUM(O16:O44))</f>
        <v/>
      </c>
    </row>
    <row r="48" spans="2:15" x14ac:dyDescent="0.35">
      <c r="B48" s="231">
        <v>32</v>
      </c>
      <c r="C48" s="232"/>
      <c r="D48" s="233" t="s">
        <v>127</v>
      </c>
      <c r="E48" s="232"/>
      <c r="F48" s="52"/>
      <c r="G48" s="57">
        <f>IF(G46="","",SUM(G46,G47))</f>
        <v>200</v>
      </c>
      <c r="H48" s="61"/>
      <c r="I48" s="138"/>
      <c r="J48" s="140" t="str">
        <f>IF(J46="","",SUM(J46,J47))</f>
        <v/>
      </c>
      <c r="K48" s="61"/>
      <c r="L48" s="138"/>
      <c r="M48" s="140" t="str">
        <f>IF(M46="","",SUM(M46,M47))</f>
        <v/>
      </c>
      <c r="N48" s="61"/>
      <c r="O48" s="63"/>
    </row>
    <row r="49" spans="2:15" x14ac:dyDescent="0.35">
      <c r="B49" s="231">
        <v>33</v>
      </c>
      <c r="C49" s="232"/>
      <c r="D49" s="233" t="s">
        <v>128</v>
      </c>
      <c r="E49" s="232"/>
      <c r="F49" s="102">
        <f>IFERROR(AVERAGE(G48:M48),"")</f>
        <v>200</v>
      </c>
      <c r="G49" s="101"/>
      <c r="H49" s="65"/>
      <c r="I49" s="66"/>
      <c r="J49" s="64"/>
      <c r="K49" s="65"/>
      <c r="L49" s="66"/>
      <c r="M49" s="64"/>
      <c r="N49" s="65"/>
      <c r="O49" s="67"/>
    </row>
    <row r="50" spans="2:15" x14ac:dyDescent="0.35">
      <c r="B50" s="231">
        <v>34</v>
      </c>
      <c r="C50" s="232"/>
      <c r="D50" s="233" t="s">
        <v>129</v>
      </c>
      <c r="E50" s="232"/>
      <c r="F50" s="143"/>
      <c r="G50" s="91"/>
      <c r="H50" s="92"/>
      <c r="I50" s="92"/>
      <c r="J50" s="64"/>
      <c r="K50" s="65"/>
      <c r="L50" s="66"/>
      <c r="M50" s="64"/>
      <c r="N50" s="65"/>
      <c r="O50" s="67"/>
    </row>
    <row r="51" spans="2:15" ht="15" thickBot="1" x14ac:dyDescent="0.4">
      <c r="B51" s="231">
        <v>35</v>
      </c>
      <c r="C51" s="232"/>
      <c r="D51" s="278" t="s">
        <v>162</v>
      </c>
      <c r="E51" s="279"/>
      <c r="F51" s="144"/>
      <c r="G51" s="91"/>
      <c r="H51" s="92"/>
      <c r="I51" s="64"/>
      <c r="J51" s="64"/>
      <c r="K51" s="65"/>
      <c r="L51" s="66"/>
      <c r="M51" s="64"/>
      <c r="N51" s="65"/>
      <c r="O51" s="67"/>
    </row>
    <row r="52" spans="2:15" s="21" customFormat="1" ht="42" customHeight="1" x14ac:dyDescent="0.35">
      <c r="B52" s="280" t="s">
        <v>131</v>
      </c>
      <c r="C52" s="281"/>
      <c r="D52" s="281"/>
      <c r="E52" s="281"/>
      <c r="F52" s="281"/>
      <c r="G52" s="281"/>
      <c r="H52" s="281"/>
      <c r="I52" s="281"/>
      <c r="J52" s="281"/>
      <c r="K52" s="281"/>
      <c r="L52" s="281"/>
      <c r="M52" s="281"/>
      <c r="N52" s="281"/>
      <c r="O52" s="282"/>
    </row>
    <row r="53" spans="2:15" ht="75" customHeight="1" x14ac:dyDescent="0.35">
      <c r="B53" s="283" t="s">
        <v>284</v>
      </c>
      <c r="C53" s="283"/>
      <c r="D53" s="283"/>
      <c r="E53" s="283"/>
      <c r="F53" s="283"/>
      <c r="G53" s="283"/>
      <c r="H53" s="283"/>
      <c r="I53" s="283"/>
      <c r="J53" s="283"/>
      <c r="K53" s="283"/>
      <c r="L53" s="283"/>
      <c r="M53" s="283"/>
      <c r="N53" s="283"/>
      <c r="O53" s="283"/>
    </row>
    <row r="54" spans="2:15" x14ac:dyDescent="0.35">
      <c r="B54" s="118"/>
      <c r="C54" s="118"/>
      <c r="D54" s="118"/>
      <c r="E54" s="118"/>
      <c r="M54" s="275" t="s">
        <v>164</v>
      </c>
      <c r="N54" s="275"/>
      <c r="O54" s="275"/>
    </row>
  </sheetData>
  <sheetProtection algorithmName="SHA-512" hashValue="z2nYh13YvzxuSteaR3wxk5dGCUiaQa3UnY5bkvPphXT+QcIj723qahVp8nMM4SsMlYVLHf2NBzVwhfST9sNk7A==" saltValue="YuT7LeBx3GB4WdDflkxnYw==" spinCount="100000" sheet="1" selectLockedCells="1"/>
  <protectedRanges>
    <protectedRange sqref="D12:O12" name="Section 2_2_2_1_1"/>
    <protectedRange sqref="G9:O9" name="Section 2_4_1_1"/>
    <protectedRange sqref="E9:F9" name="Section 2_1_1_1_1_1"/>
    <protectedRange sqref="G10:O10" name="Section 2_3_2_1_1"/>
    <protectedRange sqref="G11:O11" name="Section 2_2_1_2_1_1"/>
    <protectedRange sqref="D11:F11" name="Section 2_2_2_1"/>
  </protectedRanges>
  <customSheetViews>
    <customSheetView guid="{A4B793CE-738E-4476-8B1F-D42BECFCF658}" fitToPage="1" topLeftCell="A19">
      <selection activeCell="Q18" sqref="Q18"/>
      <pageMargins left="0" right="0" top="0" bottom="0" header="0" footer="0"/>
      <pageSetup scale="64" orientation="portrait" r:id="rId1"/>
    </customSheetView>
  </customSheetViews>
  <mergeCells count="110">
    <mergeCell ref="B5:C6"/>
    <mergeCell ref="D5:F5"/>
    <mergeCell ref="M54:O54"/>
    <mergeCell ref="G10:I10"/>
    <mergeCell ref="J10:L10"/>
    <mergeCell ref="M10:O10"/>
    <mergeCell ref="B1:L1"/>
    <mergeCell ref="M1:O1"/>
    <mergeCell ref="B2:L2"/>
    <mergeCell ref="M2:O2"/>
    <mergeCell ref="E6:F6"/>
    <mergeCell ref="G6:O6"/>
    <mergeCell ref="N3:O3"/>
    <mergeCell ref="B15:O15"/>
    <mergeCell ref="B16:C16"/>
    <mergeCell ref="D16:E16"/>
    <mergeCell ref="J8:L8"/>
    <mergeCell ref="M8:O8"/>
    <mergeCell ref="G9:I9"/>
    <mergeCell ref="J9:L9"/>
    <mergeCell ref="M9:O9"/>
    <mergeCell ref="D13:E14"/>
    <mergeCell ref="F13:F14"/>
    <mergeCell ref="G13:G14"/>
    <mergeCell ref="H13:I13"/>
    <mergeCell ref="J13:J14"/>
    <mergeCell ref="B7:C14"/>
    <mergeCell ref="D7:F7"/>
    <mergeCell ref="G7:I7"/>
    <mergeCell ref="J7:L7"/>
    <mergeCell ref="M7:O7"/>
    <mergeCell ref="E8:F8"/>
    <mergeCell ref="G8:I8"/>
    <mergeCell ref="K13:L13"/>
    <mergeCell ref="M13:M14"/>
    <mergeCell ref="N13:O13"/>
    <mergeCell ref="D10:F10"/>
    <mergeCell ref="G11:I11"/>
    <mergeCell ref="J11:L11"/>
    <mergeCell ref="M11:O11"/>
    <mergeCell ref="E11:F11"/>
    <mergeCell ref="B20:C20"/>
    <mergeCell ref="D20:E20"/>
    <mergeCell ref="B21:C21"/>
    <mergeCell ref="D21:E21"/>
    <mergeCell ref="B17:C17"/>
    <mergeCell ref="D17:E17"/>
    <mergeCell ref="B18:C18"/>
    <mergeCell ref="D18:E18"/>
    <mergeCell ref="B19:C19"/>
    <mergeCell ref="D19:E19"/>
    <mergeCell ref="B24:C24"/>
    <mergeCell ref="D24:E24"/>
    <mergeCell ref="B25:C25"/>
    <mergeCell ref="D25:E25"/>
    <mergeCell ref="B26:C26"/>
    <mergeCell ref="D26:E26"/>
    <mergeCell ref="B22:C22"/>
    <mergeCell ref="D22:E22"/>
    <mergeCell ref="B23:C23"/>
    <mergeCell ref="D23:E23"/>
    <mergeCell ref="B30:C30"/>
    <mergeCell ref="D30:E30"/>
    <mergeCell ref="B31:C31"/>
    <mergeCell ref="D31:E31"/>
    <mergeCell ref="B32:O32"/>
    <mergeCell ref="B27:C27"/>
    <mergeCell ref="D27:E27"/>
    <mergeCell ref="B28:C28"/>
    <mergeCell ref="D28:E28"/>
    <mergeCell ref="B29:C29"/>
    <mergeCell ref="D29:E29"/>
    <mergeCell ref="B36:C36"/>
    <mergeCell ref="D36:E36"/>
    <mergeCell ref="B37:C37"/>
    <mergeCell ref="D37:E37"/>
    <mergeCell ref="B38:C38"/>
    <mergeCell ref="D38:E38"/>
    <mergeCell ref="B33:C33"/>
    <mergeCell ref="D33:E33"/>
    <mergeCell ref="B34:C34"/>
    <mergeCell ref="D34:E34"/>
    <mergeCell ref="B35:C35"/>
    <mergeCell ref="D35:E35"/>
    <mergeCell ref="B43:C43"/>
    <mergeCell ref="D43:E43"/>
    <mergeCell ref="B44:C44"/>
    <mergeCell ref="D44:E44"/>
    <mergeCell ref="B45:O45"/>
    <mergeCell ref="B46:C46"/>
    <mergeCell ref="D46:E46"/>
    <mergeCell ref="B39:O39"/>
    <mergeCell ref="B40:C40"/>
    <mergeCell ref="D40:E40"/>
    <mergeCell ref="B41:C41"/>
    <mergeCell ref="D41:E41"/>
    <mergeCell ref="B42:C42"/>
    <mergeCell ref="D42:E42"/>
    <mergeCell ref="B53:O53"/>
    <mergeCell ref="B52:O52"/>
    <mergeCell ref="B51:C51"/>
    <mergeCell ref="D51:E51"/>
    <mergeCell ref="B50:C50"/>
    <mergeCell ref="D50:E50"/>
    <mergeCell ref="B47:C47"/>
    <mergeCell ref="D47:E47"/>
    <mergeCell ref="B48:C48"/>
    <mergeCell ref="D48:E48"/>
    <mergeCell ref="B49:C49"/>
    <mergeCell ref="D49:E49"/>
  </mergeCells>
  <conditionalFormatting sqref="I16:I31 I33:I38 I40:I44">
    <cfRule type="cellIs" dxfId="41" priority="3" operator="greaterThan">
      <formula>$G$10*0.25</formula>
    </cfRule>
  </conditionalFormatting>
  <conditionalFormatting sqref="L16:L31 B33:O38 L40:L44">
    <cfRule type="cellIs" dxfId="40" priority="4" operator="greaterThan">
      <formula>$J$10*0.25</formula>
    </cfRule>
  </conditionalFormatting>
  <conditionalFormatting sqref="O16:O31 O33:O38 O40:O44">
    <cfRule type="cellIs" dxfId="39" priority="5" operator="greaterThan">
      <formula>$M$10*0.25</formula>
    </cfRule>
  </conditionalFormatting>
  <conditionalFormatting sqref="N16:N31 N33:N38 N40:N44">
    <cfRule type="cellIs" dxfId="38" priority="2" operator="lessThan">
      <formula>-$M$10*0.25</formula>
    </cfRule>
  </conditionalFormatting>
  <conditionalFormatting sqref="K16:K31 K33:K38 K40:K44">
    <cfRule type="cellIs" dxfId="37" priority="1" operator="lessThan">
      <formula>-$J$10*0.25</formula>
    </cfRule>
  </conditionalFormatting>
  <conditionalFormatting sqref="H16:H31 H33:H38 H40:H44">
    <cfRule type="cellIs" dxfId="36" priority="6" operator="lessThan">
      <formula>-$G$10*0.25</formula>
    </cfRule>
  </conditionalFormatting>
  <dataValidations count="2">
    <dataValidation errorStyle="information" allowBlank="1" showInputMessage="1" showErrorMessage="1" errorTitle="Non Valid Adjustment" error="Please Select a Valid PHA Write-in adjustment." sqref="K40:L44 H40:I44 N40:O44" xr:uid="{E19C96BB-3844-412D-9A12-226D3C8A1FC1}"/>
    <dataValidation allowBlank="1" showErrorMessage="1" promptTitle="Select PHA Write-In" sqref="D40:E44" xr:uid="{5C0031A7-F87A-4A63-B3FF-1E8B6DACB284}"/>
  </dataValidations>
  <pageMargins left="0.7" right="0.7" top="0.75" bottom="0.75" header="0.3" footer="0.3"/>
  <pageSetup scale="61"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4132" r:id="rId5" name="Check Box 36">
              <controlPr locked="0" defaultSize="0" autoFill="0" autoLine="0" autoPict="0">
                <anchor moveWithCells="1">
                  <from>
                    <xdr:col>7</xdr:col>
                    <xdr:colOff>203200</xdr:colOff>
                    <xdr:row>10</xdr:row>
                    <xdr:rowOff>95250</xdr:rowOff>
                  </from>
                  <to>
                    <xdr:col>7</xdr:col>
                    <xdr:colOff>533400</xdr:colOff>
                    <xdr:row>12</xdr:row>
                    <xdr:rowOff>107950</xdr:rowOff>
                  </to>
                </anchor>
              </controlPr>
            </control>
          </mc:Choice>
        </mc:AlternateContent>
        <mc:AlternateContent xmlns:mc="http://schemas.openxmlformats.org/markup-compatibility/2006">
          <mc:Choice Requires="x14">
            <control shapeId="4133" r:id="rId6" name="Check Box 37">
              <controlPr defaultSize="0" autoFill="0" autoLine="0" autoPict="0">
                <anchor moveWithCells="1">
                  <from>
                    <xdr:col>10</xdr:col>
                    <xdr:colOff>266700</xdr:colOff>
                    <xdr:row>10</xdr:row>
                    <xdr:rowOff>69850</xdr:rowOff>
                  </from>
                  <to>
                    <xdr:col>10</xdr:col>
                    <xdr:colOff>609600</xdr:colOff>
                    <xdr:row>12</xdr:row>
                    <xdr:rowOff>133350</xdr:rowOff>
                  </to>
                </anchor>
              </controlPr>
            </control>
          </mc:Choice>
        </mc:AlternateContent>
        <mc:AlternateContent xmlns:mc="http://schemas.openxmlformats.org/markup-compatibility/2006">
          <mc:Choice Requires="x14">
            <control shapeId="4134" r:id="rId7" name="Check Box 38">
              <controlPr defaultSize="0" autoFill="0" autoLine="0" autoPict="0">
                <anchor moveWithCells="1">
                  <from>
                    <xdr:col>13</xdr:col>
                    <xdr:colOff>241300</xdr:colOff>
                    <xdr:row>10</xdr:row>
                    <xdr:rowOff>95250</xdr:rowOff>
                  </from>
                  <to>
                    <xdr:col>13</xdr:col>
                    <xdr:colOff>571500</xdr:colOff>
                    <xdr:row>12</xdr:row>
                    <xdr:rowOff>107950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allowBlank="1" showInputMessage="1" showErrorMessage="1" xr:uid="{88863074-B391-4487-B413-68F852ED3334}">
          <x14:formula1>
            <xm:f>DropDown!$B$2:$B$3</xm:f>
          </x14:formula1>
          <xm:sqref>F40:G44 F19:G20 F23:G31 J19:J20 J40:J44 M40:M44 M23:M31 J23:J31 M19:M20 M33:M38 J33:J38 F33:G38</xm:sqref>
        </x14:dataValidation>
        <x14:dataValidation type="list" allowBlank="1" showInputMessage="1" showErrorMessage="1" xr:uid="{F2EB489B-6CA7-472A-A1B0-C3B3F5EA573B}">
          <x14:formula1>
            <xm:f>DropDown!$A$2:$A$10</xm:f>
          </x14:formula1>
          <xm:sqref>F18:G18 J18 M18</xm:sqref>
        </x14:dataValidation>
        <x14:dataValidation type="list" allowBlank="1" showInputMessage="1" showErrorMessage="1" xr:uid="{9A1A9CFC-D8CD-46FF-B50D-EA43FC462265}">
          <x14:formula1>
            <xm:f>DropDown!$E$1:$E$3</xm:f>
          </x14:formula1>
          <xm:sqref>D51:E51</xm:sqref>
        </x14:dataValidation>
        <x14:dataValidation type="list" allowBlank="1" showInputMessage="1" showErrorMessage="1" xr:uid="{9D2282EF-C184-41F9-A20D-E8AAAA365810}">
          <x14:formula1>
            <xm:f>DropDown!$C$2:$C$4</xm:f>
          </x14:formula1>
          <xm:sqref>F22:G22 J22 M22</xm:sqref>
        </x14:dataValidation>
        <x14:dataValidation type="list" allowBlank="1" showInputMessage="1" showErrorMessage="1" xr:uid="{6375A90E-E540-4831-BFD6-2BCF3249D0CA}">
          <x14:formula1>
            <xm:f>DropDown!$F$1:$F$6</xm:f>
          </x14:formula1>
          <xm:sqref>G11:O11 E11</xm:sqref>
        </x14:dataValidation>
        <x14:dataValidation type="list" allowBlank="1" showInputMessage="1" showErrorMessage="1" xr:uid="{8457EC0C-E469-424A-B7D7-93F6C1F9C23F}">
          <x14:formula1>
            <xm:f>DropDown!$H$2:$H$5</xm:f>
          </x14:formula1>
          <xm:sqref>F21:G21 J21 M21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57b6deb9-dc41-4ced-bf19-f2d6f59f6165">
      <UserInfo>
        <DisplayName>Busch, Karal O</DisplayName>
        <AccountId>10</AccountId>
        <AccountType/>
      </UserInfo>
      <UserInfo>
        <DisplayName>Shepherd, Monica C</DisplayName>
        <AccountId>22</AccountId>
        <AccountType/>
      </UserInfo>
    </SharedWithUsers>
    <Clearance xmlns="ae2a2941-2dbe-4eaa-9281-19e6e20101f1">2871</Clearanc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7BE27003353954888358C37D25A1389" ma:contentTypeVersion="7" ma:contentTypeDescription="Create a new document." ma:contentTypeScope="" ma:versionID="83260424ac9753249a30c1b7ba2dabc2">
  <xsd:schema xmlns:xsd="http://www.w3.org/2001/XMLSchema" xmlns:xs="http://www.w3.org/2001/XMLSchema" xmlns:p="http://schemas.microsoft.com/office/2006/metadata/properties" xmlns:ns2="ae2a2941-2dbe-4eaa-9281-19e6e20101f1" xmlns:ns3="dca89f83-e7cb-46ce-8e9f-cb067c1b6911" xmlns:ns4="57b6deb9-dc41-4ced-bf19-f2d6f59f6165" targetNamespace="http://schemas.microsoft.com/office/2006/metadata/properties" ma:root="true" ma:fieldsID="20d557ef592bc9b9a391d30496e178f7" ns2:_="" ns3:_="" ns4:_="">
    <xsd:import namespace="ae2a2941-2dbe-4eaa-9281-19e6e20101f1"/>
    <xsd:import namespace="dca89f83-e7cb-46ce-8e9f-cb067c1b6911"/>
    <xsd:import namespace="57b6deb9-dc41-4ced-bf19-f2d6f59f6165"/>
    <xsd:element name="properties">
      <xsd:complexType>
        <xsd:sequence>
          <xsd:element name="documentManagement">
            <xsd:complexType>
              <xsd:all>
                <xsd:element ref="ns2:Clearance" minOccurs="0"/>
                <xsd:element ref="ns2:Clearance_x003a_Clearance_x0020_Name" minOccurs="0"/>
                <xsd:element ref="ns2:Clearance_x003a_Clearance_x0020_Number" minOccurs="0"/>
                <xsd:element ref="ns3:_dlc_DocId" minOccurs="0"/>
                <xsd:element ref="ns3:_dlc_DocIdUrl" minOccurs="0"/>
                <xsd:element ref="ns3:_dlc_DocIdPersistId"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2a2941-2dbe-4eaa-9281-19e6e20101f1" elementFormDefault="qualified">
    <xsd:import namespace="http://schemas.microsoft.com/office/2006/documentManagement/types"/>
    <xsd:import namespace="http://schemas.microsoft.com/office/infopath/2007/PartnerControls"/>
    <xsd:element name="Clearance" ma:index="4" nillable="true" ma:displayName="Clearance" ma:list="{7bf3ecff-3704-4e92-a7de-53154701d469}" ma:internalName="Clearance" ma:showField="Title" ma:web="57b6deb9-dc41-4ced-bf19-f2d6f59f6165">
      <xsd:simpleType>
        <xsd:restriction base="dms:Lookup"/>
      </xsd:simpleType>
    </xsd:element>
    <xsd:element name="Clearance_x003a_Clearance_x0020_Name" ma:index="5" nillable="true" ma:displayName="Clearance:Clearance Name" ma:list="{7bf3ecff-3704-4e92-a7de-53154701d469}" ma:internalName="Clearance_x003a_Clearance_x0020_Name" ma:readOnly="true" ma:showField="Title" ma:web="57b6deb9-dc41-4ced-bf19-f2d6f59f6165">
      <xsd:simpleType>
        <xsd:restriction base="dms:Lookup"/>
      </xsd:simpleType>
    </xsd:element>
    <xsd:element name="Clearance_x003a_Clearance_x0020_Number" ma:index="6" nillable="true" ma:displayName="Clearance:Clearance Number" ma:list="{7bf3ecff-3704-4e92-a7de-53154701d469}" ma:internalName="Clearance_x003a_Clearance_x0020_Number" ma:readOnly="true" ma:showField="Clearance_x0020_Number" ma:web="57b6deb9-dc41-4ced-bf19-f2d6f59f6165">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dca89f83-e7cb-46ce-8e9f-cb067c1b6911" elementFormDefault="qualified">
    <xsd:import namespace="http://schemas.microsoft.com/office/2006/documentManagement/types"/>
    <xsd:import namespace="http://schemas.microsoft.com/office/infopath/2007/PartnerControls"/>
    <xsd:element name="_dlc_DocId" ma:index="7" nillable="true" ma:displayName="Document ID Value" ma:description="The value of the document ID assigned to this item." ma:internalName="_dlc_DocId" ma:readOnly="true">
      <xsd:simpleType>
        <xsd:restriction base="dms:Text"/>
      </xsd:simpleType>
    </xsd:element>
    <xsd:element name="_dlc_DocIdUrl" ma:index="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9"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7b6deb9-dc41-4ced-bf19-f2d6f59f6165" elementFormDefault="qualified">
    <xsd:import namespace="http://schemas.microsoft.com/office/2006/documentManagement/types"/>
    <xsd:import namespace="http://schemas.microsoft.com/office/infopath/2007/PartnerControls"/>
    <xsd:element name="SharedWithUsers" ma:index="14"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E618FB9-26E7-4EC7-84A9-07CE9282F36F}">
  <ds:schemaRefs>
    <ds:schemaRef ds:uri="http://schemas.microsoft.com/sharepoint/v3/contenttype/forms"/>
  </ds:schemaRefs>
</ds:datastoreItem>
</file>

<file path=customXml/itemProps2.xml><?xml version="1.0" encoding="utf-8"?>
<ds:datastoreItem xmlns:ds="http://schemas.openxmlformats.org/officeDocument/2006/customXml" ds:itemID="{236D4E03-F8EF-4718-8DFA-A7B96B6DBEBC}">
  <ds:schemaRefs>
    <ds:schemaRef ds:uri="http://purl.org/dc/elements/1.1/"/>
    <ds:schemaRef ds:uri="http://schemas.microsoft.com/office/2006/metadata/properties"/>
    <ds:schemaRef ds:uri="http://schemas.microsoft.com/office/infopath/2007/PartnerControls"/>
    <ds:schemaRef ds:uri="57b6deb9-dc41-4ced-bf19-f2d6f59f6165"/>
    <ds:schemaRef ds:uri="http://purl.org/dc/terms/"/>
    <ds:schemaRef ds:uri="http://schemas.microsoft.com/office/2006/documentManagement/types"/>
    <ds:schemaRef ds:uri="ae2a2941-2dbe-4eaa-9281-19e6e20101f1"/>
    <ds:schemaRef ds:uri="http://schemas.openxmlformats.org/package/2006/metadata/core-properties"/>
    <ds:schemaRef ds:uri="dca89f83-e7cb-46ce-8e9f-cb067c1b6911"/>
    <ds:schemaRef ds:uri="http://www.w3.org/XML/1998/namespace"/>
    <ds:schemaRef ds:uri="http://purl.org/dc/dcmitype/"/>
  </ds:schemaRefs>
</ds:datastoreItem>
</file>

<file path=customXml/itemProps3.xml><?xml version="1.0" encoding="utf-8"?>
<ds:datastoreItem xmlns:ds="http://schemas.openxmlformats.org/officeDocument/2006/customXml" ds:itemID="{D974D946-9AF4-4289-8835-2447875A34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2a2941-2dbe-4eaa-9281-19e6e20101f1"/>
    <ds:schemaRef ds:uri="dca89f83-e7cb-46ce-8e9f-cb067c1b6911"/>
    <ds:schemaRef ds:uri="57b6deb9-dc41-4ced-bf19-f2d6f59f61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3EFEE35-D46F-490D-9A77-B30161441C9A}">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4</vt:i4>
      </vt:variant>
    </vt:vector>
  </HeadingPairs>
  <TitlesOfParts>
    <vt:vector size="29" baseType="lpstr">
      <vt:lpstr>Instructions</vt:lpstr>
      <vt:lpstr>Rent Adjustment Guide</vt:lpstr>
      <vt:lpstr>Utilities Guide</vt:lpstr>
      <vt:lpstr>Old Market Rent Guide</vt:lpstr>
      <vt:lpstr>Old Guide</vt:lpstr>
      <vt:lpstr>Market Rent Guide</vt:lpstr>
      <vt:lpstr>Rent Adjustment Worksheet</vt:lpstr>
      <vt:lpstr>Utilities Worksheet</vt:lpstr>
      <vt:lpstr>Studio</vt:lpstr>
      <vt:lpstr>1 BR</vt:lpstr>
      <vt:lpstr>2 BR</vt:lpstr>
      <vt:lpstr>3 BR</vt:lpstr>
      <vt:lpstr>4 BR</vt:lpstr>
      <vt:lpstr>5 BR</vt:lpstr>
      <vt:lpstr>6 BR</vt:lpstr>
      <vt:lpstr>Laundry</vt:lpstr>
      <vt:lpstr>AC</vt:lpstr>
      <vt:lpstr>Justifications</vt:lpstr>
      <vt:lpstr>Summary Sheet</vt:lpstr>
      <vt:lpstr>Updates to Rent Adjust WorkSh</vt:lpstr>
      <vt:lpstr>Updates to Summary</vt:lpstr>
      <vt:lpstr>Updates to BR</vt:lpstr>
      <vt:lpstr>DropDown</vt:lpstr>
      <vt:lpstr>7 BR</vt:lpstr>
      <vt:lpstr>Test Rent Adjustment</vt:lpstr>
      <vt:lpstr>'Rent Adjustment Guide'!Print_Area</vt:lpstr>
      <vt:lpstr>'Rent Adjustment Worksheet'!Print_Area</vt:lpstr>
      <vt:lpstr>'Summary Sheet'!Print_Area</vt:lpstr>
      <vt:lpstr>'Updates to Rent Adjust WorkSh'!Print_Area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Whitney Duffey Jones</dc:creator>
  <cp:keywords/>
  <dc:description/>
  <cp:lastModifiedBy>Busch, Karal O</cp:lastModifiedBy>
  <cp:revision/>
  <dcterms:created xsi:type="dcterms:W3CDTF">2017-01-31T15:17:29Z</dcterms:created>
  <dcterms:modified xsi:type="dcterms:W3CDTF">2022-04-29T16:34:35Z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0x010100A7BE27003353954888358C37D25A1389</vt:lpwstr>
  </property>
</Properties>
</file>