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4EEEB158-526A-4100-9332-F2497B110DBE}" xr6:coauthVersionLast="45" xr6:coauthVersionMax="45" xr10:uidLastSave="{00000000-0000-0000-0000-000000000000}"/>
  <bookViews>
    <workbookView xWindow="-110" yWindow="-110" windowWidth="19420" windowHeight="10420" tabRatio="824" xr2:uid="{00000000-000D-0000-FFFF-FFFF00000000}"/>
  </bookViews>
  <sheets>
    <sheet name="Table 1a" sheetId="9" r:id="rId1"/>
    <sheet name="Table 1b" sheetId="10" r:id="rId2"/>
    <sheet name="Table 1c" sheetId="7" r:id="rId3"/>
    <sheet name="Table 2" sheetId="12" r:id="rId4"/>
    <sheet name="Capital and O&amp;M Costs" sheetId="5" r:id="rId5"/>
  </sheets>
  <externalReferences>
    <externalReference r:id="rId6"/>
  </externalReferences>
  <definedNames>
    <definedName name="\b" localSheetId="0">#REF!</definedName>
    <definedName name="\b" localSheetId="1">#REF!</definedName>
    <definedName name="\b" localSheetId="3">#REF!</definedName>
    <definedName name="\b">#REF!</definedName>
    <definedName name="\c" localSheetId="0">#REF!</definedName>
    <definedName name="\c" localSheetId="1">#REF!</definedName>
    <definedName name="\c" localSheetId="3">#REF!</definedName>
    <definedName name="\c">#REF!</definedName>
    <definedName name="\p">#N/A</definedName>
    <definedName name="\z" localSheetId="0">#REF!</definedName>
    <definedName name="\z" localSheetId="1">#REF!</definedName>
    <definedName name="\z" localSheetId="3">#REF!</definedName>
    <definedName name="\z">#REF!</definedName>
    <definedName name="APPC" localSheetId="0">#REF!</definedName>
    <definedName name="APPC" localSheetId="1">#REF!</definedName>
    <definedName name="APPC" localSheetId="3">#REF!</definedName>
    <definedName name="APPC">#REF!</definedName>
    <definedName name="cler">[1]basis!$C$26</definedName>
    <definedName name="comptime" localSheetId="3">'Table 2'!#REF!</definedName>
    <definedName name="DUST" localSheetId="0">#REF!</definedName>
    <definedName name="DUST" localSheetId="1">#REF!</definedName>
    <definedName name="DUST" localSheetId="3">#REF!</definedName>
    <definedName name="DUST">#REF!</definedName>
    <definedName name="excd">[1]basis!$C$19</definedName>
    <definedName name="goobers">#REF!</definedName>
    <definedName name="GOVERNMENT" localSheetId="0">#REF!</definedName>
    <definedName name="GOVERNMENT" localSheetId="1">#REF!</definedName>
    <definedName name="GOVERNMENT" localSheetId="3">#REF!</definedName>
    <definedName name="GOVERNMENT">#REF!</definedName>
    <definedName name="INDUSTRY" localSheetId="0">#REF!</definedName>
    <definedName name="INDUSTRY" localSheetId="1">#REF!</definedName>
    <definedName name="INDUSTRY" localSheetId="3">#REF!</definedName>
    <definedName name="INDUSTRY">#REF!</definedName>
    <definedName name="June_2003_HMIWI_Inventory" localSheetId="0">#REF!</definedName>
    <definedName name="June_2003_HMIWI_Inventory" localSheetId="1">#REF!</definedName>
    <definedName name="June_2003_HMIWI_Inventory" localSheetId="3">#REF!</definedName>
    <definedName name="June_2003_HMIWI_Inventory">#REF!</definedName>
    <definedName name="LIME" localSheetId="0">#REF!</definedName>
    <definedName name="LIME" localSheetId="1">#REF!</definedName>
    <definedName name="LIME" localSheetId="3">#REF!</definedName>
    <definedName name="LIME">#REF!</definedName>
    <definedName name="lit">[1]basis!$C$13</definedName>
    <definedName name="mang">[1]basis!$C$25</definedName>
    <definedName name="new_respondents">[1]basis!$C$17</definedName>
    <definedName name="noexcd">[1]basis!$C$20</definedName>
    <definedName name="_xlnm.Print_Area" localSheetId="0">'Table 1a'!$A$1:$K$61</definedName>
    <definedName name="_xlnm.Print_Area" localSheetId="1">'Table 1b'!$A$1:$K$57</definedName>
    <definedName name="_xlnm.Print_Area" localSheetId="3">'Table 2'!$A$1:$I$46</definedName>
    <definedName name="_xlnm.Print_Titles" localSheetId="0">'Table 1a'!$1:$3</definedName>
    <definedName name="_xlnm.Print_Titles" localSheetId="1">'Table 1b'!$1:$3</definedName>
    <definedName name="read1" localSheetId="0">#REF!</definedName>
    <definedName name="read1" localSheetId="1">#REF!</definedName>
    <definedName name="read1" localSheetId="3">#REF!</definedName>
    <definedName name="read1">#REF!</definedName>
    <definedName name="respondents" localSheetId="3">'Table 2'!#REF!</definedName>
    <definedName name="retest" localSheetId="3">'Table 2'!#REF!</definedName>
    <definedName name="sperfac" localSheetId="3">'Table 2'!#REF!</definedName>
    <definedName name="ssmalf">[1]basis!$C$21</definedName>
    <definedName name="TABLE1" localSheetId="0">#REF!</definedName>
    <definedName name="TABLE1" localSheetId="1">#REF!</definedName>
    <definedName name="TABLE1" localSheetId="3">#REF!</definedName>
    <definedName name="TABLE1">#REF!</definedName>
    <definedName name="TABLE16">#N/A</definedName>
    <definedName name="TABLE17">#N/A</definedName>
    <definedName name="TABLE2" localSheetId="0">#REF!</definedName>
    <definedName name="TABLE2" localSheetId="1">#REF!</definedName>
    <definedName name="TABLE2" localSheetId="3">#REF!</definedName>
    <definedName name="TABLE2">#REF!</definedName>
    <definedName name="TABLE23">#N/A</definedName>
    <definedName name="tech">[1]basis!$C$24</definedName>
    <definedName name="TOTAL" localSheetId="0">#REF!</definedName>
    <definedName name="TOTAL" localSheetId="1">#REF!</definedName>
    <definedName name="TOTAL" localSheetId="3">#REF!</definedName>
    <definedName name="TOTAL">#REF!</definedName>
    <definedName name="zilch">#REF!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5" l="1"/>
  <c r="I7" i="7" l="1"/>
  <c r="I6" i="7"/>
  <c r="J47" i="10"/>
  <c r="J31" i="10"/>
  <c r="F50" i="5" l="1"/>
  <c r="J46" i="10"/>
  <c r="F44" i="10"/>
  <c r="E25" i="10"/>
  <c r="E7" i="10"/>
  <c r="J47" i="9"/>
  <c r="J46" i="9"/>
  <c r="J45" i="9"/>
  <c r="F45" i="9"/>
  <c r="J44" i="9"/>
  <c r="F44" i="9"/>
  <c r="J41" i="9"/>
  <c r="J30" i="9"/>
  <c r="J25" i="9"/>
  <c r="J7" i="9"/>
  <c r="F31" i="9"/>
  <c r="D29" i="10" l="1"/>
  <c r="G29" i="10" s="1"/>
  <c r="D29" i="9"/>
  <c r="H29" i="10" l="1"/>
  <c r="I29" i="10"/>
  <c r="E27" i="12" l="1"/>
  <c r="E28" i="12"/>
  <c r="E24" i="12"/>
  <c r="E25" i="12"/>
  <c r="E26" i="12"/>
  <c r="F26" i="12" s="1"/>
  <c r="E12" i="12"/>
  <c r="D26" i="12"/>
  <c r="D27" i="12"/>
  <c r="D28" i="12"/>
  <c r="F28" i="12" l="1"/>
  <c r="H28" i="12" s="1"/>
  <c r="F27" i="12"/>
  <c r="G27" i="12" s="1"/>
  <c r="H26" i="12"/>
  <c r="G26" i="12"/>
  <c r="I26" i="12" s="1"/>
  <c r="G20" i="5"/>
  <c r="D20" i="5"/>
  <c r="H27" i="12" l="1"/>
  <c r="I27" i="12" s="1"/>
  <c r="G28" i="12"/>
  <c r="I28" i="12" s="1"/>
  <c r="D35" i="5"/>
  <c r="D36" i="5"/>
  <c r="D37" i="5"/>
  <c r="D38" i="5"/>
  <c r="D39" i="5"/>
  <c r="D40" i="5"/>
  <c r="D41" i="5"/>
  <c r="D42" i="5"/>
  <c r="D43" i="5"/>
  <c r="D44" i="5"/>
  <c r="D45" i="5"/>
  <c r="D46" i="5"/>
  <c r="D47" i="5"/>
  <c r="D48" i="5"/>
  <c r="D49" i="5"/>
  <c r="D34" i="5"/>
  <c r="D32" i="5"/>
  <c r="D33" i="5"/>
  <c r="D31" i="5"/>
  <c r="C36" i="5"/>
  <c r="C37" i="5"/>
  <c r="C38" i="5"/>
  <c r="F38" i="5" s="1"/>
  <c r="C39" i="5"/>
  <c r="C42" i="5"/>
  <c r="F42" i="5" s="1"/>
  <c r="C43" i="5"/>
  <c r="C45" i="5"/>
  <c r="C46" i="5"/>
  <c r="F46" i="5" s="1"/>
  <c r="C47" i="5"/>
  <c r="C48" i="5"/>
  <c r="C49" i="5"/>
  <c r="F49" i="5" s="1"/>
  <c r="C34" i="5"/>
  <c r="F34" i="5" s="1"/>
  <c r="C32" i="5"/>
  <c r="F32" i="5" s="1"/>
  <c r="C31" i="5"/>
  <c r="G17" i="5"/>
  <c r="C18" i="5"/>
  <c r="C19" i="5" s="1"/>
  <c r="G19" i="5" s="1"/>
  <c r="E20" i="5"/>
  <c r="F20" i="5"/>
  <c r="F47" i="5" l="1"/>
  <c r="F39" i="5"/>
  <c r="F37" i="5"/>
  <c r="F45" i="5"/>
  <c r="F48" i="5"/>
  <c r="F31" i="5"/>
  <c r="F36" i="5"/>
  <c r="F43" i="5"/>
  <c r="G18" i="5"/>
  <c r="C20" i="5"/>
  <c r="D28" i="10" l="1"/>
  <c r="G28" i="10" s="1"/>
  <c r="D27" i="10"/>
  <c r="G27" i="10" s="1"/>
  <c r="D26" i="10"/>
  <c r="G26" i="10" s="1"/>
  <c r="G29" i="9"/>
  <c r="H29" i="9" s="1"/>
  <c r="H27" i="10" l="1"/>
  <c r="I27" i="10"/>
  <c r="I26" i="10"/>
  <c r="H26" i="10"/>
  <c r="I28" i="10"/>
  <c r="H28" i="10"/>
  <c r="I29" i="9"/>
  <c r="D26" i="9"/>
  <c r="D27" i="9"/>
  <c r="G27" i="9" s="1"/>
  <c r="D28" i="9"/>
  <c r="G28" i="9" l="1"/>
  <c r="H28" i="9" s="1"/>
  <c r="G26" i="9"/>
  <c r="H26" i="9" s="1"/>
  <c r="H27" i="9"/>
  <c r="I27" i="9"/>
  <c r="I28" i="9" l="1"/>
  <c r="I26" i="9"/>
  <c r="M11" i="10"/>
  <c r="M9" i="10"/>
  <c r="M8" i="10"/>
  <c r="M10" i="10"/>
  <c r="M11" i="9"/>
  <c r="M9" i="9"/>
  <c r="M8" i="9"/>
  <c r="M10" i="9"/>
  <c r="D41" i="10"/>
  <c r="D40" i="10"/>
  <c r="G40" i="10" s="1"/>
  <c r="D39" i="10"/>
  <c r="D38" i="10"/>
  <c r="D30" i="10"/>
  <c r="D25" i="10"/>
  <c r="D22" i="10"/>
  <c r="D21" i="10"/>
  <c r="D19" i="10"/>
  <c r="G19" i="10" s="1"/>
  <c r="D18" i="10"/>
  <c r="G18" i="10" s="1"/>
  <c r="D17" i="10"/>
  <c r="G17" i="10" s="1"/>
  <c r="D16" i="10"/>
  <c r="D15" i="10"/>
  <c r="G15" i="10" s="1"/>
  <c r="D10" i="10"/>
  <c r="G10" i="10" s="1"/>
  <c r="D9" i="10"/>
  <c r="G9" i="10" s="1"/>
  <c r="D7" i="10"/>
  <c r="D7" i="9"/>
  <c r="D9" i="9"/>
  <c r="G9" i="9" s="1"/>
  <c r="D10" i="9"/>
  <c r="G10" i="9" s="1"/>
  <c r="D15" i="9"/>
  <c r="G15" i="9" s="1"/>
  <c r="D16" i="9"/>
  <c r="D17" i="9"/>
  <c r="G17" i="9" s="1"/>
  <c r="D18" i="9"/>
  <c r="G18" i="9" s="1"/>
  <c r="D19" i="9"/>
  <c r="G19" i="9" s="1"/>
  <c r="D21" i="9"/>
  <c r="D22" i="9"/>
  <c r="D25" i="9"/>
  <c r="D30" i="9"/>
  <c r="D38" i="9"/>
  <c r="D39" i="9"/>
  <c r="D40" i="9"/>
  <c r="G40" i="9" s="1"/>
  <c r="D41" i="9"/>
  <c r="D4" i="12"/>
  <c r="F4" i="12" s="1"/>
  <c r="J29" i="9" l="1"/>
  <c r="J29" i="10"/>
  <c r="J27" i="10"/>
  <c r="J28" i="10"/>
  <c r="J26" i="10"/>
  <c r="J28" i="9"/>
  <c r="J27" i="9"/>
  <c r="J26" i="9"/>
  <c r="D12" i="12"/>
  <c r="F12" i="12" s="1"/>
  <c r="D16" i="12"/>
  <c r="F16" i="12" s="1"/>
  <c r="D24" i="12"/>
  <c r="F24" i="12" s="1"/>
  <c r="D22" i="12"/>
  <c r="F22" i="12" s="1"/>
  <c r="D21" i="12"/>
  <c r="F21" i="12" s="1"/>
  <c r="D20" i="12"/>
  <c r="D19" i="12"/>
  <c r="F19" i="12" s="1"/>
  <c r="D18" i="12"/>
  <c r="D17" i="12"/>
  <c r="F17" i="12" s="1"/>
  <c r="D14" i="12"/>
  <c r="F14" i="12" s="1"/>
  <c r="D11" i="12"/>
  <c r="F11" i="12" s="1"/>
  <c r="D10" i="12"/>
  <c r="F10" i="12" s="1"/>
  <c r="D9" i="12"/>
  <c r="D8" i="12"/>
  <c r="F8" i="12" s="1"/>
  <c r="D7" i="12"/>
  <c r="D5" i="12"/>
  <c r="F5" i="12" s="1"/>
  <c r="E16" i="10"/>
  <c r="E16" i="9"/>
  <c r="G16" i="9" s="1"/>
  <c r="E41" i="10"/>
  <c r="G41" i="10" s="1"/>
  <c r="E41" i="9"/>
  <c r="G41" i="9" s="1"/>
  <c r="B11" i="9"/>
  <c r="E11" i="9"/>
  <c r="B20" i="9"/>
  <c r="D20" i="9" s="1"/>
  <c r="G20" i="9" s="1"/>
  <c r="E21" i="9"/>
  <c r="E38" i="9"/>
  <c r="G38" i="9" s="1"/>
  <c r="E39" i="9"/>
  <c r="G39" i="9" s="1"/>
  <c r="H9" i="10"/>
  <c r="B11" i="10"/>
  <c r="E11" i="10"/>
  <c r="H18" i="10"/>
  <c r="B20" i="10"/>
  <c r="E21" i="10"/>
  <c r="C40" i="5" s="1"/>
  <c r="F40" i="5" s="1"/>
  <c r="E38" i="10"/>
  <c r="G38" i="10" s="1"/>
  <c r="E39" i="10"/>
  <c r="G39" i="10" s="1"/>
  <c r="E8" i="5"/>
  <c r="C33" i="5" l="1"/>
  <c r="F33" i="5" s="1"/>
  <c r="G16" i="10"/>
  <c r="C35" i="5"/>
  <c r="F35" i="5" s="1"/>
  <c r="G24" i="12"/>
  <c r="H24" i="12"/>
  <c r="F18" i="12"/>
  <c r="H18" i="12" s="1"/>
  <c r="F20" i="12"/>
  <c r="G20" i="12" s="1"/>
  <c r="F7" i="12"/>
  <c r="G7" i="12" s="1"/>
  <c r="F9" i="12"/>
  <c r="G9" i="12" s="1"/>
  <c r="E22" i="10"/>
  <c r="G21" i="10"/>
  <c r="H21" i="10" s="1"/>
  <c r="E22" i="9"/>
  <c r="G22" i="9" s="1"/>
  <c r="H22" i="9" s="1"/>
  <c r="G21" i="9"/>
  <c r="I21" i="9" s="1"/>
  <c r="D11" i="9"/>
  <c r="G11" i="9" s="1"/>
  <c r="I39" i="10"/>
  <c r="D20" i="10"/>
  <c r="G20" i="10" s="1"/>
  <c r="I20" i="10" s="1"/>
  <c r="D11" i="10"/>
  <c r="G11" i="10" s="1"/>
  <c r="I18" i="9"/>
  <c r="H18" i="9"/>
  <c r="H38" i="10"/>
  <c r="H17" i="9"/>
  <c r="I17" i="9"/>
  <c r="I41" i="9"/>
  <c r="H39" i="9"/>
  <c r="I38" i="9"/>
  <c r="H15" i="10"/>
  <c r="I15" i="10"/>
  <c r="I41" i="10"/>
  <c r="I16" i="9"/>
  <c r="H16" i="9"/>
  <c r="G5" i="12"/>
  <c r="H5" i="12"/>
  <c r="G14" i="12"/>
  <c r="H14" i="12"/>
  <c r="G21" i="12"/>
  <c r="H21" i="12"/>
  <c r="H20" i="9"/>
  <c r="I20" i="9"/>
  <c r="I15" i="9"/>
  <c r="H15" i="9"/>
  <c r="G22" i="12"/>
  <c r="H22" i="12"/>
  <c r="H9" i="9"/>
  <c r="I9" i="9"/>
  <c r="G17" i="12"/>
  <c r="H17" i="12"/>
  <c r="I19" i="10"/>
  <c r="H19" i="10"/>
  <c r="I40" i="9"/>
  <c r="H40" i="9"/>
  <c r="H19" i="9"/>
  <c r="I19" i="9"/>
  <c r="G8" i="12"/>
  <c r="H8" i="12"/>
  <c r="G19" i="12"/>
  <c r="H19" i="12"/>
  <c r="G16" i="12"/>
  <c r="H16" i="12"/>
  <c r="H40" i="10"/>
  <c r="I40" i="10"/>
  <c r="I17" i="10"/>
  <c r="H17" i="10"/>
  <c r="G10" i="12"/>
  <c r="H10" i="12"/>
  <c r="H12" i="12"/>
  <c r="G12" i="12"/>
  <c r="H4" i="12"/>
  <c r="G4" i="12"/>
  <c r="G11" i="12"/>
  <c r="H11" i="12"/>
  <c r="I9" i="10"/>
  <c r="H7" i="12"/>
  <c r="H39" i="10"/>
  <c r="I18" i="10"/>
  <c r="G30" i="10"/>
  <c r="E25" i="9"/>
  <c r="H20" i="12"/>
  <c r="G30" i="9"/>
  <c r="G22" i="10" l="1"/>
  <c r="C41" i="5"/>
  <c r="F41" i="5" s="1"/>
  <c r="G25" i="10"/>
  <c r="E23" i="12"/>
  <c r="I18" i="12"/>
  <c r="I20" i="12"/>
  <c r="G18" i="12"/>
  <c r="I24" i="12"/>
  <c r="H9" i="12"/>
  <c r="I19" i="12"/>
  <c r="I7" i="12"/>
  <c r="I9" i="12"/>
  <c r="I5" i="12"/>
  <c r="G25" i="9"/>
  <c r="C44" i="5"/>
  <c r="F44" i="5" s="1"/>
  <c r="I38" i="10"/>
  <c r="H20" i="10"/>
  <c r="I21" i="10"/>
  <c r="H21" i="9"/>
  <c r="I39" i="9"/>
  <c r="H41" i="9"/>
  <c r="I12" i="12"/>
  <c r="I22" i="12"/>
  <c r="I22" i="9"/>
  <c r="H38" i="9"/>
  <c r="I4" i="12"/>
  <c r="I14" i="12"/>
  <c r="I8" i="12"/>
  <c r="I16" i="12"/>
  <c r="I10" i="12"/>
  <c r="I17" i="12"/>
  <c r="I11" i="12"/>
  <c r="I21" i="12"/>
  <c r="H41" i="10"/>
  <c r="J41" i="10" s="1"/>
  <c r="J44" i="10" s="1"/>
  <c r="I30" i="9"/>
  <c r="H30" i="9"/>
  <c r="I16" i="10"/>
  <c r="H16" i="10"/>
  <c r="G6" i="5"/>
  <c r="H6" i="5" s="1"/>
  <c r="G7" i="5"/>
  <c r="I30" i="10"/>
  <c r="H30" i="10"/>
  <c r="H22" i="10"/>
  <c r="I22" i="10"/>
  <c r="E5" i="7" l="1"/>
  <c r="C7" i="7"/>
  <c r="H7" i="5"/>
  <c r="E6" i="7"/>
  <c r="J30" i="10"/>
  <c r="G8" i="5"/>
  <c r="I25" i="10"/>
  <c r="H25" i="10"/>
  <c r="H25" i="9"/>
  <c r="I25" i="9"/>
  <c r="D25" i="12"/>
  <c r="F25" i="12" s="1"/>
  <c r="D23" i="12"/>
  <c r="F23" i="12" s="1"/>
  <c r="H6" i="7" l="1"/>
  <c r="H8" i="5"/>
  <c r="H25" i="12"/>
  <c r="G25" i="12"/>
  <c r="I25" i="12" s="1"/>
  <c r="C5" i="7"/>
  <c r="C6" i="7"/>
  <c r="E7" i="7"/>
  <c r="J25" i="10"/>
  <c r="G23" i="12"/>
  <c r="H23" i="12"/>
  <c r="E7" i="9"/>
  <c r="H5" i="7"/>
  <c r="H7" i="7" s="1"/>
  <c r="G7" i="9" l="1"/>
  <c r="B5" i="7"/>
  <c r="F30" i="12"/>
  <c r="G7" i="10"/>
  <c r="B6" i="7"/>
  <c r="I23" i="12"/>
  <c r="B7" i="7"/>
  <c r="I30" i="12" l="1"/>
  <c r="H7" i="9"/>
  <c r="I7" i="9"/>
  <c r="H7" i="10"/>
  <c r="I7" i="10"/>
  <c r="J7" i="10" s="1"/>
  <c r="F31" i="10" l="1"/>
  <c r="F45" i="10" s="1"/>
  <c r="J45" i="10"/>
  <c r="J31" i="9"/>
  <c r="D6" i="7" l="1"/>
  <c r="F6" i="7" s="1"/>
  <c r="G6" i="7"/>
  <c r="D5" i="7"/>
  <c r="F5" i="7" s="1"/>
  <c r="G5" i="7"/>
  <c r="F7" i="7" l="1"/>
  <c r="G7" i="7"/>
  <c r="I5" i="7"/>
  <c r="D7" i="7"/>
</calcChain>
</file>

<file path=xl/sharedStrings.xml><?xml version="1.0" encoding="utf-8"?>
<sst xmlns="http://schemas.openxmlformats.org/spreadsheetml/2006/main" count="361" uniqueCount="228">
  <si>
    <t>N/A</t>
  </si>
  <si>
    <t>Labor Rates</t>
  </si>
  <si>
    <t>Management</t>
  </si>
  <si>
    <t>Technical</t>
  </si>
  <si>
    <t>Clerical</t>
  </si>
  <si>
    <t>Number of Respondents</t>
  </si>
  <si>
    <t>Respondents That Submit Reports</t>
  </si>
  <si>
    <t>Respondents That Do Not Submit Any Reports</t>
  </si>
  <si>
    <t>(A)</t>
  </si>
  <si>
    <t>(B)</t>
  </si>
  <si>
    <t>(C)</t>
  </si>
  <si>
    <t>(D)</t>
  </si>
  <si>
    <t>(E)</t>
  </si>
  <si>
    <t>Year</t>
  </si>
  <si>
    <t>Number of New Respondents</t>
  </si>
  <si>
    <t>Average</t>
  </si>
  <si>
    <t>Total Annual Responses</t>
  </si>
  <si>
    <t>Total</t>
  </si>
  <si>
    <t>hrs/response:</t>
  </si>
  <si>
    <t>Number of Respondents
(E=A+B+C-D)</t>
  </si>
  <si>
    <t>Capital/Startup vs. Operation and Maintenance (O&amp;M) Costs</t>
  </si>
  <si>
    <t>(F)</t>
  </si>
  <si>
    <t>(G)</t>
  </si>
  <si>
    <t>Requirement</t>
  </si>
  <si>
    <t>Capital/Startup Cost for One Respondent</t>
  </si>
  <si>
    <r>
      <t xml:space="preserve">Total Capital/Startup Cost,  (B X C) </t>
    </r>
    <r>
      <rPr>
        <vertAlign val="superscript"/>
        <sz val="10"/>
        <color rgb="FF000000"/>
        <rFont val="Times New Roman"/>
        <family val="1"/>
      </rPr>
      <t>b</t>
    </r>
  </si>
  <si>
    <t>Annual O&amp;M Costs for One Respondent</t>
  </si>
  <si>
    <t>Number of Respondents  with O&amp;M</t>
  </si>
  <si>
    <t>N/A - Not Applicable</t>
  </si>
  <si>
    <t>Total O&amp;M, 
(E X F)</t>
  </si>
  <si>
    <t>Note: Totals have been rounded to three significant figures.</t>
  </si>
  <si>
    <t>NESHAP for Municipal Solid Waste Landfills (40 CFR Part 63, Subpart AAAA) (Renewal)</t>
  </si>
  <si>
    <t>Labor Hours</t>
  </si>
  <si>
    <t>Affected Sector</t>
  </si>
  <si>
    <t>Number of Respondents per Year (Average)</t>
  </si>
  <si>
    <t>Number of Responses Per Year (Average)</t>
  </si>
  <si>
    <t>Reporting</t>
  </si>
  <si>
    <t>All Respondents - Total</t>
  </si>
  <si>
    <t xml:space="preserve">All Respondents - Private Sector </t>
  </si>
  <si>
    <t xml:space="preserve">All Respondents - Public Sector </t>
  </si>
  <si>
    <t>Photocopying and postage - Private Sector</t>
  </si>
  <si>
    <t>Photocopying and postage - Public Sector</t>
  </si>
  <si>
    <t>Costs</t>
  </si>
  <si>
    <t>Table 1c: Summary of Annual Respondent Burden and Cost Breakdown by Affected Sector - NESHAP for Municipal Solid Waste Landfills (40 CFR Part 63, Subpart AAAA) (Renewal)</t>
  </si>
  <si>
    <t>Subtotal for Recordkeeping Requirements</t>
  </si>
  <si>
    <t>Included in 3a</t>
  </si>
  <si>
    <t>4.  Recordkeeping Requirements</t>
  </si>
  <si>
    <t>Subtotal for Reporting Requirements</t>
  </si>
  <si>
    <t>Included in 3B</t>
  </si>
  <si>
    <t>10. Compliance Report</t>
  </si>
  <si>
    <t>9. Initial Performance Test</t>
  </si>
  <si>
    <t>3. Reporting Requirements</t>
  </si>
  <si>
    <t>2. Surveys and Studies</t>
  </si>
  <si>
    <t>1. Applications</t>
  </si>
  <si>
    <t>(B2)
Annual Non-Labor O&amp;M Costs Per Occurrence</t>
  </si>
  <si>
    <t>(B1)
Annualized Non-Labor Capital Costs Per Occurrence</t>
  </si>
  <si>
    <t>Burden Item</t>
  </si>
  <si>
    <t>Information Collection Activity</t>
  </si>
  <si>
    <t>Number of Responses</t>
  </si>
  <si>
    <t>Number of Existing Respondents That Keep Records But Do Not Submit Reports</t>
  </si>
  <si>
    <t>Amended Design Capacity Report</t>
  </si>
  <si>
    <t>Landfill Closure Report</t>
  </si>
  <si>
    <t>Equipment Removal Report</t>
  </si>
  <si>
    <t>Collection and Control System Design Plan</t>
  </si>
  <si>
    <t>Revised Design Plan</t>
  </si>
  <si>
    <t>Footnotes:</t>
  </si>
  <si>
    <t xml:space="preserve">Number of Respondents </t>
  </si>
  <si>
    <t>Total Annual Responses
E=(BxC)+D</t>
  </si>
  <si>
    <t>Record keeping</t>
  </si>
  <si>
    <t>Total (Rounded)</t>
  </si>
  <si>
    <t>Labor Cost (rounded)</t>
  </si>
  <si>
    <t>Capital and O&amp;M Cost (rounded)</t>
  </si>
  <si>
    <t>Total Costs (Rounded)</t>
  </si>
  <si>
    <t>3 days * ($134 hotel + $63 meals/incidentals) + ($600 round trip) = $1191 per trip</t>
  </si>
  <si>
    <t>3. Required activities</t>
  </si>
  <si>
    <t>5. Notification requirements</t>
  </si>
  <si>
    <t>6. Reporting requirements</t>
  </si>
  <si>
    <t>Labor</t>
  </si>
  <si>
    <t>Category</t>
  </si>
  <si>
    <t>Rates</t>
  </si>
  <si>
    <t>Occupation Code</t>
  </si>
  <si>
    <t>11-9198</t>
  </si>
  <si>
    <t>Technical - Civil Engineer</t>
  </si>
  <si>
    <t>17-2051</t>
  </si>
  <si>
    <t>Technical - Civil Engineering Technician</t>
  </si>
  <si>
    <t>17-3022</t>
  </si>
  <si>
    <t>43-9061</t>
  </si>
  <si>
    <t xml:space="preserve">https://www.bls.gov/oes/current/oes_nat.htm#11-0000 </t>
  </si>
  <si>
    <t xml:space="preserve">(A)
EPA hours per occurrence </t>
  </si>
  <si>
    <t xml:space="preserve">(B)
Number of occurrences per year </t>
  </si>
  <si>
    <t>(C)
EPA hours per occurrence per year (C=A×B)</t>
  </si>
  <si>
    <t>(D)
Technical hours per year (D=C)</t>
  </si>
  <si>
    <t>(E)
Management hours per year (E=D×0.05)</t>
  </si>
  <si>
    <t>(F)
Clerical hours per year 
(F=D×0.1)</t>
  </si>
  <si>
    <r>
      <t xml:space="preserve">(D)
Landfills per year </t>
    </r>
    <r>
      <rPr>
        <vertAlign val="superscript"/>
        <sz val="10"/>
        <rFont val="Times New Roman"/>
        <family val="1"/>
      </rPr>
      <t>a</t>
    </r>
  </si>
  <si>
    <r>
      <t xml:space="preserve">(J)  
Total Labor Costs Per Year </t>
    </r>
    <r>
      <rPr>
        <vertAlign val="superscript"/>
        <sz val="10"/>
        <rFont val="Times New Roman"/>
        <family val="1"/>
      </rPr>
      <t>b</t>
    </r>
  </si>
  <si>
    <r>
      <t xml:space="preserve">1. Initial design capacity report </t>
    </r>
    <r>
      <rPr>
        <vertAlign val="superscript"/>
        <sz val="10"/>
        <rFont val="Times New Roman"/>
        <family val="1"/>
      </rPr>
      <t>e</t>
    </r>
  </si>
  <si>
    <r>
      <t xml:space="preserve">2. Amended design capacity report </t>
    </r>
    <r>
      <rPr>
        <vertAlign val="superscript"/>
        <sz val="10"/>
        <rFont val="Times New Roman"/>
        <family val="1"/>
      </rPr>
      <t>e</t>
    </r>
  </si>
  <si>
    <r>
      <t xml:space="preserve">3. Report of NMOC rate (Tier 1) </t>
    </r>
    <r>
      <rPr>
        <vertAlign val="superscript"/>
        <sz val="10"/>
        <rFont val="Times New Roman"/>
        <family val="1"/>
      </rPr>
      <t>e</t>
    </r>
  </si>
  <si>
    <r>
      <t xml:space="preserve">5. Landfill Closure Report </t>
    </r>
    <r>
      <rPr>
        <vertAlign val="superscript"/>
        <sz val="10"/>
        <rFont val="Times New Roman"/>
        <family val="1"/>
      </rPr>
      <t>e</t>
    </r>
  </si>
  <si>
    <r>
      <t xml:space="preserve">6. Equipment Removal Report </t>
    </r>
    <r>
      <rPr>
        <vertAlign val="superscript"/>
        <sz val="10"/>
        <rFont val="Times New Roman"/>
        <family val="1"/>
      </rPr>
      <t>e</t>
    </r>
  </si>
  <si>
    <r>
      <t xml:space="preserve">7. Collection and Control System Design Plan </t>
    </r>
    <r>
      <rPr>
        <vertAlign val="superscript"/>
        <sz val="10"/>
        <rFont val="Times New Roman"/>
        <family val="1"/>
      </rPr>
      <t>e</t>
    </r>
  </si>
  <si>
    <r>
      <t xml:space="preserve">8. Revised design plan </t>
    </r>
    <r>
      <rPr>
        <vertAlign val="superscript"/>
        <sz val="10"/>
        <rFont val="Times New Roman"/>
        <family val="1"/>
      </rPr>
      <t>e</t>
    </r>
  </si>
  <si>
    <t>Table 2: Average Annual EPA Burden and Cost - NESHAP for Municipal Solid Waste Landfills (40 CFR Part 63, Subpart AAAA) (Renewal)</t>
  </si>
  <si>
    <t>Assumptions:</t>
  </si>
  <si>
    <t>(A) 
Person Hours per Occurrence</t>
  </si>
  <si>
    <t>(B) 
Number of Occurrences Per Respondent Per Year</t>
  </si>
  <si>
    <t>(C) 
Technical Person-Hours per Respondent Per Year
 (A x B)</t>
  </si>
  <si>
    <t>D.  Gather Information</t>
  </si>
  <si>
    <t xml:space="preserve">C.  Create Information </t>
  </si>
  <si>
    <t>B.  Required Activities</t>
  </si>
  <si>
    <t>A.  Read Instructions</t>
  </si>
  <si>
    <t>B.  Plan Activities</t>
  </si>
  <si>
    <t>C.  Implement Activities</t>
  </si>
  <si>
    <t>D.  Develop Record System</t>
  </si>
  <si>
    <t>E.  Record Information</t>
  </si>
  <si>
    <t>E.  Personnel Training</t>
  </si>
  <si>
    <t>F.  Time for Audits</t>
  </si>
  <si>
    <r>
      <t xml:space="preserve">A.  Familiarization with regulatory requirements </t>
    </r>
    <r>
      <rPr>
        <vertAlign val="superscript"/>
        <sz val="10"/>
        <rFont val="Times New Roman"/>
        <family val="1"/>
      </rPr>
      <t>c</t>
    </r>
  </si>
  <si>
    <r>
      <t xml:space="preserve">(D) 
Average Number of Respondents Per Year </t>
    </r>
    <r>
      <rPr>
        <vertAlign val="superscript"/>
        <sz val="10"/>
        <rFont val="Times New Roman"/>
        <family val="1"/>
      </rPr>
      <t>a</t>
    </r>
  </si>
  <si>
    <t>(E) 
Civil Engineer Technician Hours  Per Year
 (A × C)</t>
  </si>
  <si>
    <t>(E) 
Civil Engineer Technician Hours Per Year
 (A × C)</t>
  </si>
  <si>
    <t>(F)
Civil Engineer Technical Hours per Year 
(E × F)</t>
  </si>
  <si>
    <t>(I) Management Hours per Year
(H × .05)</t>
  </si>
  <si>
    <t>(H) Clerical Hours per Year
(H × 0.1)</t>
  </si>
  <si>
    <t>(I)
Management Hours per Year 
(H × .05)</t>
  </si>
  <si>
    <t>(H)
Clerical Hours per Year
(H × 0.1)</t>
  </si>
  <si>
    <t>(F) 
Civil Engineer Hours per Year
(E × F)</t>
  </si>
  <si>
    <t>(A) Respondent Hours per Occurrence</t>
  </si>
  <si>
    <r>
      <rPr>
        <vertAlign val="superscript"/>
        <sz val="10"/>
        <color theme="1"/>
        <rFont val="Times New Roman"/>
        <family val="1"/>
      </rPr>
      <t>a</t>
    </r>
    <r>
      <rPr>
        <sz val="10"/>
        <color theme="1"/>
        <rFont val="Times New Roman"/>
        <family val="1"/>
      </rPr>
      <t xml:space="preserve">  We estimate that, during the three-year period of this ICR, there will be an average of 1,169 landfills per year (748 privately-owned and 421 publicly-owned) subject to the requirements of NESHAP Subpart AAAA. Of these, an average of 737 landfills per year (471 privately-owned and 265 publicly-owned) are controlling emissions.</t>
    </r>
  </si>
  <si>
    <r>
      <rPr>
        <vertAlign val="superscript"/>
        <sz val="10"/>
        <rFont val="Times New Roman"/>
        <family val="1"/>
      </rPr>
      <t>b</t>
    </r>
    <r>
      <rPr>
        <sz val="10"/>
        <rFont val="Times New Roman"/>
        <family val="1"/>
      </rPr>
      <t xml:space="preserve">  This ICR uses mean hourly wage for the following labor categories from the United States Department of Labor, Bureau of Labor Statistics, May 2020, “National Occupational Employment and Wage Estimates United States” for employees at privately-owned landfills: Managers, All Other for Managerial Labor, Civil Engineers, Civil Engineer Technicians, and Office Clerks, General for Clerical Labor. The rates have been increased by 110 percent to account for the benefit packages available to those employed by private industry. We assume that publicly-owned landfills will be operated and managed by private contractors.</t>
    </r>
  </si>
  <si>
    <r>
      <rPr>
        <vertAlign val="superscript"/>
        <sz val="10"/>
        <rFont val="Times New Roman"/>
        <family val="1"/>
      </rPr>
      <t>c</t>
    </r>
    <r>
      <rPr>
        <sz val="10"/>
        <rFont val="Times New Roman"/>
        <family val="1"/>
      </rPr>
      <t xml:space="preserve">  We have assumed that it will take five hours for each respondent to read instructions as part of their reporting requirements. </t>
    </r>
  </si>
  <si>
    <r>
      <t xml:space="preserve">1. Initial performance test report </t>
    </r>
    <r>
      <rPr>
        <vertAlign val="superscript"/>
        <sz val="10"/>
        <rFont val="Times New Roman"/>
        <family val="1"/>
      </rPr>
      <t>d</t>
    </r>
  </si>
  <si>
    <r>
      <t xml:space="preserve">2. Surface methane monitoring quarterly </t>
    </r>
    <r>
      <rPr>
        <vertAlign val="superscript"/>
        <sz val="10"/>
        <rFont val="Times New Roman"/>
        <family val="1"/>
      </rPr>
      <t>d</t>
    </r>
  </si>
  <si>
    <r>
      <t xml:space="preserve">3. Wellhead monitoring monthly </t>
    </r>
    <r>
      <rPr>
        <vertAlign val="superscript"/>
        <sz val="10"/>
        <rFont val="Times New Roman"/>
        <family val="1"/>
      </rPr>
      <t>d</t>
    </r>
  </si>
  <si>
    <t>E.  Report Preparation</t>
  </si>
  <si>
    <r>
      <t xml:space="preserve">4. Report of NMOC rate (Tier 2) </t>
    </r>
    <r>
      <rPr>
        <vertAlign val="superscript"/>
        <sz val="10"/>
        <rFont val="Times New Roman"/>
        <family val="1"/>
      </rPr>
      <t>e</t>
    </r>
  </si>
  <si>
    <r>
      <t xml:space="preserve">11. Semi-Annual Report </t>
    </r>
    <r>
      <rPr>
        <vertAlign val="superscript"/>
        <sz val="10"/>
        <rFont val="Times New Roman"/>
        <family val="1"/>
      </rPr>
      <t>f</t>
    </r>
  </si>
  <si>
    <r>
      <t xml:space="preserve">12. Corrective Action Analysis </t>
    </r>
    <r>
      <rPr>
        <vertAlign val="superscript"/>
        <sz val="10"/>
        <rFont val="Times New Roman"/>
        <family val="1"/>
      </rPr>
      <t>g</t>
    </r>
  </si>
  <si>
    <r>
      <t xml:space="preserve">13. Implementation Timeline </t>
    </r>
    <r>
      <rPr>
        <vertAlign val="superscript"/>
        <sz val="10"/>
        <rFont val="Times New Roman"/>
        <family val="1"/>
      </rPr>
      <t>g</t>
    </r>
  </si>
  <si>
    <r>
      <t xml:space="preserve">14. Root Cause Analysis </t>
    </r>
    <r>
      <rPr>
        <vertAlign val="superscript"/>
        <sz val="10"/>
        <rFont val="Times New Roman"/>
        <family val="1"/>
      </rPr>
      <t>g</t>
    </r>
  </si>
  <si>
    <r>
      <rPr>
        <vertAlign val="superscript"/>
        <sz val="10"/>
        <color theme="1"/>
        <rFont val="Times New Roman"/>
        <family val="1"/>
      </rPr>
      <t>f</t>
    </r>
    <r>
      <rPr>
        <sz val="10"/>
        <color theme="1"/>
        <rFont val="Times New Roman"/>
        <family val="1"/>
      </rPr>
      <t xml:space="preserve">  All controlled landfills are required to submit an annual report. Under the NESHAP rule, all controlled landfills are required to submit semiannual compliance reports. However, one annual compliance report is already required under 40 CFR Part 60, Subpart Cf, or 40 CFR Part 60, Subpart XXX. Therefore, this NESHAP rule requires only one additional report instead of two for this subpart to avoid double counting reports submitted for other subparts.</t>
    </r>
  </si>
  <si>
    <r>
      <t xml:space="preserve">8. Revised Design Plan </t>
    </r>
    <r>
      <rPr>
        <vertAlign val="superscript"/>
        <sz val="10"/>
        <rFont val="Times New Roman"/>
        <family val="1"/>
      </rPr>
      <t>e</t>
    </r>
  </si>
  <si>
    <r>
      <t xml:space="preserve">1. Initial Design Capacity Report </t>
    </r>
    <r>
      <rPr>
        <vertAlign val="superscript"/>
        <sz val="10"/>
        <rFont val="Times New Roman"/>
        <family val="1"/>
      </rPr>
      <t>e</t>
    </r>
  </si>
  <si>
    <r>
      <t xml:space="preserve">2. Amended Design Capacity Report </t>
    </r>
    <r>
      <rPr>
        <vertAlign val="superscript"/>
        <sz val="10"/>
        <rFont val="Times New Roman"/>
        <family val="1"/>
      </rPr>
      <t>e</t>
    </r>
  </si>
  <si>
    <r>
      <t xml:space="preserve">15. 24-Hour High Temperature Report </t>
    </r>
    <r>
      <rPr>
        <vertAlign val="superscript"/>
        <sz val="10"/>
        <color theme="1"/>
        <rFont val="Times New Roman"/>
        <family val="1"/>
      </rPr>
      <t>h</t>
    </r>
  </si>
  <si>
    <r>
      <t xml:space="preserve">16. Semi-Annual Wet Landfill Monitoring Report </t>
    </r>
    <r>
      <rPr>
        <vertAlign val="superscript"/>
        <sz val="10"/>
        <color theme="1"/>
        <rFont val="Times New Roman"/>
        <family val="1"/>
      </rPr>
      <t>i</t>
    </r>
  </si>
  <si>
    <r>
      <rPr>
        <vertAlign val="superscript"/>
        <sz val="10"/>
        <color theme="1"/>
        <rFont val="Times New Roman"/>
        <family val="1"/>
      </rPr>
      <t xml:space="preserve">i </t>
    </r>
    <r>
      <rPr>
        <sz val="10"/>
        <color theme="1"/>
        <rFont val="Times New Roman"/>
        <family val="1"/>
      </rPr>
      <t xml:space="preserve"> Landfills with a design capacity equal to or greater than 2.5 million megagrams and 2.5 million cubic meters that have employed leachate recirculation or added liquids based on a Research, Development, and Demonstration permit must file this report. We assume that, during the three-year period of this ICR, 190 privately-owned landfills and 99 publicly-owned landfills will be required to file this report. Under the NESHAP rule, these landfills are required to submit semiannual reports. However, one annual compliance report is already required under 40 CFR Part 60, Subpart Cf, or 40 CFR Part 60, Subpart XXX. Therefore, this NESHAP rule requires only one additional report instead of two for this subpart to avoid double counting reports submitted for other subparts.</t>
    </r>
  </si>
  <si>
    <t>Included in 3A</t>
  </si>
  <si>
    <r>
      <t xml:space="preserve">1. Data Compilation and Review (controllers) </t>
    </r>
    <r>
      <rPr>
        <vertAlign val="superscript"/>
        <sz val="10"/>
        <rFont val="Times New Roman"/>
        <family val="1"/>
      </rPr>
      <t>j</t>
    </r>
  </si>
  <si>
    <r>
      <t xml:space="preserve">2. Recordkeeping and Data Storage (controllers) </t>
    </r>
    <r>
      <rPr>
        <vertAlign val="superscript"/>
        <sz val="10"/>
        <rFont val="Times New Roman"/>
        <family val="1"/>
      </rPr>
      <t>j</t>
    </r>
  </si>
  <si>
    <r>
      <t xml:space="preserve">3. Recordkeeping and Data Storage (others) </t>
    </r>
    <r>
      <rPr>
        <vertAlign val="superscript"/>
        <sz val="10"/>
        <rFont val="Times New Roman"/>
        <family val="1"/>
      </rPr>
      <t>j</t>
    </r>
  </si>
  <si>
    <r>
      <t xml:space="preserve">4. Records of liquids addition </t>
    </r>
    <r>
      <rPr>
        <vertAlign val="superscript"/>
        <sz val="10"/>
        <rFont val="Times New Roman"/>
        <family val="1"/>
      </rPr>
      <t>k</t>
    </r>
  </si>
  <si>
    <r>
      <rPr>
        <vertAlign val="superscript"/>
        <sz val="10"/>
        <color theme="1"/>
        <rFont val="Times New Roman"/>
        <family val="1"/>
      </rPr>
      <t>k</t>
    </r>
    <r>
      <rPr>
        <sz val="10"/>
        <color theme="1"/>
        <rFont val="Times New Roman"/>
        <family val="1"/>
      </rPr>
      <t xml:space="preserve">  Landfills that add liquids other than leachate are required to keep records to demonstrate that their landfill has not met the 40% moisture by weight definition for the bioreactor landfill under the NESHAP. Based on RD&amp;D permit data, we estimate 34 landfills (22 are privately owned, 12 are publicly owned) add liquids other than leachate and would maintain these records. We have assumed that each of these landfills takes 2 hours per month to maintain these records.</t>
    </r>
  </si>
  <si>
    <r>
      <rPr>
        <vertAlign val="superscript"/>
        <sz val="10"/>
        <rFont val="Times New Roman"/>
        <family val="1"/>
      </rPr>
      <t>l</t>
    </r>
    <r>
      <rPr>
        <sz val="10"/>
        <rFont val="Times New Roman"/>
        <family val="1"/>
      </rPr>
      <t xml:space="preserve">  Totals have been rounded to 3 significant figures. Figures may not add exactly due to rounding.</t>
    </r>
  </si>
  <si>
    <r>
      <t xml:space="preserve">GRAND TOTAL (rounded) </t>
    </r>
    <r>
      <rPr>
        <b/>
        <vertAlign val="superscript"/>
        <sz val="10"/>
        <color theme="1"/>
        <rFont val="Times New Roman"/>
        <family val="1"/>
      </rPr>
      <t>l</t>
    </r>
  </si>
  <si>
    <r>
      <t xml:space="preserve">Total Labor Burden and Costs (rounded) </t>
    </r>
    <r>
      <rPr>
        <b/>
        <vertAlign val="superscript"/>
        <sz val="10"/>
        <color theme="1"/>
        <rFont val="Times New Roman"/>
        <family val="1"/>
      </rPr>
      <t>l</t>
    </r>
  </si>
  <si>
    <r>
      <t xml:space="preserve">Total Capital and O&amp;M Cost (rounded) </t>
    </r>
    <r>
      <rPr>
        <b/>
        <vertAlign val="superscript"/>
        <sz val="10"/>
        <color theme="1"/>
        <rFont val="Times New Roman"/>
        <family val="1"/>
      </rPr>
      <t>l</t>
    </r>
  </si>
  <si>
    <t>Initial performance test report</t>
  </si>
  <si>
    <t>Surface methane monitoring quarterly</t>
  </si>
  <si>
    <t>Wellhead monitoring monthly</t>
  </si>
  <si>
    <t>Initial Design Capacity Report</t>
  </si>
  <si>
    <t>Report of NMOC rate (Tier 1)</t>
  </si>
  <si>
    <t>Report of NMOC rate (Tier 2)</t>
  </si>
  <si>
    <t>Initial Performance Test</t>
  </si>
  <si>
    <t>Compliance Report</t>
  </si>
  <si>
    <t>Semi-Annual Report</t>
  </si>
  <si>
    <t>Corrective Action Analysis</t>
  </si>
  <si>
    <t>Implementation Timeline</t>
  </si>
  <si>
    <t>Root Cause Analysis</t>
  </si>
  <si>
    <t>24-Hour High Temperature Report</t>
  </si>
  <si>
    <r>
      <rPr>
        <vertAlign val="superscript"/>
        <sz val="10"/>
        <rFont val="Times New Roman"/>
        <family val="1"/>
      </rPr>
      <t>b</t>
    </r>
    <r>
      <rPr>
        <sz val="10"/>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</si>
  <si>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r>
      <rPr>
        <vertAlign val="superscript"/>
        <sz val="10"/>
        <rFont val="Times New Roman"/>
        <family val="1"/>
      </rPr>
      <t>a</t>
    </r>
    <r>
      <rPr>
        <sz val="10"/>
        <rFont val="Times New Roman"/>
        <family val="1"/>
      </rPr>
      <t xml:space="preserve">  We estimate that, during the three-year period of this ICR, there will be an average of 1,169 landfills per year (748 privately-owned and 421 publicly-owned) subject to the requirements of NESHAP Subpart AAAA. Of these, an average of 737 landfills per year (471 privately-owned and 265 publicly-owned) are controlling emissions.</t>
    </r>
  </si>
  <si>
    <r>
      <t xml:space="preserve">1. Familiarization with regulatory requirements (10 EPA Regions) </t>
    </r>
    <r>
      <rPr>
        <vertAlign val="superscript"/>
        <sz val="10"/>
        <rFont val="Times New Roman"/>
        <family val="1"/>
      </rPr>
      <t>c</t>
    </r>
  </si>
  <si>
    <r>
      <t xml:space="preserve">(G)
 Costs, $ </t>
    </r>
    <r>
      <rPr>
        <vertAlign val="superscript"/>
        <sz val="10"/>
        <rFont val="Times New Roman"/>
        <family val="1"/>
      </rPr>
      <t>b</t>
    </r>
  </si>
  <si>
    <r>
      <t xml:space="preserve">2. Enter and update information into agency recordkeeping system </t>
    </r>
    <r>
      <rPr>
        <vertAlign val="superscript"/>
        <sz val="10"/>
        <rFont val="Times New Roman"/>
        <family val="1"/>
      </rPr>
      <t>d</t>
    </r>
  </si>
  <si>
    <r>
      <rPr>
        <vertAlign val="superscript"/>
        <sz val="10"/>
        <rFont val="Times New Roman"/>
        <family val="1"/>
      </rPr>
      <t>c</t>
    </r>
    <r>
      <rPr>
        <sz val="10"/>
        <rFont val="Times New Roman"/>
        <family val="1"/>
      </rPr>
      <t xml:space="preserve">  This ICR estimates that staff from each EPA region will familiarize themselves with the requirements of this subpart each year, to account for staff transitions. </t>
    </r>
  </si>
  <si>
    <r>
      <t xml:space="preserve">A. Observe initial performance test </t>
    </r>
    <r>
      <rPr>
        <vertAlign val="superscript"/>
        <sz val="10"/>
        <rFont val="Times New Roman"/>
        <family val="1"/>
      </rPr>
      <t>e</t>
    </r>
  </si>
  <si>
    <r>
      <t xml:space="preserve">B. Observe surface methane monitoring quarterly </t>
    </r>
    <r>
      <rPr>
        <vertAlign val="superscript"/>
        <sz val="10"/>
        <rFont val="Times New Roman"/>
        <family val="1"/>
      </rPr>
      <t>e</t>
    </r>
  </si>
  <si>
    <r>
      <t xml:space="preserve">C. Review operating parameters </t>
    </r>
    <r>
      <rPr>
        <vertAlign val="superscript"/>
        <sz val="10"/>
        <rFont val="Times New Roman"/>
        <family val="1"/>
      </rPr>
      <t>e</t>
    </r>
  </si>
  <si>
    <r>
      <t xml:space="preserve">D. Review continuous parameter monitoring </t>
    </r>
    <r>
      <rPr>
        <vertAlign val="superscript"/>
        <sz val="10"/>
        <rFont val="Times New Roman"/>
        <family val="1"/>
      </rPr>
      <t>e</t>
    </r>
  </si>
  <si>
    <r>
      <t xml:space="preserve">E. Review notification of performance test </t>
    </r>
    <r>
      <rPr>
        <vertAlign val="superscript"/>
        <sz val="10"/>
        <rFont val="Times New Roman"/>
        <family val="1"/>
      </rPr>
      <t>e</t>
    </r>
  </si>
  <si>
    <r>
      <t xml:space="preserve">4. Excess Emissions Enforcement Activities </t>
    </r>
    <r>
      <rPr>
        <vertAlign val="superscript"/>
        <sz val="10"/>
        <rFont val="Times New Roman"/>
        <family val="1"/>
      </rPr>
      <t>f</t>
    </r>
  </si>
  <si>
    <r>
      <t xml:space="preserve">A. Review amended design capacity report </t>
    </r>
    <r>
      <rPr>
        <vertAlign val="superscript"/>
        <sz val="10"/>
        <rFont val="Times New Roman"/>
        <family val="1"/>
      </rPr>
      <t>g</t>
    </r>
  </si>
  <si>
    <r>
      <t xml:space="preserve">A. Review initial design capacity report </t>
    </r>
    <r>
      <rPr>
        <vertAlign val="superscript"/>
        <sz val="10"/>
        <rFont val="Times New Roman"/>
        <family val="1"/>
      </rPr>
      <t>h</t>
    </r>
  </si>
  <si>
    <r>
      <t xml:space="preserve">B. Review annual NMOC emission rate report </t>
    </r>
    <r>
      <rPr>
        <vertAlign val="superscript"/>
        <sz val="10"/>
        <rFont val="Times New Roman"/>
        <family val="1"/>
      </rPr>
      <t>h</t>
    </r>
  </si>
  <si>
    <r>
      <t xml:space="preserve">C. Review landfill closure report </t>
    </r>
    <r>
      <rPr>
        <vertAlign val="superscript"/>
        <sz val="10"/>
        <rFont val="Times New Roman"/>
        <family val="1"/>
      </rPr>
      <t>h</t>
    </r>
  </si>
  <si>
    <r>
      <t xml:space="preserve">D. Review equipment removal report </t>
    </r>
    <r>
      <rPr>
        <vertAlign val="superscript"/>
        <sz val="10"/>
        <rFont val="Times New Roman"/>
        <family val="1"/>
      </rPr>
      <t>h</t>
    </r>
  </si>
  <si>
    <r>
      <t xml:space="preserve">E. Review Collection and Control System Design Plan </t>
    </r>
    <r>
      <rPr>
        <vertAlign val="superscript"/>
        <sz val="10"/>
        <rFont val="Times New Roman"/>
        <family val="1"/>
      </rPr>
      <t>h</t>
    </r>
  </si>
  <si>
    <r>
      <t xml:space="preserve">F. Review Revised Collection and Control System Design Plan </t>
    </r>
    <r>
      <rPr>
        <vertAlign val="superscript"/>
        <sz val="10"/>
        <rFont val="Times New Roman"/>
        <family val="1"/>
      </rPr>
      <t>h</t>
    </r>
  </si>
  <si>
    <r>
      <t xml:space="preserve">G. Review Initial Performance Test Report </t>
    </r>
    <r>
      <rPr>
        <vertAlign val="superscript"/>
        <sz val="10"/>
        <rFont val="Times New Roman"/>
        <family val="1"/>
      </rPr>
      <t>i</t>
    </r>
  </si>
  <si>
    <r>
      <rPr>
        <vertAlign val="superscript"/>
        <sz val="10"/>
        <rFont val="Times New Roman"/>
        <family val="1"/>
      </rPr>
      <t>j</t>
    </r>
    <r>
      <rPr>
        <sz val="10"/>
        <rFont val="Times New Roman"/>
        <family val="1"/>
      </rPr>
      <t xml:space="preserve">  All controlled landfills are required to submit an annual report. Under the NESHAP rule, all controlled landfills are required to submit semiannual compliance reports. However, one annual compliance report is already required under 40 CFR Part 60, Subpart Cf, or 40 CFR Part 60, Subpart XXX. Therefore, this NESHAP rule requires only one additional report instead of two for this subpart to avoid double counting reports submitted for other subparts.</t>
    </r>
  </si>
  <si>
    <r>
      <t xml:space="preserve">H. Review Semi-annual Report </t>
    </r>
    <r>
      <rPr>
        <vertAlign val="superscript"/>
        <sz val="10"/>
        <rFont val="Times New Roman"/>
        <family val="1"/>
      </rPr>
      <t>j</t>
    </r>
  </si>
  <si>
    <r>
      <t xml:space="preserve">I. Corrective Action Analysis </t>
    </r>
    <r>
      <rPr>
        <vertAlign val="superscript"/>
        <sz val="10"/>
        <rFont val="Times New Roman"/>
        <family val="1"/>
      </rPr>
      <t>k</t>
    </r>
  </si>
  <si>
    <r>
      <t xml:space="preserve">J. Implementation Timeline </t>
    </r>
    <r>
      <rPr>
        <vertAlign val="superscript"/>
        <sz val="10"/>
        <rFont val="Times New Roman"/>
        <family val="1"/>
      </rPr>
      <t>k</t>
    </r>
  </si>
  <si>
    <r>
      <t xml:space="preserve">K. Root Cause Analysis </t>
    </r>
    <r>
      <rPr>
        <vertAlign val="superscript"/>
        <sz val="10"/>
        <rFont val="Times New Roman"/>
        <family val="1"/>
      </rPr>
      <t>k</t>
    </r>
  </si>
  <si>
    <r>
      <t xml:space="preserve">L. 24-Hour High Temperature Report </t>
    </r>
    <r>
      <rPr>
        <vertAlign val="superscript"/>
        <sz val="10"/>
        <color theme="1"/>
        <rFont val="Times New Roman"/>
        <family val="1"/>
      </rPr>
      <t>l</t>
    </r>
  </si>
  <si>
    <r>
      <t xml:space="preserve">M. Semi-Annual Wet Landfill Monitoring Report </t>
    </r>
    <r>
      <rPr>
        <vertAlign val="superscript"/>
        <sz val="10"/>
        <color theme="1"/>
        <rFont val="Times New Roman"/>
        <family val="1"/>
      </rPr>
      <t>m</t>
    </r>
  </si>
  <si>
    <r>
      <rPr>
        <vertAlign val="superscript"/>
        <sz val="10"/>
        <rFont val="Times New Roman"/>
        <family val="1"/>
      </rPr>
      <t>m</t>
    </r>
    <r>
      <rPr>
        <sz val="10"/>
        <rFont val="Times New Roman"/>
        <family val="1"/>
      </rPr>
      <t xml:space="preserve">  Landfills with a design capacity equal to or greater than 2.5 million megagrams and 2.5 million cubic meters that have employed leachate recirculation or added liquids based on a Research, Development, and Demonstration permit must file this report. We assume that, during the three-year period of this ICR, 190 privately-owned landfills and 99 publicly-owned landfills will be required to file this report. Under the NESHAP rule, these landfills are required to submit semiannual reports. However, one annual compliance report is already required under 40 CFR Part 60, Subpart Cf, or 40 CFR Part 60, Subpart XXX. Therefore, this NESHAP rule requires only one additional report instead of two for this subpart to avoid double counting reports submitted for other subparts.</t>
    </r>
  </si>
  <si>
    <r>
      <t xml:space="preserve">7. Travel Expenses for Tests Attended </t>
    </r>
    <r>
      <rPr>
        <vertAlign val="superscript"/>
        <sz val="10"/>
        <rFont val="Times New Roman"/>
        <family val="1"/>
      </rPr>
      <t>n</t>
    </r>
  </si>
  <si>
    <r>
      <rPr>
        <vertAlign val="superscript"/>
        <sz val="10"/>
        <rFont val="Times New Roman"/>
        <family val="1"/>
      </rPr>
      <t>o</t>
    </r>
    <r>
      <rPr>
        <sz val="10"/>
        <rFont val="Times New Roman"/>
        <family val="1"/>
      </rPr>
      <t xml:space="preserve">  Totals have been rounded to 3 significant figures. Figures may not add exactly due to rounding.</t>
    </r>
  </si>
  <si>
    <r>
      <t xml:space="preserve">TOTAL  </t>
    </r>
    <r>
      <rPr>
        <b/>
        <vertAlign val="superscript"/>
        <sz val="10"/>
        <rFont val="Times New Roman"/>
        <family val="1"/>
      </rPr>
      <t>o</t>
    </r>
  </si>
  <si>
    <r>
      <rPr>
        <vertAlign val="superscript"/>
        <sz val="10"/>
        <color theme="1"/>
        <rFont val="Times New Roman"/>
        <family val="1"/>
      </rPr>
      <t xml:space="preserve">h </t>
    </r>
    <r>
      <rPr>
        <sz val="10"/>
        <color theme="1"/>
        <rFont val="Times New Roman"/>
        <family val="1"/>
      </rPr>
      <t xml:space="preserve"> We assume that, during the three-year period of this ICR, no privately-owned landfills or publicly-owned landfills will be required to submit a 24-hour high temperature report. Historically, most landfills operate under the temperature threshold that would trigger this report. Landfill operators can operate their landfills so that they avoid temperatures ever getting this high. </t>
    </r>
  </si>
  <si>
    <r>
      <rPr>
        <vertAlign val="superscript"/>
        <sz val="10"/>
        <color theme="1"/>
        <rFont val="Times New Roman"/>
        <family val="1"/>
      </rPr>
      <t xml:space="preserve">l </t>
    </r>
    <r>
      <rPr>
        <sz val="10"/>
        <color theme="1"/>
        <rFont val="Times New Roman"/>
        <family val="1"/>
      </rPr>
      <t xml:space="preserve"> We assume that, during the three-year period of this ICR, no privately-owned landfills or publicly-owned landfills will be required to submit a 24-hour high temperature report. Historically, most landfills operate under the temperature threshold that would trigger this report. Landfill operators can operate their landfills so that they avoid temperatures ever getting this high. </t>
    </r>
  </si>
  <si>
    <r>
      <rPr>
        <vertAlign val="superscript"/>
        <sz val="10"/>
        <color theme="1"/>
        <rFont val="Times New Roman"/>
        <family val="1"/>
      </rPr>
      <t>b</t>
    </r>
    <r>
      <rPr>
        <sz val="10"/>
        <color theme="1"/>
        <rFont val="Times New Roman"/>
        <family val="1"/>
      </rPr>
      <t xml:space="preserve">  Sources are subject to the NESHAP because they are a major source, or co-located with a major source, or an area source based on size threshold of 2.5 million Megagrams and 50 Mg/yr NMOC, or meets the definition of a bioreactor. Not all sources subject will be subject to control requirements. All of the major sources overlapped with landfills that had exceeded the 50 Mg/yr NMOC threshold. Since the number of co-located major sources is unknown, the estimated number of sources subject was based on all landfills that met the size threshold, to be conservative and avoid underestimating burden.</t>
    </r>
  </si>
  <si>
    <r>
      <rPr>
        <vertAlign val="superscript"/>
        <sz val="10"/>
        <color theme="1"/>
        <rFont val="Times New Roman"/>
        <family val="1"/>
      </rPr>
      <t>c</t>
    </r>
    <r>
      <rPr>
        <sz val="10"/>
        <color theme="1"/>
        <rFont val="Times New Roman"/>
        <family val="1"/>
      </rPr>
      <t xml:space="preserve">  Modified landfills are both existing and new sources. These sources have been subtracted to avoid double counting of respondents.</t>
    </r>
  </si>
  <si>
    <r>
      <t xml:space="preserve">Number of New Respondents </t>
    </r>
    <r>
      <rPr>
        <vertAlign val="superscript"/>
        <sz val="10"/>
        <color rgb="FF000000"/>
        <rFont val="Times New Roman"/>
        <family val="1"/>
      </rPr>
      <t>a</t>
    </r>
  </si>
  <si>
    <r>
      <t xml:space="preserve">Number of Existing Respondents </t>
    </r>
    <r>
      <rPr>
        <vertAlign val="superscript"/>
        <sz val="10"/>
        <color rgb="FF000000"/>
        <rFont val="Times New Roman"/>
        <family val="1"/>
      </rPr>
      <t>b, d</t>
    </r>
  </si>
  <si>
    <r>
      <t xml:space="preserve">Number of Existing  Respondents that keep records but do not submit reports </t>
    </r>
    <r>
      <rPr>
        <vertAlign val="superscript"/>
        <sz val="10"/>
        <color rgb="FF000000"/>
        <rFont val="Times New Roman"/>
        <family val="1"/>
      </rPr>
      <t>b</t>
    </r>
  </si>
  <si>
    <r>
      <t xml:space="preserve">Number of Existing Respondents That Are Also New Respondents </t>
    </r>
    <r>
      <rPr>
        <vertAlign val="superscript"/>
        <sz val="10"/>
        <color rgb="FF000000"/>
        <rFont val="Times New Roman"/>
        <family val="1"/>
      </rPr>
      <t>c</t>
    </r>
  </si>
  <si>
    <r>
      <t>a</t>
    </r>
    <r>
      <rPr>
        <sz val="10"/>
        <color theme="1"/>
        <rFont val="Times New Roman"/>
        <family val="1"/>
      </rPr>
      <t xml:space="preserve">  New respondents include sources with constructed, reconstructed and modified affected facilities. On average 2 new greenfields per year and 25 modified landfills per year. Of these 27 sources, 16 are expected to install controls. While sources that commenced construction or modification after July 17, 2014 are subject to 40 Part 60 Subpart XXX instead of Subpart WWW, these new sources are also subject to the NESHAP (40 Part 63 Subpart AAAA). </t>
    </r>
  </si>
  <si>
    <t>Table 1a: Annual Respondent Burden and Cost –  NESHAP for Privately-Owned Municipal Solid Waste Landfills - (40 CFR Part 63, Subpart AAAA) (Renewal)</t>
  </si>
  <si>
    <t>Table 1b: Annual Respondent Burden and Cost –  NESHAP for Publicly-Owned Municipal Solid Waste Landfills - (40 CFR Part 63, Subpart AAAA) (Renewal)</t>
  </si>
  <si>
    <t xml:space="preserve">Semi-Annual Wet Landfill Monitoring Report  </t>
  </si>
  <si>
    <r>
      <rPr>
        <vertAlign val="superscript"/>
        <sz val="10"/>
        <rFont val="Times New Roman"/>
        <family val="1"/>
      </rPr>
      <t>d</t>
    </r>
    <r>
      <rPr>
        <sz val="10"/>
        <rFont val="Times New Roman"/>
        <family val="1"/>
      </rPr>
      <t xml:space="preserve">  No respondents are included for the initial performance test report, quarterly surface methane monitoring, and monthly wellhead monitoring. The burden for these items is accounted for in the estimates for the corresponding burden line items under the ICRs for 40 CFR Part 60, Subpart XXX (ICR 2498.03, OMB 2060-0697) and 40 CFR Part 60, Subpart Cf (ICR 2522.02, OMB 2060-0720).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t>
    </r>
  </si>
  <si>
    <r>
      <rPr>
        <vertAlign val="superscript"/>
        <sz val="10"/>
        <rFont val="Times New Roman"/>
        <family val="1"/>
      </rPr>
      <t>e</t>
    </r>
    <r>
      <rPr>
        <sz val="10"/>
        <rFont val="Times New Roman"/>
        <family val="1"/>
      </rPr>
      <t xml:space="preserve">  No respondents are included for the initial or amended design capacity reports, reports of NMOC rate (Tier 1 and Tier 2), landfill closure report, equipment removal report, or the initial or revised collection and control system design plan. The burden for these items is accounted for in the estimates for the corresponding burden line items under the ICRs for 40 CFR Part 60, Subpart XXX (ICR 2498.03, OMB 2060-0697) and 40 CFR Part 60, Subpart Cf (ICR 2522.02, OMB 2060-0720). </t>
    </r>
  </si>
  <si>
    <r>
      <rPr>
        <vertAlign val="superscript"/>
        <sz val="10"/>
        <color theme="1"/>
        <rFont val="Times New Roman"/>
        <family val="1"/>
      </rPr>
      <t xml:space="preserve">j </t>
    </r>
    <r>
      <rPr>
        <sz val="10"/>
        <color theme="1"/>
        <rFont val="Times New Roman"/>
        <family val="1"/>
      </rPr>
      <t xml:space="preserve"> No respondents are included for these data compilation and recordkeeping tasks. The burden for these items is accounted for in the estimates for the corresponding burden line items under the ICRs for 40 CFR Part 60, Subpart XXX (ICR 2498.03, OMB 2060-0697) and 40 CFR Part 60, Subpart Cf (ICR 2522.02, OMB 2060-0720).  </t>
    </r>
  </si>
  <si>
    <r>
      <rPr>
        <vertAlign val="superscript"/>
        <sz val="10"/>
        <color theme="1"/>
        <rFont val="Times New Roman"/>
        <family val="1"/>
      </rPr>
      <t xml:space="preserve">g </t>
    </r>
    <r>
      <rPr>
        <sz val="10"/>
        <color theme="1"/>
        <rFont val="Times New Roman"/>
        <family val="1"/>
      </rPr>
      <t xml:space="preserve"> We assume that, during the three-year period of this ICR, an average of one privately-owned landfill per year and one publicly-owned landfill per year will be required to conduct a root cause analysis, corrective action analysis, and implementation timeline. These items are not required by the rule for controlling landfills. The burden for these items is accounted for in the estimates for the corresponding burden line items under the ICRs for 40 CFR Part 60, Subpart XXX (ICR 2498.03, OMB 2060-0697) and 40 CFR Part 60, Subpart Cf (ICR 2522.02, OMB 2060-0720). </t>
    </r>
  </si>
  <si>
    <r>
      <rPr>
        <vertAlign val="superscript"/>
        <sz val="10"/>
        <rFont val="Times New Roman"/>
        <family val="1"/>
      </rPr>
      <t>d</t>
    </r>
    <r>
      <rPr>
        <sz val="10"/>
        <rFont val="Times New Roman"/>
        <family val="1"/>
      </rPr>
      <t xml:space="preserve">  No respondents are included for the initial performance test report, quarterly surface methane monitoring, and monthly wellhead monitoring. The burden for these items is accounted for in the estimates for the corresponding burden line items under the ICRs for 40 CFR Part 60, Subpart XXX (ICR 2498.03, OMB 2060-0697) and 40 CFR Part 60, Subpart Cf (ICR 2522.02, OMB 2060-0720). Cost of re-monitoring for exceedances of surface monitoring or wellhead monitoring are not included because the rule does not require re-monitoring unless an exceedance is found. Landfills can minimize the number of exceedances found by ensuring the GCCS is well-operated and the surface is well sealed. </t>
    </r>
  </si>
  <si>
    <r>
      <rPr>
        <vertAlign val="superscript"/>
        <sz val="10"/>
        <rFont val="Times New Roman"/>
        <family val="1"/>
      </rPr>
      <t>h</t>
    </r>
    <r>
      <rPr>
        <sz val="10"/>
        <rFont val="Times New Roman"/>
        <family val="1"/>
      </rPr>
      <t xml:space="preserve">  No respondents are included for the initial or amended design capacity reports, reports of NMOC rate (Tier 1 and Tier 2), landfill closure report, equipment removal report, or the initial or revised collection and control system design plan. The burden for these items is accounted for in the estimates for the corresponding burden line items under the ICRs for 40 CFR Part 60, Subpart XXX (ICR 2498.03, OMB 2060-0697) and 40 CFR Part 60, Subpart Cf (ICR 2522.02, OMB 2060-0720). </t>
    </r>
  </si>
  <si>
    <r>
      <rPr>
        <vertAlign val="superscript"/>
        <sz val="10"/>
        <rFont val="Times New Roman"/>
        <family val="1"/>
      </rPr>
      <t>g</t>
    </r>
    <r>
      <rPr>
        <sz val="10"/>
        <rFont val="Times New Roman"/>
        <family val="1"/>
      </rPr>
      <t xml:space="preserve">  No respondents are estimated here because the facilities have already submitted initial design capacity reports under Subparts WWW or XXX. Amended design capacity reports would be submitted as sources were modified with additional capacity and would become subject to subpart XXX. The burden for this line item is accounted for under ICRs for 40 Part 60, Subpart XXX (ICR 2498.03, OMB 2060-0697).</t>
    </r>
  </si>
  <si>
    <r>
      <rPr>
        <vertAlign val="superscript"/>
        <sz val="10"/>
        <rFont val="Times New Roman"/>
        <family val="1"/>
      </rPr>
      <t xml:space="preserve">f </t>
    </r>
    <r>
      <rPr>
        <sz val="10"/>
        <rFont val="Times New Roman"/>
        <family val="1"/>
      </rPr>
      <t xml:space="preserve">  Number of occurrences is based on the assumption that of the landfills that do the initial performance test, 10% of them will have exceedances and need enforcement. No respondents are included for this line item. This line item is accounted for under ICRs for 40 Part 60, Subpart XXX (ICR 2498.03, OMB 2060-0697) and 40 CFR Part 60, Subpart Cf (ICR 2522.02, OMB 2060-0720). </t>
    </r>
  </si>
  <si>
    <r>
      <rPr>
        <vertAlign val="superscript"/>
        <sz val="10"/>
        <rFont val="Times New Roman"/>
        <family val="1"/>
      </rPr>
      <t>d</t>
    </r>
    <r>
      <rPr>
        <sz val="10"/>
        <rFont val="Times New Roman"/>
        <family val="1"/>
      </rPr>
      <t xml:space="preserve">  No respondents are included for this line item. This line item is accounted for under ICRs for 40 Part 60, Subpart XXX (ICR 2498.03, OMB 2060-0697) and 40 CFR Part 60, Subpart Cf (ICR 2522.02, OMB 2060-0720). </t>
    </r>
  </si>
  <si>
    <r>
      <rPr>
        <vertAlign val="superscript"/>
        <sz val="10"/>
        <rFont val="Times New Roman"/>
        <family val="1"/>
      </rPr>
      <t>e</t>
    </r>
    <r>
      <rPr>
        <sz val="10"/>
        <rFont val="Times New Roman"/>
        <family val="1"/>
      </rPr>
      <t xml:space="preserve">  The number of occurrences is estimated to be zero. This line item is accounted for under ICRs for 40 Part 60, Subpart XXX (ICR 2498.03, OMB 2060-0697) and 40 CFR Part 60, Subpart Cf (ICR 2522.02, OMB 2060-0720) and is not duplicated here.</t>
    </r>
  </si>
  <si>
    <r>
      <rPr>
        <vertAlign val="superscript"/>
        <sz val="10"/>
        <rFont val="Times New Roman"/>
        <family val="1"/>
      </rPr>
      <t>i</t>
    </r>
    <r>
      <rPr>
        <sz val="10"/>
        <rFont val="Times New Roman"/>
        <family val="1"/>
      </rPr>
      <t xml:space="preserve">  No respondents are included for review of the initial test report. The burden for this item is accounted for in the estimates for the corresponding burden line item under the ICR for 40 CFR Part 60, Subpart XXX (ICR 2498.03, OMB 2060-0697). </t>
    </r>
  </si>
  <si>
    <r>
      <rPr>
        <vertAlign val="superscript"/>
        <sz val="10"/>
        <rFont val="Times New Roman"/>
        <family val="1"/>
      </rPr>
      <t>k</t>
    </r>
    <r>
      <rPr>
        <sz val="10"/>
        <rFont val="Times New Roman"/>
        <family val="1"/>
      </rPr>
      <t xml:space="preserve">   We assume that, during the three-year period of this ICR, an average of one privately-owned landfill per year and one publicly-owned landfill per year will be required to conduct a root cause analysis, corrective action analysis, and implementation timeline. These items are not required by the rule for controlling landfills. The burden for these items is accounted for in the estimates for the corresponding burden line items under the ICRs for 40 CFR Part 60, Subpart XXX (ICR 2498.03, OMB 2060-0697) and 40 CFR Part 60, Subpart Cf (ICR 2522.02, OMB 2060-0720).</t>
    </r>
  </si>
  <si>
    <r>
      <rPr>
        <vertAlign val="superscript"/>
        <sz val="10"/>
        <rFont val="Times New Roman"/>
        <family val="1"/>
      </rPr>
      <t>n</t>
    </r>
    <r>
      <rPr>
        <sz val="10"/>
        <rFont val="Times New Roman"/>
        <family val="1"/>
      </rPr>
      <t xml:space="preserve">  There are no trips estimated since this line item is accounted for under ICRs for 40 CFR Part 60, Subpart XXX (ICR 2498.03, OMB 2060-0697) and 40 CFR Part 60, Subpart Cf (ICR 2522.02, OMB 2060-0720) and therefore not duplicated here. The source for hotel and meals/incidental costs is based on FY '18 per diem rates, averaged across all locations in the United States. Airfares are estimated based on experience from other rulemakings. See: http://www.gsa.gov/portal/category/100125</t>
    </r>
  </si>
  <si>
    <r>
      <rPr>
        <vertAlign val="superscript"/>
        <sz val="10"/>
        <color theme="1"/>
        <rFont val="Times New Roman"/>
        <family val="1"/>
      </rPr>
      <t>d</t>
    </r>
    <r>
      <rPr>
        <sz val="10"/>
        <color theme="1"/>
        <rFont val="Times New Roman"/>
        <family val="1"/>
      </rPr>
      <t xml:space="preserve">  Number of controlling landfills was based on the estimates for landfills controlling under a 50 Mg/yr NMOC emission threshold in 2018, 2019 and 2020, and have been updated to reflect expected values for the years 2023 through 2025. The source of these estimates were the databases used for the 2016 Landfill Rulemakings.  See 2016 Municipal Solid Waste New Source Performance Standards (NSPS) and Emission Guidelines (EG) Data Files. Available at: https://www.epa.gov/stationary-sources-air-pollution/2016-municipal-solid-waste-new-source-performance-standards-nsps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</si>
</sst>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quot;$&quot;#,##0.00"/>
    <numFmt numFmtId="167" formatCode="General_)"/>
    <numFmt numFmtId="168" formatCode="#,##0.0"/>
  </numFmts>
  <fonts count="23" x14ac:knownFonts="1">
    <font>
      <sz val="11"/>
      <color theme="1"/>
      <name val="Calibri"/>
      <family val="2"/>
      <scheme val="minor"/>
    </font>
    <font>
      <sz val="10"/>
      <color theme="1"/>
      <name val="Times New Roman"/>
      <family val="1"/>
    </font>
    <font>
      <b/>
      <sz val="10"/>
      <color theme="1"/>
      <name val="Times New Roman"/>
      <family val="1"/>
    </font>
    <font>
      <sz val="10"/>
      <color rgb="FF000000"/>
      <name val="Times New Roman"/>
      <family val="1"/>
    </font>
    <font>
      <vertAlign val="superscript"/>
      <sz val="10"/>
      <color theme="1"/>
      <name val="Times New Roman"/>
      <family val="1"/>
    </font>
    <font>
      <b/>
      <sz val="10"/>
      <color rgb="FF000000"/>
      <name val="Times New Roman"/>
      <family val="1"/>
    </font>
    <font>
      <sz val="11"/>
      <color theme="1"/>
      <name val="Calibri"/>
      <family val="2"/>
      <scheme val="minor"/>
    </font>
    <font>
      <b/>
      <sz val="11"/>
      <color theme="1"/>
      <name val="Times New Roman"/>
      <family val="1"/>
    </font>
    <font>
      <sz val="10"/>
      <color rgb="FFFF0000"/>
      <name val="Times New Roman"/>
      <family val="1"/>
    </font>
    <font>
      <sz val="10"/>
      <color theme="1"/>
      <name val="Arial"/>
      <family val="2"/>
    </font>
    <font>
      <sz val="10"/>
      <name val="Times New Roman"/>
      <family val="1"/>
    </font>
    <font>
      <vertAlign val="superscript"/>
      <sz val="10"/>
      <color rgb="FF000000"/>
      <name val="Times New Roman"/>
      <family val="1"/>
    </font>
    <font>
      <sz val="10"/>
      <name val="Arial"/>
      <family val="2"/>
    </font>
    <font>
      <vertAlign val="superscript"/>
      <sz val="10"/>
      <name val="Times New Roman"/>
      <family val="1"/>
    </font>
    <font>
      <b/>
      <sz val="10"/>
      <name val="Times New Roman"/>
      <family val="1"/>
    </font>
    <font>
      <b/>
      <sz val="12"/>
      <name val="Times New Roman"/>
      <family val="1"/>
    </font>
    <font>
      <b/>
      <sz val="12"/>
      <color theme="1"/>
      <name val="Times New Roman"/>
      <family val="1"/>
    </font>
    <font>
      <b/>
      <sz val="10"/>
      <color rgb="FFFF0000"/>
      <name val="Times New Roman"/>
      <family val="1"/>
    </font>
    <font>
      <b/>
      <vertAlign val="superscript"/>
      <sz val="10"/>
      <name val="Times New Roman"/>
      <family val="1"/>
    </font>
    <font>
      <sz val="8"/>
      <name val="Calibri"/>
      <family val="2"/>
      <scheme val="minor"/>
    </font>
    <font>
      <b/>
      <i/>
      <sz val="10"/>
      <name val="Times New Roman"/>
      <family val="1"/>
    </font>
    <font>
      <b/>
      <vertAlign val="superscript"/>
      <sz val="10"/>
      <color theme="1"/>
      <name val="Times New Roman"/>
      <family val="1"/>
    </font>
    <font>
      <sz val="11"/>
      <color rgb="FFFF000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4" fontId="6" fillId="0" borderId="0" applyFont="0" applyFill="0" applyBorder="0" applyAlignment="0" applyProtection="0"/>
    <xf numFmtId="0" fontId="9" fillId="0" borderId="0"/>
    <xf numFmtId="0" fontId="12" fillId="0" borderId="0"/>
    <xf numFmtId="43" fontId="12" fillId="0" borderId="0" applyFont="0" applyFill="0" applyBorder="0" applyAlignment="0" applyProtection="0"/>
    <xf numFmtId="43" fontId="6" fillId="0" borderId="0" applyFont="0" applyFill="0" applyBorder="0" applyAlignment="0" applyProtection="0"/>
    <xf numFmtId="0" fontId="12" fillId="0" borderId="0"/>
  </cellStyleXfs>
  <cellXfs count="202">
    <xf numFmtId="0" fontId="0" fillId="0" borderId="0" xfId="0"/>
    <xf numFmtId="0" fontId="1" fillId="0" borderId="0" xfId="0" applyFont="1"/>
    <xf numFmtId="0" fontId="1"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3" fontId="3" fillId="0" borderId="1" xfId="0" applyNumberFormat="1" applyFont="1" applyFill="1" applyBorder="1" applyAlignment="1">
      <alignment horizontal="center" vertical="center" wrapText="1"/>
    </xf>
    <xf numFmtId="0" fontId="7" fillId="0" borderId="0" xfId="0" applyFont="1"/>
    <xf numFmtId="0" fontId="8" fillId="0" borderId="0" xfId="0" applyFont="1" applyFill="1"/>
    <xf numFmtId="0" fontId="3" fillId="0" borderId="6" xfId="2" applyFont="1" applyBorder="1" applyAlignment="1">
      <alignment horizontal="center" vertical="top" wrapText="1"/>
    </xf>
    <xf numFmtId="0" fontId="3" fillId="0" borderId="7" xfId="2" applyFont="1" applyBorder="1" applyAlignment="1">
      <alignment horizontal="center" vertical="top" wrapText="1"/>
    </xf>
    <xf numFmtId="0" fontId="3" fillId="0" borderId="7" xfId="2" applyFont="1" applyFill="1" applyBorder="1" applyAlignment="1">
      <alignment horizontal="center" vertical="top" wrapText="1"/>
    </xf>
    <xf numFmtId="0" fontId="10" fillId="0" borderId="1" xfId="2" applyFont="1" applyBorder="1" applyAlignment="1">
      <alignment horizontal="center" vertical="top" wrapText="1"/>
    </xf>
    <xf numFmtId="1" fontId="10" fillId="0" borderId="1" xfId="2" applyNumberFormat="1" applyFont="1" applyFill="1" applyBorder="1" applyAlignment="1">
      <alignment horizontal="center" vertical="top" wrapText="1"/>
    </xf>
    <xf numFmtId="3" fontId="10" fillId="0" borderId="1" xfId="2" applyNumberFormat="1" applyFont="1" applyFill="1" applyBorder="1" applyAlignment="1">
      <alignment horizontal="center" vertical="top" wrapText="1"/>
    </xf>
    <xf numFmtId="0" fontId="10" fillId="0" borderId="1" xfId="0" applyFont="1" applyFill="1" applyBorder="1" applyAlignment="1">
      <alignment horizontal="left" vertical="top" wrapText="1"/>
    </xf>
    <xf numFmtId="3" fontId="3" fillId="0" borderId="1" xfId="0" applyNumberFormat="1" applyFont="1" applyBorder="1" applyAlignment="1">
      <alignment horizontal="center" vertical="center" wrapText="1"/>
    </xf>
    <xf numFmtId="0" fontId="10" fillId="0" borderId="0" xfId="0" applyFont="1"/>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1" fontId="3" fillId="0" borderId="1" xfId="0" applyNumberFormat="1" applyFont="1" applyFill="1" applyBorder="1" applyAlignment="1">
      <alignment horizontal="center" vertical="top"/>
    </xf>
    <xf numFmtId="164" fontId="3" fillId="0" borderId="1" xfId="0" applyNumberFormat="1" applyFont="1" applyFill="1" applyBorder="1" applyAlignment="1">
      <alignment horizontal="center" vertical="top"/>
    </xf>
    <xf numFmtId="6" fontId="3" fillId="0" borderId="1" xfId="0" applyNumberFormat="1" applyFont="1" applyFill="1" applyBorder="1" applyAlignment="1">
      <alignment horizontal="center" vertical="top"/>
    </xf>
    <xf numFmtId="0" fontId="3" fillId="0" borderId="0" xfId="0" applyFont="1" applyFill="1" applyBorder="1" applyAlignment="1">
      <alignment vertical="top" wrapText="1"/>
    </xf>
    <xf numFmtId="1" fontId="3" fillId="0" borderId="0" xfId="0" applyNumberFormat="1" applyFont="1" applyFill="1" applyBorder="1" applyAlignment="1">
      <alignment horizontal="center" vertical="top"/>
    </xf>
    <xf numFmtId="6" fontId="3" fillId="0" borderId="0"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0" fontId="3" fillId="0" borderId="0" xfId="0" applyFont="1" applyAlignment="1">
      <alignment horizontal="left" vertical="center"/>
    </xf>
    <xf numFmtId="0" fontId="1" fillId="0" borderId="0" xfId="2" applyFont="1" applyAlignment="1">
      <alignment horizontal="right"/>
    </xf>
    <xf numFmtId="165" fontId="1" fillId="0" borderId="0" xfId="2" applyNumberFormat="1" applyFont="1" applyAlignment="1">
      <alignment horizontal="center"/>
    </xf>
    <xf numFmtId="0" fontId="5" fillId="0" borderId="2" xfId="2" applyFont="1" applyBorder="1" applyAlignment="1">
      <alignment vertical="top" wrapText="1"/>
    </xf>
    <xf numFmtId="0" fontId="3" fillId="0" borderId="1" xfId="2" applyFont="1" applyBorder="1" applyAlignment="1">
      <alignment vertical="top" wrapText="1"/>
    </xf>
    <xf numFmtId="6" fontId="3" fillId="0" borderId="1" xfId="0" applyNumberFormat="1" applyFont="1" applyBorder="1" applyAlignment="1">
      <alignment horizontal="center" vertical="center" wrapText="1"/>
    </xf>
    <xf numFmtId="6" fontId="3" fillId="0" borderId="1" xfId="0" applyNumberFormat="1" applyFont="1" applyFill="1" applyBorder="1" applyAlignment="1">
      <alignment horizontal="center" vertical="center" wrapText="1"/>
    </xf>
    <xf numFmtId="6" fontId="3" fillId="0" borderId="1" xfId="0" applyNumberFormat="1" applyFont="1" applyBorder="1" applyAlignment="1">
      <alignment horizontal="right" vertical="center" wrapText="1" indent="1"/>
    </xf>
    <xf numFmtId="3" fontId="2" fillId="0" borderId="1" xfId="0" applyNumberFormat="1" applyFont="1" applyBorder="1" applyAlignment="1">
      <alignment horizontal="center" vertical="center" wrapText="1"/>
    </xf>
    <xf numFmtId="0" fontId="2" fillId="0" borderId="0" xfId="0" applyFont="1"/>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0" fillId="0" borderId="0" xfId="3" applyFont="1" applyFill="1"/>
    <xf numFmtId="0" fontId="10" fillId="0" borderId="0" xfId="3" applyFont="1" applyFill="1" applyAlignment="1">
      <alignment wrapText="1"/>
    </xf>
    <xf numFmtId="3" fontId="10" fillId="0" borderId="1" xfId="3" applyNumberFormat="1" applyFont="1" applyFill="1" applyBorder="1" applyAlignment="1">
      <alignment horizontal="center"/>
    </xf>
    <xf numFmtId="164" fontId="10" fillId="0" borderId="1" xfId="3" applyNumberFormat="1" applyFont="1" applyFill="1" applyBorder="1" applyAlignment="1">
      <alignment horizontal="center"/>
    </xf>
    <xf numFmtId="164" fontId="14" fillId="0" borderId="1" xfId="3" applyNumberFormat="1" applyFont="1" applyFill="1" applyBorder="1" applyAlignment="1">
      <alignment horizontal="center"/>
    </xf>
    <xf numFmtId="3" fontId="14" fillId="0" borderId="1" xfId="3" applyNumberFormat="1" applyFont="1" applyFill="1" applyBorder="1" applyAlignment="1">
      <alignment horizontal="center"/>
    </xf>
    <xf numFmtId="0" fontId="14" fillId="0" borderId="0" xfId="3" applyFont="1" applyFill="1"/>
    <xf numFmtId="0" fontId="14" fillId="0" borderId="0" xfId="3" applyFont="1" applyFill="1" applyBorder="1" applyAlignment="1">
      <alignment horizontal="center"/>
    </xf>
    <xf numFmtId="164" fontId="14" fillId="0" borderId="0" xfId="3" applyNumberFormat="1" applyFont="1" applyFill="1" applyBorder="1" applyAlignment="1">
      <alignment horizontal="center"/>
    </xf>
    <xf numFmtId="3" fontId="14" fillId="0" borderId="0" xfId="3" applyNumberFormat="1" applyFont="1" applyFill="1" applyBorder="1" applyAlignment="1">
      <alignment horizontal="center"/>
    </xf>
    <xf numFmtId="0" fontId="10" fillId="0" borderId="0" xfId="3" applyFont="1" applyFill="1" applyAlignment="1">
      <alignment horizontal="center"/>
    </xf>
    <xf numFmtId="1" fontId="10" fillId="0" borderId="0" xfId="3" applyNumberFormat="1" applyFont="1" applyFill="1" applyAlignment="1">
      <alignment horizontal="center"/>
    </xf>
    <xf numFmtId="3" fontId="10" fillId="0" borderId="0" xfId="3" applyNumberFormat="1" applyFont="1" applyFill="1" applyAlignment="1">
      <alignment horizontal="center"/>
    </xf>
    <xf numFmtId="167" fontId="14" fillId="0" borderId="0" xfId="0" applyNumberFormat="1" applyFont="1" applyFill="1" applyAlignment="1"/>
    <xf numFmtId="0" fontId="14" fillId="0" borderId="0" xfId="3" applyFont="1" applyFill="1" applyAlignment="1">
      <alignment wrapText="1"/>
    </xf>
    <xf numFmtId="6" fontId="3" fillId="0" borderId="1" xfId="0" quotePrefix="1" applyNumberFormat="1" applyFont="1" applyBorder="1" applyAlignment="1">
      <alignment horizontal="center" vertical="center" wrapText="1"/>
    </xf>
    <xf numFmtId="3" fontId="10" fillId="0" borderId="0" xfId="3" applyNumberFormat="1" applyFont="1" applyFill="1"/>
    <xf numFmtId="3" fontId="1" fillId="0" borderId="0" xfId="0" applyNumberFormat="1" applyFont="1"/>
    <xf numFmtId="0" fontId="14" fillId="0" borderId="0" xfId="3" applyFont="1" applyFill="1" applyAlignment="1"/>
    <xf numFmtId="0" fontId="14" fillId="0" borderId="8" xfId="3" applyFont="1" applyFill="1" applyBorder="1" applyAlignment="1"/>
    <xf numFmtId="0" fontId="14" fillId="0" borderId="0" xfId="3" applyFont="1" applyFill="1" applyBorder="1" applyAlignment="1">
      <alignment horizontal="left"/>
    </xf>
    <xf numFmtId="0" fontId="14" fillId="0" borderId="0" xfId="3" applyFont="1" applyFill="1" applyBorder="1" applyAlignment="1"/>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3" fontId="5" fillId="0" borderId="1" xfId="0" applyNumberFormat="1" applyFont="1" applyBorder="1" applyAlignment="1">
      <alignment horizontal="center" vertical="center" wrapText="1"/>
    </xf>
    <xf numFmtId="3" fontId="5" fillId="0" borderId="1" xfId="0" quotePrefix="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6" fontId="5" fillId="0" borderId="1" xfId="0" applyNumberFormat="1" applyFont="1" applyBorder="1" applyAlignment="1">
      <alignment horizontal="right" vertical="center" wrapText="1" indent="1"/>
    </xf>
    <xf numFmtId="0" fontId="10" fillId="0" borderId="0" xfId="6" applyFont="1" applyFill="1"/>
    <xf numFmtId="0" fontId="10" fillId="0" borderId="0" xfId="6" applyFont="1" applyFill="1" applyAlignment="1">
      <alignment horizontal="center" wrapText="1"/>
    </xf>
    <xf numFmtId="3" fontId="10" fillId="0" borderId="0" xfId="6" applyNumberFormat="1" applyFont="1" applyFill="1" applyAlignment="1">
      <alignment horizontal="center" wrapText="1"/>
    </xf>
    <xf numFmtId="0" fontId="17" fillId="0" borderId="0" xfId="6" applyFont="1" applyFill="1"/>
    <xf numFmtId="0" fontId="14" fillId="0" borderId="0" xfId="6" applyFont="1" applyFill="1"/>
    <xf numFmtId="0" fontId="10" fillId="0" borderId="1" xfId="6" applyFont="1" applyFill="1" applyBorder="1" applyAlignment="1">
      <alignment horizontal="center" wrapText="1"/>
    </xf>
    <xf numFmtId="3" fontId="10" fillId="0" borderId="1" xfId="6" applyNumberFormat="1" applyFont="1" applyFill="1" applyBorder="1" applyAlignment="1">
      <alignment horizontal="center" wrapText="1"/>
    </xf>
    <xf numFmtId="166" fontId="10" fillId="0" borderId="1" xfId="6" applyNumberFormat="1" applyFont="1" applyFill="1" applyBorder="1" applyAlignment="1">
      <alignment horizontal="center" wrapText="1"/>
    </xf>
    <xf numFmtId="164" fontId="10" fillId="0" borderId="1" xfId="6" applyNumberFormat="1" applyFont="1" applyFill="1" applyBorder="1" applyAlignment="1">
      <alignment horizontal="center" wrapText="1"/>
    </xf>
    <xf numFmtId="168" fontId="10" fillId="0" borderId="1" xfId="6" applyNumberFormat="1" applyFont="1" applyFill="1" applyBorder="1" applyAlignment="1">
      <alignment horizontal="center" wrapText="1"/>
    </xf>
    <xf numFmtId="1" fontId="3" fillId="0" borderId="1" xfId="0" applyNumberFormat="1" applyFont="1" applyBorder="1" applyAlignment="1">
      <alignment horizontal="center" vertical="center" wrapText="1"/>
    </xf>
    <xf numFmtId="167" fontId="10" fillId="0" borderId="0" xfId="0" applyNumberFormat="1" applyFont="1" applyFill="1" applyBorder="1"/>
    <xf numFmtId="167" fontId="10" fillId="0" borderId="0" xfId="0" applyNumberFormat="1" applyFont="1" applyFill="1"/>
    <xf numFmtId="0" fontId="14" fillId="0" borderId="0" xfId="6" applyFont="1" applyFill="1" applyAlignment="1"/>
    <xf numFmtId="0" fontId="10" fillId="0" borderId="1" xfId="6" applyFont="1" applyFill="1" applyBorder="1" applyAlignment="1">
      <alignment horizontal="center" vertical="center"/>
    </xf>
    <xf numFmtId="39" fontId="10" fillId="0" borderId="1" xfId="6" applyNumberFormat="1" applyFont="1" applyFill="1" applyBorder="1" applyAlignment="1">
      <alignment horizontal="center" wrapText="1"/>
    </xf>
    <xf numFmtId="3" fontId="10" fillId="0" borderId="1" xfId="6" applyNumberFormat="1" applyFont="1" applyFill="1" applyBorder="1" applyAlignment="1">
      <alignment horizontal="center"/>
    </xf>
    <xf numFmtId="0" fontId="14" fillId="0" borderId="1" xfId="6" applyFont="1" applyFill="1" applyBorder="1" applyAlignment="1">
      <alignment vertical="center"/>
    </xf>
    <xf numFmtId="164" fontId="14" fillId="0" borderId="1" xfId="1" applyNumberFormat="1" applyFont="1" applyFill="1" applyBorder="1" applyAlignment="1">
      <alignment horizontal="center" wrapText="1"/>
    </xf>
    <xf numFmtId="0" fontId="10" fillId="0" borderId="1" xfId="6" applyFont="1" applyFill="1" applyBorder="1" applyAlignment="1">
      <alignment vertical="top" wrapText="1"/>
    </xf>
    <xf numFmtId="0" fontId="3" fillId="0" borderId="1" xfId="0" applyFont="1" applyBorder="1"/>
    <xf numFmtId="0" fontId="10" fillId="0" borderId="1" xfId="3" applyFont="1" applyBorder="1"/>
    <xf numFmtId="0" fontId="10" fillId="0" borderId="1" xfId="0" applyFont="1" applyBorder="1"/>
    <xf numFmtId="166" fontId="3" fillId="0" borderId="1" xfId="0" applyNumberFormat="1" applyFont="1" applyBorder="1"/>
    <xf numFmtId="0" fontId="10" fillId="0" borderId="1" xfId="6" applyFont="1" applyFill="1" applyBorder="1" applyAlignment="1">
      <alignment vertical="center" wrapText="1"/>
    </xf>
    <xf numFmtId="49" fontId="10" fillId="0" borderId="1" xfId="6" applyNumberFormat="1" applyFont="1" applyFill="1" applyBorder="1" applyAlignment="1">
      <alignment vertical="center" wrapText="1"/>
    </xf>
    <xf numFmtId="3" fontId="10" fillId="0" borderId="1" xfId="6" applyNumberFormat="1" applyFont="1" applyFill="1" applyBorder="1" applyAlignment="1">
      <alignment vertical="center" wrapText="1"/>
    </xf>
    <xf numFmtId="49" fontId="10" fillId="0" borderId="1" xfId="6" applyNumberFormat="1" applyFont="1" applyFill="1" applyBorder="1" applyAlignment="1">
      <alignment horizontal="left" vertical="center" wrapText="1" indent="2"/>
    </xf>
    <xf numFmtId="0" fontId="10" fillId="0" borderId="1" xfId="6" applyFont="1" applyFill="1" applyBorder="1" applyAlignment="1">
      <alignment horizontal="center" vertical="center" wrapText="1"/>
    </xf>
    <xf numFmtId="3" fontId="10" fillId="0" borderId="1" xfId="6" applyNumberFormat="1" applyFont="1" applyFill="1" applyBorder="1" applyAlignment="1">
      <alignment horizontal="center" vertical="center" wrapText="1"/>
    </xf>
    <xf numFmtId="0" fontId="10" fillId="0" borderId="4" xfId="6" applyFont="1" applyFill="1" applyBorder="1" applyAlignment="1">
      <alignment horizontal="center" vertical="top" wrapText="1"/>
    </xf>
    <xf numFmtId="0" fontId="10" fillId="0" borderId="4" xfId="6" applyFont="1" applyFill="1" applyBorder="1" applyAlignment="1">
      <alignment horizontal="center"/>
    </xf>
    <xf numFmtId="0" fontId="10" fillId="0" borderId="1" xfId="3" quotePrefix="1" applyFont="1" applyBorder="1"/>
    <xf numFmtId="0" fontId="1" fillId="0" borderId="0" xfId="3" applyFont="1" applyFill="1" applyAlignment="1">
      <alignment vertical="center" wrapText="1"/>
    </xf>
    <xf numFmtId="0" fontId="10" fillId="0" borderId="0" xfId="3" applyFont="1" applyFill="1" applyAlignment="1">
      <alignment vertical="center" wrapText="1"/>
    </xf>
    <xf numFmtId="0" fontId="10" fillId="0" borderId="1" xfId="3" applyFont="1" applyFill="1" applyBorder="1" applyAlignment="1">
      <alignment horizontal="center" vertical="center" wrapText="1"/>
    </xf>
    <xf numFmtId="0" fontId="10" fillId="0" borderId="1" xfId="3" applyFont="1" applyFill="1" applyBorder="1" applyAlignment="1">
      <alignment horizontal="center" vertical="top" wrapText="1"/>
    </xf>
    <xf numFmtId="3" fontId="10" fillId="0" borderId="1" xfId="3" applyNumberFormat="1" applyFont="1" applyFill="1" applyBorder="1" applyAlignment="1">
      <alignment horizontal="center" vertical="top" wrapText="1"/>
    </xf>
    <xf numFmtId="0" fontId="10" fillId="0" borderId="0" xfId="3" applyFont="1" applyFill="1" applyBorder="1" applyAlignment="1">
      <alignment horizontal="center" vertical="top" wrapText="1"/>
    </xf>
    <xf numFmtId="0" fontId="10" fillId="0" borderId="1" xfId="3" applyFont="1" applyFill="1" applyBorder="1" applyAlignment="1">
      <alignment vertical="top" wrapText="1"/>
    </xf>
    <xf numFmtId="0" fontId="10" fillId="0" borderId="1" xfId="3" applyFont="1" applyFill="1" applyBorder="1" applyAlignment="1">
      <alignment horizontal="center"/>
    </xf>
    <xf numFmtId="164" fontId="10" fillId="0" borderId="0" xfId="3" applyNumberFormat="1" applyFont="1" applyFill="1" applyBorder="1" applyAlignment="1">
      <alignment horizontal="center"/>
    </xf>
    <xf numFmtId="3" fontId="10" fillId="0" borderId="1" xfId="4" applyNumberFormat="1" applyFont="1" applyFill="1" applyBorder="1" applyAlignment="1">
      <alignment horizontal="center"/>
    </xf>
    <xf numFmtId="166" fontId="10" fillId="0" borderId="1" xfId="3" applyNumberFormat="1" applyFont="1" applyFill="1" applyBorder="1" applyAlignment="1">
      <alignment horizontal="center"/>
    </xf>
    <xf numFmtId="1" fontId="10" fillId="0" borderId="1" xfId="3" applyNumberFormat="1" applyFont="1" applyFill="1" applyBorder="1" applyAlignment="1">
      <alignment horizontal="center"/>
    </xf>
    <xf numFmtId="0" fontId="3" fillId="0" borderId="1" xfId="0" applyFont="1" applyFill="1" applyBorder="1" applyAlignment="1">
      <alignment horizontal="center" vertical="center" wrapText="1"/>
    </xf>
    <xf numFmtId="0" fontId="20" fillId="0" borderId="1" xfId="3" applyFont="1" applyFill="1" applyBorder="1" applyAlignment="1">
      <alignment horizontal="left" vertical="top" wrapText="1"/>
    </xf>
    <xf numFmtId="164" fontId="20" fillId="0" borderId="1" xfId="3" applyNumberFormat="1" applyFont="1" applyFill="1" applyBorder="1" applyAlignment="1">
      <alignment horizontal="center"/>
    </xf>
    <xf numFmtId="164" fontId="20" fillId="0" borderId="0" xfId="3" applyNumberFormat="1" applyFont="1" applyFill="1" applyBorder="1" applyAlignment="1">
      <alignment horizontal="center"/>
    </xf>
    <xf numFmtId="164" fontId="20" fillId="0" borderId="1" xfId="5" applyNumberFormat="1" applyFont="1" applyFill="1" applyBorder="1" applyAlignment="1">
      <alignment horizontal="center"/>
    </xf>
    <xf numFmtId="0" fontId="14" fillId="0" borderId="1" xfId="3" applyFont="1" applyFill="1" applyBorder="1" applyAlignment="1">
      <alignment horizontal="center"/>
    </xf>
    <xf numFmtId="1" fontId="14" fillId="0" borderId="1" xfId="3" applyNumberFormat="1" applyFont="1" applyFill="1" applyBorder="1" applyAlignment="1">
      <alignment horizontal="center"/>
    </xf>
    <xf numFmtId="0" fontId="1" fillId="0" borderId="0" xfId="3" applyFont="1" applyFill="1" applyAlignment="1">
      <alignment wrapText="1"/>
    </xf>
    <xf numFmtId="0" fontId="10" fillId="0" borderId="1" xfId="3" applyFont="1" applyFill="1" applyBorder="1"/>
    <xf numFmtId="166" fontId="10" fillId="0" borderId="0" xfId="3" applyNumberFormat="1" applyFont="1" applyFill="1" applyBorder="1" applyAlignment="1">
      <alignment horizontal="center"/>
    </xf>
    <xf numFmtId="0" fontId="20" fillId="0" borderId="1" xfId="3" applyFont="1" applyFill="1" applyBorder="1" applyAlignment="1">
      <alignment horizontal="left" indent="1"/>
    </xf>
    <xf numFmtId="166" fontId="20" fillId="0" borderId="0" xfId="3" applyNumberFormat="1" applyFont="1" applyFill="1" applyBorder="1" applyAlignment="1">
      <alignment horizontal="center"/>
    </xf>
    <xf numFmtId="0" fontId="2" fillId="0" borderId="1" xfId="0" applyFont="1" applyFill="1" applyBorder="1" applyAlignment="1">
      <alignment wrapText="1"/>
    </xf>
    <xf numFmtId="0" fontId="10" fillId="0" borderId="0" xfId="3" applyFont="1" applyFill="1" applyAlignment="1">
      <alignment vertical="center"/>
    </xf>
    <xf numFmtId="0" fontId="1" fillId="0" borderId="0" xfId="3" applyFont="1" applyFill="1" applyAlignment="1">
      <alignment vertical="center"/>
    </xf>
    <xf numFmtId="0" fontId="15" fillId="0" borderId="0" xfId="3" applyFont="1" applyFill="1" applyAlignment="1">
      <alignment wrapText="1"/>
    </xf>
    <xf numFmtId="0" fontId="10" fillId="0" borderId="1" xfId="3" applyFont="1" applyBorder="1" applyAlignment="1">
      <alignment horizontal="center" vertical="top" wrapText="1"/>
    </xf>
    <xf numFmtId="0" fontId="10" fillId="0" borderId="1" xfId="3" applyFont="1" applyFill="1" applyBorder="1" applyAlignment="1"/>
    <xf numFmtId="0" fontId="20" fillId="0" borderId="1" xfId="3" applyFont="1" applyFill="1" applyBorder="1" applyAlignment="1">
      <alignment horizontal="left"/>
    </xf>
    <xf numFmtId="0" fontId="14" fillId="0" borderId="0" xfId="3" applyFont="1" applyFill="1" applyAlignment="1">
      <alignment horizontal="center"/>
    </xf>
    <xf numFmtId="0" fontId="0" fillId="0" borderId="0" xfId="0" applyAlignment="1">
      <alignment horizontal="center"/>
    </xf>
    <xf numFmtId="1" fontId="10" fillId="0" borderId="1" xfId="3" applyNumberFormat="1" applyFont="1" applyBorder="1" applyAlignment="1">
      <alignment horizontal="center" vertical="top" wrapText="1"/>
    </xf>
    <xf numFmtId="0" fontId="10" fillId="0" borderId="1" xfId="3" applyFont="1" applyFill="1" applyBorder="1" applyAlignment="1">
      <alignment horizontal="left" vertical="top" wrapText="1" indent="1"/>
    </xf>
    <xf numFmtId="0" fontId="10" fillId="0" borderId="1" xfId="3" applyFont="1" applyFill="1" applyBorder="1" applyAlignment="1">
      <alignment horizontal="left" vertical="top" wrapText="1" indent="2"/>
    </xf>
    <xf numFmtId="0" fontId="1" fillId="0" borderId="1" xfId="0" applyFont="1" applyFill="1" applyBorder="1" applyAlignment="1">
      <alignment horizontal="left" vertical="top" wrapText="1" indent="2"/>
    </xf>
    <xf numFmtId="166" fontId="1" fillId="0" borderId="1" xfId="1" applyNumberFormat="1" applyFont="1" applyBorder="1"/>
    <xf numFmtId="166" fontId="1" fillId="0" borderId="1" xfId="0" applyNumberFormat="1" applyFont="1" applyBorder="1"/>
    <xf numFmtId="0" fontId="1" fillId="0" borderId="1" xfId="0" applyFont="1" applyBorder="1" applyAlignment="1">
      <alignment horizontal="center" vertical="center" wrapText="1"/>
    </xf>
    <xf numFmtId="0" fontId="4" fillId="0" borderId="0" xfId="0" applyFont="1" applyAlignment="1">
      <alignment horizontal="left" vertical="center"/>
    </xf>
    <xf numFmtId="0" fontId="10" fillId="0" borderId="1" xfId="3" applyFont="1" applyFill="1" applyBorder="1" applyAlignment="1">
      <alignment horizontal="left" wrapText="1" indent="1"/>
    </xf>
    <xf numFmtId="0" fontId="10" fillId="0" borderId="1" xfId="3" applyFont="1" applyFill="1" applyBorder="1" applyAlignment="1">
      <alignment horizontal="left" indent="1"/>
    </xf>
    <xf numFmtId="0" fontId="10" fillId="0" borderId="1" xfId="3" applyFont="1" applyFill="1" applyBorder="1" applyAlignment="1">
      <alignment horizontal="left" wrapText="1" indent="2"/>
    </xf>
    <xf numFmtId="0" fontId="10" fillId="0" borderId="1" xfId="3" applyFont="1" applyFill="1" applyBorder="1" applyAlignment="1">
      <alignment horizontal="left" indent="2"/>
    </xf>
    <xf numFmtId="164" fontId="8" fillId="0" borderId="0" xfId="3" applyNumberFormat="1" applyFont="1" applyFill="1" applyBorder="1" applyAlignment="1">
      <alignment horizontal="left"/>
    </xf>
    <xf numFmtId="3" fontId="1" fillId="0" borderId="1" xfId="0" applyNumberFormat="1" applyFont="1" applyBorder="1" applyAlignment="1">
      <alignment horizontal="center" vertical="center" wrapText="1"/>
    </xf>
    <xf numFmtId="1" fontId="10" fillId="0" borderId="1" xfId="2" applyNumberFormat="1" applyFont="1" applyFill="1" applyBorder="1" applyAlignment="1">
      <alignment horizontal="center" vertical="center" wrapText="1"/>
    </xf>
    <xf numFmtId="166" fontId="10" fillId="0" borderId="1" xfId="0" applyNumberFormat="1" applyFont="1" applyBorder="1"/>
    <xf numFmtId="0" fontId="1" fillId="0" borderId="1" xfId="0" applyFont="1" applyFill="1" applyBorder="1"/>
    <xf numFmtId="0" fontId="8" fillId="0" borderId="0" xfId="6" applyFont="1" applyFill="1"/>
    <xf numFmtId="2" fontId="3" fillId="0" borderId="1" xfId="0" applyNumberFormat="1" applyFont="1" applyBorder="1" applyAlignment="1">
      <alignment horizontal="center" vertical="center" wrapText="1"/>
    </xf>
    <xf numFmtId="0" fontId="1" fillId="0" borderId="0" xfId="3" applyFont="1" applyFill="1" applyAlignment="1">
      <alignment vertical="top" wrapText="1"/>
    </xf>
    <xf numFmtId="0" fontId="22" fillId="0" borderId="0" xfId="0" applyFont="1"/>
    <xf numFmtId="0" fontId="3" fillId="0" borderId="1" xfId="0" applyFont="1" applyFill="1" applyBorder="1" applyAlignment="1">
      <alignment horizontal="center" vertical="center"/>
    </xf>
    <xf numFmtId="0" fontId="15" fillId="0" borderId="0" xfId="3" applyFont="1" applyFill="1" applyAlignment="1">
      <alignment horizontal="left" vertical="top" wrapText="1"/>
    </xf>
    <xf numFmtId="0" fontId="1" fillId="0" borderId="0" xfId="3" applyFont="1" applyFill="1" applyAlignment="1">
      <alignment horizontal="left" vertical="top" wrapText="1"/>
    </xf>
    <xf numFmtId="0" fontId="10" fillId="0" borderId="0" xfId="3" applyFont="1" applyFill="1" applyAlignment="1">
      <alignment horizontal="left" vertical="top" wrapText="1"/>
    </xf>
    <xf numFmtId="0" fontId="10" fillId="0" borderId="1" xfId="3" applyFont="1" applyBorder="1" applyAlignment="1">
      <alignment horizontal="center" wrapText="1"/>
    </xf>
    <xf numFmtId="0" fontId="10" fillId="0" borderId="1" xfId="3" applyFont="1" applyBorder="1" applyAlignment="1">
      <alignment horizontal="left" vertical="top"/>
    </xf>
    <xf numFmtId="3" fontId="20" fillId="0" borderId="3" xfId="3" applyNumberFormat="1" applyFont="1" applyFill="1" applyBorder="1" applyAlignment="1">
      <alignment horizontal="center"/>
    </xf>
    <xf numFmtId="3" fontId="20" fillId="0" borderId="5" xfId="3" applyNumberFormat="1" applyFont="1" applyFill="1" applyBorder="1" applyAlignment="1">
      <alignment horizontal="center"/>
    </xf>
    <xf numFmtId="3" fontId="20" fillId="0" borderId="4" xfId="3" applyNumberFormat="1" applyFont="1" applyFill="1" applyBorder="1" applyAlignment="1">
      <alignment horizontal="center"/>
    </xf>
    <xf numFmtId="1" fontId="20" fillId="0" borderId="3" xfId="3" applyNumberFormat="1" applyFont="1" applyFill="1" applyBorder="1" applyAlignment="1">
      <alignment horizontal="center"/>
    </xf>
    <xf numFmtId="1" fontId="20" fillId="0" borderId="5" xfId="3" applyNumberFormat="1" applyFont="1" applyFill="1" applyBorder="1" applyAlignment="1">
      <alignment horizontal="center"/>
    </xf>
    <xf numFmtId="1" fontId="20" fillId="0" borderId="4" xfId="3" applyNumberFormat="1" applyFont="1" applyFill="1" applyBorder="1" applyAlignment="1">
      <alignment horizontal="center"/>
    </xf>
    <xf numFmtId="3" fontId="14" fillId="0" borderId="3" xfId="3" applyNumberFormat="1" applyFont="1" applyFill="1" applyBorder="1" applyAlignment="1">
      <alignment horizontal="center"/>
    </xf>
    <xf numFmtId="3" fontId="14" fillId="0" borderId="5" xfId="3" applyNumberFormat="1" applyFont="1" applyFill="1" applyBorder="1" applyAlignment="1">
      <alignment horizontal="center"/>
    </xf>
    <xf numFmtId="3" fontId="14" fillId="0" borderId="4" xfId="3" applyNumberFormat="1" applyFont="1" applyFill="1" applyBorder="1" applyAlignment="1">
      <alignment horizont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0" xfId="0" applyFont="1" applyAlignment="1">
      <alignment horizontal="left" wrapText="1"/>
    </xf>
    <xf numFmtId="0" fontId="4" fillId="0" borderId="0" xfId="0" applyFont="1" applyAlignment="1">
      <alignment horizontal="left" vertical="center"/>
    </xf>
    <xf numFmtId="0" fontId="4" fillId="0" borderId="0" xfId="0" applyFont="1" applyAlignment="1">
      <alignment horizontal="left" vertical="top" wrapText="1"/>
    </xf>
    <xf numFmtId="3" fontId="14" fillId="0" borderId="1" xfId="6" applyNumberFormat="1" applyFont="1" applyFill="1" applyBorder="1" applyAlignment="1">
      <alignment horizontal="center" wrapText="1"/>
    </xf>
    <xf numFmtId="0" fontId="15" fillId="0" borderId="0" xfId="6" applyFont="1" applyFill="1" applyAlignment="1">
      <alignment horizontal="left" vertical="top" wrapText="1"/>
    </xf>
    <xf numFmtId="0" fontId="10" fillId="0" borderId="0" xfId="6" applyFont="1" applyFill="1" applyAlignment="1">
      <alignment horizontal="left" vertical="top" wrapText="1"/>
    </xf>
    <xf numFmtId="0" fontId="10" fillId="0" borderId="0" xfId="3" applyFont="1" applyFill="1" applyAlignment="1">
      <alignment horizontal="left" vertical="top"/>
    </xf>
    <xf numFmtId="0" fontId="10" fillId="0" borderId="3" xfId="6" applyFont="1" applyFill="1" applyBorder="1" applyAlignment="1">
      <alignment horizontal="center"/>
    </xf>
    <xf numFmtId="0" fontId="10" fillId="0" borderId="5" xfId="6" applyFont="1" applyFill="1" applyBorder="1" applyAlignment="1">
      <alignment horizontal="center"/>
    </xf>
    <xf numFmtId="0" fontId="10" fillId="0" borderId="4" xfId="6" applyFont="1" applyFill="1" applyBorder="1" applyAlignment="1">
      <alignment horizontal="center"/>
    </xf>
    <xf numFmtId="0" fontId="10" fillId="0" borderId="3" xfId="6" applyFont="1" applyFill="1" applyBorder="1" applyAlignment="1">
      <alignment horizontal="center" vertical="top" wrapText="1"/>
    </xf>
    <xf numFmtId="0" fontId="10" fillId="0" borderId="5" xfId="6" applyFont="1" applyFill="1" applyBorder="1" applyAlignment="1">
      <alignment horizontal="center" vertical="top" wrapText="1"/>
    </xf>
    <xf numFmtId="0" fontId="10" fillId="0" borderId="4" xfId="6" applyFont="1" applyFill="1" applyBorder="1" applyAlignment="1">
      <alignment horizontal="center" vertical="top" wrapText="1"/>
    </xf>
    <xf numFmtId="0" fontId="1" fillId="0" borderId="3" xfId="0" applyFont="1" applyFill="1" applyBorder="1" applyAlignment="1">
      <alignment horizontal="center"/>
    </xf>
    <xf numFmtId="0" fontId="1" fillId="0" borderId="4" xfId="0" applyFont="1" applyFill="1" applyBorder="1" applyAlignment="1">
      <alignment horizontal="center"/>
    </xf>
    <xf numFmtId="0" fontId="10" fillId="0" borderId="0" xfId="6" applyFont="1" applyFill="1" applyAlignment="1">
      <alignment horizontal="left" vertical="top"/>
    </xf>
    <xf numFmtId="0" fontId="5" fillId="0" borderId="1" xfId="2" applyFont="1" applyBorder="1" applyAlignment="1">
      <alignment horizontal="center" vertical="top" wrapText="1"/>
    </xf>
    <xf numFmtId="0" fontId="1" fillId="0" borderId="1" xfId="0" applyFont="1" applyBorder="1" applyAlignment="1">
      <alignment horizontal="center" vertical="center" wrapText="1"/>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1" fillId="0" borderId="0" xfId="0" applyFont="1" applyFill="1" applyAlignment="1">
      <alignment horizontal="left" wrapText="1"/>
    </xf>
    <xf numFmtId="0" fontId="4" fillId="0" borderId="0" xfId="0" applyFont="1" applyFill="1" applyBorder="1" applyAlignment="1">
      <alignment horizontal="left" vertical="top" wrapText="1"/>
    </xf>
    <xf numFmtId="0" fontId="5" fillId="0" borderId="3" xfId="2" applyFont="1" applyBorder="1" applyAlignment="1">
      <alignment horizontal="center" vertical="top" wrapText="1"/>
    </xf>
    <xf numFmtId="0" fontId="5" fillId="0" borderId="5" xfId="2" applyFont="1" applyBorder="1" applyAlignment="1">
      <alignment horizontal="center" vertical="top" wrapText="1"/>
    </xf>
    <xf numFmtId="0" fontId="5" fillId="0" borderId="4" xfId="2" applyFont="1" applyBorder="1" applyAlignment="1">
      <alignment horizontal="center" vertical="top" wrapText="1"/>
    </xf>
    <xf numFmtId="0" fontId="3" fillId="0" borderId="3" xfId="2" applyFont="1" applyBorder="1" applyAlignment="1">
      <alignment horizontal="center" vertical="top" wrapText="1"/>
    </xf>
    <xf numFmtId="0" fontId="3" fillId="0" borderId="4" xfId="2" applyFont="1" applyBorder="1" applyAlignment="1">
      <alignment horizontal="center" vertical="top" wrapText="1"/>
    </xf>
  </cellXfs>
  <cellStyles count="7">
    <cellStyle name="Comma" xfId="5" builtinId="3"/>
    <cellStyle name="Comma 3" xfId="4" xr:uid="{88B0D21F-0C02-4E1D-BCB5-DE1EB1E02D08}"/>
    <cellStyle name="Currency" xfId="1" builtinId="4"/>
    <cellStyle name="Normal" xfId="0" builtinId="0"/>
    <cellStyle name="Normal 2" xfId="2" xr:uid="{DA63BFDD-6A8D-4E55-A985-C9C869C2F154}"/>
    <cellStyle name="Normal 7" xfId="3" xr:uid="{81B24BDC-82E6-400C-92FC-B6C7049C3BE4}"/>
    <cellStyle name="Normal 8" xfId="6" xr:uid="{452B371A-9F1B-4116-B303-D59BE0408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43DA-B1E1-41D5-ABCD-484A51AB0D8B}">
  <sheetPr>
    <pageSetUpPr fitToPage="1"/>
  </sheetPr>
  <dimension ref="A1:Q61"/>
  <sheetViews>
    <sheetView tabSelected="1" topLeftCell="A34" zoomScaleNormal="100" zoomScaleSheetLayoutView="100" workbookViewId="0">
      <selection activeCell="A52" sqref="A52:J52"/>
    </sheetView>
  </sheetViews>
  <sheetFormatPr defaultColWidth="9.1796875" defaultRowHeight="14.5" x14ac:dyDescent="0.35"/>
  <cols>
    <col min="1" max="1" width="45" style="41" customWidth="1"/>
    <col min="2" max="2" width="12.453125" style="41" customWidth="1"/>
    <col min="3" max="3" width="11.7265625" customWidth="1"/>
    <col min="4" max="4" width="12.81640625" style="134" customWidth="1"/>
    <col min="5" max="5" width="12.54296875" style="51" customWidth="1"/>
    <col min="6" max="6" width="11.26953125" style="51" customWidth="1"/>
    <col min="7" max="7" width="11.54296875" style="52" customWidth="1"/>
    <col min="8" max="8" width="11" style="51" customWidth="1"/>
    <col min="9" max="9" width="8.7265625" style="51" customWidth="1"/>
    <col min="10" max="10" width="12.1796875" style="51" customWidth="1"/>
    <col min="11" max="11" width="4.81640625" style="51" customWidth="1"/>
    <col min="12" max="12" width="34.1796875" style="41" customWidth="1"/>
    <col min="13" max="13" width="9.1796875" style="41"/>
    <col min="14" max="14" width="14.7265625" style="41" customWidth="1"/>
    <col min="15" max="15" width="9.1796875" style="41"/>
    <col min="16" max="16" width="10" style="51" hidden="1" customWidth="1"/>
    <col min="17" max="17" width="9" style="51" hidden="1" customWidth="1"/>
    <col min="18" max="16384" width="9.1796875" style="41"/>
  </cols>
  <sheetData>
    <row r="1" spans="1:17" ht="33" customHeight="1" x14ac:dyDescent="0.3">
      <c r="A1" s="157" t="s">
        <v>211</v>
      </c>
      <c r="B1" s="157"/>
      <c r="C1" s="157"/>
      <c r="D1" s="157"/>
      <c r="E1" s="157"/>
      <c r="F1" s="157"/>
      <c r="G1" s="157"/>
      <c r="H1" s="157"/>
      <c r="I1" s="157"/>
      <c r="J1" s="157"/>
      <c r="K1" s="61"/>
      <c r="P1" s="129"/>
      <c r="Q1" s="129"/>
    </row>
    <row r="2" spans="1:17" ht="13" x14ac:dyDescent="0.3">
      <c r="A2" s="60"/>
      <c r="B2" s="60"/>
      <c r="C2" s="41"/>
      <c r="D2" s="51"/>
      <c r="E2" s="60"/>
      <c r="F2" s="60"/>
      <c r="G2" s="60"/>
      <c r="H2" s="60"/>
      <c r="I2" s="60"/>
      <c r="J2" s="60"/>
      <c r="K2" s="62"/>
      <c r="P2" s="60"/>
      <c r="Q2" s="60"/>
    </row>
    <row r="3" spans="1:17" s="42" customFormat="1" ht="87" customHeight="1" x14ac:dyDescent="0.3">
      <c r="A3" s="104" t="s">
        <v>56</v>
      </c>
      <c r="B3" s="105" t="s">
        <v>128</v>
      </c>
      <c r="C3" s="130" t="s">
        <v>106</v>
      </c>
      <c r="D3" s="130" t="s">
        <v>107</v>
      </c>
      <c r="E3" s="135" t="s">
        <v>119</v>
      </c>
      <c r="F3" s="105" t="s">
        <v>121</v>
      </c>
      <c r="G3" s="106" t="s">
        <v>122</v>
      </c>
      <c r="H3" s="106" t="s">
        <v>123</v>
      </c>
      <c r="I3" s="106" t="s">
        <v>124</v>
      </c>
      <c r="J3" s="105" t="s">
        <v>95</v>
      </c>
      <c r="K3" s="107"/>
      <c r="P3" s="105" t="s">
        <v>55</v>
      </c>
      <c r="Q3" s="105" t="s">
        <v>54</v>
      </c>
    </row>
    <row r="4" spans="1:17" ht="17.25" customHeight="1" x14ac:dyDescent="0.3">
      <c r="A4" s="108" t="s">
        <v>53</v>
      </c>
      <c r="B4" s="109" t="s">
        <v>0</v>
      </c>
      <c r="C4" s="109"/>
      <c r="D4" s="109"/>
      <c r="E4" s="43"/>
      <c r="F4" s="109"/>
      <c r="G4" s="43"/>
      <c r="H4" s="43"/>
      <c r="I4" s="43"/>
      <c r="J4" s="44"/>
      <c r="K4" s="110"/>
      <c r="P4" s="109"/>
      <c r="Q4" s="109"/>
    </row>
    <row r="5" spans="1:17" ht="17.25" customHeight="1" x14ac:dyDescent="0.3">
      <c r="A5" s="108" t="s">
        <v>52</v>
      </c>
      <c r="B5" s="109" t="s">
        <v>0</v>
      </c>
      <c r="C5" s="109"/>
      <c r="D5" s="109"/>
      <c r="E5" s="43"/>
      <c r="F5" s="109"/>
      <c r="G5" s="43"/>
      <c r="H5" s="43"/>
      <c r="I5" s="43"/>
      <c r="J5" s="44"/>
      <c r="K5" s="110"/>
      <c r="P5" s="109"/>
      <c r="Q5" s="109"/>
    </row>
    <row r="6" spans="1:17" ht="17.25" customHeight="1" x14ac:dyDescent="0.3">
      <c r="A6" s="108" t="s">
        <v>51</v>
      </c>
      <c r="B6" s="109"/>
      <c r="C6" s="109"/>
      <c r="D6" s="109"/>
      <c r="E6" s="43"/>
      <c r="F6" s="109"/>
      <c r="G6" s="43"/>
      <c r="H6" s="43"/>
      <c r="I6" s="43"/>
      <c r="J6" s="44"/>
      <c r="K6" s="110"/>
      <c r="L6" s="160" t="s">
        <v>77</v>
      </c>
      <c r="M6" s="160"/>
      <c r="N6" s="160"/>
      <c r="P6" s="44"/>
      <c r="Q6" s="44"/>
    </row>
    <row r="7" spans="1:17" ht="17.25" customHeight="1" x14ac:dyDescent="0.3">
      <c r="A7" s="136" t="s">
        <v>118</v>
      </c>
      <c r="B7" s="109">
        <v>5</v>
      </c>
      <c r="C7" s="109">
        <v>1</v>
      </c>
      <c r="D7" s="109">
        <f t="shared" ref="D7:D41" si="0">B7*C7</f>
        <v>5</v>
      </c>
      <c r="E7" s="111">
        <f>ROUND(0.64*'Capital and O&amp;M Costs'!G20,0)</f>
        <v>748</v>
      </c>
      <c r="F7" s="109">
        <v>0</v>
      </c>
      <c r="G7" s="43">
        <f>D7*E7</f>
        <v>3740</v>
      </c>
      <c r="H7" s="111">
        <f>G7*0.05</f>
        <v>187</v>
      </c>
      <c r="I7" s="43">
        <f>G7*0.1</f>
        <v>374</v>
      </c>
      <c r="J7" s="112">
        <f>(G7*$M$9)+(I7*$M$11)+(H7*$M$8)</f>
        <v>398013.23100000009</v>
      </c>
      <c r="K7" s="110"/>
      <c r="L7" s="89" t="s">
        <v>78</v>
      </c>
      <c r="M7" s="89" t="s">
        <v>79</v>
      </c>
      <c r="N7" s="90" t="s">
        <v>80</v>
      </c>
      <c r="P7" s="44">
        <v>0</v>
      </c>
      <c r="Q7" s="44"/>
    </row>
    <row r="8" spans="1:17" ht="17.25" customHeight="1" x14ac:dyDescent="0.3">
      <c r="A8" s="136" t="s">
        <v>110</v>
      </c>
      <c r="B8" s="109"/>
      <c r="C8" s="109"/>
      <c r="D8" s="109"/>
      <c r="E8" s="43"/>
      <c r="F8" s="109"/>
      <c r="G8" s="43"/>
      <c r="H8" s="43"/>
      <c r="I8" s="43"/>
      <c r="J8" s="44"/>
      <c r="K8" s="110"/>
      <c r="L8" s="91" t="s">
        <v>2</v>
      </c>
      <c r="M8" s="139">
        <f>59.61*2.1</f>
        <v>125.181</v>
      </c>
      <c r="N8" s="101" t="s">
        <v>81</v>
      </c>
      <c r="P8" s="44"/>
      <c r="Q8" s="44"/>
    </row>
    <row r="9" spans="1:17" ht="17.25" customHeight="1" x14ac:dyDescent="0.3">
      <c r="A9" s="137" t="s">
        <v>132</v>
      </c>
      <c r="B9" s="109">
        <v>12</v>
      </c>
      <c r="C9" s="109">
        <v>1</v>
      </c>
      <c r="D9" s="109">
        <f t="shared" si="0"/>
        <v>12</v>
      </c>
      <c r="E9" s="111">
        <v>0</v>
      </c>
      <c r="F9" s="109">
        <v>0</v>
      </c>
      <c r="G9" s="43">
        <f t="shared" ref="G9:G11" si="1">D9*E9</f>
        <v>0</v>
      </c>
      <c r="H9" s="43">
        <f>G9*0.05</f>
        <v>0</v>
      </c>
      <c r="I9" s="43">
        <f>G9*0.1</f>
        <v>0</v>
      </c>
      <c r="J9" s="44">
        <v>0</v>
      </c>
      <c r="K9" s="110"/>
      <c r="L9" s="91" t="s">
        <v>82</v>
      </c>
      <c r="M9" s="140">
        <f>45.88*2.1</f>
        <v>96.348000000000013</v>
      </c>
      <c r="N9" s="101" t="s">
        <v>83</v>
      </c>
      <c r="P9" s="112">
        <v>1983.6594844730848</v>
      </c>
      <c r="Q9" s="112">
        <v>1000</v>
      </c>
    </row>
    <row r="10" spans="1:17" ht="17.25" customHeight="1" x14ac:dyDescent="0.3">
      <c r="A10" s="137" t="s">
        <v>133</v>
      </c>
      <c r="B10" s="113">
        <v>44</v>
      </c>
      <c r="C10" s="109">
        <v>4</v>
      </c>
      <c r="D10" s="109">
        <f t="shared" si="0"/>
        <v>176</v>
      </c>
      <c r="E10" s="111">
        <v>0</v>
      </c>
      <c r="F10" s="109">
        <v>0</v>
      </c>
      <c r="G10" s="43">
        <f t="shared" si="1"/>
        <v>0</v>
      </c>
      <c r="H10" s="43">
        <v>0</v>
      </c>
      <c r="I10" s="43">
        <v>0</v>
      </c>
      <c r="J10" s="44">
        <v>0</v>
      </c>
      <c r="K10" s="110"/>
      <c r="L10" s="90" t="s">
        <v>84</v>
      </c>
      <c r="M10" s="92">
        <f>27.21*2.1</f>
        <v>57.141000000000005</v>
      </c>
      <c r="N10" s="101" t="s">
        <v>85</v>
      </c>
      <c r="P10" s="112">
        <v>703.5</v>
      </c>
      <c r="Q10" s="44"/>
    </row>
    <row r="11" spans="1:17" ht="17.25" customHeight="1" x14ac:dyDescent="0.3">
      <c r="A11" s="137" t="s">
        <v>134</v>
      </c>
      <c r="B11" s="113">
        <f>ROUND(2000/49.85,0)</f>
        <v>40</v>
      </c>
      <c r="C11" s="109">
        <v>12</v>
      </c>
      <c r="D11" s="109">
        <f t="shared" si="0"/>
        <v>480</v>
      </c>
      <c r="E11" s="111">
        <f>E10</f>
        <v>0</v>
      </c>
      <c r="F11" s="109">
        <v>0</v>
      </c>
      <c r="G11" s="43">
        <f t="shared" si="1"/>
        <v>0</v>
      </c>
      <c r="H11" s="43">
        <v>0</v>
      </c>
      <c r="I11" s="43">
        <v>0</v>
      </c>
      <c r="J11" s="44">
        <v>0</v>
      </c>
      <c r="K11" s="110"/>
      <c r="L11" s="91" t="s">
        <v>4</v>
      </c>
      <c r="M11" s="140">
        <f>18.16*2.1</f>
        <v>38.136000000000003</v>
      </c>
      <c r="N11" s="101" t="s">
        <v>86</v>
      </c>
      <c r="P11" s="112">
        <v>17</v>
      </c>
      <c r="Q11" s="44"/>
    </row>
    <row r="12" spans="1:17" ht="17.25" customHeight="1" x14ac:dyDescent="0.3">
      <c r="A12" s="136" t="s">
        <v>109</v>
      </c>
      <c r="B12" s="109" t="s">
        <v>48</v>
      </c>
      <c r="C12" s="109"/>
      <c r="D12" s="109"/>
      <c r="E12" s="43"/>
      <c r="F12" s="109"/>
      <c r="G12" s="43"/>
      <c r="H12" s="43"/>
      <c r="I12" s="43"/>
      <c r="J12" s="44"/>
      <c r="K12" s="110"/>
      <c r="L12" s="161" t="s">
        <v>87</v>
      </c>
      <c r="M12" s="161"/>
      <c r="N12" s="161"/>
      <c r="P12" s="112"/>
      <c r="Q12" s="44"/>
    </row>
    <row r="13" spans="1:17" ht="17.25" customHeight="1" x14ac:dyDescent="0.3">
      <c r="A13" s="136" t="s">
        <v>108</v>
      </c>
      <c r="B13" s="109" t="s">
        <v>48</v>
      </c>
      <c r="C13" s="109"/>
      <c r="D13" s="109"/>
      <c r="E13" s="43"/>
      <c r="F13" s="109"/>
      <c r="G13" s="43"/>
      <c r="H13" s="43"/>
      <c r="I13" s="43"/>
      <c r="J13" s="44"/>
      <c r="K13" s="110"/>
      <c r="P13" s="109"/>
      <c r="Q13" s="109"/>
    </row>
    <row r="14" spans="1:17" ht="17.25" customHeight="1" x14ac:dyDescent="0.3">
      <c r="A14" s="136" t="s">
        <v>135</v>
      </c>
      <c r="B14" s="109"/>
      <c r="C14" s="109"/>
      <c r="D14" s="109"/>
      <c r="E14" s="43"/>
      <c r="F14" s="109"/>
      <c r="G14" s="43"/>
      <c r="H14" s="43"/>
      <c r="I14" s="43"/>
      <c r="J14" s="44"/>
      <c r="K14" s="110"/>
      <c r="P14" s="109"/>
      <c r="Q14" s="109"/>
    </row>
    <row r="15" spans="1:17" ht="17.25" customHeight="1" x14ac:dyDescent="0.3">
      <c r="A15" s="137" t="s">
        <v>143</v>
      </c>
      <c r="B15" s="109">
        <v>2</v>
      </c>
      <c r="C15" s="109">
        <v>1</v>
      </c>
      <c r="D15" s="109">
        <f t="shared" si="0"/>
        <v>2</v>
      </c>
      <c r="E15" s="111">
        <v>0</v>
      </c>
      <c r="F15" s="109">
        <v>0</v>
      </c>
      <c r="G15" s="43">
        <f t="shared" ref="G15:G22" si="2">D15*E15</f>
        <v>0</v>
      </c>
      <c r="H15" s="43">
        <f t="shared" ref="H15:H22" si="3">G15*0.05</f>
        <v>0</v>
      </c>
      <c r="I15" s="43">
        <f t="shared" ref="I15:I22" si="4">G15*0.1</f>
        <v>0</v>
      </c>
      <c r="J15" s="44">
        <v>0</v>
      </c>
      <c r="K15" s="110"/>
      <c r="P15" s="44"/>
      <c r="Q15" s="44"/>
    </row>
    <row r="16" spans="1:17" ht="17.25" customHeight="1" x14ac:dyDescent="0.3">
      <c r="A16" s="137" t="s">
        <v>144</v>
      </c>
      <c r="B16" s="109">
        <v>2</v>
      </c>
      <c r="C16" s="109">
        <v>1</v>
      </c>
      <c r="D16" s="109">
        <f t="shared" si="0"/>
        <v>2</v>
      </c>
      <c r="E16" s="111">
        <f>0</f>
        <v>0</v>
      </c>
      <c r="F16" s="109">
        <v>0</v>
      </c>
      <c r="G16" s="43">
        <f t="shared" si="2"/>
        <v>0</v>
      </c>
      <c r="H16" s="43">
        <f t="shared" si="3"/>
        <v>0</v>
      </c>
      <c r="I16" s="43">
        <f t="shared" si="4"/>
        <v>0</v>
      </c>
      <c r="J16" s="44">
        <v>0</v>
      </c>
      <c r="K16" s="110"/>
      <c r="P16" s="44">
        <v>0</v>
      </c>
      <c r="Q16" s="44"/>
    </row>
    <row r="17" spans="1:17" ht="17.25" customHeight="1" x14ac:dyDescent="0.3">
      <c r="A17" s="137" t="s">
        <v>98</v>
      </c>
      <c r="B17" s="109">
        <v>8</v>
      </c>
      <c r="C17" s="109">
        <v>1</v>
      </c>
      <c r="D17" s="109">
        <f t="shared" si="0"/>
        <v>8</v>
      </c>
      <c r="E17" s="111">
        <v>0</v>
      </c>
      <c r="F17" s="109">
        <v>0</v>
      </c>
      <c r="G17" s="43">
        <f t="shared" si="2"/>
        <v>0</v>
      </c>
      <c r="H17" s="43">
        <f t="shared" si="3"/>
        <v>0</v>
      </c>
      <c r="I17" s="43">
        <f t="shared" si="4"/>
        <v>0</v>
      </c>
      <c r="J17" s="44">
        <v>0</v>
      </c>
      <c r="K17" s="110"/>
      <c r="P17" s="44">
        <v>0</v>
      </c>
      <c r="Q17" s="44"/>
    </row>
    <row r="18" spans="1:17" ht="17.25" customHeight="1" x14ac:dyDescent="0.3">
      <c r="A18" s="137" t="s">
        <v>136</v>
      </c>
      <c r="B18" s="113">
        <v>12</v>
      </c>
      <c r="C18" s="109">
        <v>1</v>
      </c>
      <c r="D18" s="109">
        <f t="shared" si="0"/>
        <v>12</v>
      </c>
      <c r="E18" s="43">
        <v>0</v>
      </c>
      <c r="F18" s="109">
        <v>0</v>
      </c>
      <c r="G18" s="43">
        <f t="shared" si="2"/>
        <v>0</v>
      </c>
      <c r="H18" s="43">
        <f t="shared" si="3"/>
        <v>0</v>
      </c>
      <c r="I18" s="43">
        <f t="shared" si="4"/>
        <v>0</v>
      </c>
      <c r="J18" s="44">
        <v>0</v>
      </c>
      <c r="K18" s="110"/>
      <c r="P18" s="44">
        <v>0</v>
      </c>
      <c r="Q18" s="44"/>
    </row>
    <row r="19" spans="1:17" ht="17.25" customHeight="1" x14ac:dyDescent="0.3">
      <c r="A19" s="137" t="s">
        <v>99</v>
      </c>
      <c r="B19" s="109">
        <v>1</v>
      </c>
      <c r="C19" s="109">
        <v>1</v>
      </c>
      <c r="D19" s="109">
        <f t="shared" si="0"/>
        <v>1</v>
      </c>
      <c r="E19" s="111">
        <v>0</v>
      </c>
      <c r="F19" s="109">
        <v>0</v>
      </c>
      <c r="G19" s="43">
        <f t="shared" si="2"/>
        <v>0</v>
      </c>
      <c r="H19" s="43">
        <f t="shared" si="3"/>
        <v>0</v>
      </c>
      <c r="I19" s="43">
        <f t="shared" si="4"/>
        <v>0</v>
      </c>
      <c r="J19" s="44">
        <v>0</v>
      </c>
      <c r="K19" s="110"/>
      <c r="P19" s="112">
        <v>2708.280314173127</v>
      </c>
      <c r="Q19" s="44"/>
    </row>
    <row r="20" spans="1:17" ht="17.25" customHeight="1" x14ac:dyDescent="0.3">
      <c r="A20" s="137" t="s">
        <v>100</v>
      </c>
      <c r="B20" s="109">
        <f>3*B18</f>
        <v>36</v>
      </c>
      <c r="C20" s="109">
        <v>1</v>
      </c>
      <c r="D20" s="109">
        <f t="shared" si="0"/>
        <v>36</v>
      </c>
      <c r="E20" s="111">
        <v>0</v>
      </c>
      <c r="F20" s="109">
        <v>0</v>
      </c>
      <c r="G20" s="43">
        <f t="shared" si="2"/>
        <v>0</v>
      </c>
      <c r="H20" s="43">
        <f t="shared" si="3"/>
        <v>0</v>
      </c>
      <c r="I20" s="43">
        <f t="shared" si="4"/>
        <v>0</v>
      </c>
      <c r="J20" s="44">
        <v>0</v>
      </c>
      <c r="K20" s="110"/>
      <c r="P20" s="44">
        <v>0</v>
      </c>
      <c r="Q20" s="44"/>
    </row>
    <row r="21" spans="1:17" ht="17.25" customHeight="1" x14ac:dyDescent="0.3">
      <c r="A21" s="137" t="s">
        <v>101</v>
      </c>
      <c r="B21" s="109">
        <v>80</v>
      </c>
      <c r="C21" s="109">
        <v>1</v>
      </c>
      <c r="D21" s="109">
        <f t="shared" si="0"/>
        <v>80</v>
      </c>
      <c r="E21" s="111">
        <f>E$9</f>
        <v>0</v>
      </c>
      <c r="F21" s="109">
        <v>0</v>
      </c>
      <c r="G21" s="43">
        <f t="shared" si="2"/>
        <v>0</v>
      </c>
      <c r="H21" s="43">
        <f t="shared" si="3"/>
        <v>0</v>
      </c>
      <c r="I21" s="43">
        <f t="shared" si="4"/>
        <v>0</v>
      </c>
      <c r="J21" s="44">
        <v>0</v>
      </c>
      <c r="K21" s="110"/>
      <c r="P21" s="44">
        <v>0</v>
      </c>
      <c r="Q21" s="44"/>
    </row>
    <row r="22" spans="1:17" ht="17.25" customHeight="1" x14ac:dyDescent="0.3">
      <c r="A22" s="137" t="s">
        <v>142</v>
      </c>
      <c r="B22" s="109">
        <v>20</v>
      </c>
      <c r="C22" s="109">
        <v>1</v>
      </c>
      <c r="D22" s="109">
        <f t="shared" si="0"/>
        <v>20</v>
      </c>
      <c r="E22" s="111">
        <f>E21*0.1</f>
        <v>0</v>
      </c>
      <c r="F22" s="109">
        <v>0</v>
      </c>
      <c r="G22" s="43">
        <f t="shared" si="2"/>
        <v>0</v>
      </c>
      <c r="H22" s="43">
        <f t="shared" si="3"/>
        <v>0</v>
      </c>
      <c r="I22" s="43">
        <f t="shared" si="4"/>
        <v>0</v>
      </c>
      <c r="J22" s="44">
        <v>0</v>
      </c>
      <c r="K22" s="110"/>
      <c r="P22" s="44">
        <v>0</v>
      </c>
      <c r="Q22" s="44"/>
    </row>
    <row r="23" spans="1:17" ht="17.25" customHeight="1" x14ac:dyDescent="0.3">
      <c r="A23" s="137" t="s">
        <v>50</v>
      </c>
      <c r="B23" s="109" t="s">
        <v>48</v>
      </c>
      <c r="C23" s="109"/>
      <c r="D23" s="109"/>
      <c r="E23" s="111"/>
      <c r="F23" s="109"/>
      <c r="G23" s="43"/>
      <c r="H23" s="43"/>
      <c r="I23" s="43"/>
      <c r="J23" s="44"/>
      <c r="K23" s="110"/>
      <c r="P23" s="44">
        <v>0</v>
      </c>
      <c r="Q23" s="44"/>
    </row>
    <row r="24" spans="1:17" ht="17.25" customHeight="1" x14ac:dyDescent="0.3">
      <c r="A24" s="137" t="s">
        <v>49</v>
      </c>
      <c r="B24" s="109" t="s">
        <v>48</v>
      </c>
      <c r="C24" s="109"/>
      <c r="D24" s="109"/>
      <c r="E24" s="111"/>
      <c r="F24" s="109"/>
      <c r="G24" s="43"/>
      <c r="H24" s="43"/>
      <c r="I24" s="43"/>
      <c r="J24" s="44"/>
      <c r="K24" s="110"/>
      <c r="P24" s="109"/>
      <c r="Q24" s="109"/>
    </row>
    <row r="25" spans="1:17" ht="17.25" customHeight="1" x14ac:dyDescent="0.3">
      <c r="A25" s="137" t="s">
        <v>137</v>
      </c>
      <c r="B25" s="109">
        <v>27</v>
      </c>
      <c r="C25" s="109">
        <v>1</v>
      </c>
      <c r="D25" s="109">
        <f t="shared" si="0"/>
        <v>27</v>
      </c>
      <c r="E25" s="111">
        <f>ROUND('Capital and O&amp;M Costs'!D20*0.64,0)</f>
        <v>472</v>
      </c>
      <c r="F25" s="109">
        <v>0</v>
      </c>
      <c r="G25" s="43">
        <f>D25*E25</f>
        <v>12744</v>
      </c>
      <c r="H25" s="43">
        <f>G25*0.05</f>
        <v>637.20000000000005</v>
      </c>
      <c r="I25" s="43">
        <f>G25*0.1</f>
        <v>1274.4000000000001</v>
      </c>
      <c r="J25" s="112">
        <f>(G25*$M$9)+(I25*$M$11)+(H25*$M$8)</f>
        <v>1356224.7636000002</v>
      </c>
      <c r="K25" s="110"/>
      <c r="P25" s="109"/>
      <c r="Q25" s="109"/>
    </row>
    <row r="26" spans="1:17" ht="17.25" customHeight="1" x14ac:dyDescent="0.3">
      <c r="A26" s="137" t="s">
        <v>138</v>
      </c>
      <c r="B26" s="109">
        <v>15</v>
      </c>
      <c r="C26" s="109">
        <v>1</v>
      </c>
      <c r="D26" s="109">
        <f t="shared" si="0"/>
        <v>15</v>
      </c>
      <c r="E26" s="111">
        <v>0</v>
      </c>
      <c r="F26" s="109">
        <v>0</v>
      </c>
      <c r="G26" s="43">
        <f>D26*E26</f>
        <v>0</v>
      </c>
      <c r="H26" s="43">
        <f t="shared" ref="H26:H29" si="5">G26*0.05</f>
        <v>0</v>
      </c>
      <c r="I26" s="43">
        <f t="shared" ref="I26:I28" si="6">G26*0.1</f>
        <v>0</v>
      </c>
      <c r="J26" s="44">
        <f t="shared" ref="J26:J28" si="7">(G26*$M$9)+(I26*$M$11+(H26*$M$8))</f>
        <v>0</v>
      </c>
      <c r="K26" s="110"/>
      <c r="P26" s="109"/>
      <c r="Q26" s="109"/>
    </row>
    <row r="27" spans="1:17" ht="17.25" customHeight="1" x14ac:dyDescent="0.3">
      <c r="A27" s="137" t="s">
        <v>139</v>
      </c>
      <c r="B27" s="109">
        <v>15</v>
      </c>
      <c r="C27" s="109">
        <v>1</v>
      </c>
      <c r="D27" s="109">
        <f t="shared" si="0"/>
        <v>15</v>
      </c>
      <c r="E27" s="111">
        <v>0</v>
      </c>
      <c r="F27" s="109">
        <v>0</v>
      </c>
      <c r="G27" s="43">
        <f>D27*E27</f>
        <v>0</v>
      </c>
      <c r="H27" s="43">
        <f t="shared" si="5"/>
        <v>0</v>
      </c>
      <c r="I27" s="43">
        <f t="shared" si="6"/>
        <v>0</v>
      </c>
      <c r="J27" s="44">
        <f t="shared" si="7"/>
        <v>0</v>
      </c>
      <c r="K27" s="110"/>
      <c r="P27" s="109"/>
      <c r="Q27" s="109"/>
    </row>
    <row r="28" spans="1:17" ht="17.25" customHeight="1" x14ac:dyDescent="0.3">
      <c r="A28" s="137" t="s">
        <v>140</v>
      </c>
      <c r="B28" s="109">
        <v>15</v>
      </c>
      <c r="C28" s="109">
        <v>1</v>
      </c>
      <c r="D28" s="109">
        <f t="shared" si="0"/>
        <v>15</v>
      </c>
      <c r="E28" s="111">
        <v>0</v>
      </c>
      <c r="F28" s="109">
        <v>0</v>
      </c>
      <c r="G28" s="43">
        <f>D28*E28</f>
        <v>0</v>
      </c>
      <c r="H28" s="43">
        <f t="shared" si="5"/>
        <v>0</v>
      </c>
      <c r="I28" s="43">
        <f t="shared" si="6"/>
        <v>0</v>
      </c>
      <c r="J28" s="44">
        <f t="shared" si="7"/>
        <v>0</v>
      </c>
      <c r="K28" s="110"/>
      <c r="P28" s="109"/>
      <c r="Q28" s="109"/>
    </row>
    <row r="29" spans="1:17" ht="17.25" customHeight="1" x14ac:dyDescent="0.3">
      <c r="A29" s="138" t="s">
        <v>145</v>
      </c>
      <c r="B29" s="109">
        <v>2</v>
      </c>
      <c r="C29" s="109">
        <v>1</v>
      </c>
      <c r="D29" s="109">
        <f t="shared" si="0"/>
        <v>2</v>
      </c>
      <c r="E29" s="111">
        <v>0</v>
      </c>
      <c r="F29" s="109">
        <v>0</v>
      </c>
      <c r="G29" s="43">
        <f>D29*E29</f>
        <v>0</v>
      </c>
      <c r="H29" s="43">
        <f t="shared" si="5"/>
        <v>0</v>
      </c>
      <c r="I29" s="43">
        <f t="shared" ref="I29" si="8">G29*0.1</f>
        <v>0</v>
      </c>
      <c r="J29" s="44">
        <f t="shared" ref="J29" si="9">(G29*$M$9)+(I29*$M$11+(H29*$M$8))</f>
        <v>0</v>
      </c>
      <c r="K29" s="147"/>
      <c r="P29" s="109"/>
      <c r="Q29" s="109"/>
    </row>
    <row r="30" spans="1:17" ht="17.25" customHeight="1" x14ac:dyDescent="0.3">
      <c r="A30" s="138" t="s">
        <v>146</v>
      </c>
      <c r="B30" s="114">
        <v>15</v>
      </c>
      <c r="C30" s="114">
        <v>1</v>
      </c>
      <c r="D30" s="109">
        <f t="shared" si="0"/>
        <v>15</v>
      </c>
      <c r="E30" s="111">
        <v>190</v>
      </c>
      <c r="F30" s="109">
        <v>0</v>
      </c>
      <c r="G30" s="43">
        <f t="shared" ref="G30" si="10">D30*E30</f>
        <v>2850</v>
      </c>
      <c r="H30" s="111">
        <f>G30*0.05</f>
        <v>142.5</v>
      </c>
      <c r="I30" s="43">
        <f>G30*0.1</f>
        <v>285</v>
      </c>
      <c r="J30" s="112">
        <f>(G30*$M$9)+(I30*$M$11)+(H30*$M$8)</f>
        <v>303298.85250000004</v>
      </c>
      <c r="K30" s="147"/>
      <c r="P30" s="44">
        <v>0</v>
      </c>
      <c r="Q30" s="44"/>
    </row>
    <row r="31" spans="1:17" ht="17.25" customHeight="1" x14ac:dyDescent="0.35">
      <c r="A31" s="115" t="s">
        <v>47</v>
      </c>
      <c r="B31" s="109"/>
      <c r="C31" s="109"/>
      <c r="D31" s="109"/>
      <c r="E31" s="111"/>
      <c r="F31" s="162">
        <f>SUM(F7:I30)</f>
        <v>22234.100000000002</v>
      </c>
      <c r="G31" s="163"/>
      <c r="H31" s="163"/>
      <c r="I31" s="164"/>
      <c r="J31" s="116">
        <f>SUM(J7:J30)</f>
        <v>2057536.8471000004</v>
      </c>
      <c r="K31" s="110"/>
      <c r="Q31" s="41"/>
    </row>
    <row r="32" spans="1:17" ht="17.25" customHeight="1" x14ac:dyDescent="0.35">
      <c r="A32" s="108" t="s">
        <v>46</v>
      </c>
      <c r="B32" s="109"/>
      <c r="C32" s="109"/>
      <c r="D32" s="109"/>
      <c r="E32" s="43"/>
      <c r="F32" s="109"/>
      <c r="G32" s="43"/>
      <c r="H32" s="43"/>
      <c r="I32" s="43"/>
      <c r="J32" s="44"/>
      <c r="K32" s="117"/>
      <c r="P32" s="44"/>
      <c r="Q32" s="44"/>
    </row>
    <row r="33" spans="1:17" ht="17.25" customHeight="1" x14ac:dyDescent="0.3">
      <c r="A33" s="136" t="s">
        <v>111</v>
      </c>
      <c r="B33" s="109" t="s">
        <v>148</v>
      </c>
      <c r="C33" s="109"/>
      <c r="D33" s="109"/>
      <c r="E33" s="43"/>
      <c r="F33" s="109"/>
      <c r="G33" s="43"/>
      <c r="H33" s="43"/>
      <c r="I33" s="43"/>
      <c r="J33" s="44"/>
      <c r="K33" s="110"/>
      <c r="P33" s="44"/>
      <c r="Q33" s="44"/>
    </row>
    <row r="34" spans="1:17" ht="17.25" customHeight="1" x14ac:dyDescent="0.3">
      <c r="A34" s="136" t="s">
        <v>112</v>
      </c>
      <c r="B34" s="109" t="s">
        <v>0</v>
      </c>
      <c r="C34" s="109"/>
      <c r="D34" s="109"/>
      <c r="E34" s="43"/>
      <c r="F34" s="109"/>
      <c r="G34" s="43"/>
      <c r="H34" s="43"/>
      <c r="I34" s="43"/>
      <c r="J34" s="44"/>
      <c r="K34" s="110"/>
      <c r="P34" s="109"/>
      <c r="Q34" s="109"/>
    </row>
    <row r="35" spans="1:17" ht="17.25" customHeight="1" x14ac:dyDescent="0.3">
      <c r="A35" s="136" t="s">
        <v>113</v>
      </c>
      <c r="B35" s="109" t="s">
        <v>0</v>
      </c>
      <c r="C35" s="109"/>
      <c r="D35" s="109"/>
      <c r="E35" s="43"/>
      <c r="F35" s="109"/>
      <c r="G35" s="43"/>
      <c r="H35" s="43"/>
      <c r="I35" s="43"/>
      <c r="J35" s="44"/>
      <c r="K35" s="110"/>
      <c r="P35" s="109"/>
      <c r="Q35" s="109"/>
    </row>
    <row r="36" spans="1:17" ht="17.25" customHeight="1" x14ac:dyDescent="0.3">
      <c r="A36" s="136" t="s">
        <v>114</v>
      </c>
      <c r="B36" s="109" t="s">
        <v>0</v>
      </c>
      <c r="C36" s="109"/>
      <c r="D36" s="109"/>
      <c r="E36" s="43"/>
      <c r="F36" s="109"/>
      <c r="G36" s="43"/>
      <c r="H36" s="43"/>
      <c r="I36" s="43"/>
      <c r="J36" s="44"/>
      <c r="K36" s="110"/>
      <c r="P36" s="109"/>
      <c r="Q36" s="109"/>
    </row>
    <row r="37" spans="1:17" ht="17.25" customHeight="1" x14ac:dyDescent="0.3">
      <c r="A37" s="136" t="s">
        <v>115</v>
      </c>
      <c r="B37" s="109"/>
      <c r="C37" s="109"/>
      <c r="D37" s="109"/>
      <c r="E37" s="43"/>
      <c r="F37" s="109"/>
      <c r="G37" s="43"/>
      <c r="H37" s="43"/>
      <c r="I37" s="43"/>
      <c r="J37" s="44"/>
      <c r="K37" s="110"/>
      <c r="P37" s="109"/>
      <c r="Q37" s="109"/>
    </row>
    <row r="38" spans="1:17" ht="17.25" customHeight="1" x14ac:dyDescent="0.3">
      <c r="A38" s="137" t="s">
        <v>149</v>
      </c>
      <c r="B38" s="109">
        <v>5</v>
      </c>
      <c r="C38" s="109">
        <v>12</v>
      </c>
      <c r="D38" s="109">
        <f t="shared" si="0"/>
        <v>60</v>
      </c>
      <c r="E38" s="111">
        <f>E$10</f>
        <v>0</v>
      </c>
      <c r="F38" s="109">
        <v>0</v>
      </c>
      <c r="G38" s="43">
        <f t="shared" ref="G38:G41" si="11">D38*E38</f>
        <v>0</v>
      </c>
      <c r="H38" s="43">
        <f>G38*0.05</f>
        <v>0</v>
      </c>
      <c r="I38" s="43">
        <f>G38*0.1</f>
        <v>0</v>
      </c>
      <c r="J38" s="44">
        <v>0</v>
      </c>
      <c r="K38" s="110"/>
      <c r="P38" s="44"/>
      <c r="Q38" s="44"/>
    </row>
    <row r="39" spans="1:17" ht="17.25" customHeight="1" x14ac:dyDescent="0.3">
      <c r="A39" s="137" t="s">
        <v>150</v>
      </c>
      <c r="B39" s="109">
        <v>11</v>
      </c>
      <c r="C39" s="109">
        <v>12</v>
      </c>
      <c r="D39" s="109">
        <f t="shared" si="0"/>
        <v>132</v>
      </c>
      <c r="E39" s="111">
        <f>E$10</f>
        <v>0</v>
      </c>
      <c r="F39" s="109">
        <v>0</v>
      </c>
      <c r="G39" s="43">
        <f t="shared" si="11"/>
        <v>0</v>
      </c>
      <c r="H39" s="43">
        <f>G39*0.05</f>
        <v>0</v>
      </c>
      <c r="I39" s="43">
        <f>G39*0.1</f>
        <v>0</v>
      </c>
      <c r="J39" s="44">
        <v>0</v>
      </c>
      <c r="K39" s="110"/>
      <c r="P39" s="44">
        <v>0</v>
      </c>
      <c r="Q39" s="44"/>
    </row>
    <row r="40" spans="1:17" ht="17.25" customHeight="1" x14ac:dyDescent="0.3">
      <c r="A40" s="137" t="s">
        <v>151</v>
      </c>
      <c r="B40" s="109">
        <v>4</v>
      </c>
      <c r="C40" s="109">
        <v>1</v>
      </c>
      <c r="D40" s="109">
        <f t="shared" si="0"/>
        <v>4</v>
      </c>
      <c r="E40" s="111">
        <v>0</v>
      </c>
      <c r="F40" s="109">
        <v>0</v>
      </c>
      <c r="G40" s="43">
        <f t="shared" si="11"/>
        <v>0</v>
      </c>
      <c r="H40" s="43">
        <f>G40*0.05</f>
        <v>0</v>
      </c>
      <c r="I40" s="43">
        <f>G40*0.1</f>
        <v>0</v>
      </c>
      <c r="J40" s="44">
        <v>0</v>
      </c>
      <c r="K40" s="110"/>
      <c r="P40" s="44">
        <v>0</v>
      </c>
      <c r="Q40" s="44"/>
    </row>
    <row r="41" spans="1:17" ht="17.25" customHeight="1" x14ac:dyDescent="0.3">
      <c r="A41" s="137" t="s">
        <v>152</v>
      </c>
      <c r="B41" s="109">
        <v>2</v>
      </c>
      <c r="C41" s="109">
        <v>12</v>
      </c>
      <c r="D41" s="109">
        <f t="shared" si="0"/>
        <v>24</v>
      </c>
      <c r="E41" s="111">
        <f>ROUND(34*0.64,0)</f>
        <v>22</v>
      </c>
      <c r="F41" s="109">
        <v>0</v>
      </c>
      <c r="G41" s="43">
        <f t="shared" si="11"/>
        <v>528</v>
      </c>
      <c r="H41" s="43">
        <f>G41*0.05</f>
        <v>26.400000000000002</v>
      </c>
      <c r="I41" s="43">
        <f>G41*0.1</f>
        <v>52.800000000000004</v>
      </c>
      <c r="J41" s="112">
        <f>(G41*$M$9)+(I41*$M$11)+(H41*$M$8)</f>
        <v>56190.103200000012</v>
      </c>
      <c r="K41" s="110"/>
      <c r="P41" s="44">
        <v>0</v>
      </c>
      <c r="Q41" s="44"/>
    </row>
    <row r="42" spans="1:17" ht="17.25" customHeight="1" x14ac:dyDescent="0.3">
      <c r="A42" s="136" t="s">
        <v>116</v>
      </c>
      <c r="B42" s="109" t="s">
        <v>0</v>
      </c>
      <c r="C42" s="109"/>
      <c r="D42" s="109"/>
      <c r="E42" s="111"/>
      <c r="F42" s="109"/>
      <c r="G42" s="43"/>
      <c r="H42" s="43"/>
      <c r="I42" s="43"/>
      <c r="J42" s="44"/>
      <c r="K42" s="110"/>
      <c r="M42" s="47"/>
      <c r="N42" s="47"/>
      <c r="P42" s="44"/>
      <c r="Q42" s="44"/>
    </row>
    <row r="43" spans="1:17" ht="17.25" customHeight="1" x14ac:dyDescent="0.3">
      <c r="A43" s="136" t="s">
        <v>117</v>
      </c>
      <c r="B43" s="109" t="s">
        <v>0</v>
      </c>
      <c r="C43" s="109"/>
      <c r="D43" s="109"/>
      <c r="E43" s="111"/>
      <c r="F43" s="109"/>
      <c r="G43" s="43"/>
      <c r="H43" s="43"/>
      <c r="I43" s="43"/>
      <c r="J43" s="44"/>
      <c r="K43" s="110"/>
      <c r="M43" s="47"/>
      <c r="N43" s="47"/>
      <c r="P43" s="109"/>
      <c r="Q43" s="109"/>
    </row>
    <row r="44" spans="1:17" ht="17.25" customHeight="1" x14ac:dyDescent="0.35">
      <c r="A44" s="115" t="s">
        <v>44</v>
      </c>
      <c r="B44" s="109"/>
      <c r="C44" s="109"/>
      <c r="D44" s="109"/>
      <c r="E44" s="43"/>
      <c r="F44" s="165">
        <f>SUM(F33:I43)</f>
        <v>607.19999999999993</v>
      </c>
      <c r="G44" s="166"/>
      <c r="H44" s="166"/>
      <c r="I44" s="167"/>
      <c r="J44" s="118">
        <f>SUM(J33:J43)</f>
        <v>56190.103200000012</v>
      </c>
      <c r="K44" s="110"/>
      <c r="M44" s="47"/>
      <c r="N44" s="47"/>
      <c r="P44" s="109"/>
      <c r="Q44" s="109"/>
    </row>
    <row r="45" spans="1:17" ht="17.25" customHeight="1" x14ac:dyDescent="0.35">
      <c r="A45" s="126" t="s">
        <v>156</v>
      </c>
      <c r="B45" s="119"/>
      <c r="C45" s="119"/>
      <c r="D45" s="109"/>
      <c r="E45" s="120"/>
      <c r="F45" s="168">
        <f>ROUND(F31+F44,-2)</f>
        <v>22800</v>
      </c>
      <c r="G45" s="169"/>
      <c r="H45" s="169"/>
      <c r="I45" s="170"/>
      <c r="J45" s="45">
        <f>ROUND(J31+J44,-4)</f>
        <v>2110000</v>
      </c>
      <c r="K45" s="117"/>
      <c r="L45" s="47"/>
      <c r="M45" s="47"/>
      <c r="N45" s="47"/>
      <c r="P45" s="44"/>
      <c r="Q45" s="44"/>
    </row>
    <row r="46" spans="1:17" s="47" customFormat="1" ht="18.75" customHeight="1" x14ac:dyDescent="0.3">
      <c r="A46" s="126" t="s">
        <v>157</v>
      </c>
      <c r="B46" s="119"/>
      <c r="C46" s="119"/>
      <c r="D46" s="109"/>
      <c r="E46" s="120"/>
      <c r="F46" s="119"/>
      <c r="G46" s="46"/>
      <c r="H46" s="46"/>
      <c r="I46" s="46"/>
      <c r="J46" s="45">
        <f>'Capital and O&amp;M Costs'!H6</f>
        <v>7080</v>
      </c>
      <c r="K46" s="49"/>
      <c r="L46" s="41"/>
      <c r="M46" s="41"/>
      <c r="N46" s="41"/>
      <c r="P46" s="45"/>
      <c r="Q46" s="45"/>
    </row>
    <row r="47" spans="1:17" s="47" customFormat="1" ht="18" customHeight="1" x14ac:dyDescent="0.3">
      <c r="A47" s="126" t="s">
        <v>155</v>
      </c>
      <c r="B47" s="119"/>
      <c r="C47" s="119"/>
      <c r="D47" s="109"/>
      <c r="E47" s="120"/>
      <c r="F47" s="119"/>
      <c r="G47" s="46"/>
      <c r="H47" s="46"/>
      <c r="I47" s="46"/>
      <c r="J47" s="45">
        <f>ROUND(J46+J45,-4)</f>
        <v>2120000</v>
      </c>
      <c r="K47" s="49"/>
      <c r="L47" s="41"/>
      <c r="M47" s="41"/>
      <c r="N47" s="41"/>
      <c r="P47" s="45"/>
      <c r="Q47" s="45"/>
    </row>
    <row r="48" spans="1:17" s="47" customFormat="1" ht="18" customHeight="1" x14ac:dyDescent="0.3">
      <c r="A48" s="48"/>
      <c r="B48" s="48"/>
      <c r="D48" s="133"/>
      <c r="E48" s="48"/>
      <c r="F48" s="48"/>
      <c r="G48" s="50"/>
      <c r="H48" s="50"/>
      <c r="I48" s="50"/>
      <c r="J48" s="49"/>
      <c r="K48" s="49"/>
      <c r="L48" s="41"/>
      <c r="M48" s="41"/>
      <c r="N48" s="41"/>
      <c r="P48" s="45"/>
      <c r="Q48" s="45"/>
    </row>
    <row r="49" spans="1:17" s="47" customFormat="1" ht="13" x14ac:dyDescent="0.3">
      <c r="A49" s="54" t="s">
        <v>104</v>
      </c>
      <c r="B49" s="54"/>
      <c r="C49" s="41"/>
      <c r="D49" s="51"/>
      <c r="E49" s="54"/>
      <c r="F49" s="54"/>
      <c r="G49" s="54"/>
      <c r="H49" s="54"/>
      <c r="I49" s="54"/>
      <c r="J49" s="54"/>
      <c r="K49" s="49"/>
      <c r="L49" s="41"/>
      <c r="M49" s="41"/>
      <c r="N49" s="41"/>
      <c r="P49" s="49"/>
      <c r="Q49" s="49"/>
    </row>
    <row r="50" spans="1:17" ht="30" customHeight="1" x14ac:dyDescent="0.3">
      <c r="A50" s="158" t="s">
        <v>129</v>
      </c>
      <c r="B50" s="158"/>
      <c r="C50" s="158"/>
      <c r="D50" s="158"/>
      <c r="E50" s="158"/>
      <c r="F50" s="158"/>
      <c r="G50" s="158"/>
      <c r="H50" s="158"/>
      <c r="I50" s="158"/>
      <c r="J50" s="158"/>
      <c r="K50" s="54"/>
      <c r="P50" s="54"/>
      <c r="Q50" s="54"/>
    </row>
    <row r="51" spans="1:17" ht="61.5" customHeight="1" x14ac:dyDescent="0.3">
      <c r="A51" s="159" t="s">
        <v>130</v>
      </c>
      <c r="B51" s="159"/>
      <c r="C51" s="159"/>
      <c r="D51" s="159"/>
      <c r="E51" s="159"/>
      <c r="F51" s="159"/>
      <c r="G51" s="159"/>
      <c r="H51" s="159"/>
      <c r="I51" s="159"/>
      <c r="J51" s="159"/>
      <c r="K51" s="121"/>
      <c r="P51" s="121"/>
      <c r="Q51" s="121"/>
    </row>
    <row r="52" spans="1:17" ht="24.75" customHeight="1" x14ac:dyDescent="0.3">
      <c r="A52" s="159" t="s">
        <v>131</v>
      </c>
      <c r="B52" s="159"/>
      <c r="C52" s="159"/>
      <c r="D52" s="159"/>
      <c r="E52" s="159"/>
      <c r="F52" s="159"/>
      <c r="G52" s="159"/>
      <c r="H52" s="159"/>
      <c r="I52" s="159"/>
      <c r="J52" s="159"/>
      <c r="K52" s="42"/>
      <c r="P52" s="42"/>
      <c r="Q52" s="42"/>
    </row>
    <row r="53" spans="1:17" ht="56.25" customHeight="1" x14ac:dyDescent="0.3">
      <c r="A53" s="159" t="s">
        <v>214</v>
      </c>
      <c r="B53" s="159"/>
      <c r="C53" s="159"/>
      <c r="D53" s="159"/>
      <c r="E53" s="159"/>
      <c r="F53" s="159"/>
      <c r="G53" s="159"/>
      <c r="H53" s="159"/>
      <c r="I53" s="159"/>
      <c r="J53" s="159"/>
      <c r="K53" s="42"/>
      <c r="P53" s="42"/>
      <c r="Q53" s="42"/>
    </row>
    <row r="54" spans="1:17" ht="49.5" customHeight="1" x14ac:dyDescent="0.3">
      <c r="A54" s="159" t="s">
        <v>215</v>
      </c>
      <c r="B54" s="159"/>
      <c r="C54" s="159"/>
      <c r="D54" s="159"/>
      <c r="E54" s="159"/>
      <c r="F54" s="159"/>
      <c r="G54" s="159"/>
      <c r="H54" s="159"/>
      <c r="I54" s="159"/>
      <c r="J54" s="159"/>
      <c r="K54" s="121"/>
      <c r="P54" s="121"/>
      <c r="Q54" s="121"/>
    </row>
    <row r="55" spans="1:17" ht="48" customHeight="1" x14ac:dyDescent="0.3">
      <c r="A55" s="158" t="s">
        <v>141</v>
      </c>
      <c r="B55" s="158"/>
      <c r="C55" s="158"/>
      <c r="D55" s="158"/>
      <c r="E55" s="158"/>
      <c r="F55" s="158"/>
      <c r="G55" s="158"/>
      <c r="H55" s="158"/>
      <c r="I55" s="158"/>
      <c r="J55" s="158"/>
      <c r="K55" s="121"/>
      <c r="P55" s="121"/>
      <c r="Q55" s="121"/>
    </row>
    <row r="56" spans="1:17" ht="49.5" customHeight="1" x14ac:dyDescent="0.3">
      <c r="A56" s="158" t="s">
        <v>217</v>
      </c>
      <c r="B56" s="158"/>
      <c r="C56" s="158"/>
      <c r="D56" s="158"/>
      <c r="E56" s="158"/>
      <c r="F56" s="158"/>
      <c r="G56" s="158"/>
      <c r="H56" s="158"/>
      <c r="I56" s="158"/>
      <c r="J56" s="158"/>
      <c r="K56" s="121"/>
      <c r="P56" s="121"/>
      <c r="Q56" s="121"/>
    </row>
    <row r="57" spans="1:17" ht="32.25" customHeight="1" x14ac:dyDescent="0.3">
      <c r="A57" s="158" t="s">
        <v>202</v>
      </c>
      <c r="B57" s="158"/>
      <c r="C57" s="158"/>
      <c r="D57" s="158"/>
      <c r="E57" s="158"/>
      <c r="F57" s="158"/>
      <c r="G57" s="158"/>
      <c r="H57" s="158"/>
      <c r="I57" s="158"/>
      <c r="J57" s="158"/>
      <c r="K57" s="121"/>
      <c r="P57" s="121"/>
      <c r="Q57" s="121"/>
    </row>
    <row r="58" spans="1:17" ht="63.75" customHeight="1" x14ac:dyDescent="0.3">
      <c r="A58" s="158" t="s">
        <v>147</v>
      </c>
      <c r="B58" s="158"/>
      <c r="C58" s="158"/>
      <c r="D58" s="158"/>
      <c r="E58" s="158"/>
      <c r="F58" s="158"/>
      <c r="G58" s="158"/>
      <c r="H58" s="158"/>
      <c r="I58" s="158"/>
      <c r="J58" s="158"/>
      <c r="K58" s="121"/>
      <c r="P58" s="121"/>
      <c r="Q58" s="121"/>
    </row>
    <row r="59" spans="1:17" ht="38.25" customHeight="1" x14ac:dyDescent="0.3">
      <c r="A59" s="158" t="s">
        <v>216</v>
      </c>
      <c r="B59" s="158"/>
      <c r="C59" s="158"/>
      <c r="D59" s="158"/>
      <c r="E59" s="158"/>
      <c r="F59" s="158"/>
      <c r="G59" s="158"/>
      <c r="H59" s="158"/>
      <c r="I59" s="158"/>
      <c r="J59" s="158"/>
      <c r="K59" s="121"/>
      <c r="P59" s="121"/>
      <c r="Q59" s="121"/>
    </row>
    <row r="60" spans="1:17" ht="49.5" customHeight="1" x14ac:dyDescent="0.3">
      <c r="A60" s="158" t="s">
        <v>153</v>
      </c>
      <c r="B60" s="158"/>
      <c r="C60" s="158"/>
      <c r="D60" s="158"/>
      <c r="E60" s="158"/>
      <c r="F60" s="158"/>
      <c r="G60" s="158"/>
      <c r="H60" s="158"/>
      <c r="I60" s="158"/>
      <c r="J60" s="158"/>
      <c r="K60" s="121"/>
      <c r="P60" s="121"/>
      <c r="Q60" s="121"/>
    </row>
    <row r="61" spans="1:17" ht="22.5" customHeight="1" x14ac:dyDescent="0.3">
      <c r="A61" s="159" t="s">
        <v>154</v>
      </c>
      <c r="B61" s="159"/>
      <c r="C61" s="159"/>
      <c r="D61" s="159"/>
      <c r="E61" s="159"/>
      <c r="F61" s="159"/>
      <c r="G61" s="159"/>
      <c r="H61" s="159"/>
      <c r="I61" s="159"/>
      <c r="J61" s="159"/>
      <c r="K61" s="42"/>
      <c r="P61" s="42"/>
      <c r="Q61" s="42"/>
    </row>
  </sheetData>
  <mergeCells count="18">
    <mergeCell ref="A59:J59"/>
    <mergeCell ref="A60:J60"/>
    <mergeCell ref="A61:J61"/>
    <mergeCell ref="L6:N6"/>
    <mergeCell ref="L12:N12"/>
    <mergeCell ref="F31:I31"/>
    <mergeCell ref="F44:I44"/>
    <mergeCell ref="F45:I45"/>
    <mergeCell ref="A1:J1"/>
    <mergeCell ref="A56:J56"/>
    <mergeCell ref="A57:J57"/>
    <mergeCell ref="A58:J58"/>
    <mergeCell ref="A50:J50"/>
    <mergeCell ref="A51:J51"/>
    <mergeCell ref="A52:J52"/>
    <mergeCell ref="A53:J53"/>
    <mergeCell ref="A54:J54"/>
    <mergeCell ref="A55:J55"/>
  </mergeCells>
  <pageMargins left="0.25" right="0.25" top="0.5" bottom="0.5" header="0.5" footer="0.5"/>
  <pageSetup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0B4DF-3BE9-4BDA-9AA7-322EAE0EA331}">
  <sheetPr>
    <pageSetUpPr fitToPage="1"/>
  </sheetPr>
  <dimension ref="A1:Q61"/>
  <sheetViews>
    <sheetView topLeftCell="A55" zoomScale="115" zoomScaleNormal="115" zoomScaleSheetLayoutView="100" workbookViewId="0">
      <selection activeCell="B30" sqref="B30"/>
    </sheetView>
  </sheetViews>
  <sheetFormatPr defaultColWidth="9.1796875" defaultRowHeight="14.5" x14ac:dyDescent="0.35"/>
  <cols>
    <col min="1" max="1" width="44.81640625" style="41" customWidth="1"/>
    <col min="2" max="2" width="12.7265625" style="51" customWidth="1"/>
    <col min="3" max="3" width="10.7265625" customWidth="1"/>
    <col min="4" max="4" width="12.81640625" customWidth="1"/>
    <col min="5" max="5" width="11.26953125" style="51" customWidth="1"/>
    <col min="6" max="6" width="12.1796875" style="51" customWidth="1"/>
    <col min="7" max="7" width="11.1796875" style="51" customWidth="1"/>
    <col min="8" max="8" width="12.81640625" style="51" customWidth="1"/>
    <col min="9" max="9" width="11.453125" style="51" customWidth="1"/>
    <col min="10" max="10" width="12.81640625" style="51" customWidth="1"/>
    <col min="11" max="11" width="4.81640625" style="53" customWidth="1"/>
    <col min="12" max="12" width="32.26953125" style="41" customWidth="1"/>
    <col min="13" max="13" width="9.1796875" style="41"/>
    <col min="14" max="14" width="14.1796875" style="41" customWidth="1"/>
    <col min="15" max="15" width="9.1796875" style="41"/>
    <col min="16" max="17" width="9.26953125" style="51" customWidth="1"/>
    <col min="18" max="16384" width="9.1796875" style="41"/>
  </cols>
  <sheetData>
    <row r="1" spans="1:17" ht="34.5" customHeight="1" x14ac:dyDescent="0.3">
      <c r="A1" s="157" t="s">
        <v>212</v>
      </c>
      <c r="B1" s="157"/>
      <c r="C1" s="157"/>
      <c r="D1" s="157"/>
      <c r="E1" s="157"/>
      <c r="F1" s="157"/>
      <c r="G1" s="157"/>
      <c r="H1" s="157"/>
      <c r="I1" s="157"/>
      <c r="J1" s="157"/>
      <c r="K1" s="59"/>
      <c r="P1" s="129"/>
      <c r="Q1" s="129"/>
    </row>
    <row r="2" spans="1:17" ht="18" customHeight="1" x14ac:dyDescent="0.3">
      <c r="A2" s="60"/>
      <c r="B2" s="60"/>
      <c r="C2" s="41"/>
      <c r="D2" s="41"/>
      <c r="E2" s="60"/>
      <c r="F2" s="60"/>
      <c r="G2" s="60"/>
      <c r="H2" s="60"/>
      <c r="I2" s="60"/>
      <c r="J2" s="60"/>
      <c r="K2" s="62"/>
      <c r="P2" s="60"/>
      <c r="Q2" s="60"/>
    </row>
    <row r="3" spans="1:17" s="42" customFormat="1" ht="84.75" customHeight="1" x14ac:dyDescent="0.3">
      <c r="A3" s="104" t="s">
        <v>56</v>
      </c>
      <c r="B3" s="105" t="s">
        <v>105</v>
      </c>
      <c r="C3" s="130" t="s">
        <v>106</v>
      </c>
      <c r="D3" s="130" t="s">
        <v>107</v>
      </c>
      <c r="E3" s="135" t="s">
        <v>119</v>
      </c>
      <c r="F3" s="105" t="s">
        <v>120</v>
      </c>
      <c r="G3" s="106" t="s">
        <v>127</v>
      </c>
      <c r="H3" s="106" t="s">
        <v>125</v>
      </c>
      <c r="I3" s="106" t="s">
        <v>126</v>
      </c>
      <c r="J3" s="105" t="s">
        <v>95</v>
      </c>
      <c r="K3" s="107"/>
      <c r="P3" s="105" t="s">
        <v>55</v>
      </c>
      <c r="Q3" s="105" t="s">
        <v>54</v>
      </c>
    </row>
    <row r="4" spans="1:17" ht="17.25" customHeight="1" x14ac:dyDescent="0.3">
      <c r="A4" s="122" t="s">
        <v>53</v>
      </c>
      <c r="B4" s="109" t="s">
        <v>0</v>
      </c>
      <c r="C4" s="109"/>
      <c r="D4" s="109"/>
      <c r="E4" s="43"/>
      <c r="F4" s="109"/>
      <c r="G4" s="43"/>
      <c r="H4" s="43"/>
      <c r="I4" s="43"/>
      <c r="J4" s="44"/>
      <c r="K4" s="110"/>
      <c r="P4" s="109"/>
      <c r="Q4" s="109"/>
    </row>
    <row r="5" spans="1:17" ht="17.25" customHeight="1" x14ac:dyDescent="0.3">
      <c r="A5" s="122" t="s">
        <v>52</v>
      </c>
      <c r="B5" s="109" t="s">
        <v>0</v>
      </c>
      <c r="C5" s="109"/>
      <c r="D5" s="109"/>
      <c r="E5" s="43"/>
      <c r="F5" s="109"/>
      <c r="G5" s="43"/>
      <c r="H5" s="43"/>
      <c r="I5" s="43"/>
      <c r="J5" s="44"/>
      <c r="K5" s="110"/>
      <c r="P5" s="109"/>
      <c r="Q5" s="109"/>
    </row>
    <row r="6" spans="1:17" ht="17.25" customHeight="1" x14ac:dyDescent="0.3">
      <c r="A6" s="122" t="s">
        <v>51</v>
      </c>
      <c r="B6" s="109"/>
      <c r="C6" s="109"/>
      <c r="D6" s="109"/>
      <c r="E6" s="43"/>
      <c r="F6" s="109"/>
      <c r="G6" s="43"/>
      <c r="H6" s="43"/>
      <c r="I6" s="43"/>
      <c r="J6" s="44"/>
      <c r="K6" s="110"/>
      <c r="L6" s="160" t="s">
        <v>77</v>
      </c>
      <c r="M6" s="160"/>
      <c r="N6" s="160"/>
      <c r="P6" s="44"/>
      <c r="Q6" s="44"/>
    </row>
    <row r="7" spans="1:17" ht="17.25" customHeight="1" x14ac:dyDescent="0.3">
      <c r="A7" s="143" t="s">
        <v>118</v>
      </c>
      <c r="B7" s="109">
        <v>5</v>
      </c>
      <c r="C7" s="109">
        <v>1</v>
      </c>
      <c r="D7" s="109">
        <f t="shared" ref="D7:D41" si="0">B7*C7</f>
        <v>5</v>
      </c>
      <c r="E7" s="111">
        <f>ROUND(0.36*'Capital and O&amp;M Costs'!G20,0)</f>
        <v>421</v>
      </c>
      <c r="F7" s="109">
        <v>0</v>
      </c>
      <c r="G7" s="43">
        <f>D7*E7</f>
        <v>2105</v>
      </c>
      <c r="H7" s="111">
        <f>G7*0.05</f>
        <v>105.25</v>
      </c>
      <c r="I7" s="43">
        <f>G7*0.1</f>
        <v>210.5</v>
      </c>
      <c r="J7" s="112">
        <f>(G7*$M$9)+(I7*$M$11+(H7*$M$8))</f>
        <v>224015.46825000003</v>
      </c>
      <c r="K7" s="123"/>
      <c r="L7" s="89" t="s">
        <v>78</v>
      </c>
      <c r="M7" s="89" t="s">
        <v>79</v>
      </c>
      <c r="N7" s="90" t="s">
        <v>80</v>
      </c>
      <c r="P7" s="44">
        <v>0</v>
      </c>
      <c r="Q7" s="44"/>
    </row>
    <row r="8" spans="1:17" ht="17.25" customHeight="1" x14ac:dyDescent="0.3">
      <c r="A8" s="144" t="s">
        <v>110</v>
      </c>
      <c r="B8" s="109"/>
      <c r="C8" s="109"/>
      <c r="D8" s="109"/>
      <c r="E8" s="43"/>
      <c r="F8" s="109"/>
      <c r="G8" s="43"/>
      <c r="H8" s="43"/>
      <c r="I8" s="43"/>
      <c r="J8" s="44"/>
      <c r="K8" s="110"/>
      <c r="L8" s="91" t="s">
        <v>2</v>
      </c>
      <c r="M8" s="139">
        <f>59.61*2.1</f>
        <v>125.181</v>
      </c>
      <c r="N8" s="101" t="s">
        <v>81</v>
      </c>
      <c r="P8" s="44"/>
      <c r="Q8" s="44"/>
    </row>
    <row r="9" spans="1:17" ht="17.25" customHeight="1" x14ac:dyDescent="0.3">
      <c r="A9" s="145" t="s">
        <v>132</v>
      </c>
      <c r="B9" s="109">
        <v>12</v>
      </c>
      <c r="C9" s="109">
        <v>1</v>
      </c>
      <c r="D9" s="109">
        <f t="shared" si="0"/>
        <v>12</v>
      </c>
      <c r="E9" s="111">
        <v>0</v>
      </c>
      <c r="F9" s="109">
        <v>0</v>
      </c>
      <c r="G9" s="43">
        <f t="shared" ref="G9:G11" si="1">D9*E9</f>
        <v>0</v>
      </c>
      <c r="H9" s="43">
        <f>G9*0.05</f>
        <v>0</v>
      </c>
      <c r="I9" s="43">
        <f>G9*0.1</f>
        <v>0</v>
      </c>
      <c r="J9" s="44">
        <v>0</v>
      </c>
      <c r="K9" s="110"/>
      <c r="L9" s="91" t="s">
        <v>82</v>
      </c>
      <c r="M9" s="140">
        <f>45.88*2.1</f>
        <v>96.348000000000013</v>
      </c>
      <c r="N9" s="101" t="s">
        <v>83</v>
      </c>
      <c r="P9" s="112">
        <v>1983.6594844730848</v>
      </c>
      <c r="Q9" s="112">
        <v>1000</v>
      </c>
    </row>
    <row r="10" spans="1:17" ht="17.25" customHeight="1" x14ac:dyDescent="0.3">
      <c r="A10" s="145" t="s">
        <v>133</v>
      </c>
      <c r="B10" s="113">
        <v>44</v>
      </c>
      <c r="C10" s="109">
        <v>4</v>
      </c>
      <c r="D10" s="109">
        <f t="shared" si="0"/>
        <v>176</v>
      </c>
      <c r="E10" s="111">
        <v>0</v>
      </c>
      <c r="F10" s="109">
        <v>0</v>
      </c>
      <c r="G10" s="43">
        <f t="shared" si="1"/>
        <v>0</v>
      </c>
      <c r="H10" s="43">
        <v>0</v>
      </c>
      <c r="I10" s="43">
        <v>0</v>
      </c>
      <c r="J10" s="44">
        <v>0</v>
      </c>
      <c r="K10" s="110"/>
      <c r="L10" s="90" t="s">
        <v>84</v>
      </c>
      <c r="M10" s="92">
        <f>27.21*2.1</f>
        <v>57.141000000000005</v>
      </c>
      <c r="N10" s="101" t="s">
        <v>85</v>
      </c>
      <c r="P10" s="112">
        <v>703.5</v>
      </c>
      <c r="Q10" s="44"/>
    </row>
    <row r="11" spans="1:17" ht="17.25" customHeight="1" x14ac:dyDescent="0.3">
      <c r="A11" s="145" t="s">
        <v>134</v>
      </c>
      <c r="B11" s="113">
        <f>ROUND(2000/49.85,0)</f>
        <v>40</v>
      </c>
      <c r="C11" s="109">
        <v>12</v>
      </c>
      <c r="D11" s="109">
        <f t="shared" si="0"/>
        <v>480</v>
      </c>
      <c r="E11" s="111">
        <f>E10</f>
        <v>0</v>
      </c>
      <c r="F11" s="109">
        <v>0</v>
      </c>
      <c r="G11" s="43">
        <f t="shared" si="1"/>
        <v>0</v>
      </c>
      <c r="H11" s="43">
        <v>0</v>
      </c>
      <c r="I11" s="43">
        <v>0</v>
      </c>
      <c r="J11" s="44">
        <v>0</v>
      </c>
      <c r="K11" s="110"/>
      <c r="L11" s="91" t="s">
        <v>4</v>
      </c>
      <c r="M11" s="140">
        <f>18.16*2.1</f>
        <v>38.136000000000003</v>
      </c>
      <c r="N11" s="101" t="s">
        <v>86</v>
      </c>
      <c r="P11" s="112">
        <v>17</v>
      </c>
      <c r="Q11" s="44"/>
    </row>
    <row r="12" spans="1:17" ht="17.25" customHeight="1" x14ac:dyDescent="0.3">
      <c r="A12" s="144" t="s">
        <v>109</v>
      </c>
      <c r="B12" s="109" t="s">
        <v>48</v>
      </c>
      <c r="C12" s="109"/>
      <c r="D12" s="109"/>
      <c r="E12" s="43"/>
      <c r="F12" s="109"/>
      <c r="G12" s="43"/>
      <c r="H12" s="43"/>
      <c r="I12" s="43"/>
      <c r="J12" s="44"/>
      <c r="K12" s="123"/>
      <c r="L12" s="161" t="s">
        <v>87</v>
      </c>
      <c r="M12" s="161"/>
      <c r="N12" s="161"/>
      <c r="P12" s="112"/>
      <c r="Q12" s="44"/>
    </row>
    <row r="13" spans="1:17" ht="17.25" customHeight="1" x14ac:dyDescent="0.3">
      <c r="A13" s="144" t="s">
        <v>108</v>
      </c>
      <c r="B13" s="109" t="s">
        <v>48</v>
      </c>
      <c r="C13" s="109"/>
      <c r="D13" s="109"/>
      <c r="E13" s="43"/>
      <c r="F13" s="109"/>
      <c r="G13" s="43"/>
      <c r="H13" s="43"/>
      <c r="I13" s="43"/>
      <c r="J13" s="44"/>
      <c r="K13" s="110"/>
      <c r="P13" s="109"/>
      <c r="Q13" s="109"/>
    </row>
    <row r="14" spans="1:17" ht="17.25" customHeight="1" x14ac:dyDescent="0.3">
      <c r="A14" s="144" t="s">
        <v>135</v>
      </c>
      <c r="B14" s="109"/>
      <c r="C14" s="109"/>
      <c r="D14" s="109"/>
      <c r="E14" s="43"/>
      <c r="F14" s="109"/>
      <c r="G14" s="43"/>
      <c r="H14" s="43"/>
      <c r="I14" s="43"/>
      <c r="J14" s="44"/>
      <c r="K14" s="110"/>
      <c r="P14" s="109"/>
      <c r="Q14" s="109"/>
    </row>
    <row r="15" spans="1:17" ht="17.25" customHeight="1" x14ac:dyDescent="0.3">
      <c r="A15" s="145" t="s">
        <v>96</v>
      </c>
      <c r="B15" s="109">
        <v>2</v>
      </c>
      <c r="C15" s="109">
        <v>1</v>
      </c>
      <c r="D15" s="109">
        <f t="shared" si="0"/>
        <v>2</v>
      </c>
      <c r="E15" s="111">
        <v>0</v>
      </c>
      <c r="F15" s="109">
        <v>0</v>
      </c>
      <c r="G15" s="43">
        <f t="shared" ref="G15:G22" si="2">D15*E15</f>
        <v>0</v>
      </c>
      <c r="H15" s="43">
        <f t="shared" ref="H15:H22" si="3">G15*0.05</f>
        <v>0</v>
      </c>
      <c r="I15" s="43">
        <f t="shared" ref="I15:I22" si="4">G15*0.1</f>
        <v>0</v>
      </c>
      <c r="J15" s="44">
        <v>0</v>
      </c>
      <c r="K15" s="110"/>
      <c r="P15" s="44"/>
      <c r="Q15" s="44"/>
    </row>
    <row r="16" spans="1:17" ht="17.25" customHeight="1" x14ac:dyDescent="0.3">
      <c r="A16" s="146" t="s">
        <v>97</v>
      </c>
      <c r="B16" s="109">
        <v>2</v>
      </c>
      <c r="C16" s="109">
        <v>1</v>
      </c>
      <c r="D16" s="109">
        <f t="shared" si="0"/>
        <v>2</v>
      </c>
      <c r="E16" s="111">
        <f>0</f>
        <v>0</v>
      </c>
      <c r="F16" s="109">
        <v>0</v>
      </c>
      <c r="G16" s="43">
        <f t="shared" si="2"/>
        <v>0</v>
      </c>
      <c r="H16" s="43">
        <f t="shared" si="3"/>
        <v>0</v>
      </c>
      <c r="I16" s="43">
        <f t="shared" si="4"/>
        <v>0</v>
      </c>
      <c r="J16" s="44">
        <v>0</v>
      </c>
      <c r="K16" s="110"/>
      <c r="P16" s="44">
        <v>0</v>
      </c>
      <c r="Q16" s="44"/>
    </row>
    <row r="17" spans="1:17" ht="17.25" customHeight="1" x14ac:dyDescent="0.3">
      <c r="A17" s="146" t="s">
        <v>98</v>
      </c>
      <c r="B17" s="109">
        <v>8</v>
      </c>
      <c r="C17" s="109">
        <v>1</v>
      </c>
      <c r="D17" s="109">
        <f t="shared" si="0"/>
        <v>8</v>
      </c>
      <c r="E17" s="111">
        <v>0</v>
      </c>
      <c r="F17" s="109">
        <v>0</v>
      </c>
      <c r="G17" s="43">
        <f t="shared" si="2"/>
        <v>0</v>
      </c>
      <c r="H17" s="43">
        <f t="shared" si="3"/>
        <v>0</v>
      </c>
      <c r="I17" s="43">
        <f t="shared" si="4"/>
        <v>0</v>
      </c>
      <c r="J17" s="44">
        <v>0</v>
      </c>
      <c r="K17" s="110"/>
      <c r="P17" s="44">
        <v>0</v>
      </c>
      <c r="Q17" s="44"/>
    </row>
    <row r="18" spans="1:17" ht="17.25" customHeight="1" x14ac:dyDescent="0.3">
      <c r="A18" s="146" t="s">
        <v>136</v>
      </c>
      <c r="B18" s="113">
        <v>12</v>
      </c>
      <c r="C18" s="109">
        <v>1</v>
      </c>
      <c r="D18" s="109">
        <f t="shared" si="0"/>
        <v>12</v>
      </c>
      <c r="E18" s="43">
        <v>0</v>
      </c>
      <c r="F18" s="109">
        <v>0</v>
      </c>
      <c r="G18" s="43">
        <f t="shared" si="2"/>
        <v>0</v>
      </c>
      <c r="H18" s="43">
        <f t="shared" si="3"/>
        <v>0</v>
      </c>
      <c r="I18" s="43">
        <f t="shared" si="4"/>
        <v>0</v>
      </c>
      <c r="J18" s="44">
        <v>0</v>
      </c>
      <c r="K18" s="110"/>
      <c r="P18" s="44">
        <v>0</v>
      </c>
      <c r="Q18" s="44"/>
    </row>
    <row r="19" spans="1:17" ht="17.25" customHeight="1" x14ac:dyDescent="0.3">
      <c r="A19" s="146" t="s">
        <v>99</v>
      </c>
      <c r="B19" s="109">
        <v>1</v>
      </c>
      <c r="C19" s="109">
        <v>1</v>
      </c>
      <c r="D19" s="109">
        <f t="shared" si="0"/>
        <v>1</v>
      </c>
      <c r="E19" s="111">
        <v>0</v>
      </c>
      <c r="F19" s="109">
        <v>0</v>
      </c>
      <c r="G19" s="43">
        <f t="shared" si="2"/>
        <v>0</v>
      </c>
      <c r="H19" s="43">
        <f t="shared" si="3"/>
        <v>0</v>
      </c>
      <c r="I19" s="43">
        <f t="shared" si="4"/>
        <v>0</v>
      </c>
      <c r="J19" s="44">
        <v>0</v>
      </c>
      <c r="K19" s="110"/>
      <c r="P19" s="112">
        <v>2708.280314173127</v>
      </c>
      <c r="Q19" s="44"/>
    </row>
    <row r="20" spans="1:17" ht="17.25" customHeight="1" x14ac:dyDescent="0.3">
      <c r="A20" s="146" t="s">
        <v>100</v>
      </c>
      <c r="B20" s="109">
        <f>3*B18</f>
        <v>36</v>
      </c>
      <c r="C20" s="109">
        <v>1</v>
      </c>
      <c r="D20" s="109">
        <f t="shared" si="0"/>
        <v>36</v>
      </c>
      <c r="E20" s="111">
        <v>0</v>
      </c>
      <c r="F20" s="109">
        <v>0</v>
      </c>
      <c r="G20" s="43">
        <f t="shared" si="2"/>
        <v>0</v>
      </c>
      <c r="H20" s="43">
        <f t="shared" si="3"/>
        <v>0</v>
      </c>
      <c r="I20" s="43">
        <f t="shared" si="4"/>
        <v>0</v>
      </c>
      <c r="J20" s="44">
        <v>0</v>
      </c>
      <c r="K20" s="110"/>
      <c r="P20" s="44">
        <v>0</v>
      </c>
      <c r="Q20" s="44"/>
    </row>
    <row r="21" spans="1:17" ht="17.25" customHeight="1" x14ac:dyDescent="0.3">
      <c r="A21" s="145" t="s">
        <v>101</v>
      </c>
      <c r="B21" s="109">
        <v>80</v>
      </c>
      <c r="C21" s="109">
        <v>1</v>
      </c>
      <c r="D21" s="109">
        <f t="shared" si="0"/>
        <v>80</v>
      </c>
      <c r="E21" s="111">
        <f>E$9</f>
        <v>0</v>
      </c>
      <c r="F21" s="109">
        <v>0</v>
      </c>
      <c r="G21" s="43">
        <f t="shared" si="2"/>
        <v>0</v>
      </c>
      <c r="H21" s="43">
        <f t="shared" si="3"/>
        <v>0</v>
      </c>
      <c r="I21" s="43">
        <f t="shared" si="4"/>
        <v>0</v>
      </c>
      <c r="J21" s="44">
        <v>0</v>
      </c>
      <c r="K21" s="110"/>
      <c r="P21" s="44">
        <v>0</v>
      </c>
      <c r="Q21" s="44"/>
    </row>
    <row r="22" spans="1:17" ht="17.25" customHeight="1" x14ac:dyDescent="0.3">
      <c r="A22" s="146" t="s">
        <v>102</v>
      </c>
      <c r="B22" s="109">
        <v>20</v>
      </c>
      <c r="C22" s="109">
        <v>1</v>
      </c>
      <c r="D22" s="109">
        <f t="shared" si="0"/>
        <v>20</v>
      </c>
      <c r="E22" s="111">
        <f>E21*0.1</f>
        <v>0</v>
      </c>
      <c r="F22" s="109">
        <v>0</v>
      </c>
      <c r="G22" s="43">
        <f t="shared" si="2"/>
        <v>0</v>
      </c>
      <c r="H22" s="43">
        <f t="shared" si="3"/>
        <v>0</v>
      </c>
      <c r="I22" s="43">
        <f t="shared" si="4"/>
        <v>0</v>
      </c>
      <c r="J22" s="44">
        <v>0</v>
      </c>
      <c r="K22" s="110"/>
      <c r="P22" s="44">
        <v>0</v>
      </c>
      <c r="Q22" s="44"/>
    </row>
    <row r="23" spans="1:17" ht="17.25" customHeight="1" x14ac:dyDescent="0.3">
      <c r="A23" s="146" t="s">
        <v>50</v>
      </c>
      <c r="B23" s="109" t="s">
        <v>48</v>
      </c>
      <c r="C23" s="109"/>
      <c r="D23" s="109"/>
      <c r="E23" s="111"/>
      <c r="F23" s="109"/>
      <c r="G23" s="43"/>
      <c r="H23" s="43"/>
      <c r="I23" s="43"/>
      <c r="J23" s="44"/>
      <c r="K23" s="110"/>
      <c r="P23" s="44">
        <v>0</v>
      </c>
      <c r="Q23" s="44"/>
    </row>
    <row r="24" spans="1:17" ht="17.25" customHeight="1" x14ac:dyDescent="0.3">
      <c r="A24" s="146" t="s">
        <v>49</v>
      </c>
      <c r="B24" s="109" t="s">
        <v>48</v>
      </c>
      <c r="C24" s="109"/>
      <c r="D24" s="109"/>
      <c r="E24" s="111"/>
      <c r="F24" s="109"/>
      <c r="G24" s="43"/>
      <c r="H24" s="43"/>
      <c r="I24" s="43"/>
      <c r="J24" s="44"/>
      <c r="K24" s="110"/>
      <c r="P24" s="109"/>
      <c r="Q24" s="109"/>
    </row>
    <row r="25" spans="1:17" ht="17.25" customHeight="1" x14ac:dyDescent="0.3">
      <c r="A25" s="137" t="s">
        <v>137</v>
      </c>
      <c r="B25" s="109">
        <v>27</v>
      </c>
      <c r="C25" s="109">
        <v>1</v>
      </c>
      <c r="D25" s="109">
        <f t="shared" si="0"/>
        <v>27</v>
      </c>
      <c r="E25" s="111">
        <f>ROUND('Capital and O&amp;M Costs'!D20*0.36,0)</f>
        <v>265</v>
      </c>
      <c r="F25" s="109">
        <v>0</v>
      </c>
      <c r="G25" s="43">
        <f t="shared" ref="G25:G30" si="5">D25*E25</f>
        <v>7155</v>
      </c>
      <c r="H25" s="43">
        <f>G25*0.05</f>
        <v>357.75</v>
      </c>
      <c r="I25" s="43">
        <f>G25*0.1</f>
        <v>715.5</v>
      </c>
      <c r="J25" s="112">
        <f>(G25*$M$9)+(I25*$M$11+(H25*$M$8))</f>
        <v>761439.75075000012</v>
      </c>
      <c r="K25" s="110"/>
      <c r="P25" s="109"/>
      <c r="Q25" s="109"/>
    </row>
    <row r="26" spans="1:17" ht="17.25" customHeight="1" x14ac:dyDescent="0.3">
      <c r="A26" s="137" t="s">
        <v>138</v>
      </c>
      <c r="B26" s="109">
        <v>15</v>
      </c>
      <c r="C26" s="109">
        <v>1</v>
      </c>
      <c r="D26" s="109">
        <f t="shared" si="0"/>
        <v>15</v>
      </c>
      <c r="E26" s="111">
        <v>0</v>
      </c>
      <c r="F26" s="109">
        <v>1</v>
      </c>
      <c r="G26" s="43">
        <f t="shared" ref="G26:G29" si="6">D26*E26</f>
        <v>0</v>
      </c>
      <c r="H26" s="43">
        <f t="shared" ref="H26:H29" si="7">G26*0.05</f>
        <v>0</v>
      </c>
      <c r="I26" s="43">
        <f t="shared" ref="I26:I29" si="8">G26*0.1</f>
        <v>0</v>
      </c>
      <c r="J26" s="44">
        <f t="shared" ref="J26:J29" si="9">(G26*$M$9)+(I26*$M$11+(H26*$M$8))</f>
        <v>0</v>
      </c>
      <c r="K26" s="110"/>
      <c r="P26" s="109"/>
      <c r="Q26" s="109"/>
    </row>
    <row r="27" spans="1:17" ht="17.25" customHeight="1" x14ac:dyDescent="0.3">
      <c r="A27" s="137" t="s">
        <v>139</v>
      </c>
      <c r="B27" s="109">
        <v>15</v>
      </c>
      <c r="C27" s="109">
        <v>1</v>
      </c>
      <c r="D27" s="109">
        <f t="shared" si="0"/>
        <v>15</v>
      </c>
      <c r="E27" s="111">
        <v>0</v>
      </c>
      <c r="F27" s="109">
        <v>2</v>
      </c>
      <c r="G27" s="43">
        <f t="shared" si="6"/>
        <v>0</v>
      </c>
      <c r="H27" s="43">
        <f t="shared" si="7"/>
        <v>0</v>
      </c>
      <c r="I27" s="43">
        <f t="shared" si="8"/>
        <v>0</v>
      </c>
      <c r="J27" s="44">
        <f t="shared" si="9"/>
        <v>0</v>
      </c>
      <c r="K27" s="110"/>
      <c r="P27" s="109"/>
      <c r="Q27" s="109"/>
    </row>
    <row r="28" spans="1:17" ht="17.25" customHeight="1" x14ac:dyDescent="0.3">
      <c r="A28" s="137" t="s">
        <v>140</v>
      </c>
      <c r="B28" s="109">
        <v>15</v>
      </c>
      <c r="C28" s="109">
        <v>1</v>
      </c>
      <c r="D28" s="109">
        <f t="shared" si="0"/>
        <v>15</v>
      </c>
      <c r="E28" s="111">
        <v>0</v>
      </c>
      <c r="F28" s="109">
        <v>3</v>
      </c>
      <c r="G28" s="43">
        <f t="shared" si="6"/>
        <v>0</v>
      </c>
      <c r="H28" s="43">
        <f t="shared" si="7"/>
        <v>0</v>
      </c>
      <c r="I28" s="43">
        <f t="shared" si="8"/>
        <v>0</v>
      </c>
      <c r="J28" s="44">
        <f t="shared" si="9"/>
        <v>0</v>
      </c>
      <c r="K28" s="110"/>
      <c r="P28" s="109"/>
      <c r="Q28" s="109"/>
    </row>
    <row r="29" spans="1:17" ht="17.25" customHeight="1" x14ac:dyDescent="0.3">
      <c r="A29" s="138" t="s">
        <v>145</v>
      </c>
      <c r="B29" s="109">
        <v>2</v>
      </c>
      <c r="C29" s="109">
        <v>1</v>
      </c>
      <c r="D29" s="109">
        <f t="shared" si="0"/>
        <v>2</v>
      </c>
      <c r="E29" s="111">
        <v>0</v>
      </c>
      <c r="F29" s="109">
        <v>4</v>
      </c>
      <c r="G29" s="43">
        <f t="shared" si="6"/>
        <v>0</v>
      </c>
      <c r="H29" s="43">
        <f t="shared" si="7"/>
        <v>0</v>
      </c>
      <c r="I29" s="43">
        <f t="shared" si="8"/>
        <v>0</v>
      </c>
      <c r="J29" s="44">
        <f t="shared" si="9"/>
        <v>0</v>
      </c>
      <c r="K29" s="147"/>
      <c r="P29" s="109"/>
      <c r="Q29" s="109"/>
    </row>
    <row r="30" spans="1:17" ht="17.25" customHeight="1" x14ac:dyDescent="0.3">
      <c r="A30" s="138" t="s">
        <v>146</v>
      </c>
      <c r="B30" s="156">
        <v>15</v>
      </c>
      <c r="C30" s="114">
        <v>1</v>
      </c>
      <c r="D30" s="109">
        <f t="shared" si="0"/>
        <v>15</v>
      </c>
      <c r="E30" s="111">
        <v>99</v>
      </c>
      <c r="F30" s="109">
        <v>0</v>
      </c>
      <c r="G30" s="43">
        <f t="shared" si="5"/>
        <v>1485</v>
      </c>
      <c r="H30" s="111">
        <f>G30*0.05</f>
        <v>74.25</v>
      </c>
      <c r="I30" s="43">
        <f>G30*0.1</f>
        <v>148.5</v>
      </c>
      <c r="J30" s="112">
        <f>(G30*$M$9)+(I30*$M$11+(H30*$M$8))</f>
        <v>158034.66525000002</v>
      </c>
      <c r="K30" s="147"/>
      <c r="P30" s="44">
        <v>0</v>
      </c>
      <c r="Q30" s="44"/>
    </row>
    <row r="31" spans="1:17" ht="17.25" customHeight="1" x14ac:dyDescent="0.35">
      <c r="A31" s="124" t="s">
        <v>47</v>
      </c>
      <c r="B31" s="109"/>
      <c r="C31" s="109"/>
      <c r="D31" s="109"/>
      <c r="E31" s="111"/>
      <c r="F31" s="162">
        <f>SUM(F7:I30)</f>
        <v>12366.75</v>
      </c>
      <c r="G31" s="163"/>
      <c r="H31" s="163"/>
      <c r="I31" s="164"/>
      <c r="J31" s="116">
        <f>SUM(J7:J30)</f>
        <v>1143489.8842500001</v>
      </c>
      <c r="K31" s="123"/>
      <c r="Q31" s="41"/>
    </row>
    <row r="32" spans="1:17" ht="17.25" customHeight="1" x14ac:dyDescent="0.35">
      <c r="A32" s="122" t="s">
        <v>46</v>
      </c>
      <c r="B32" s="109"/>
      <c r="C32" s="109"/>
      <c r="D32" s="109"/>
      <c r="E32" s="43"/>
      <c r="F32" s="109"/>
      <c r="G32" s="43"/>
      <c r="H32" s="43"/>
      <c r="I32" s="43"/>
      <c r="J32" s="44"/>
      <c r="K32" s="125"/>
      <c r="P32" s="44"/>
      <c r="Q32" s="44"/>
    </row>
    <row r="33" spans="1:17" ht="17.25" customHeight="1" x14ac:dyDescent="0.3">
      <c r="A33" s="131" t="s">
        <v>111</v>
      </c>
      <c r="B33" s="109" t="s">
        <v>45</v>
      </c>
      <c r="C33" s="109"/>
      <c r="D33" s="109"/>
      <c r="E33" s="43"/>
      <c r="F33" s="109"/>
      <c r="G33" s="43"/>
      <c r="H33" s="43"/>
      <c r="I33" s="43"/>
      <c r="J33" s="44"/>
      <c r="K33" s="110"/>
      <c r="P33" s="44"/>
      <c r="Q33" s="44"/>
    </row>
    <row r="34" spans="1:17" ht="17.25" customHeight="1" x14ac:dyDescent="0.3">
      <c r="A34" s="131" t="s">
        <v>112</v>
      </c>
      <c r="B34" s="109" t="s">
        <v>0</v>
      </c>
      <c r="C34" s="109"/>
      <c r="D34" s="109"/>
      <c r="E34" s="43"/>
      <c r="F34" s="109"/>
      <c r="G34" s="43"/>
      <c r="H34" s="43"/>
      <c r="I34" s="43"/>
      <c r="J34" s="44"/>
      <c r="K34" s="110"/>
      <c r="P34" s="109"/>
      <c r="Q34" s="109"/>
    </row>
    <row r="35" spans="1:17" ht="17.25" customHeight="1" x14ac:dyDescent="0.3">
      <c r="A35" s="131" t="s">
        <v>113</v>
      </c>
      <c r="B35" s="109" t="s">
        <v>0</v>
      </c>
      <c r="C35" s="109"/>
      <c r="D35" s="109"/>
      <c r="E35" s="43"/>
      <c r="F35" s="109"/>
      <c r="G35" s="43"/>
      <c r="H35" s="43"/>
      <c r="I35" s="43"/>
      <c r="J35" s="44"/>
      <c r="K35" s="110"/>
      <c r="P35" s="109"/>
      <c r="Q35" s="109"/>
    </row>
    <row r="36" spans="1:17" ht="17.25" customHeight="1" x14ac:dyDescent="0.3">
      <c r="A36" s="131" t="s">
        <v>114</v>
      </c>
      <c r="B36" s="109" t="s">
        <v>0</v>
      </c>
      <c r="C36" s="109"/>
      <c r="D36" s="109"/>
      <c r="E36" s="43"/>
      <c r="F36" s="109"/>
      <c r="G36" s="43"/>
      <c r="H36" s="43"/>
      <c r="I36" s="43"/>
      <c r="J36" s="44"/>
      <c r="K36" s="110"/>
      <c r="P36" s="109"/>
      <c r="Q36" s="109"/>
    </row>
    <row r="37" spans="1:17" ht="17.25" customHeight="1" x14ac:dyDescent="0.3">
      <c r="A37" s="131" t="s">
        <v>115</v>
      </c>
      <c r="B37" s="109"/>
      <c r="C37" s="109"/>
      <c r="D37" s="109"/>
      <c r="E37" s="43"/>
      <c r="F37" s="109"/>
      <c r="G37" s="43"/>
      <c r="H37" s="43"/>
      <c r="I37" s="43"/>
      <c r="J37" s="44"/>
      <c r="K37" s="110"/>
      <c r="P37" s="109"/>
      <c r="Q37" s="109"/>
    </row>
    <row r="38" spans="1:17" ht="17.25" customHeight="1" x14ac:dyDescent="0.3">
      <c r="A38" s="137" t="s">
        <v>149</v>
      </c>
      <c r="B38" s="109">
        <v>5</v>
      </c>
      <c r="C38" s="109">
        <v>12</v>
      </c>
      <c r="D38" s="109">
        <f t="shared" si="0"/>
        <v>60</v>
      </c>
      <c r="E38" s="111">
        <f>E$10</f>
        <v>0</v>
      </c>
      <c r="F38" s="109">
        <v>0</v>
      </c>
      <c r="G38" s="43">
        <f t="shared" ref="G38:G41" si="10">D38*E38</f>
        <v>0</v>
      </c>
      <c r="H38" s="43">
        <f>G38*0.05</f>
        <v>0</v>
      </c>
      <c r="I38" s="43">
        <f>G38*0.1</f>
        <v>0</v>
      </c>
      <c r="J38" s="44">
        <v>0</v>
      </c>
      <c r="K38" s="110"/>
      <c r="P38" s="44"/>
      <c r="Q38" s="44"/>
    </row>
    <row r="39" spans="1:17" ht="17.25" customHeight="1" x14ac:dyDescent="0.3">
      <c r="A39" s="137" t="s">
        <v>150</v>
      </c>
      <c r="B39" s="109">
        <v>11</v>
      </c>
      <c r="C39" s="109">
        <v>12</v>
      </c>
      <c r="D39" s="109">
        <f t="shared" si="0"/>
        <v>132</v>
      </c>
      <c r="E39" s="111">
        <f>E$10</f>
        <v>0</v>
      </c>
      <c r="F39" s="109">
        <v>0</v>
      </c>
      <c r="G39" s="43">
        <f t="shared" si="10"/>
        <v>0</v>
      </c>
      <c r="H39" s="43">
        <f>G39*0.05</f>
        <v>0</v>
      </c>
      <c r="I39" s="43">
        <f>G39*0.1</f>
        <v>0</v>
      </c>
      <c r="J39" s="44">
        <v>0</v>
      </c>
      <c r="K39" s="110"/>
      <c r="P39" s="44">
        <v>0</v>
      </c>
      <c r="Q39" s="44"/>
    </row>
    <row r="40" spans="1:17" ht="17.25" customHeight="1" x14ac:dyDescent="0.3">
      <c r="A40" s="137" t="s">
        <v>151</v>
      </c>
      <c r="B40" s="109">
        <v>4</v>
      </c>
      <c r="C40" s="109">
        <v>1</v>
      </c>
      <c r="D40" s="109">
        <f t="shared" si="0"/>
        <v>4</v>
      </c>
      <c r="E40" s="111">
        <v>0</v>
      </c>
      <c r="F40" s="109">
        <v>0</v>
      </c>
      <c r="G40" s="43">
        <f t="shared" si="10"/>
        <v>0</v>
      </c>
      <c r="H40" s="43">
        <f>G40*0.05</f>
        <v>0</v>
      </c>
      <c r="I40" s="43">
        <f>G40*0.1</f>
        <v>0</v>
      </c>
      <c r="J40" s="44">
        <v>0</v>
      </c>
      <c r="K40" s="110"/>
      <c r="P40" s="44">
        <v>0</v>
      </c>
      <c r="Q40" s="44"/>
    </row>
    <row r="41" spans="1:17" ht="17.25" customHeight="1" x14ac:dyDescent="0.3">
      <c r="A41" s="137" t="s">
        <v>152</v>
      </c>
      <c r="B41" s="109">
        <v>2</v>
      </c>
      <c r="C41" s="109">
        <v>12</v>
      </c>
      <c r="D41" s="109">
        <f t="shared" si="0"/>
        <v>24</v>
      </c>
      <c r="E41" s="111">
        <f>ROUND(34*0.36,0)</f>
        <v>12</v>
      </c>
      <c r="F41" s="109">
        <v>0</v>
      </c>
      <c r="G41" s="43">
        <f t="shared" si="10"/>
        <v>288</v>
      </c>
      <c r="H41" s="43">
        <f>G41*0.05</f>
        <v>14.4</v>
      </c>
      <c r="I41" s="43">
        <f>G41*0.1</f>
        <v>28.8</v>
      </c>
      <c r="J41" s="112">
        <f>(G41*$M$9)+(I41*$M$11+(H41*$M$8))</f>
        <v>30649.147200000003</v>
      </c>
      <c r="K41" s="110"/>
      <c r="P41" s="44">
        <v>0</v>
      </c>
      <c r="Q41" s="44"/>
    </row>
    <row r="42" spans="1:17" ht="17.25" customHeight="1" x14ac:dyDescent="0.3">
      <c r="A42" s="131" t="s">
        <v>116</v>
      </c>
      <c r="B42" s="109" t="s">
        <v>0</v>
      </c>
      <c r="C42" s="109"/>
      <c r="D42" s="109"/>
      <c r="E42" s="111"/>
      <c r="F42" s="109"/>
      <c r="G42" s="43"/>
      <c r="H42" s="43"/>
      <c r="I42" s="43"/>
      <c r="J42" s="44"/>
      <c r="K42" s="110"/>
      <c r="L42" s="57"/>
      <c r="M42" s="47"/>
      <c r="N42" s="47"/>
      <c r="P42" s="44"/>
      <c r="Q42" s="44"/>
    </row>
    <row r="43" spans="1:17" ht="17.25" customHeight="1" x14ac:dyDescent="0.3">
      <c r="A43" s="131" t="s">
        <v>117</v>
      </c>
      <c r="B43" s="109" t="s">
        <v>0</v>
      </c>
      <c r="C43" s="109"/>
      <c r="D43" s="109"/>
      <c r="E43" s="111"/>
      <c r="F43" s="109"/>
      <c r="G43" s="43"/>
      <c r="H43" s="43"/>
      <c r="I43" s="43"/>
      <c r="J43" s="44"/>
      <c r="K43" s="110"/>
      <c r="M43" s="47"/>
      <c r="N43" s="47"/>
      <c r="P43" s="109"/>
      <c r="Q43" s="109"/>
    </row>
    <row r="44" spans="1:17" ht="17.25" customHeight="1" x14ac:dyDescent="0.35">
      <c r="A44" s="132" t="s">
        <v>44</v>
      </c>
      <c r="B44" s="109"/>
      <c r="C44" s="109"/>
      <c r="D44" s="109"/>
      <c r="E44" s="43"/>
      <c r="F44" s="162">
        <f>SUM(F33:I43)</f>
        <v>331.2</v>
      </c>
      <c r="G44" s="163"/>
      <c r="H44" s="163"/>
      <c r="I44" s="164"/>
      <c r="J44" s="116">
        <f>SUM(J33:J43)</f>
        <v>30649.147200000003</v>
      </c>
      <c r="K44" s="110"/>
      <c r="M44" s="47"/>
      <c r="N44" s="47"/>
      <c r="P44" s="109"/>
      <c r="Q44" s="109"/>
    </row>
    <row r="45" spans="1:17" ht="17.25" customHeight="1" x14ac:dyDescent="0.35">
      <c r="A45" s="126" t="s">
        <v>156</v>
      </c>
      <c r="B45" s="119"/>
      <c r="C45" s="119"/>
      <c r="D45" s="109"/>
      <c r="E45" s="120"/>
      <c r="F45" s="168">
        <f>ROUND(F31+F44,-2)</f>
        <v>12700</v>
      </c>
      <c r="G45" s="169"/>
      <c r="H45" s="169"/>
      <c r="I45" s="170"/>
      <c r="J45" s="45">
        <f>ROUND(J31+J44,-4)</f>
        <v>1170000</v>
      </c>
      <c r="K45" s="125"/>
      <c r="L45" s="47"/>
      <c r="M45" s="47"/>
      <c r="N45" s="47"/>
      <c r="P45" s="44"/>
      <c r="Q45" s="44"/>
    </row>
    <row r="46" spans="1:17" s="47" customFormat="1" ht="17.25" customHeight="1" x14ac:dyDescent="0.3">
      <c r="A46" s="126" t="s">
        <v>157</v>
      </c>
      <c r="B46" s="119"/>
      <c r="C46" s="119"/>
      <c r="D46" s="109"/>
      <c r="E46" s="120"/>
      <c r="F46" s="119"/>
      <c r="G46" s="46"/>
      <c r="H46" s="46"/>
      <c r="I46" s="46"/>
      <c r="J46" s="45">
        <f>'Capital and O&amp;M Costs'!H7</f>
        <v>3980</v>
      </c>
      <c r="K46" s="49"/>
      <c r="L46" s="41"/>
      <c r="M46" s="41"/>
      <c r="N46" s="41"/>
      <c r="P46" s="45"/>
      <c r="Q46" s="45"/>
    </row>
    <row r="47" spans="1:17" s="47" customFormat="1" ht="17.25" customHeight="1" x14ac:dyDescent="0.3">
      <c r="A47" s="126" t="s">
        <v>155</v>
      </c>
      <c r="B47" s="119"/>
      <c r="C47" s="119"/>
      <c r="D47" s="109"/>
      <c r="E47" s="120"/>
      <c r="F47" s="119"/>
      <c r="G47" s="46"/>
      <c r="H47" s="46"/>
      <c r="I47" s="46"/>
      <c r="J47" s="45">
        <f>ROUND(J46+J45,-4)</f>
        <v>1170000</v>
      </c>
      <c r="K47" s="49"/>
      <c r="L47" s="41"/>
      <c r="M47" s="41"/>
      <c r="N47" s="41"/>
      <c r="P47" s="45"/>
      <c r="Q47" s="45"/>
    </row>
    <row r="48" spans="1:17" s="47" customFormat="1" ht="17.25" customHeight="1" x14ac:dyDescent="0.3">
      <c r="A48" s="48"/>
      <c r="B48" s="48"/>
      <c r="E48" s="48"/>
      <c r="F48" s="48"/>
      <c r="G48" s="50"/>
      <c r="H48" s="50"/>
      <c r="I48" s="50"/>
      <c r="J48" s="49"/>
      <c r="K48" s="49"/>
      <c r="L48" s="41"/>
      <c r="M48" s="41"/>
      <c r="N48" s="41"/>
      <c r="P48" s="45"/>
      <c r="Q48" s="45"/>
    </row>
    <row r="49" spans="1:17" s="47" customFormat="1" ht="13" x14ac:dyDescent="0.3">
      <c r="A49" s="54" t="s">
        <v>104</v>
      </c>
      <c r="B49" s="54"/>
      <c r="C49" s="41"/>
      <c r="D49" s="41"/>
      <c r="E49" s="54"/>
      <c r="F49" s="54"/>
      <c r="G49" s="54"/>
      <c r="H49" s="54"/>
      <c r="I49" s="54"/>
      <c r="J49" s="54"/>
      <c r="K49" s="49"/>
      <c r="L49" s="41"/>
      <c r="M49" s="41"/>
      <c r="N49" s="41"/>
      <c r="P49" s="49"/>
      <c r="Q49" s="49"/>
    </row>
    <row r="50" spans="1:17" ht="30" customHeight="1" x14ac:dyDescent="0.3">
      <c r="A50" s="158" t="s">
        <v>129</v>
      </c>
      <c r="B50" s="158"/>
      <c r="C50" s="158"/>
      <c r="D50" s="158"/>
      <c r="E50" s="158"/>
      <c r="F50" s="158"/>
      <c r="G50" s="158"/>
      <c r="H50" s="158"/>
      <c r="I50" s="158"/>
      <c r="J50" s="158"/>
      <c r="K50" s="55"/>
      <c r="P50" s="54"/>
      <c r="Q50" s="54"/>
    </row>
    <row r="51" spans="1:17" ht="56.25" customHeight="1" x14ac:dyDescent="0.3">
      <c r="A51" s="159" t="s">
        <v>130</v>
      </c>
      <c r="B51" s="159"/>
      <c r="C51" s="159"/>
      <c r="D51" s="159"/>
      <c r="E51" s="159"/>
      <c r="F51" s="159"/>
      <c r="G51" s="159"/>
      <c r="H51" s="159"/>
      <c r="I51" s="159"/>
      <c r="J51" s="159"/>
      <c r="K51" s="127"/>
      <c r="P51" s="102"/>
      <c r="Q51" s="102"/>
    </row>
    <row r="52" spans="1:17" ht="20.25" customHeight="1" x14ac:dyDescent="0.3">
      <c r="A52" s="159" t="s">
        <v>131</v>
      </c>
      <c r="B52" s="159"/>
      <c r="C52" s="159"/>
      <c r="D52" s="159"/>
      <c r="E52" s="159"/>
      <c r="F52" s="159"/>
      <c r="G52" s="159"/>
      <c r="H52" s="159"/>
      <c r="I52" s="159"/>
      <c r="J52" s="159"/>
      <c r="K52" s="103"/>
      <c r="P52" s="103"/>
      <c r="Q52" s="103"/>
    </row>
    <row r="53" spans="1:17" ht="59.25" customHeight="1" x14ac:dyDescent="0.3">
      <c r="A53" s="159" t="s">
        <v>218</v>
      </c>
      <c r="B53" s="159"/>
      <c r="C53" s="159"/>
      <c r="D53" s="159"/>
      <c r="E53" s="159"/>
      <c r="F53" s="159"/>
      <c r="G53" s="159"/>
      <c r="H53" s="159"/>
      <c r="I53" s="159"/>
      <c r="J53" s="159"/>
      <c r="K53" s="103"/>
      <c r="P53" s="103"/>
      <c r="Q53" s="103"/>
    </row>
    <row r="54" spans="1:17" ht="50.25" customHeight="1" x14ac:dyDescent="0.3">
      <c r="A54" s="159" t="s">
        <v>215</v>
      </c>
      <c r="B54" s="159"/>
      <c r="C54" s="159"/>
      <c r="D54" s="159"/>
      <c r="E54" s="159"/>
      <c r="F54" s="159"/>
      <c r="G54" s="159"/>
      <c r="H54" s="159"/>
      <c r="I54" s="159"/>
      <c r="J54" s="159"/>
      <c r="K54" s="102"/>
      <c r="P54" s="102"/>
      <c r="Q54" s="102"/>
    </row>
    <row r="55" spans="1:17" ht="49.5" customHeight="1" x14ac:dyDescent="0.3">
      <c r="A55" s="158" t="s">
        <v>141</v>
      </c>
      <c r="B55" s="158"/>
      <c r="C55" s="158"/>
      <c r="D55" s="158"/>
      <c r="E55" s="158"/>
      <c r="F55" s="158"/>
      <c r="G55" s="158"/>
      <c r="H55" s="158"/>
      <c r="I55" s="158"/>
      <c r="J55" s="158"/>
      <c r="K55" s="103"/>
      <c r="P55" s="103"/>
      <c r="Q55" s="103"/>
    </row>
    <row r="56" spans="1:17" ht="45" customHeight="1" x14ac:dyDescent="0.3">
      <c r="A56" s="158" t="s">
        <v>217</v>
      </c>
      <c r="B56" s="158"/>
      <c r="C56" s="158"/>
      <c r="D56" s="158"/>
      <c r="E56" s="158"/>
      <c r="F56" s="158"/>
      <c r="G56" s="158"/>
      <c r="H56" s="158"/>
      <c r="I56" s="158"/>
      <c r="J56" s="158"/>
      <c r="K56" s="102"/>
      <c r="P56" s="102"/>
      <c r="Q56" s="102"/>
    </row>
    <row r="57" spans="1:17" ht="33.75" customHeight="1" x14ac:dyDescent="0.3">
      <c r="A57" s="158" t="s">
        <v>202</v>
      </c>
      <c r="B57" s="158"/>
      <c r="C57" s="158"/>
      <c r="D57" s="158"/>
      <c r="E57" s="158"/>
      <c r="F57" s="158"/>
      <c r="G57" s="158"/>
      <c r="H57" s="158"/>
      <c r="I57" s="158"/>
      <c r="J57" s="158"/>
      <c r="K57" s="128"/>
      <c r="P57" s="102"/>
      <c r="Q57" s="102"/>
    </row>
    <row r="58" spans="1:17" ht="66.75" customHeight="1" x14ac:dyDescent="0.3">
      <c r="A58" s="158" t="s">
        <v>147</v>
      </c>
      <c r="B58" s="158"/>
      <c r="C58" s="158"/>
      <c r="D58" s="158"/>
      <c r="E58" s="158"/>
      <c r="F58" s="158"/>
      <c r="G58" s="158"/>
      <c r="H58" s="158"/>
      <c r="I58" s="158"/>
      <c r="J58" s="158"/>
      <c r="K58" s="102"/>
      <c r="P58" s="102"/>
      <c r="Q58" s="102"/>
    </row>
    <row r="59" spans="1:17" ht="39.75" customHeight="1" x14ac:dyDescent="0.3">
      <c r="A59" s="158" t="s">
        <v>216</v>
      </c>
      <c r="B59" s="158"/>
      <c r="C59" s="158"/>
      <c r="D59" s="158"/>
      <c r="E59" s="158"/>
      <c r="F59" s="158"/>
      <c r="G59" s="158"/>
      <c r="H59" s="158"/>
      <c r="I59" s="158"/>
      <c r="J59" s="158"/>
      <c r="K59" s="127"/>
      <c r="P59" s="103"/>
      <c r="Q59" s="103"/>
    </row>
    <row r="60" spans="1:17" ht="45.75" customHeight="1" x14ac:dyDescent="0.3">
      <c r="A60" s="158" t="s">
        <v>153</v>
      </c>
      <c r="B60" s="158"/>
      <c r="C60" s="158"/>
      <c r="D60" s="158"/>
      <c r="E60" s="158"/>
      <c r="F60" s="158"/>
      <c r="G60" s="158"/>
      <c r="H60" s="158"/>
      <c r="I60" s="158"/>
      <c r="J60" s="158"/>
      <c r="K60" s="102"/>
      <c r="P60" s="102"/>
      <c r="Q60" s="102"/>
    </row>
    <row r="61" spans="1:17" ht="18" customHeight="1" x14ac:dyDescent="0.3">
      <c r="A61" s="159" t="s">
        <v>154</v>
      </c>
      <c r="B61" s="159"/>
      <c r="C61" s="159"/>
      <c r="D61" s="159"/>
      <c r="E61" s="159"/>
      <c r="F61" s="159"/>
      <c r="G61" s="159"/>
      <c r="H61" s="159"/>
      <c r="I61" s="159"/>
      <c r="J61" s="159"/>
      <c r="K61" s="102"/>
      <c r="P61" s="102"/>
      <c r="Q61" s="102"/>
    </row>
  </sheetData>
  <mergeCells count="18">
    <mergeCell ref="A59:J59"/>
    <mergeCell ref="A60:J60"/>
    <mergeCell ref="A61:J61"/>
    <mergeCell ref="L6:N6"/>
    <mergeCell ref="L12:N12"/>
    <mergeCell ref="A54:J54"/>
    <mergeCell ref="A55:J55"/>
    <mergeCell ref="A56:J56"/>
    <mergeCell ref="F31:I31"/>
    <mergeCell ref="F44:I44"/>
    <mergeCell ref="F45:I45"/>
    <mergeCell ref="A57:J57"/>
    <mergeCell ref="A58:J58"/>
    <mergeCell ref="A1:J1"/>
    <mergeCell ref="A51:J51"/>
    <mergeCell ref="A50:J50"/>
    <mergeCell ref="A52:J52"/>
    <mergeCell ref="A53:J53"/>
  </mergeCells>
  <pageMargins left="0.25" right="0.25" top="0.5" bottom="0.5" header="0.5" footer="0.5"/>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A51A-DA51-4DD0-BEFF-A22C898B967F}">
  <dimension ref="A1:N13"/>
  <sheetViews>
    <sheetView zoomScaleNormal="100" workbookViewId="0">
      <selection activeCell="I8" sqref="I8"/>
    </sheetView>
  </sheetViews>
  <sheetFormatPr defaultColWidth="9.1796875" defaultRowHeight="13" x14ac:dyDescent="0.3"/>
  <cols>
    <col min="1" max="1" width="29.453125" style="1" customWidth="1"/>
    <col min="2" max="2" width="12.26953125" style="1" customWidth="1"/>
    <col min="3" max="3" width="11" style="1" customWidth="1"/>
    <col min="4" max="4" width="8.7265625" style="1" customWidth="1"/>
    <col min="5" max="5" width="8.453125" style="1" customWidth="1"/>
    <col min="6" max="7" width="10.26953125" style="1" customWidth="1"/>
    <col min="8" max="8" width="9.1796875" style="1"/>
    <col min="9" max="9" width="12.81640625" style="1" customWidth="1"/>
    <col min="10" max="12" width="9.1796875" style="1"/>
    <col min="13" max="13" width="15.54296875" style="1" customWidth="1"/>
    <col min="14" max="16384" width="9.1796875" style="1"/>
  </cols>
  <sheetData>
    <row r="1" spans="1:14" ht="31.5" customHeight="1" x14ac:dyDescent="0.3">
      <c r="A1" s="174" t="s">
        <v>43</v>
      </c>
      <c r="B1" s="174"/>
      <c r="C1" s="174"/>
      <c r="D1" s="174"/>
      <c r="E1" s="174"/>
      <c r="F1" s="174"/>
      <c r="G1" s="174"/>
      <c r="H1" s="174"/>
      <c r="I1" s="174"/>
    </row>
    <row r="3" spans="1:14" x14ac:dyDescent="0.3">
      <c r="A3" s="4"/>
      <c r="B3" s="5"/>
      <c r="C3" s="5"/>
      <c r="D3" s="171" t="s">
        <v>32</v>
      </c>
      <c r="E3" s="172"/>
      <c r="F3" s="173"/>
      <c r="G3" s="171" t="s">
        <v>42</v>
      </c>
      <c r="H3" s="172"/>
      <c r="I3" s="173"/>
    </row>
    <row r="4" spans="1:14" ht="52" x14ac:dyDescent="0.3">
      <c r="A4" s="2" t="s">
        <v>33</v>
      </c>
      <c r="B4" s="3" t="s">
        <v>34</v>
      </c>
      <c r="C4" s="3" t="s">
        <v>35</v>
      </c>
      <c r="D4" s="3" t="s">
        <v>36</v>
      </c>
      <c r="E4" s="3" t="s">
        <v>68</v>
      </c>
      <c r="F4" s="3" t="s">
        <v>69</v>
      </c>
      <c r="G4" s="3" t="s">
        <v>70</v>
      </c>
      <c r="H4" s="3" t="s">
        <v>71</v>
      </c>
      <c r="I4" s="3" t="s">
        <v>72</v>
      </c>
    </row>
    <row r="5" spans="1:14" x14ac:dyDescent="0.3">
      <c r="A5" s="6" t="s">
        <v>38</v>
      </c>
      <c r="B5" s="17">
        <f>'Table 1a'!E7</f>
        <v>748</v>
      </c>
      <c r="C5" s="17">
        <f>C7*0.64</f>
        <v>656.64</v>
      </c>
      <c r="D5" s="17">
        <f>'Table 1a'!F31</f>
        <v>22234.100000000002</v>
      </c>
      <c r="E5" s="17">
        <f>'Table 1a'!F44</f>
        <v>607.19999999999993</v>
      </c>
      <c r="F5" s="17">
        <f>ROUND(SUM(D5,E5),-2)</f>
        <v>22800</v>
      </c>
      <c r="G5" s="33">
        <f>'Table 1a'!J45</f>
        <v>2110000</v>
      </c>
      <c r="H5" s="56">
        <f>'Capital and O&amp;M Costs'!H6</f>
        <v>7080</v>
      </c>
      <c r="I5" s="35">
        <f>ROUND(SUM(G5,H5),-4)</f>
        <v>2120000</v>
      </c>
      <c r="N5" s="58"/>
    </row>
    <row r="6" spans="1:14" x14ac:dyDescent="0.3">
      <c r="A6" s="6" t="s">
        <v>39</v>
      </c>
      <c r="B6" s="17">
        <f>'Table 1b'!E7</f>
        <v>421</v>
      </c>
      <c r="C6" s="17">
        <f>C7*0.36</f>
        <v>369.36</v>
      </c>
      <c r="D6" s="17">
        <f>'Table 1b'!F31</f>
        <v>12366.75</v>
      </c>
      <c r="E6" s="17">
        <f>'Table 1b'!F44</f>
        <v>331.2</v>
      </c>
      <c r="F6" s="17">
        <f>ROUND(SUM(D6,E6),-2)</f>
        <v>12700</v>
      </c>
      <c r="G6" s="33">
        <f>'Table 1b'!J45</f>
        <v>1170000</v>
      </c>
      <c r="H6" s="56">
        <f>'Capital and O&amp;M Costs'!H7</f>
        <v>3980</v>
      </c>
      <c r="I6" s="35">
        <f>ROUND(SUM(G6,H6),-4)</f>
        <v>1170000</v>
      </c>
      <c r="N6" s="58"/>
    </row>
    <row r="7" spans="1:14" x14ac:dyDescent="0.3">
      <c r="A7" s="64" t="s">
        <v>37</v>
      </c>
      <c r="B7" s="65">
        <f>'Table 1a'!E7+'Table 1b'!E7</f>
        <v>1169</v>
      </c>
      <c r="C7" s="66">
        <f>'Capital and O&amp;M Costs'!F50</f>
        <v>1026</v>
      </c>
      <c r="D7" s="65">
        <f>D5+D6</f>
        <v>34600.850000000006</v>
      </c>
      <c r="E7" s="65">
        <f>E5+E6</f>
        <v>938.39999999999986</v>
      </c>
      <c r="F7" s="65">
        <f>F5+F6</f>
        <v>35500</v>
      </c>
      <c r="G7" s="67">
        <f>ROUND(SUM(G5,G6),-4)</f>
        <v>3280000</v>
      </c>
      <c r="H7" s="67">
        <f>ROUND(SUM(H5,H6),-2)</f>
        <v>11100</v>
      </c>
      <c r="I7" s="68">
        <f>ROUND(SUM(G7,H7),-4)</f>
        <v>3290000</v>
      </c>
    </row>
    <row r="13" spans="1:14" x14ac:dyDescent="0.3">
      <c r="E13" s="58"/>
    </row>
  </sheetData>
  <mergeCells count="3">
    <mergeCell ref="D3:F3"/>
    <mergeCell ref="G3:I3"/>
    <mergeCell ref="A1:I1"/>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AD23-D7D9-4D95-8C39-1329511C85F1}">
  <sheetPr>
    <pageSetUpPr fitToPage="1"/>
  </sheetPr>
  <dimension ref="A1:U55"/>
  <sheetViews>
    <sheetView topLeftCell="A46" zoomScaleNormal="100" zoomScaleSheetLayoutView="85" workbookViewId="0">
      <selection activeCell="E28" sqref="E28"/>
    </sheetView>
  </sheetViews>
  <sheetFormatPr defaultColWidth="9.1796875" defaultRowHeight="13" x14ac:dyDescent="0.3"/>
  <cols>
    <col min="1" max="1" width="46.54296875" style="69" customWidth="1"/>
    <col min="2" max="2" width="12" style="70" customWidth="1"/>
    <col min="3" max="3" width="13" style="70" customWidth="1"/>
    <col min="4" max="4" width="14.26953125" style="70" customWidth="1"/>
    <col min="5" max="5" width="12.54296875" style="70" customWidth="1"/>
    <col min="6" max="6" width="10.54296875" style="70" customWidth="1"/>
    <col min="7" max="7" width="12.7265625" style="70" customWidth="1"/>
    <col min="8" max="8" width="14" style="70" customWidth="1"/>
    <col min="9" max="9" width="13" style="71" customWidth="1"/>
    <col min="10" max="10" width="6.1796875" style="69" customWidth="1"/>
    <col min="11" max="11" width="12.26953125" style="69" customWidth="1"/>
    <col min="12" max="16384" width="9.1796875" style="69"/>
  </cols>
  <sheetData>
    <row r="1" spans="1:13" ht="24.75" customHeight="1" x14ac:dyDescent="0.3">
      <c r="A1" s="178" t="s">
        <v>103</v>
      </c>
      <c r="B1" s="178"/>
      <c r="C1" s="178"/>
      <c r="D1" s="178"/>
      <c r="E1" s="178"/>
      <c r="F1" s="178"/>
      <c r="G1" s="178"/>
      <c r="H1" s="178"/>
      <c r="I1" s="178"/>
    </row>
    <row r="2" spans="1:13" ht="12" customHeight="1" x14ac:dyDescent="0.3">
      <c r="A2" s="82"/>
      <c r="B2" s="82"/>
      <c r="C2" s="82"/>
      <c r="D2" s="82"/>
      <c r="E2" s="82"/>
      <c r="F2" s="82"/>
      <c r="G2" s="82"/>
      <c r="H2" s="82"/>
      <c r="I2" s="82"/>
    </row>
    <row r="3" spans="1:13" s="73" customFormat="1" ht="68.25" customHeight="1" x14ac:dyDescent="0.3">
      <c r="A3" s="83" t="s">
        <v>56</v>
      </c>
      <c r="B3" s="97" t="s">
        <v>88</v>
      </c>
      <c r="C3" s="97" t="s">
        <v>89</v>
      </c>
      <c r="D3" s="97" t="s">
        <v>90</v>
      </c>
      <c r="E3" s="97" t="s">
        <v>94</v>
      </c>
      <c r="F3" s="97" t="s">
        <v>91</v>
      </c>
      <c r="G3" s="97" t="s">
        <v>92</v>
      </c>
      <c r="H3" s="97" t="s">
        <v>93</v>
      </c>
      <c r="I3" s="98" t="s">
        <v>174</v>
      </c>
      <c r="J3" s="72"/>
    </row>
    <row r="4" spans="1:13" ht="35.25" customHeight="1" x14ac:dyDescent="0.3">
      <c r="A4" s="93" t="s">
        <v>173</v>
      </c>
      <c r="B4" s="74">
        <v>4</v>
      </c>
      <c r="C4" s="74">
        <v>1</v>
      </c>
      <c r="D4" s="75">
        <f>B4*C4</f>
        <v>4</v>
      </c>
      <c r="E4" s="75">
        <v>10</v>
      </c>
      <c r="F4" s="75">
        <f>D4*E4</f>
        <v>40</v>
      </c>
      <c r="G4" s="75">
        <f>F4*0.05</f>
        <v>2</v>
      </c>
      <c r="H4" s="75">
        <f>F4*0.1</f>
        <v>4</v>
      </c>
      <c r="I4" s="76">
        <f>(F4*$L$6)+(G4*$L$5)+(H4*$L$7)</f>
        <v>2275.38</v>
      </c>
      <c r="K4" s="187" t="s">
        <v>1</v>
      </c>
      <c r="L4" s="188"/>
      <c r="M4" s="1"/>
    </row>
    <row r="5" spans="1:13" ht="35.25" customHeight="1" x14ac:dyDescent="0.3">
      <c r="A5" s="94" t="s">
        <v>175</v>
      </c>
      <c r="B5" s="74">
        <v>2</v>
      </c>
      <c r="C5" s="75">
        <v>1</v>
      </c>
      <c r="D5" s="75">
        <f>B5*C5</f>
        <v>2</v>
      </c>
      <c r="E5" s="75">
        <v>0</v>
      </c>
      <c r="F5" s="75">
        <f>D5*E5</f>
        <v>0</v>
      </c>
      <c r="G5" s="75">
        <f>F5*0.05</f>
        <v>0</v>
      </c>
      <c r="H5" s="75">
        <f>F5*0.1</f>
        <v>0</v>
      </c>
      <c r="I5" s="77">
        <f>(F5*$L$6)+(G5*$L$5)+(H5*$L$7)</f>
        <v>0</v>
      </c>
      <c r="K5" s="151" t="s">
        <v>2</v>
      </c>
      <c r="L5" s="150">
        <v>68.37</v>
      </c>
      <c r="M5" s="9"/>
    </row>
    <row r="6" spans="1:13" ht="17.25" customHeight="1" x14ac:dyDescent="0.3">
      <c r="A6" s="94" t="s">
        <v>74</v>
      </c>
      <c r="B6" s="74"/>
      <c r="C6" s="74"/>
      <c r="D6" s="75"/>
      <c r="E6" s="75"/>
      <c r="F6" s="75"/>
      <c r="G6" s="75"/>
      <c r="H6" s="75"/>
      <c r="I6" s="77"/>
      <c r="K6" s="151" t="s">
        <v>3</v>
      </c>
      <c r="L6" s="150">
        <v>50.72</v>
      </c>
      <c r="M6" s="9"/>
    </row>
    <row r="7" spans="1:13" ht="17.25" customHeight="1" x14ac:dyDescent="0.3">
      <c r="A7" s="96" t="s">
        <v>177</v>
      </c>
      <c r="B7" s="74">
        <v>12</v>
      </c>
      <c r="C7" s="75">
        <v>1</v>
      </c>
      <c r="D7" s="75">
        <f t="shared" ref="D7:D12" si="0">B7*C7</f>
        <v>12</v>
      </c>
      <c r="E7" s="75">
        <v>0</v>
      </c>
      <c r="F7" s="75">
        <f t="shared" ref="F7:F11" si="1">D7*E7</f>
        <v>0</v>
      </c>
      <c r="G7" s="75">
        <f t="shared" ref="G7:G12" si="2">F7*0.05</f>
        <v>0</v>
      </c>
      <c r="H7" s="75">
        <f t="shared" ref="H7:H12" si="3">F7*0.1</f>
        <v>0</v>
      </c>
      <c r="I7" s="77">
        <f t="shared" ref="I7:I12" si="4">(F7*$L$6)+(G7*$L$5)+(H7*$L$7)</f>
        <v>0</v>
      </c>
      <c r="K7" s="151" t="s">
        <v>4</v>
      </c>
      <c r="L7" s="150">
        <v>27.46</v>
      </c>
      <c r="M7" s="9"/>
    </row>
    <row r="8" spans="1:13" ht="17.25" customHeight="1" x14ac:dyDescent="0.3">
      <c r="A8" s="96" t="s">
        <v>178</v>
      </c>
      <c r="B8" s="74">
        <v>20</v>
      </c>
      <c r="C8" s="75">
        <v>1</v>
      </c>
      <c r="D8" s="75">
        <f t="shared" si="0"/>
        <v>20</v>
      </c>
      <c r="E8" s="75">
        <v>0</v>
      </c>
      <c r="F8" s="75">
        <f t="shared" si="1"/>
        <v>0</v>
      </c>
      <c r="G8" s="75">
        <f t="shared" si="2"/>
        <v>0</v>
      </c>
      <c r="H8" s="75">
        <f t="shared" si="3"/>
        <v>0</v>
      </c>
      <c r="I8" s="77">
        <f t="shared" si="4"/>
        <v>0</v>
      </c>
    </row>
    <row r="9" spans="1:13" ht="17.25" customHeight="1" x14ac:dyDescent="0.3">
      <c r="A9" s="96" t="s">
        <v>179</v>
      </c>
      <c r="B9" s="74">
        <v>1</v>
      </c>
      <c r="C9" s="75">
        <v>1</v>
      </c>
      <c r="D9" s="75">
        <f t="shared" si="0"/>
        <v>1</v>
      </c>
      <c r="E9" s="75">
        <v>0</v>
      </c>
      <c r="F9" s="75">
        <f t="shared" si="1"/>
        <v>0</v>
      </c>
      <c r="G9" s="75">
        <f t="shared" si="2"/>
        <v>0</v>
      </c>
      <c r="H9" s="75">
        <f t="shared" si="3"/>
        <v>0</v>
      </c>
      <c r="I9" s="77">
        <f t="shared" si="4"/>
        <v>0</v>
      </c>
    </row>
    <row r="10" spans="1:13" ht="17.25" customHeight="1" x14ac:dyDescent="0.3">
      <c r="A10" s="96" t="s">
        <v>180</v>
      </c>
      <c r="B10" s="74">
        <v>1</v>
      </c>
      <c r="C10" s="75">
        <v>1</v>
      </c>
      <c r="D10" s="75">
        <f t="shared" si="0"/>
        <v>1</v>
      </c>
      <c r="E10" s="75">
        <v>0</v>
      </c>
      <c r="F10" s="75">
        <f t="shared" si="1"/>
        <v>0</v>
      </c>
      <c r="G10" s="75">
        <f t="shared" si="2"/>
        <v>0</v>
      </c>
      <c r="H10" s="75">
        <f t="shared" si="3"/>
        <v>0</v>
      </c>
      <c r="I10" s="77">
        <f t="shared" si="4"/>
        <v>0</v>
      </c>
    </row>
    <row r="11" spans="1:13" ht="17.25" customHeight="1" x14ac:dyDescent="0.3">
      <c r="A11" s="96" t="s">
        <v>181</v>
      </c>
      <c r="B11" s="74">
        <v>2</v>
      </c>
      <c r="C11" s="75">
        <v>1</v>
      </c>
      <c r="D11" s="75">
        <f t="shared" si="0"/>
        <v>2</v>
      </c>
      <c r="E11" s="75">
        <v>0</v>
      </c>
      <c r="F11" s="75">
        <f t="shared" si="1"/>
        <v>0</v>
      </c>
      <c r="G11" s="75">
        <f t="shared" si="2"/>
        <v>0</v>
      </c>
      <c r="H11" s="75">
        <f t="shared" si="3"/>
        <v>0</v>
      </c>
      <c r="I11" s="77">
        <f t="shared" si="4"/>
        <v>0</v>
      </c>
    </row>
    <row r="12" spans="1:13" ht="17.25" customHeight="1" x14ac:dyDescent="0.3">
      <c r="A12" s="94" t="s">
        <v>182</v>
      </c>
      <c r="B12" s="74">
        <v>24</v>
      </c>
      <c r="C12" s="78">
        <v>0.1</v>
      </c>
      <c r="D12" s="78">
        <f t="shared" si="0"/>
        <v>2.4000000000000004</v>
      </c>
      <c r="E12" s="75">
        <f>E7</f>
        <v>0</v>
      </c>
      <c r="F12" s="75">
        <f>D12*E12</f>
        <v>0</v>
      </c>
      <c r="G12" s="75">
        <f t="shared" si="2"/>
        <v>0</v>
      </c>
      <c r="H12" s="75">
        <f t="shared" si="3"/>
        <v>0</v>
      </c>
      <c r="I12" s="77">
        <f t="shared" si="4"/>
        <v>0</v>
      </c>
      <c r="J12" s="152"/>
    </row>
    <row r="13" spans="1:13" ht="17.25" customHeight="1" x14ac:dyDescent="0.3">
      <c r="A13" s="94" t="s">
        <v>75</v>
      </c>
      <c r="B13" s="74"/>
      <c r="C13" s="75"/>
      <c r="D13" s="75"/>
      <c r="E13" s="75"/>
      <c r="F13" s="75"/>
      <c r="G13" s="75"/>
      <c r="H13" s="75"/>
      <c r="I13" s="77"/>
    </row>
    <row r="14" spans="1:13" ht="17.25" customHeight="1" x14ac:dyDescent="0.3">
      <c r="A14" s="96" t="s">
        <v>183</v>
      </c>
      <c r="B14" s="74">
        <v>2</v>
      </c>
      <c r="C14" s="75">
        <v>1</v>
      </c>
      <c r="D14" s="75">
        <f t="shared" ref="D14:D23" si="5">B14*C14</f>
        <v>2</v>
      </c>
      <c r="E14" s="75">
        <v>0</v>
      </c>
      <c r="F14" s="75">
        <f>D14*E14</f>
        <v>0</v>
      </c>
      <c r="G14" s="75">
        <f t="shared" ref="G14:G23" si="6">F14*0.05</f>
        <v>0</v>
      </c>
      <c r="H14" s="75">
        <f t="shared" ref="H14:H23" si="7">F14*0.1</f>
        <v>0</v>
      </c>
      <c r="I14" s="77">
        <f>(F14*$L$6)+(G14*$L$5)+(H14*$L$7)</f>
        <v>0</v>
      </c>
    </row>
    <row r="15" spans="1:13" ht="17.25" customHeight="1" x14ac:dyDescent="0.3">
      <c r="A15" s="94" t="s">
        <v>76</v>
      </c>
      <c r="B15" s="74"/>
      <c r="C15" s="75"/>
      <c r="D15" s="75"/>
      <c r="E15" s="75"/>
      <c r="F15" s="75"/>
      <c r="G15" s="75"/>
      <c r="H15" s="75"/>
      <c r="I15" s="77"/>
    </row>
    <row r="16" spans="1:13" ht="17.25" customHeight="1" x14ac:dyDescent="0.3">
      <c r="A16" s="96" t="s">
        <v>184</v>
      </c>
      <c r="B16" s="74">
        <v>1</v>
      </c>
      <c r="C16" s="75">
        <v>1</v>
      </c>
      <c r="D16" s="75">
        <f t="shared" si="5"/>
        <v>1</v>
      </c>
      <c r="E16" s="75">
        <v>0</v>
      </c>
      <c r="F16" s="75">
        <f t="shared" ref="F16:F28" si="8">D16*E16</f>
        <v>0</v>
      </c>
      <c r="G16" s="75">
        <f t="shared" si="6"/>
        <v>0</v>
      </c>
      <c r="H16" s="75">
        <f t="shared" si="7"/>
        <v>0</v>
      </c>
      <c r="I16" s="77">
        <f t="shared" ref="I16:I23" si="9">(F16*$L$6)+(G16*$L$5)+(H16*$L$7)</f>
        <v>0</v>
      </c>
    </row>
    <row r="17" spans="1:9" ht="17.25" customHeight="1" x14ac:dyDescent="0.3">
      <c r="A17" s="96" t="s">
        <v>185</v>
      </c>
      <c r="B17" s="74">
        <v>2</v>
      </c>
      <c r="C17" s="75">
        <v>1</v>
      </c>
      <c r="D17" s="75">
        <f t="shared" si="5"/>
        <v>2</v>
      </c>
      <c r="E17" s="75">
        <v>0</v>
      </c>
      <c r="F17" s="75">
        <f t="shared" si="8"/>
        <v>0</v>
      </c>
      <c r="G17" s="75">
        <f t="shared" si="6"/>
        <v>0</v>
      </c>
      <c r="H17" s="75">
        <f t="shared" si="7"/>
        <v>0</v>
      </c>
      <c r="I17" s="77">
        <f t="shared" si="9"/>
        <v>0</v>
      </c>
    </row>
    <row r="18" spans="1:9" ht="17.25" customHeight="1" x14ac:dyDescent="0.3">
      <c r="A18" s="96" t="s">
        <v>186</v>
      </c>
      <c r="B18" s="74">
        <v>1</v>
      </c>
      <c r="C18" s="75">
        <v>1</v>
      </c>
      <c r="D18" s="75">
        <f t="shared" si="5"/>
        <v>1</v>
      </c>
      <c r="E18" s="75">
        <v>0</v>
      </c>
      <c r="F18" s="75">
        <f t="shared" si="8"/>
        <v>0</v>
      </c>
      <c r="G18" s="75">
        <f t="shared" si="6"/>
        <v>0</v>
      </c>
      <c r="H18" s="75">
        <f t="shared" si="7"/>
        <v>0</v>
      </c>
      <c r="I18" s="77">
        <f t="shared" si="9"/>
        <v>0</v>
      </c>
    </row>
    <row r="19" spans="1:9" ht="17.25" customHeight="1" x14ac:dyDescent="0.3">
      <c r="A19" s="96" t="s">
        <v>187</v>
      </c>
      <c r="B19" s="74">
        <v>1</v>
      </c>
      <c r="C19" s="75">
        <v>1</v>
      </c>
      <c r="D19" s="75">
        <f t="shared" si="5"/>
        <v>1</v>
      </c>
      <c r="E19" s="75">
        <v>0</v>
      </c>
      <c r="F19" s="75">
        <f t="shared" si="8"/>
        <v>0</v>
      </c>
      <c r="G19" s="75">
        <f t="shared" si="6"/>
        <v>0</v>
      </c>
      <c r="H19" s="75">
        <f t="shared" si="7"/>
        <v>0</v>
      </c>
      <c r="I19" s="77">
        <f t="shared" si="9"/>
        <v>0</v>
      </c>
    </row>
    <row r="20" spans="1:9" ht="17.25" customHeight="1" x14ac:dyDescent="0.3">
      <c r="A20" s="96" t="s">
        <v>188</v>
      </c>
      <c r="B20" s="74">
        <v>15</v>
      </c>
      <c r="C20" s="75">
        <v>1</v>
      </c>
      <c r="D20" s="75">
        <f t="shared" si="5"/>
        <v>15</v>
      </c>
      <c r="E20" s="75">
        <v>0</v>
      </c>
      <c r="F20" s="75">
        <f t="shared" si="8"/>
        <v>0</v>
      </c>
      <c r="G20" s="75">
        <f t="shared" si="6"/>
        <v>0</v>
      </c>
      <c r="H20" s="75">
        <f t="shared" si="7"/>
        <v>0</v>
      </c>
      <c r="I20" s="77">
        <f t="shared" si="9"/>
        <v>0</v>
      </c>
    </row>
    <row r="21" spans="1:9" ht="30.75" customHeight="1" x14ac:dyDescent="0.3">
      <c r="A21" s="96" t="s">
        <v>189</v>
      </c>
      <c r="B21" s="74">
        <v>5</v>
      </c>
      <c r="C21" s="75">
        <v>1</v>
      </c>
      <c r="D21" s="75">
        <f t="shared" si="5"/>
        <v>5</v>
      </c>
      <c r="E21" s="75">
        <v>0</v>
      </c>
      <c r="F21" s="75">
        <f t="shared" si="8"/>
        <v>0</v>
      </c>
      <c r="G21" s="75">
        <f t="shared" si="6"/>
        <v>0</v>
      </c>
      <c r="H21" s="75">
        <f t="shared" si="7"/>
        <v>0</v>
      </c>
      <c r="I21" s="77">
        <f t="shared" si="9"/>
        <v>0</v>
      </c>
    </row>
    <row r="22" spans="1:9" ht="17.25" customHeight="1" x14ac:dyDescent="0.3">
      <c r="A22" s="96" t="s">
        <v>190</v>
      </c>
      <c r="B22" s="74">
        <v>12</v>
      </c>
      <c r="C22" s="75">
        <v>1</v>
      </c>
      <c r="D22" s="75">
        <f t="shared" si="5"/>
        <v>12</v>
      </c>
      <c r="E22" s="75">
        <v>0</v>
      </c>
      <c r="F22" s="75">
        <f t="shared" si="8"/>
        <v>0</v>
      </c>
      <c r="G22" s="75">
        <f t="shared" si="6"/>
        <v>0</v>
      </c>
      <c r="H22" s="75">
        <f t="shared" si="7"/>
        <v>0</v>
      </c>
      <c r="I22" s="77">
        <f t="shared" si="9"/>
        <v>0</v>
      </c>
    </row>
    <row r="23" spans="1:9" ht="17.25" customHeight="1" x14ac:dyDescent="0.3">
      <c r="A23" s="96" t="s">
        <v>192</v>
      </c>
      <c r="B23" s="74">
        <v>2</v>
      </c>
      <c r="C23" s="75">
        <v>1</v>
      </c>
      <c r="D23" s="75">
        <f t="shared" si="5"/>
        <v>2</v>
      </c>
      <c r="E23" s="75">
        <f>'Table 1a'!E25+'Table 1b'!E25</f>
        <v>737</v>
      </c>
      <c r="F23" s="75">
        <f t="shared" si="8"/>
        <v>1474</v>
      </c>
      <c r="G23" s="75">
        <f t="shared" si="6"/>
        <v>73.7</v>
      </c>
      <c r="H23" s="75">
        <f t="shared" si="7"/>
        <v>147.4</v>
      </c>
      <c r="I23" s="76">
        <f t="shared" si="9"/>
        <v>83847.753000000012</v>
      </c>
    </row>
    <row r="24" spans="1:9" ht="17.25" customHeight="1" x14ac:dyDescent="0.3">
      <c r="A24" s="137" t="s">
        <v>193</v>
      </c>
      <c r="B24" s="3">
        <v>3.75</v>
      </c>
      <c r="C24" s="3">
        <v>1</v>
      </c>
      <c r="D24" s="153">
        <f t="shared" ref="D24" si="10">B24*C24</f>
        <v>3.75</v>
      </c>
      <c r="E24" s="75">
        <f>'Table 1a'!E26+'Table 1b'!E26</f>
        <v>0</v>
      </c>
      <c r="F24" s="75">
        <f t="shared" si="8"/>
        <v>0</v>
      </c>
      <c r="G24" s="75">
        <f t="shared" ref="G24:G28" si="11">F24*0.05</f>
        <v>0</v>
      </c>
      <c r="H24" s="75">
        <f t="shared" ref="H24:H28" si="12">F24*0.1</f>
        <v>0</v>
      </c>
      <c r="I24" s="77">
        <f t="shared" ref="I24:I28" si="13">(F24*$L$6)+(G24*$L$5)+(H24*$L$7)</f>
        <v>0</v>
      </c>
    </row>
    <row r="25" spans="1:9" ht="17.25" customHeight="1" x14ac:dyDescent="0.3">
      <c r="A25" s="137" t="s">
        <v>194</v>
      </c>
      <c r="B25" s="3">
        <v>3.75</v>
      </c>
      <c r="C25" s="3">
        <v>1</v>
      </c>
      <c r="D25" s="153">
        <f>B25*C25</f>
        <v>3.75</v>
      </c>
      <c r="E25" s="75">
        <f>'Table 1a'!E27+'Table 1b'!E27</f>
        <v>0</v>
      </c>
      <c r="F25" s="75">
        <f t="shared" si="8"/>
        <v>0</v>
      </c>
      <c r="G25" s="75">
        <f t="shared" si="11"/>
        <v>0</v>
      </c>
      <c r="H25" s="75">
        <f t="shared" si="12"/>
        <v>0</v>
      </c>
      <c r="I25" s="77">
        <f t="shared" si="13"/>
        <v>0</v>
      </c>
    </row>
    <row r="26" spans="1:9" ht="17.25" customHeight="1" x14ac:dyDescent="0.3">
      <c r="A26" s="137" t="s">
        <v>195</v>
      </c>
      <c r="B26" s="3">
        <v>3.75</v>
      </c>
      <c r="C26" s="3">
        <v>1</v>
      </c>
      <c r="D26" s="153">
        <f t="shared" ref="D26:D28" si="14">B26*C26</f>
        <v>3.75</v>
      </c>
      <c r="E26" s="75">
        <f>'Table 1a'!E28+'Table 1b'!E28</f>
        <v>0</v>
      </c>
      <c r="F26" s="75">
        <f t="shared" si="8"/>
        <v>0</v>
      </c>
      <c r="G26" s="75">
        <f t="shared" si="11"/>
        <v>0</v>
      </c>
      <c r="H26" s="75">
        <f t="shared" si="12"/>
        <v>0</v>
      </c>
      <c r="I26" s="77">
        <f t="shared" si="13"/>
        <v>0</v>
      </c>
    </row>
    <row r="27" spans="1:9" ht="17.25" customHeight="1" x14ac:dyDescent="0.3">
      <c r="A27" s="138" t="s">
        <v>196</v>
      </c>
      <c r="B27" s="3">
        <v>3.75</v>
      </c>
      <c r="C27" s="3">
        <v>1</v>
      </c>
      <c r="D27" s="153">
        <f t="shared" si="14"/>
        <v>3.75</v>
      </c>
      <c r="E27" s="75">
        <f>'Table 1a'!E29+'Table 1b'!E29</f>
        <v>0</v>
      </c>
      <c r="F27" s="75">
        <f t="shared" si="8"/>
        <v>0</v>
      </c>
      <c r="G27" s="75">
        <f t="shared" si="11"/>
        <v>0</v>
      </c>
      <c r="H27" s="75">
        <f t="shared" si="12"/>
        <v>0</v>
      </c>
      <c r="I27" s="77">
        <f t="shared" si="13"/>
        <v>0</v>
      </c>
    </row>
    <row r="28" spans="1:9" ht="17.25" customHeight="1" x14ac:dyDescent="0.3">
      <c r="A28" s="138" t="s">
        <v>197</v>
      </c>
      <c r="B28" s="3">
        <v>2</v>
      </c>
      <c r="C28" s="3">
        <v>1</v>
      </c>
      <c r="D28" s="79">
        <f t="shared" si="14"/>
        <v>2</v>
      </c>
      <c r="E28" s="75">
        <f>'Table 1a'!E30+'Table 1b'!E30</f>
        <v>289</v>
      </c>
      <c r="F28" s="75">
        <f t="shared" si="8"/>
        <v>578</v>
      </c>
      <c r="G28" s="75">
        <f t="shared" si="11"/>
        <v>28.900000000000002</v>
      </c>
      <c r="H28" s="75">
        <f t="shared" si="12"/>
        <v>57.800000000000004</v>
      </c>
      <c r="I28" s="76">
        <f t="shared" si="13"/>
        <v>32879.241000000002</v>
      </c>
    </row>
    <row r="29" spans="1:9" ht="29.25" customHeight="1" x14ac:dyDescent="0.3">
      <c r="A29" s="95" t="s">
        <v>199</v>
      </c>
      <c r="B29" s="184" t="s">
        <v>73</v>
      </c>
      <c r="C29" s="185"/>
      <c r="D29" s="186"/>
      <c r="E29" s="99"/>
      <c r="F29" s="88"/>
      <c r="G29" s="84"/>
      <c r="H29" s="85"/>
      <c r="I29" s="77">
        <v>0</v>
      </c>
    </row>
    <row r="30" spans="1:9" ht="15.75" customHeight="1" x14ac:dyDescent="0.3">
      <c r="A30" s="86" t="s">
        <v>201</v>
      </c>
      <c r="B30" s="181"/>
      <c r="C30" s="182"/>
      <c r="D30" s="183"/>
      <c r="E30" s="100"/>
      <c r="F30" s="177">
        <f>ROUND((SUM(F4:F29))+(SUM(G4:G29))+(SUM(H4:H29)),-1)</f>
        <v>2410</v>
      </c>
      <c r="G30" s="177"/>
      <c r="H30" s="177"/>
      <c r="I30" s="87">
        <f>ROUND(SUM(I4:I29),-3)</f>
        <v>119000</v>
      </c>
    </row>
    <row r="31" spans="1:9" ht="21" customHeight="1" x14ac:dyDescent="0.3">
      <c r="B31" s="69"/>
      <c r="C31" s="69"/>
      <c r="D31" s="69"/>
      <c r="E31" s="69"/>
    </row>
    <row r="32" spans="1:9" ht="21" customHeight="1" x14ac:dyDescent="0.3">
      <c r="A32" s="73" t="s">
        <v>104</v>
      </c>
      <c r="B32" s="69"/>
      <c r="C32" s="69"/>
      <c r="D32" s="69"/>
      <c r="E32" s="69"/>
    </row>
    <row r="33" spans="1:21" ht="35.25" customHeight="1" x14ac:dyDescent="0.3">
      <c r="A33" s="179" t="s">
        <v>172</v>
      </c>
      <c r="B33" s="179"/>
      <c r="C33" s="179"/>
      <c r="D33" s="179"/>
      <c r="E33" s="179"/>
      <c r="F33" s="179"/>
      <c r="G33" s="179"/>
      <c r="H33" s="179"/>
      <c r="I33" s="179"/>
    </row>
    <row r="34" spans="1:21" ht="36" customHeight="1" x14ac:dyDescent="0.3">
      <c r="A34" s="179" t="s">
        <v>171</v>
      </c>
      <c r="B34" s="179"/>
      <c r="C34" s="179"/>
      <c r="D34" s="179"/>
      <c r="E34" s="179"/>
      <c r="F34" s="179"/>
      <c r="G34" s="179"/>
      <c r="H34" s="179"/>
      <c r="I34" s="179"/>
    </row>
    <row r="35" spans="1:21" ht="22.5" customHeight="1" x14ac:dyDescent="0.3">
      <c r="A35" s="189" t="s">
        <v>176</v>
      </c>
      <c r="B35" s="189"/>
      <c r="C35" s="189"/>
      <c r="D35" s="189"/>
      <c r="E35" s="189"/>
      <c r="F35" s="189"/>
      <c r="G35" s="189"/>
      <c r="H35" s="189"/>
      <c r="I35" s="189"/>
    </row>
    <row r="36" spans="1:21" ht="33.75" customHeight="1" x14ac:dyDescent="0.3">
      <c r="A36" s="179" t="s">
        <v>222</v>
      </c>
      <c r="B36" s="179"/>
      <c r="C36" s="179"/>
      <c r="D36" s="179"/>
      <c r="E36" s="179"/>
      <c r="F36" s="179"/>
      <c r="G36" s="179"/>
      <c r="H36" s="179"/>
      <c r="I36" s="179"/>
    </row>
    <row r="37" spans="1:21" ht="36.75" customHeight="1" x14ac:dyDescent="0.3">
      <c r="A37" s="179" t="s">
        <v>223</v>
      </c>
      <c r="B37" s="179"/>
      <c r="C37" s="179"/>
      <c r="D37" s="179"/>
      <c r="E37" s="179"/>
      <c r="F37" s="179"/>
      <c r="G37" s="179"/>
      <c r="H37" s="179"/>
      <c r="I37" s="179"/>
    </row>
    <row r="38" spans="1:21" ht="36.75" customHeight="1" x14ac:dyDescent="0.3">
      <c r="A38" s="179" t="s">
        <v>221</v>
      </c>
      <c r="B38" s="179"/>
      <c r="C38" s="179"/>
      <c r="D38" s="179"/>
      <c r="E38" s="179"/>
      <c r="F38" s="179"/>
      <c r="G38" s="179"/>
      <c r="H38" s="179"/>
      <c r="I38" s="179"/>
      <c r="M38" s="175"/>
      <c r="N38" s="175"/>
      <c r="O38" s="175"/>
      <c r="P38" s="175"/>
      <c r="Q38" s="175"/>
      <c r="R38" s="175"/>
      <c r="S38" s="175"/>
      <c r="T38" s="175"/>
      <c r="U38" s="175"/>
    </row>
    <row r="39" spans="1:21" ht="50.25" customHeight="1" x14ac:dyDescent="0.3">
      <c r="A39" s="179" t="s">
        <v>220</v>
      </c>
      <c r="B39" s="179"/>
      <c r="C39" s="179"/>
      <c r="D39" s="179"/>
      <c r="E39" s="179"/>
      <c r="F39" s="179"/>
      <c r="G39" s="179"/>
      <c r="H39" s="179"/>
      <c r="I39" s="179"/>
      <c r="M39" s="142"/>
      <c r="N39" s="142"/>
      <c r="O39" s="142"/>
      <c r="P39" s="142"/>
      <c r="Q39" s="142"/>
      <c r="R39" s="142"/>
      <c r="S39" s="142"/>
      <c r="T39" s="142"/>
      <c r="U39" s="142"/>
    </row>
    <row r="40" spans="1:21" ht="50.25" customHeight="1" x14ac:dyDescent="0.3">
      <c r="A40" s="179" t="s">
        <v>219</v>
      </c>
      <c r="B40" s="179"/>
      <c r="C40" s="179"/>
      <c r="D40" s="179"/>
      <c r="E40" s="179"/>
      <c r="F40" s="179"/>
      <c r="G40" s="179"/>
      <c r="H40" s="179"/>
      <c r="I40" s="179"/>
      <c r="M40" s="142"/>
      <c r="N40" s="142"/>
      <c r="O40" s="142"/>
      <c r="P40" s="142"/>
      <c r="Q40" s="142"/>
      <c r="R40" s="142"/>
      <c r="S40" s="142"/>
      <c r="T40" s="142"/>
      <c r="U40" s="142"/>
    </row>
    <row r="41" spans="1:21" ht="36.75" customHeight="1" x14ac:dyDescent="0.3">
      <c r="A41" s="179" t="s">
        <v>224</v>
      </c>
      <c r="B41" s="179"/>
      <c r="C41" s="179"/>
      <c r="D41" s="179"/>
      <c r="E41" s="179"/>
      <c r="F41" s="179"/>
      <c r="G41" s="179"/>
      <c r="H41" s="179"/>
      <c r="I41" s="179"/>
      <c r="M41" s="142"/>
      <c r="N41" s="142"/>
      <c r="O41" s="142"/>
      <c r="P41" s="142"/>
      <c r="Q41" s="142"/>
      <c r="R41" s="142"/>
      <c r="S41" s="142"/>
      <c r="T41" s="142"/>
      <c r="U41" s="142"/>
    </row>
    <row r="42" spans="1:21" ht="48" customHeight="1" x14ac:dyDescent="0.3">
      <c r="A42" s="179" t="s">
        <v>191</v>
      </c>
      <c r="B42" s="179"/>
      <c r="C42" s="179"/>
      <c r="D42" s="179"/>
      <c r="E42" s="179"/>
      <c r="F42" s="179"/>
      <c r="G42" s="179"/>
      <c r="H42" s="179"/>
      <c r="I42" s="179"/>
      <c r="M42" s="142"/>
      <c r="N42" s="142"/>
      <c r="O42" s="142"/>
      <c r="P42" s="142"/>
      <c r="Q42" s="142"/>
      <c r="R42" s="142"/>
      <c r="S42" s="142"/>
      <c r="T42" s="142"/>
      <c r="U42" s="142"/>
    </row>
    <row r="43" spans="1:21" ht="46.5" customHeight="1" x14ac:dyDescent="0.3">
      <c r="A43" s="179" t="s">
        <v>225</v>
      </c>
      <c r="B43" s="179"/>
      <c r="C43" s="179"/>
      <c r="D43" s="179"/>
      <c r="E43" s="179"/>
      <c r="F43" s="179"/>
      <c r="G43" s="179"/>
      <c r="H43" s="179"/>
      <c r="I43" s="179"/>
      <c r="M43" s="142"/>
      <c r="N43" s="142"/>
      <c r="O43" s="142"/>
      <c r="P43" s="142"/>
      <c r="Q43" s="142"/>
      <c r="R43" s="142"/>
      <c r="S43" s="142"/>
      <c r="T43" s="142"/>
      <c r="U43" s="142"/>
    </row>
    <row r="44" spans="1:21" ht="38.25" customHeight="1" x14ac:dyDescent="0.3">
      <c r="A44" s="158" t="s">
        <v>203</v>
      </c>
      <c r="B44" s="158"/>
      <c r="C44" s="158"/>
      <c r="D44" s="158"/>
      <c r="E44" s="158"/>
      <c r="F44" s="158"/>
      <c r="G44" s="158"/>
      <c r="H44" s="158"/>
      <c r="I44" s="158"/>
      <c r="J44" s="154"/>
      <c r="M44" s="176"/>
      <c r="N44" s="176"/>
      <c r="O44" s="176"/>
      <c r="P44" s="176"/>
      <c r="Q44" s="176"/>
      <c r="R44" s="176"/>
      <c r="S44" s="176"/>
      <c r="T44" s="176"/>
      <c r="U44" s="176"/>
    </row>
    <row r="45" spans="1:21" ht="75" customHeight="1" x14ac:dyDescent="0.3">
      <c r="A45" s="179" t="s">
        <v>198</v>
      </c>
      <c r="B45" s="179"/>
      <c r="C45" s="179"/>
      <c r="D45" s="179"/>
      <c r="E45" s="179"/>
      <c r="F45" s="179"/>
      <c r="G45" s="179"/>
      <c r="H45" s="179"/>
      <c r="I45" s="179"/>
    </row>
    <row r="46" spans="1:21" ht="47.25" customHeight="1" x14ac:dyDescent="0.3">
      <c r="A46" s="179" t="s">
        <v>226</v>
      </c>
      <c r="B46" s="179"/>
      <c r="C46" s="179"/>
      <c r="D46" s="179"/>
      <c r="E46" s="179"/>
      <c r="F46" s="179"/>
      <c r="G46" s="179"/>
      <c r="H46" s="179"/>
      <c r="I46" s="179"/>
    </row>
    <row r="47" spans="1:21" ht="18" customHeight="1" x14ac:dyDescent="0.3">
      <c r="A47" s="180" t="s">
        <v>200</v>
      </c>
      <c r="B47" s="180"/>
      <c r="C47" s="180"/>
      <c r="D47" s="180"/>
      <c r="E47" s="180"/>
      <c r="F47" s="180"/>
      <c r="G47" s="180"/>
      <c r="H47" s="180"/>
      <c r="I47" s="180"/>
    </row>
    <row r="50" spans="2:6" x14ac:dyDescent="0.3">
      <c r="F50" s="71"/>
    </row>
    <row r="52" spans="2:6" x14ac:dyDescent="0.3">
      <c r="B52" s="80"/>
      <c r="C52" s="80"/>
      <c r="F52" s="71"/>
    </row>
    <row r="53" spans="2:6" x14ac:dyDescent="0.3">
      <c r="B53" s="80"/>
      <c r="C53" s="80"/>
    </row>
    <row r="54" spans="2:6" x14ac:dyDescent="0.3">
      <c r="B54" s="81"/>
      <c r="C54" s="80"/>
    </row>
    <row r="55" spans="2:6" x14ac:dyDescent="0.3">
      <c r="B55" s="80"/>
      <c r="C55" s="80"/>
    </row>
  </sheetData>
  <mergeCells count="22">
    <mergeCell ref="A47:I47"/>
    <mergeCell ref="B30:D30"/>
    <mergeCell ref="B29:D29"/>
    <mergeCell ref="K4:L4"/>
    <mergeCell ref="A35:I35"/>
    <mergeCell ref="A36:I36"/>
    <mergeCell ref="A37:I37"/>
    <mergeCell ref="A38:I38"/>
    <mergeCell ref="A44:I44"/>
    <mergeCell ref="A45:I45"/>
    <mergeCell ref="A46:I46"/>
    <mergeCell ref="A34:I34"/>
    <mergeCell ref="A33:I33"/>
    <mergeCell ref="M38:U38"/>
    <mergeCell ref="M44:U44"/>
    <mergeCell ref="F30:H30"/>
    <mergeCell ref="A1:I1"/>
    <mergeCell ref="A39:I39"/>
    <mergeCell ref="A43:I43"/>
    <mergeCell ref="A40:I40"/>
    <mergeCell ref="A42:I42"/>
    <mergeCell ref="A41:I41"/>
  </mergeCells>
  <phoneticPr fontId="19" type="noConversion"/>
  <pageMargins left="0.25" right="0.25" top="0.5" bottom="0.5" header="0.5" footer="0.5"/>
  <pageSetup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24B2D-9F32-4FDA-AA15-14E9166BC3D3}">
  <dimension ref="B1:H52"/>
  <sheetViews>
    <sheetView topLeftCell="A40" workbookViewId="0">
      <selection activeCell="F53" sqref="F53"/>
    </sheetView>
  </sheetViews>
  <sheetFormatPr defaultRowHeight="14.5" x14ac:dyDescent="0.35"/>
  <cols>
    <col min="1" max="1" width="2.453125" customWidth="1"/>
    <col min="2" max="2" width="22.1796875" customWidth="1"/>
    <col min="3" max="8" width="14.1796875" customWidth="1"/>
  </cols>
  <sheetData>
    <row r="1" spans="2:8" x14ac:dyDescent="0.35">
      <c r="B1" s="8" t="s">
        <v>31</v>
      </c>
      <c r="C1" s="1"/>
      <c r="D1" s="1"/>
      <c r="E1" s="1"/>
      <c r="F1" s="1"/>
      <c r="G1" s="1"/>
      <c r="H1" s="18"/>
    </row>
    <row r="2" spans="2:8" x14ac:dyDescent="0.35">
      <c r="B2" s="8"/>
      <c r="C2" s="1"/>
      <c r="D2" s="1"/>
      <c r="E2" s="1"/>
      <c r="F2" s="1"/>
      <c r="G2" s="1"/>
      <c r="H2" s="18"/>
    </row>
    <row r="3" spans="2:8" x14ac:dyDescent="0.35">
      <c r="B3" s="192" t="s">
        <v>20</v>
      </c>
      <c r="C3" s="193"/>
      <c r="D3" s="193"/>
      <c r="E3" s="193"/>
      <c r="F3" s="193"/>
      <c r="G3" s="193"/>
      <c r="H3" s="194"/>
    </row>
    <row r="4" spans="2:8" x14ac:dyDescent="0.35">
      <c r="B4" s="19" t="s">
        <v>8</v>
      </c>
      <c r="C4" s="19" t="s">
        <v>9</v>
      </c>
      <c r="D4" s="19" t="s">
        <v>10</v>
      </c>
      <c r="E4" s="19" t="s">
        <v>11</v>
      </c>
      <c r="F4" s="19" t="s">
        <v>12</v>
      </c>
      <c r="G4" s="19" t="s">
        <v>21</v>
      </c>
      <c r="H4" s="19" t="s">
        <v>22</v>
      </c>
    </row>
    <row r="5" spans="2:8" ht="41.5" x14ac:dyDescent="0.35">
      <c r="B5" s="20" t="s">
        <v>23</v>
      </c>
      <c r="C5" s="19" t="s">
        <v>24</v>
      </c>
      <c r="D5" s="19" t="s">
        <v>14</v>
      </c>
      <c r="E5" s="19" t="s">
        <v>25</v>
      </c>
      <c r="F5" s="19" t="s">
        <v>26</v>
      </c>
      <c r="G5" s="19" t="s">
        <v>27</v>
      </c>
      <c r="H5" s="19" t="s">
        <v>29</v>
      </c>
    </row>
    <row r="6" spans="2:8" ht="28.5" customHeight="1" x14ac:dyDescent="0.35">
      <c r="B6" s="20" t="s">
        <v>40</v>
      </c>
      <c r="C6" s="34" t="s">
        <v>0</v>
      </c>
      <c r="D6" s="7" t="s">
        <v>0</v>
      </c>
      <c r="E6" s="34" t="s">
        <v>0</v>
      </c>
      <c r="F6" s="34">
        <v>15</v>
      </c>
      <c r="G6" s="7">
        <f>'Table 1a'!E25</f>
        <v>472</v>
      </c>
      <c r="H6" s="34">
        <f>ROUND(F6*G6,-1)</f>
        <v>7080</v>
      </c>
    </row>
    <row r="7" spans="2:8" ht="28.5" customHeight="1" x14ac:dyDescent="0.35">
      <c r="B7" s="20" t="s">
        <v>41</v>
      </c>
      <c r="C7" s="34" t="s">
        <v>0</v>
      </c>
      <c r="D7" s="7" t="s">
        <v>0</v>
      </c>
      <c r="E7" s="34" t="s">
        <v>0</v>
      </c>
      <c r="F7" s="34">
        <v>15</v>
      </c>
      <c r="G7" s="7">
        <f>'Table 1b'!E25</f>
        <v>265</v>
      </c>
      <c r="H7" s="34">
        <f>ROUND(F7*G7,-1)</f>
        <v>3980</v>
      </c>
    </row>
    <row r="8" spans="2:8" x14ac:dyDescent="0.35">
      <c r="B8" s="20" t="s">
        <v>17</v>
      </c>
      <c r="C8" s="21"/>
      <c r="D8" s="21"/>
      <c r="E8" s="22">
        <f>SUM(E6:E6)</f>
        <v>0</v>
      </c>
      <c r="F8" s="21"/>
      <c r="G8" s="21">
        <f>G6+G7</f>
        <v>737</v>
      </c>
      <c r="H8" s="23">
        <f>ROUND(SUM(H6:H7), -2)</f>
        <v>11100</v>
      </c>
    </row>
    <row r="9" spans="2:8" x14ac:dyDescent="0.35">
      <c r="B9" s="24" t="s">
        <v>28</v>
      </c>
      <c r="C9" s="25"/>
      <c r="D9" s="25"/>
      <c r="E9" s="26"/>
      <c r="F9" s="26"/>
      <c r="G9" s="27"/>
      <c r="H9" s="26"/>
    </row>
    <row r="10" spans="2:8" x14ac:dyDescent="0.35">
      <c r="B10" s="28" t="s">
        <v>30</v>
      </c>
      <c r="C10" s="1"/>
      <c r="D10" s="1"/>
      <c r="E10" s="1"/>
      <c r="F10" s="1"/>
      <c r="G10" s="1"/>
      <c r="H10" s="1"/>
    </row>
    <row r="13" spans="2:8" x14ac:dyDescent="0.35">
      <c r="B13" s="197" t="s">
        <v>66</v>
      </c>
      <c r="C13" s="198"/>
      <c r="D13" s="198"/>
      <c r="E13" s="198"/>
      <c r="F13" s="198"/>
      <c r="G13" s="199"/>
    </row>
    <row r="14" spans="2:8" ht="39" x14ac:dyDescent="0.35">
      <c r="B14" s="31"/>
      <c r="C14" s="200" t="s">
        <v>6</v>
      </c>
      <c r="D14" s="201"/>
      <c r="E14" s="32" t="s">
        <v>7</v>
      </c>
      <c r="F14" s="200"/>
      <c r="G14" s="201"/>
    </row>
    <row r="15" spans="2:8" x14ac:dyDescent="0.35">
      <c r="B15" s="10"/>
      <c r="C15" s="11" t="s">
        <v>8</v>
      </c>
      <c r="D15" s="11" t="s">
        <v>9</v>
      </c>
      <c r="E15" s="11" t="s">
        <v>10</v>
      </c>
      <c r="F15" s="11" t="s">
        <v>11</v>
      </c>
      <c r="G15" s="11" t="s">
        <v>12</v>
      </c>
    </row>
    <row r="16" spans="2:8" ht="80.5" x14ac:dyDescent="0.35">
      <c r="B16" s="11" t="s">
        <v>13</v>
      </c>
      <c r="C16" s="11" t="s">
        <v>206</v>
      </c>
      <c r="D16" s="11" t="s">
        <v>207</v>
      </c>
      <c r="E16" s="12" t="s">
        <v>208</v>
      </c>
      <c r="F16" s="11" t="s">
        <v>209</v>
      </c>
      <c r="G16" s="11" t="s">
        <v>19</v>
      </c>
    </row>
    <row r="17" spans="2:8" x14ac:dyDescent="0.35">
      <c r="B17" s="13">
        <v>1</v>
      </c>
      <c r="C17" s="14">
        <v>27</v>
      </c>
      <c r="D17" s="14">
        <v>734</v>
      </c>
      <c r="E17" s="14">
        <v>430</v>
      </c>
      <c r="F17" s="14">
        <v>25</v>
      </c>
      <c r="G17" s="15">
        <f>C17+D17+E17-F17</f>
        <v>1166</v>
      </c>
    </row>
    <row r="18" spans="2:8" x14ac:dyDescent="0.35">
      <c r="B18" s="13">
        <v>2</v>
      </c>
      <c r="C18" s="14">
        <f>C17</f>
        <v>27</v>
      </c>
      <c r="D18" s="14">
        <v>737</v>
      </c>
      <c r="E18" s="14">
        <v>430</v>
      </c>
      <c r="F18" s="14">
        <v>25</v>
      </c>
      <c r="G18" s="15">
        <f>C18+D18+E18-F18</f>
        <v>1169</v>
      </c>
    </row>
    <row r="19" spans="2:8" x14ac:dyDescent="0.35">
      <c r="B19" s="13">
        <v>3</v>
      </c>
      <c r="C19" s="14">
        <f>C18</f>
        <v>27</v>
      </c>
      <c r="D19" s="14">
        <v>739</v>
      </c>
      <c r="E19" s="14">
        <v>430</v>
      </c>
      <c r="F19" s="14">
        <v>25</v>
      </c>
      <c r="G19" s="15">
        <f>C19+D19+E19-F19</f>
        <v>1171</v>
      </c>
    </row>
    <row r="20" spans="2:8" x14ac:dyDescent="0.35">
      <c r="B20" s="13" t="s">
        <v>15</v>
      </c>
      <c r="C20" s="14">
        <f>AVERAGE(C17:C19)</f>
        <v>27</v>
      </c>
      <c r="D20" s="14">
        <f>ROUND(AVERAGE(D17:D19),0)</f>
        <v>737</v>
      </c>
      <c r="E20" s="15">
        <f>AVERAGE(E17:E19)</f>
        <v>430</v>
      </c>
      <c r="F20" s="15">
        <f>AVERAGE(F17:F19)</f>
        <v>25</v>
      </c>
      <c r="G20" s="15">
        <f>ROUND(AVERAGE(G17:G19),0)</f>
        <v>1169</v>
      </c>
    </row>
    <row r="21" spans="2:8" x14ac:dyDescent="0.35">
      <c r="B21" s="37" t="s">
        <v>65</v>
      </c>
      <c r="C21" s="1"/>
      <c r="D21" s="1"/>
      <c r="E21" s="1"/>
      <c r="F21" s="1"/>
      <c r="G21" s="1"/>
    </row>
    <row r="22" spans="2:8" ht="57.75" customHeight="1" x14ac:dyDescent="0.35">
      <c r="B22" s="196" t="s">
        <v>210</v>
      </c>
      <c r="C22" s="196"/>
      <c r="D22" s="196"/>
      <c r="E22" s="196"/>
      <c r="F22" s="196"/>
      <c r="G22" s="196"/>
    </row>
    <row r="23" spans="2:8" ht="89.25" customHeight="1" x14ac:dyDescent="0.35">
      <c r="B23" s="195" t="s">
        <v>204</v>
      </c>
      <c r="C23" s="195"/>
      <c r="D23" s="195"/>
      <c r="E23" s="195"/>
      <c r="F23" s="195"/>
      <c r="G23" s="195"/>
    </row>
    <row r="24" spans="2:8" ht="31.5" customHeight="1" x14ac:dyDescent="0.35">
      <c r="B24" s="195" t="s">
        <v>205</v>
      </c>
      <c r="C24" s="195"/>
      <c r="D24" s="195"/>
      <c r="E24" s="195"/>
      <c r="F24" s="195"/>
      <c r="G24" s="195"/>
    </row>
    <row r="25" spans="2:8" ht="67.5" customHeight="1" x14ac:dyDescent="0.35">
      <c r="B25" s="195" t="s">
        <v>227</v>
      </c>
      <c r="C25" s="195"/>
      <c r="D25" s="195"/>
      <c r="E25" s="195"/>
      <c r="F25" s="195"/>
      <c r="G25" s="195"/>
      <c r="H25" s="155"/>
    </row>
    <row r="28" spans="2:8" x14ac:dyDescent="0.35">
      <c r="B28" s="190" t="s">
        <v>16</v>
      </c>
      <c r="C28" s="190"/>
      <c r="D28" s="190"/>
      <c r="E28" s="190"/>
      <c r="F28" s="190"/>
    </row>
    <row r="29" spans="2:8" x14ac:dyDescent="0.35">
      <c r="B29" s="38" t="s">
        <v>8</v>
      </c>
      <c r="C29" s="40" t="s">
        <v>9</v>
      </c>
      <c r="D29" s="38" t="s">
        <v>10</v>
      </c>
      <c r="E29" s="40" t="s">
        <v>11</v>
      </c>
      <c r="F29" s="38" t="s">
        <v>12</v>
      </c>
    </row>
    <row r="30" spans="2:8" ht="78" x14ac:dyDescent="0.35">
      <c r="B30" s="39" t="s">
        <v>57</v>
      </c>
      <c r="C30" s="40" t="s">
        <v>5</v>
      </c>
      <c r="D30" s="39" t="s">
        <v>58</v>
      </c>
      <c r="E30" s="40" t="s">
        <v>59</v>
      </c>
      <c r="F30" s="39" t="s">
        <v>67</v>
      </c>
    </row>
    <row r="31" spans="2:8" ht="26" x14ac:dyDescent="0.35">
      <c r="B31" s="6" t="s">
        <v>158</v>
      </c>
      <c r="C31" s="148">
        <f>'Table 1a'!E9+'Table 1b'!E9</f>
        <v>0</v>
      </c>
      <c r="D31" s="63">
        <f>'Table 1a'!C9</f>
        <v>1</v>
      </c>
      <c r="E31" s="141" t="s">
        <v>0</v>
      </c>
      <c r="F31" s="149">
        <f>C31*D31</f>
        <v>0</v>
      </c>
    </row>
    <row r="32" spans="2:8" ht="26" x14ac:dyDescent="0.35">
      <c r="B32" s="16" t="s">
        <v>159</v>
      </c>
      <c r="C32" s="148">
        <f>'Table 1a'!E10+'Table 1b'!E10</f>
        <v>0</v>
      </c>
      <c r="D32" s="141">
        <f>'Table 1a'!C10</f>
        <v>4</v>
      </c>
      <c r="E32" s="141" t="s">
        <v>0</v>
      </c>
      <c r="F32" s="149">
        <f t="shared" ref="F32:F49" si="0">C32*D32</f>
        <v>0</v>
      </c>
    </row>
    <row r="33" spans="2:6" ht="26" x14ac:dyDescent="0.35">
      <c r="B33" s="6" t="s">
        <v>160</v>
      </c>
      <c r="C33" s="148">
        <f>'Table 1a'!E11+'Table 1b'!E11</f>
        <v>0</v>
      </c>
      <c r="D33" s="141">
        <f>'Table 1a'!C11</f>
        <v>12</v>
      </c>
      <c r="E33" s="63" t="s">
        <v>0</v>
      </c>
      <c r="F33" s="149">
        <f t="shared" si="0"/>
        <v>0</v>
      </c>
    </row>
    <row r="34" spans="2:6" ht="26" x14ac:dyDescent="0.35">
      <c r="B34" s="6" t="s">
        <v>161</v>
      </c>
      <c r="C34" s="148">
        <f>'Table 1a'!E15+'Table 1b'!E15</f>
        <v>0</v>
      </c>
      <c r="D34" s="63">
        <f>'Table 1a'!C15</f>
        <v>1</v>
      </c>
      <c r="E34" s="63" t="s">
        <v>0</v>
      </c>
      <c r="F34" s="149">
        <f t="shared" si="0"/>
        <v>0</v>
      </c>
    </row>
    <row r="35" spans="2:6" ht="26" x14ac:dyDescent="0.35">
      <c r="B35" s="6" t="s">
        <v>60</v>
      </c>
      <c r="C35" s="148">
        <f>'Table 1a'!E16+'Table 1b'!E16</f>
        <v>0</v>
      </c>
      <c r="D35" s="141">
        <f>'Table 1a'!C16</f>
        <v>1</v>
      </c>
      <c r="E35" s="63" t="s">
        <v>0</v>
      </c>
      <c r="F35" s="149">
        <f t="shared" si="0"/>
        <v>0</v>
      </c>
    </row>
    <row r="36" spans="2:6" ht="26" x14ac:dyDescent="0.35">
      <c r="B36" s="6" t="s">
        <v>162</v>
      </c>
      <c r="C36" s="148">
        <f>'Table 1a'!E17+'Table 1b'!E17</f>
        <v>0</v>
      </c>
      <c r="D36" s="141">
        <f>'Table 1a'!C17</f>
        <v>1</v>
      </c>
      <c r="E36" s="63" t="s">
        <v>0</v>
      </c>
      <c r="F36" s="149">
        <f t="shared" si="0"/>
        <v>0</v>
      </c>
    </row>
    <row r="37" spans="2:6" ht="26" x14ac:dyDescent="0.35">
      <c r="B37" s="6" t="s">
        <v>163</v>
      </c>
      <c r="C37" s="148">
        <f>'Table 1a'!E18+'Table 1b'!E18</f>
        <v>0</v>
      </c>
      <c r="D37" s="141">
        <f>'Table 1a'!C18</f>
        <v>1</v>
      </c>
      <c r="E37" s="63" t="s">
        <v>0</v>
      </c>
      <c r="F37" s="149">
        <f t="shared" si="0"/>
        <v>0</v>
      </c>
    </row>
    <row r="38" spans="2:6" x14ac:dyDescent="0.35">
      <c r="B38" s="6" t="s">
        <v>61</v>
      </c>
      <c r="C38" s="148">
        <f>'Table 1a'!E19+'Table 1b'!E19</f>
        <v>0</v>
      </c>
      <c r="D38" s="141">
        <f>'Table 1a'!C19</f>
        <v>1</v>
      </c>
      <c r="E38" s="63" t="s">
        <v>0</v>
      </c>
      <c r="F38" s="149">
        <f t="shared" si="0"/>
        <v>0</v>
      </c>
    </row>
    <row r="39" spans="2:6" x14ac:dyDescent="0.35">
      <c r="B39" s="6" t="s">
        <v>62</v>
      </c>
      <c r="C39" s="148">
        <f>'Table 1a'!E20+'Table 1b'!E20</f>
        <v>0</v>
      </c>
      <c r="D39" s="141">
        <f>'Table 1a'!C20</f>
        <v>1</v>
      </c>
      <c r="E39" s="63" t="s">
        <v>0</v>
      </c>
      <c r="F39" s="149">
        <f t="shared" si="0"/>
        <v>0</v>
      </c>
    </row>
    <row r="40" spans="2:6" ht="26" x14ac:dyDescent="0.35">
      <c r="B40" s="6" t="s">
        <v>63</v>
      </c>
      <c r="C40" s="148">
        <f>'Table 1a'!E21+'Table 1b'!E21</f>
        <v>0</v>
      </c>
      <c r="D40" s="141">
        <f>'Table 1a'!C21</f>
        <v>1</v>
      </c>
      <c r="E40" s="63" t="s">
        <v>0</v>
      </c>
      <c r="F40" s="149">
        <f t="shared" si="0"/>
        <v>0</v>
      </c>
    </row>
    <row r="41" spans="2:6" x14ac:dyDescent="0.35">
      <c r="B41" s="6" t="s">
        <v>64</v>
      </c>
      <c r="C41" s="148">
        <f>'Table 1a'!E22+'Table 1b'!E22</f>
        <v>0</v>
      </c>
      <c r="D41" s="141">
        <f>'Table 1a'!C22</f>
        <v>1</v>
      </c>
      <c r="E41" s="63" t="s">
        <v>0</v>
      </c>
      <c r="F41" s="149">
        <f t="shared" si="0"/>
        <v>0</v>
      </c>
    </row>
    <row r="42" spans="2:6" x14ac:dyDescent="0.35">
      <c r="B42" s="16" t="s">
        <v>164</v>
      </c>
      <c r="C42" s="148">
        <f>'Table 1a'!E23+'Table 1b'!E23</f>
        <v>0</v>
      </c>
      <c r="D42" s="141">
        <f>'Table 1a'!C23</f>
        <v>0</v>
      </c>
      <c r="E42" s="141" t="s">
        <v>0</v>
      </c>
      <c r="F42" s="149">
        <f t="shared" si="0"/>
        <v>0</v>
      </c>
    </row>
    <row r="43" spans="2:6" x14ac:dyDescent="0.35">
      <c r="B43" s="16" t="s">
        <v>165</v>
      </c>
      <c r="C43" s="148">
        <f>'Table 1a'!E24+'Table 1b'!E24</f>
        <v>0</v>
      </c>
      <c r="D43" s="141">
        <f>'Table 1a'!C24</f>
        <v>0</v>
      </c>
      <c r="E43" s="141" t="s">
        <v>0</v>
      </c>
      <c r="F43" s="149">
        <f t="shared" si="0"/>
        <v>0</v>
      </c>
    </row>
    <row r="44" spans="2:6" x14ac:dyDescent="0.35">
      <c r="B44" s="16" t="s">
        <v>166</v>
      </c>
      <c r="C44" s="148">
        <f>'Table 1a'!E25+'Table 1b'!E25</f>
        <v>737</v>
      </c>
      <c r="D44" s="141">
        <f>'Table 1a'!C25</f>
        <v>1</v>
      </c>
      <c r="E44" s="141" t="s">
        <v>0</v>
      </c>
      <c r="F44" s="149">
        <f t="shared" si="0"/>
        <v>737</v>
      </c>
    </row>
    <row r="45" spans="2:6" x14ac:dyDescent="0.35">
      <c r="B45" s="16" t="s">
        <v>167</v>
      </c>
      <c r="C45" s="148">
        <f>'Table 1a'!E26+'Table 1b'!E26</f>
        <v>0</v>
      </c>
      <c r="D45" s="141">
        <f>'Table 1a'!C26</f>
        <v>1</v>
      </c>
      <c r="E45" s="141" t="s">
        <v>0</v>
      </c>
      <c r="F45" s="149">
        <f t="shared" si="0"/>
        <v>0</v>
      </c>
    </row>
    <row r="46" spans="2:6" x14ac:dyDescent="0.35">
      <c r="B46" s="16" t="s">
        <v>168</v>
      </c>
      <c r="C46" s="148">
        <f>'Table 1a'!E27+'Table 1b'!E27</f>
        <v>0</v>
      </c>
      <c r="D46" s="141">
        <f>'Table 1a'!C27</f>
        <v>1</v>
      </c>
      <c r="E46" s="141" t="s">
        <v>0</v>
      </c>
      <c r="F46" s="149">
        <f t="shared" si="0"/>
        <v>0</v>
      </c>
    </row>
    <row r="47" spans="2:6" x14ac:dyDescent="0.35">
      <c r="B47" s="16" t="s">
        <v>169</v>
      </c>
      <c r="C47" s="148">
        <f>'Table 1a'!E28+'Table 1b'!E28</f>
        <v>0</v>
      </c>
      <c r="D47" s="141">
        <f>'Table 1a'!C28</f>
        <v>1</v>
      </c>
      <c r="E47" s="141" t="s">
        <v>0</v>
      </c>
      <c r="F47" s="149">
        <f t="shared" si="0"/>
        <v>0</v>
      </c>
    </row>
    <row r="48" spans="2:6" ht="26" x14ac:dyDescent="0.35">
      <c r="B48" s="16" t="s">
        <v>170</v>
      </c>
      <c r="C48" s="148">
        <f>'Table 1a'!E29+'Table 1b'!E29</f>
        <v>0</v>
      </c>
      <c r="D48" s="141">
        <f>'Table 1a'!C29</f>
        <v>1</v>
      </c>
      <c r="E48" s="141" t="s">
        <v>0</v>
      </c>
      <c r="F48" s="149">
        <f t="shared" si="0"/>
        <v>0</v>
      </c>
    </row>
    <row r="49" spans="2:6" ht="26" x14ac:dyDescent="0.35">
      <c r="B49" s="16" t="s">
        <v>213</v>
      </c>
      <c r="C49" s="148">
        <f>'Table 1a'!E30+'Table 1b'!E30</f>
        <v>289</v>
      </c>
      <c r="D49" s="141">
        <f>'Table 1a'!C30</f>
        <v>1</v>
      </c>
      <c r="E49" s="141" t="s">
        <v>0</v>
      </c>
      <c r="F49" s="149">
        <f t="shared" si="0"/>
        <v>289</v>
      </c>
    </row>
    <row r="50" spans="2:6" x14ac:dyDescent="0.35">
      <c r="B50" s="191"/>
      <c r="C50" s="191"/>
      <c r="D50" s="191"/>
      <c r="E50" s="5" t="s">
        <v>17</v>
      </c>
      <c r="F50" s="36">
        <f>SUM(F31:F49)</f>
        <v>1026</v>
      </c>
    </row>
    <row r="51" spans="2:6" x14ac:dyDescent="0.35">
      <c r="B51" s="1"/>
      <c r="C51" s="1"/>
      <c r="D51" s="1"/>
      <c r="E51" s="1"/>
      <c r="F51" s="1"/>
    </row>
    <row r="52" spans="2:6" x14ac:dyDescent="0.35">
      <c r="B52" s="1"/>
      <c r="C52" s="1"/>
      <c r="D52" s="1"/>
      <c r="E52" s="29" t="s">
        <v>18</v>
      </c>
      <c r="F52" s="30">
        <f>('Table 1a'!F45+'Table 1b'!F45)/F50</f>
        <v>34.600389863547761</v>
      </c>
    </row>
  </sheetData>
  <mergeCells count="10">
    <mergeCell ref="B28:F28"/>
    <mergeCell ref="B50:D50"/>
    <mergeCell ref="B3:H3"/>
    <mergeCell ref="B24:G24"/>
    <mergeCell ref="B25:G25"/>
    <mergeCell ref="B22:G22"/>
    <mergeCell ref="B13:G13"/>
    <mergeCell ref="C14:D14"/>
    <mergeCell ref="F14:G14"/>
    <mergeCell ref="B23:G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1a</vt:lpstr>
      <vt:lpstr>Table 1b</vt:lpstr>
      <vt:lpstr>Table 1c</vt:lpstr>
      <vt:lpstr>Table 2</vt:lpstr>
      <vt:lpstr>Capital and O&amp;M Costs</vt:lpstr>
      <vt:lpstr>'Table 1a'!Print_Area</vt:lpstr>
      <vt:lpstr>'Table 1b'!Print_Area</vt:lpstr>
      <vt:lpstr>'Table 2'!Print_Area</vt:lpstr>
      <vt:lpstr>'Table 1a'!Print_Titles</vt:lpstr>
      <vt:lpstr>'Table 1b'!Print_Titles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AHou</dc:creator>
  <cp:lastModifiedBy>Wrigley, William</cp:lastModifiedBy>
  <dcterms:created xsi:type="dcterms:W3CDTF">2015-05-06T20:41:45Z</dcterms:created>
  <dcterms:modified xsi:type="dcterms:W3CDTF">2021-07-16T19:54:19Z</dcterms:modified>
</cp:coreProperties>
</file>