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1C3300A-93B8-42F7-9B26-731A8FAF1A75}"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definedNames>
    <definedName name="_xlnm.Print_Area" localSheetId="2">'O&amp;M'!$A$9:$E$39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2" l="1"/>
  <c r="K132" i="1"/>
  <c r="K129" i="1"/>
  <c r="K82" i="1"/>
  <c r="F82" i="1"/>
  <c r="F130" i="1" s="1"/>
  <c r="F129" i="1" l="1"/>
  <c r="B33" i="3"/>
  <c r="C33" i="3"/>
  <c r="B34" i="3"/>
  <c r="C34" i="3"/>
  <c r="B35" i="3"/>
  <c r="C35" i="3"/>
  <c r="B29" i="3"/>
  <c r="C29" i="3"/>
  <c r="B30" i="3"/>
  <c r="C30" i="3"/>
  <c r="B31" i="3"/>
  <c r="C31" i="3"/>
  <c r="B32" i="3"/>
  <c r="C32" i="3"/>
  <c r="B27" i="3"/>
  <c r="C27" i="3"/>
  <c r="B28" i="3"/>
  <c r="C28" i="3"/>
  <c r="B25" i="3"/>
  <c r="C25" i="3"/>
  <c r="B26" i="3"/>
  <c r="C26" i="3"/>
  <c r="C22" i="3"/>
  <c r="E22" i="3" s="1"/>
  <c r="C24" i="3"/>
  <c r="B24" i="3"/>
  <c r="E19" i="3"/>
  <c r="E20" i="3"/>
  <c r="E21" i="3"/>
  <c r="C19" i="3"/>
  <c r="C20" i="3"/>
  <c r="C21" i="3"/>
  <c r="C15" i="3"/>
  <c r="C16" i="3"/>
  <c r="C17" i="3"/>
  <c r="C18" i="3"/>
  <c r="C13" i="3"/>
  <c r="C14" i="3"/>
  <c r="C12" i="3"/>
  <c r="B13" i="3"/>
  <c r="B14" i="3"/>
  <c r="B15" i="3"/>
  <c r="B16" i="3"/>
  <c r="B17" i="3"/>
  <c r="B18" i="3"/>
  <c r="B19" i="3"/>
  <c r="B20" i="3"/>
  <c r="B21" i="3"/>
  <c r="B22" i="3"/>
  <c r="B12" i="3"/>
  <c r="G67" i="3" l="1"/>
  <c r="Q7" i="1"/>
  <c r="N7" i="1"/>
  <c r="M7" i="1"/>
  <c r="E3" i="3" l="1"/>
  <c r="P7" i="1"/>
  <c r="O7" i="1"/>
  <c r="F77" i="3" l="1"/>
  <c r="G62" i="3"/>
  <c r="D21" i="2"/>
  <c r="E48" i="1"/>
  <c r="E49" i="1"/>
  <c r="E47" i="1"/>
  <c r="G51" i="3"/>
  <c r="E54" i="3"/>
  <c r="M14" i="3"/>
  <c r="L15" i="3"/>
  <c r="L16" i="3" s="1"/>
  <c r="L17" i="3" s="1"/>
  <c r="I15" i="3"/>
  <c r="I16" i="3" s="1"/>
  <c r="I17" i="3" l="1"/>
  <c r="M16" i="3"/>
  <c r="M15" i="3"/>
  <c r="G52" i="3"/>
  <c r="G53" i="3"/>
  <c r="M17" i="3" l="1"/>
  <c r="G54" i="3"/>
  <c r="J71" i="3" s="1"/>
  <c r="D76" i="3"/>
  <c r="D75" i="3"/>
  <c r="B76" i="3"/>
  <c r="E76" i="3" s="1"/>
  <c r="G76" i="3" s="1"/>
  <c r="B75" i="3"/>
  <c r="E75" i="3" s="1"/>
  <c r="G75" i="3" s="1"/>
  <c r="D53" i="3"/>
  <c r="D52" i="3"/>
  <c r="D51" i="3"/>
  <c r="G77" i="3" l="1"/>
  <c r="J73" i="3" s="1"/>
  <c r="E51" i="1"/>
  <c r="E52" i="1" s="1"/>
  <c r="E21" i="1"/>
  <c r="E69" i="1"/>
  <c r="E16" i="1"/>
  <c r="E9" i="1"/>
  <c r="E16" i="2" s="1"/>
  <c r="F3" i="3"/>
  <c r="G3" i="3" s="1"/>
  <c r="G4" i="3" s="1"/>
  <c r="J70" i="3" s="1"/>
  <c r="E40" i="1"/>
  <c r="C36" i="3"/>
  <c r="A35" i="3"/>
  <c r="G63" i="3"/>
  <c r="G64" i="3"/>
  <c r="G65" i="3"/>
  <c r="G66" i="3"/>
  <c r="G68" i="3"/>
  <c r="D63" i="3"/>
  <c r="D64" i="3"/>
  <c r="D65" i="3"/>
  <c r="D66" i="3"/>
  <c r="D67" i="3"/>
  <c r="D68" i="3"/>
  <c r="D69" i="3"/>
  <c r="D62" i="3"/>
  <c r="E19" i="1" l="1"/>
  <c r="E18" i="1"/>
  <c r="E17" i="1"/>
  <c r="E70" i="1"/>
  <c r="E71" i="1" s="1"/>
  <c r="E72" i="1" s="1"/>
  <c r="E73" i="1" s="1"/>
  <c r="E18" i="2"/>
  <c r="E41" i="1"/>
  <c r="E43" i="1"/>
  <c r="E45" i="1" s="1"/>
  <c r="E97" i="1"/>
  <c r="E108" i="1" s="1"/>
  <c r="E128" i="1" s="1"/>
  <c r="G69" i="3"/>
  <c r="J72" i="3" s="1"/>
  <c r="J74" i="3" s="1"/>
  <c r="E24" i="3"/>
  <c r="E25" i="3"/>
  <c r="E26" i="3"/>
  <c r="E27" i="3"/>
  <c r="E13" i="3"/>
  <c r="E14" i="3"/>
  <c r="E15" i="3"/>
  <c r="E16" i="3"/>
  <c r="E17" i="3"/>
  <c r="E12" i="3"/>
  <c r="D81" i="1"/>
  <c r="E19" i="2"/>
  <c r="E15" i="2"/>
  <c r="E14" i="2"/>
  <c r="E13" i="2"/>
  <c r="C11" i="2"/>
  <c r="C10" i="2"/>
  <c r="C6" i="2"/>
  <c r="E44" i="1" l="1"/>
  <c r="E98" i="1"/>
  <c r="E21" i="2"/>
  <c r="F21" i="2" s="1"/>
  <c r="E74" i="1"/>
  <c r="E20" i="2"/>
  <c r="D54" i="3"/>
  <c r="K131" i="1"/>
  <c r="C108" i="1"/>
  <c r="C107" i="1"/>
  <c r="C103" i="1"/>
  <c r="C94" i="1"/>
  <c r="C95" i="1"/>
  <c r="C90" i="1"/>
  <c r="C91" i="1"/>
  <c r="C93" i="1"/>
  <c r="C89" i="1"/>
  <c r="F67" i="1"/>
  <c r="I67" i="1" s="1"/>
  <c r="F66" i="1"/>
  <c r="J66" i="1" s="1"/>
  <c r="F65" i="1"/>
  <c r="I65" i="1" s="1"/>
  <c r="C58" i="1"/>
  <c r="C8" i="2" s="1"/>
  <c r="C59" i="1"/>
  <c r="C9" i="2" s="1"/>
  <c r="C57" i="1"/>
  <c r="C7" i="2" s="1"/>
  <c r="E35" i="1"/>
  <c r="C36" i="1"/>
  <c r="C37" i="1"/>
  <c r="C38" i="1"/>
  <c r="C35" i="1"/>
  <c r="H21" i="2" l="1"/>
  <c r="G21" i="2"/>
  <c r="I21" i="2"/>
  <c r="E75" i="1"/>
  <c r="E22" i="2"/>
  <c r="C61" i="1"/>
  <c r="J67" i="1"/>
  <c r="K67" i="1" s="1"/>
  <c r="J65" i="1"/>
  <c r="K65" i="1" s="1"/>
  <c r="I66" i="1"/>
  <c r="K66" i="1" s="1"/>
  <c r="C30" i="1"/>
  <c r="C31" i="1"/>
  <c r="C29" i="1"/>
  <c r="E76" i="1" l="1"/>
  <c r="E110" i="1"/>
  <c r="E23" i="2"/>
  <c r="E29" i="3" s="1"/>
  <c r="C12" i="2"/>
  <c r="E18" i="3"/>
  <c r="C101" i="1"/>
  <c r="C105" i="1"/>
  <c r="C102" i="1"/>
  <c r="C106" i="1"/>
  <c r="E77" i="1" l="1"/>
  <c r="E24" i="2"/>
  <c r="E30" i="3" s="1"/>
  <c r="D26" i="1"/>
  <c r="D25" i="1"/>
  <c r="E78" i="1" l="1"/>
  <c r="E25" i="2"/>
  <c r="E31" i="3" s="1"/>
  <c r="E22" i="1"/>
  <c r="E93" i="1" s="1"/>
  <c r="E105" i="1" s="1"/>
  <c r="E125" i="1" s="1"/>
  <c r="E89" i="1"/>
  <c r="E90" i="1"/>
  <c r="E29" i="1"/>
  <c r="E28" i="3"/>
  <c r="E79" i="1" l="1"/>
  <c r="E26" i="2"/>
  <c r="E32" i="3" s="1"/>
  <c r="E59" i="1"/>
  <c r="E9" i="2" s="1"/>
  <c r="E91" i="1"/>
  <c r="E31" i="1"/>
  <c r="E58" i="1"/>
  <c r="E8" i="2" s="1"/>
  <c r="E30" i="1"/>
  <c r="E101" i="1" s="1"/>
  <c r="E120" i="1" s="1"/>
  <c r="E57" i="1"/>
  <c r="E23" i="1"/>
  <c r="E36" i="1"/>
  <c r="D116" i="1"/>
  <c r="D115" i="1"/>
  <c r="D114" i="1"/>
  <c r="D113" i="1"/>
  <c r="D112" i="1"/>
  <c r="D111" i="1"/>
  <c r="D7" i="1"/>
  <c r="F7" i="1" s="1"/>
  <c r="D47" i="1"/>
  <c r="D48" i="1"/>
  <c r="D49" i="1"/>
  <c r="D50" i="1"/>
  <c r="D52" i="1"/>
  <c r="D75" i="1"/>
  <c r="D76" i="1"/>
  <c r="D77" i="1"/>
  <c r="D78" i="1"/>
  <c r="D79" i="1"/>
  <c r="D80" i="1"/>
  <c r="D9" i="1"/>
  <c r="F9" i="1" s="1"/>
  <c r="I9" i="1" s="1"/>
  <c r="D31" i="2"/>
  <c r="D29" i="2"/>
  <c r="D28" i="2"/>
  <c r="D27" i="2"/>
  <c r="D26" i="2"/>
  <c r="F26" i="2" s="1"/>
  <c r="D25" i="2"/>
  <c r="F25" i="2" s="1"/>
  <c r="D24" i="2"/>
  <c r="F24" i="2" s="1"/>
  <c r="G24" i="2" s="1"/>
  <c r="D23" i="2"/>
  <c r="F23" i="2" s="1"/>
  <c r="H23" i="2" s="1"/>
  <c r="D16" i="2"/>
  <c r="F16" i="2" s="1"/>
  <c r="D15" i="2"/>
  <c r="F15" i="2" s="1"/>
  <c r="D14" i="2"/>
  <c r="F14" i="2" s="1"/>
  <c r="D13" i="2"/>
  <c r="F13" i="2" s="1"/>
  <c r="E80" i="1" l="1"/>
  <c r="E28" i="2" s="1"/>
  <c r="E34" i="3" s="1"/>
  <c r="E81" i="1"/>
  <c r="E27" i="2"/>
  <c r="E33" i="3" s="1"/>
  <c r="E7" i="2"/>
  <c r="E60" i="1"/>
  <c r="E32" i="1"/>
  <c r="E102" i="1"/>
  <c r="E121" i="1" s="1"/>
  <c r="E24" i="1"/>
  <c r="E95" i="1" s="1"/>
  <c r="E107" i="1" s="1"/>
  <c r="E127" i="1" s="1"/>
  <c r="E94" i="1"/>
  <c r="E106" i="1" s="1"/>
  <c r="E126" i="1" s="1"/>
  <c r="G23" i="2"/>
  <c r="I23" i="2" s="1"/>
  <c r="E37" i="1"/>
  <c r="J9" i="1"/>
  <c r="K9" i="1" s="1"/>
  <c r="H25" i="2"/>
  <c r="G25" i="2"/>
  <c r="H24" i="2"/>
  <c r="G26" i="2"/>
  <c r="H26" i="2"/>
  <c r="G16" i="2"/>
  <c r="H16" i="2"/>
  <c r="H13" i="2"/>
  <c r="G13" i="2"/>
  <c r="G15" i="2"/>
  <c r="H15" i="2"/>
  <c r="H14" i="2"/>
  <c r="G14" i="2"/>
  <c r="E117" i="1"/>
  <c r="E111" i="1"/>
  <c r="F111" i="1" s="1"/>
  <c r="F110" i="1"/>
  <c r="J110" i="1" s="1"/>
  <c r="F128" i="1"/>
  <c r="F80" i="1"/>
  <c r="F79" i="1"/>
  <c r="J79" i="1" s="1"/>
  <c r="F78" i="1"/>
  <c r="I78" i="1" s="1"/>
  <c r="F77" i="1"/>
  <c r="J77" i="1" s="1"/>
  <c r="F76" i="1"/>
  <c r="I76" i="1" s="1"/>
  <c r="F75" i="1"/>
  <c r="J75" i="1" s="1"/>
  <c r="E29" i="2" l="1"/>
  <c r="F81" i="1"/>
  <c r="F27" i="2"/>
  <c r="F28" i="2"/>
  <c r="F117" i="1"/>
  <c r="J117" i="1" s="1"/>
  <c r="E31" i="2"/>
  <c r="E61" i="1"/>
  <c r="E10" i="2"/>
  <c r="E25" i="1"/>
  <c r="E26" i="1" s="1"/>
  <c r="F26" i="1" s="1"/>
  <c r="J26" i="1" s="1"/>
  <c r="E38" i="1"/>
  <c r="I14" i="2"/>
  <c r="I13" i="2"/>
  <c r="E33" i="1"/>
  <c r="E11" i="2"/>
  <c r="E103" i="1"/>
  <c r="E122" i="1" s="1"/>
  <c r="I26" i="2"/>
  <c r="I80" i="1"/>
  <c r="I25" i="2"/>
  <c r="I16" i="2"/>
  <c r="I15" i="2"/>
  <c r="I110" i="1"/>
  <c r="K110" i="1" s="1"/>
  <c r="E112" i="1"/>
  <c r="E113" i="1" s="1"/>
  <c r="F113" i="1" s="1"/>
  <c r="I24" i="2"/>
  <c r="J111" i="1"/>
  <c r="I111" i="1"/>
  <c r="J78" i="1"/>
  <c r="K78" i="1" s="1"/>
  <c r="J80" i="1"/>
  <c r="J76" i="1"/>
  <c r="K76" i="1" s="1"/>
  <c r="I128" i="1"/>
  <c r="J128" i="1"/>
  <c r="I75" i="1"/>
  <c r="I77" i="1"/>
  <c r="K77" i="1" s="1"/>
  <c r="I79" i="1"/>
  <c r="K79" i="1" s="1"/>
  <c r="F52" i="1"/>
  <c r="I52" i="1" s="1"/>
  <c r="F51" i="1"/>
  <c r="J51" i="1" s="1"/>
  <c r="F50" i="1"/>
  <c r="I50" i="1" s="1"/>
  <c r="F49" i="1"/>
  <c r="J49" i="1" s="1"/>
  <c r="F48" i="1"/>
  <c r="I48" i="1" s="1"/>
  <c r="F47" i="1"/>
  <c r="J47" i="1" s="1"/>
  <c r="F8" i="1"/>
  <c r="I8" i="1" s="1"/>
  <c r="J7" i="1"/>
  <c r="H28" i="2" l="1"/>
  <c r="G28" i="2"/>
  <c r="I28" i="2" s="1"/>
  <c r="H27" i="2"/>
  <c r="G27" i="2"/>
  <c r="I27" i="2"/>
  <c r="I81" i="1"/>
  <c r="J81" i="1"/>
  <c r="K81" i="1" s="1"/>
  <c r="E35" i="3"/>
  <c r="F29" i="2"/>
  <c r="I117" i="1"/>
  <c r="K117" i="1" s="1"/>
  <c r="B36" i="3"/>
  <c r="E36" i="3" s="1"/>
  <c r="F31" i="2"/>
  <c r="E62" i="1"/>
  <c r="E6" i="2" s="1"/>
  <c r="E12" i="2"/>
  <c r="I26" i="1"/>
  <c r="K26" i="1" s="1"/>
  <c r="K80" i="1"/>
  <c r="E114" i="1"/>
  <c r="F114" i="1" s="1"/>
  <c r="K128" i="1"/>
  <c r="F112" i="1"/>
  <c r="J112" i="1" s="1"/>
  <c r="K111" i="1"/>
  <c r="I113" i="1"/>
  <c r="J113" i="1"/>
  <c r="K75" i="1"/>
  <c r="J52" i="1"/>
  <c r="K52" i="1" s="1"/>
  <c r="J48" i="1"/>
  <c r="K48" i="1" s="1"/>
  <c r="J8" i="1"/>
  <c r="K8" i="1" s="1"/>
  <c r="J50" i="1"/>
  <c r="K50" i="1" s="1"/>
  <c r="I47" i="1"/>
  <c r="K47" i="1" s="1"/>
  <c r="I49" i="1"/>
  <c r="K49" i="1" s="1"/>
  <c r="I51" i="1"/>
  <c r="K51" i="1" s="1"/>
  <c r="I7" i="1"/>
  <c r="K7" i="1" s="1"/>
  <c r="E37" i="3" l="1"/>
  <c r="G29" i="2"/>
  <c r="H29" i="2"/>
  <c r="I29" i="2"/>
  <c r="G31" i="2"/>
  <c r="H31" i="2"/>
  <c r="E115" i="1"/>
  <c r="E116" i="1" s="1"/>
  <c r="F116" i="1" s="1"/>
  <c r="I112" i="1"/>
  <c r="K112" i="1" s="1"/>
  <c r="K113" i="1"/>
  <c r="J114" i="1"/>
  <c r="I114" i="1"/>
  <c r="D77" i="3"/>
  <c r="I31" i="2" l="1"/>
  <c r="F115" i="1"/>
  <c r="I115" i="1" s="1"/>
  <c r="K114" i="1"/>
  <c r="J116" i="1"/>
  <c r="I116" i="1"/>
  <c r="J115" i="1" l="1"/>
  <c r="K115" i="1" s="1"/>
  <c r="K116" i="1"/>
  <c r="D22" i="2"/>
  <c r="F22" i="2" s="1"/>
  <c r="D20" i="2"/>
  <c r="F20" i="2" s="1"/>
  <c r="D19" i="2"/>
  <c r="F19" i="2" s="1"/>
  <c r="D18" i="2"/>
  <c r="F18" i="2" s="1"/>
  <c r="G18" i="2" s="1"/>
  <c r="D12" i="2"/>
  <c r="F12" i="2" s="1"/>
  <c r="D11" i="2"/>
  <c r="F11" i="2" s="1"/>
  <c r="D10" i="2"/>
  <c r="F10" i="2" s="1"/>
  <c r="H10" i="2" s="1"/>
  <c r="D9" i="2"/>
  <c r="F9" i="2" s="1"/>
  <c r="G9" i="2" s="1"/>
  <c r="D8" i="2"/>
  <c r="F8" i="2" s="1"/>
  <c r="D7" i="2"/>
  <c r="F7" i="2" s="1"/>
  <c r="D6" i="2"/>
  <c r="F6" i="2" s="1"/>
  <c r="D127" i="1"/>
  <c r="F127" i="1" s="1"/>
  <c r="D126" i="1"/>
  <c r="F126" i="1" s="1"/>
  <c r="J126" i="1" s="1"/>
  <c r="D125" i="1"/>
  <c r="F125" i="1" s="1"/>
  <c r="J125" i="1" s="1"/>
  <c r="D122" i="1"/>
  <c r="F122" i="1" s="1"/>
  <c r="I122" i="1" s="1"/>
  <c r="D121" i="1"/>
  <c r="F121" i="1" s="1"/>
  <c r="I121" i="1" s="1"/>
  <c r="D120" i="1"/>
  <c r="F120" i="1" s="1"/>
  <c r="D108" i="1"/>
  <c r="F108" i="1" s="1"/>
  <c r="D107" i="1"/>
  <c r="F107" i="1" s="1"/>
  <c r="I107" i="1" s="1"/>
  <c r="D106" i="1"/>
  <c r="F106" i="1" s="1"/>
  <c r="I106" i="1" s="1"/>
  <c r="D105" i="1"/>
  <c r="F105" i="1" s="1"/>
  <c r="I105" i="1" s="1"/>
  <c r="D103" i="1"/>
  <c r="F103" i="1" s="1"/>
  <c r="I103" i="1" s="1"/>
  <c r="D102" i="1"/>
  <c r="F102" i="1" s="1"/>
  <c r="D101" i="1"/>
  <c r="F101" i="1" s="1"/>
  <c r="J101" i="1" s="1"/>
  <c r="D98" i="1"/>
  <c r="H98" i="1" s="1"/>
  <c r="K98" i="1" s="1"/>
  <c r="D97" i="1"/>
  <c r="F97" i="1" s="1"/>
  <c r="K97" i="1" s="1"/>
  <c r="D95" i="1"/>
  <c r="F95" i="1" s="1"/>
  <c r="D94" i="1"/>
  <c r="F94" i="1" s="1"/>
  <c r="D93" i="1"/>
  <c r="F93" i="1" s="1"/>
  <c r="J93" i="1" s="1"/>
  <c r="D91" i="1"/>
  <c r="F91" i="1" s="1"/>
  <c r="J91" i="1" s="1"/>
  <c r="D90" i="1"/>
  <c r="F90" i="1" s="1"/>
  <c r="J90" i="1" s="1"/>
  <c r="D89" i="1"/>
  <c r="F89" i="1" s="1"/>
  <c r="D74" i="1"/>
  <c r="F74" i="1" s="1"/>
  <c r="D73" i="1"/>
  <c r="F73" i="1" s="1"/>
  <c r="J73" i="1" s="1"/>
  <c r="D72" i="1"/>
  <c r="F72" i="1" s="1"/>
  <c r="D71" i="1"/>
  <c r="F71" i="1" s="1"/>
  <c r="D70" i="1"/>
  <c r="F70" i="1" s="1"/>
  <c r="D69" i="1"/>
  <c r="F69" i="1" s="1"/>
  <c r="D62" i="1"/>
  <c r="F62" i="1" s="1"/>
  <c r="J62" i="1" s="1"/>
  <c r="D61" i="1"/>
  <c r="F61" i="1" s="1"/>
  <c r="D60" i="1"/>
  <c r="F60" i="1" s="1"/>
  <c r="D59" i="1"/>
  <c r="F59" i="1" s="1"/>
  <c r="D58" i="1"/>
  <c r="F58" i="1" s="1"/>
  <c r="J58" i="1" s="1"/>
  <c r="D57" i="1"/>
  <c r="F57" i="1" s="1"/>
  <c r="D45" i="1"/>
  <c r="G45" i="1" s="1"/>
  <c r="K45" i="1" s="1"/>
  <c r="D44" i="1"/>
  <c r="H44" i="1" s="1"/>
  <c r="K44" i="1" s="1"/>
  <c r="D43" i="1"/>
  <c r="F43" i="1" s="1"/>
  <c r="K43" i="1" s="1"/>
  <c r="D41" i="1"/>
  <c r="H41" i="1" s="1"/>
  <c r="K41" i="1" s="1"/>
  <c r="D40" i="1"/>
  <c r="F40" i="1" s="1"/>
  <c r="K40" i="1" s="1"/>
  <c r="D38" i="1"/>
  <c r="F38" i="1" s="1"/>
  <c r="J38" i="1" s="1"/>
  <c r="D37" i="1"/>
  <c r="F37" i="1" s="1"/>
  <c r="J37" i="1" s="1"/>
  <c r="D36" i="1"/>
  <c r="F36" i="1" s="1"/>
  <c r="J36" i="1" s="1"/>
  <c r="D35" i="1"/>
  <c r="F35" i="1" s="1"/>
  <c r="J35" i="1" s="1"/>
  <c r="D33" i="1"/>
  <c r="F33" i="1" s="1"/>
  <c r="D32" i="1"/>
  <c r="F32" i="1" s="1"/>
  <c r="J32" i="1" s="1"/>
  <c r="D31" i="1"/>
  <c r="F31" i="1" s="1"/>
  <c r="J31" i="1" s="1"/>
  <c r="D30" i="1"/>
  <c r="F30" i="1" s="1"/>
  <c r="J30" i="1" s="1"/>
  <c r="D29" i="1"/>
  <c r="F29" i="1" s="1"/>
  <c r="J29" i="1" s="1"/>
  <c r="F25" i="1"/>
  <c r="I25" i="1" s="1"/>
  <c r="D24" i="1"/>
  <c r="F24" i="1" s="1"/>
  <c r="D23" i="1"/>
  <c r="F23" i="1" s="1"/>
  <c r="I23" i="1" s="1"/>
  <c r="D22" i="1"/>
  <c r="F22" i="1" s="1"/>
  <c r="I22" i="1" s="1"/>
  <c r="D21" i="1"/>
  <c r="F21" i="1" s="1"/>
  <c r="D19" i="1"/>
  <c r="F19" i="1" s="1"/>
  <c r="D18" i="1"/>
  <c r="F18" i="1" s="1"/>
  <c r="D17" i="1"/>
  <c r="F17" i="1" s="1"/>
  <c r="J17" i="1" s="1"/>
  <c r="D16" i="1"/>
  <c r="F16" i="1" s="1"/>
  <c r="J16" i="1" s="1"/>
  <c r="D12" i="1"/>
  <c r="F12" i="1" s="1"/>
  <c r="D11" i="1"/>
  <c r="F11" i="1" s="1"/>
  <c r="H19" i="2" l="1"/>
  <c r="G19" i="2"/>
  <c r="G10" i="2"/>
  <c r="I10" i="2" s="1"/>
  <c r="J24" i="1"/>
  <c r="I24" i="1"/>
  <c r="I70" i="1"/>
  <c r="J70" i="1"/>
  <c r="I127" i="1"/>
  <c r="J127" i="1"/>
  <c r="G7" i="2"/>
  <c r="H7" i="2"/>
  <c r="H20" i="2"/>
  <c r="G20" i="2"/>
  <c r="J57" i="1"/>
  <c r="I57" i="1"/>
  <c r="I71" i="1"/>
  <c r="J71" i="1"/>
  <c r="I94" i="1"/>
  <c r="J94" i="1"/>
  <c r="I72" i="1"/>
  <c r="J72" i="1"/>
  <c r="I95" i="1"/>
  <c r="J95" i="1"/>
  <c r="I12" i="1"/>
  <c r="J12" i="1"/>
  <c r="J108" i="1"/>
  <c r="I108" i="1"/>
  <c r="J60" i="1"/>
  <c r="I60" i="1"/>
  <c r="I74" i="1"/>
  <c r="J74" i="1"/>
  <c r="J120" i="1"/>
  <c r="I120" i="1"/>
  <c r="G11" i="2"/>
  <c r="H11" i="2"/>
  <c r="I102" i="1"/>
  <c r="J102" i="1"/>
  <c r="I11" i="1"/>
  <c r="J11" i="1"/>
  <c r="H6" i="2"/>
  <c r="G6" i="2"/>
  <c r="J18" i="1"/>
  <c r="I18" i="1"/>
  <c r="J59" i="1"/>
  <c r="I59" i="1"/>
  <c r="J19" i="1"/>
  <c r="I19" i="1"/>
  <c r="I21" i="1"/>
  <c r="J21" i="1"/>
  <c r="J61" i="1"/>
  <c r="I61" i="1"/>
  <c r="I16" i="1"/>
  <c r="K16" i="1" s="1"/>
  <c r="J69" i="1"/>
  <c r="J103" i="1"/>
  <c r="K103" i="1" s="1"/>
  <c r="J25" i="1"/>
  <c r="K25" i="1" s="1"/>
  <c r="J33" i="1"/>
  <c r="G8" i="2"/>
  <c r="H8" i="2"/>
  <c r="G12" i="2"/>
  <c r="H12" i="2"/>
  <c r="G22" i="2"/>
  <c r="H22" i="2"/>
  <c r="H9" i="2"/>
  <c r="I9" i="2" s="1"/>
  <c r="H18" i="2"/>
  <c r="I18" i="2" s="1"/>
  <c r="I33" i="1"/>
  <c r="I125" i="1"/>
  <c r="K125" i="1" s="1"/>
  <c r="I126" i="1"/>
  <c r="K126" i="1" s="1"/>
  <c r="J121" i="1"/>
  <c r="K121" i="1" s="1"/>
  <c r="J122" i="1"/>
  <c r="K122" i="1" s="1"/>
  <c r="J105" i="1"/>
  <c r="K105" i="1" s="1"/>
  <c r="J106" i="1"/>
  <c r="K106" i="1" s="1"/>
  <c r="J107" i="1"/>
  <c r="K107" i="1" s="1"/>
  <c r="I101" i="1"/>
  <c r="K101" i="1" s="1"/>
  <c r="I93" i="1"/>
  <c r="K93" i="1" s="1"/>
  <c r="I90" i="1"/>
  <c r="K90" i="1" s="1"/>
  <c r="I91" i="1"/>
  <c r="K91" i="1" s="1"/>
  <c r="I89" i="1"/>
  <c r="J89" i="1"/>
  <c r="I69" i="1"/>
  <c r="I73" i="1"/>
  <c r="K73" i="1" s="1"/>
  <c r="I58" i="1"/>
  <c r="K58" i="1" s="1"/>
  <c r="I62" i="1"/>
  <c r="K62" i="1" s="1"/>
  <c r="I36" i="1"/>
  <c r="K36" i="1" s="1"/>
  <c r="I37" i="1"/>
  <c r="K37" i="1" s="1"/>
  <c r="I38" i="1"/>
  <c r="K38" i="1" s="1"/>
  <c r="I35" i="1"/>
  <c r="K35" i="1" s="1"/>
  <c r="I31" i="1"/>
  <c r="K31" i="1" s="1"/>
  <c r="I32" i="1"/>
  <c r="K32" i="1" s="1"/>
  <c r="I29" i="1"/>
  <c r="K29" i="1" s="1"/>
  <c r="I30" i="1"/>
  <c r="K30" i="1" s="1"/>
  <c r="J22" i="1"/>
  <c r="K22" i="1" s="1"/>
  <c r="J23" i="1"/>
  <c r="K23" i="1" s="1"/>
  <c r="I17" i="1"/>
  <c r="K17" i="1" s="1"/>
  <c r="I19" i="2" l="1"/>
  <c r="I11" i="2"/>
  <c r="K94" i="1"/>
  <c r="I6" i="2"/>
  <c r="I20" i="2"/>
  <c r="I22" i="2"/>
  <c r="I8" i="2"/>
  <c r="I7" i="2"/>
  <c r="I12" i="2"/>
  <c r="K127" i="1"/>
  <c r="K74" i="1"/>
  <c r="K19" i="1"/>
  <c r="K69" i="1"/>
  <c r="K70" i="1"/>
  <c r="K108" i="1"/>
  <c r="K33" i="1"/>
  <c r="K102" i="1"/>
  <c r="K72" i="1"/>
  <c r="K21" i="1"/>
  <c r="K12" i="1"/>
  <c r="K24" i="1"/>
  <c r="K95" i="1"/>
  <c r="K60" i="1"/>
  <c r="K61" i="1"/>
  <c r="K18" i="1"/>
  <c r="K57" i="1"/>
  <c r="K59" i="1"/>
  <c r="K11" i="1"/>
  <c r="K120" i="1"/>
  <c r="K71" i="1"/>
  <c r="K89" i="1"/>
  <c r="M130" i="1" l="1"/>
  <c r="I32" i="2"/>
  <c r="K130" i="1" l="1"/>
</calcChain>
</file>

<file path=xl/sharedStrings.xml><?xml version="1.0" encoding="utf-8"?>
<sst xmlns="http://schemas.openxmlformats.org/spreadsheetml/2006/main" count="575" uniqueCount="318">
  <si>
    <t>(A)</t>
  </si>
  <si>
    <t>Person-hours per occurrence</t>
  </si>
  <si>
    <t>(B)</t>
  </si>
  <si>
    <t>No. of occurrences per respondent per year</t>
  </si>
  <si>
    <t>(C)</t>
  </si>
  <si>
    <t>(E)</t>
  </si>
  <si>
    <t>(F)</t>
  </si>
  <si>
    <t>(G)</t>
  </si>
  <si>
    <t>(H)</t>
  </si>
  <si>
    <t>(I)</t>
  </si>
  <si>
    <t>(J)</t>
  </si>
  <si>
    <t>1.  Applications</t>
  </si>
  <si>
    <t>N/A</t>
  </si>
  <si>
    <t>2.  Survey and studies</t>
  </si>
  <si>
    <t>Technical</t>
  </si>
  <si>
    <t>Management</t>
  </si>
  <si>
    <t>4.  Reporting requirements</t>
  </si>
  <si>
    <t>Initial:</t>
  </si>
  <si>
    <t xml:space="preserve">i.  General/applicability </t>
  </si>
  <si>
    <t xml:space="preserve">ii.  Storage vessels  </t>
  </si>
  <si>
    <t>iii.  Process units – LDAR</t>
  </si>
  <si>
    <t xml:space="preserve">iv.  Process vents    </t>
  </si>
  <si>
    <t>Periodic:</t>
  </si>
  <si>
    <t xml:space="preserve">iii.  Process units – LDAR </t>
  </si>
  <si>
    <t>v.  Heat exchange systems</t>
  </si>
  <si>
    <t>ii.  Storage vessels</t>
  </si>
  <si>
    <t>iv.  Process vents</t>
  </si>
  <si>
    <t>Plant operator</t>
  </si>
  <si>
    <t>C.  Create information</t>
  </si>
  <si>
    <t>See 4B</t>
  </si>
  <si>
    <t>D.  Gather existing information</t>
  </si>
  <si>
    <t>i.  Storage vessels</t>
  </si>
  <si>
    <t>ii.  Process units – LDAR</t>
  </si>
  <si>
    <t>iii.  Process vents</t>
  </si>
  <si>
    <t>iv.  Heat exchange systems</t>
  </si>
  <si>
    <t>Notification of storage vessel inspections</t>
  </si>
  <si>
    <t>5.  Recordkeeping requirements</t>
  </si>
  <si>
    <t>See 4A</t>
  </si>
  <si>
    <t>E.  Time to enter and transmit information</t>
  </si>
  <si>
    <t>Assumptions:</t>
  </si>
  <si>
    <t>N/A – Not Applicable</t>
  </si>
  <si>
    <t xml:space="preserve">(D) </t>
  </si>
  <si>
    <t>Person-hours per respondent per year
(C=AxB)</t>
  </si>
  <si>
    <t>Technical person-hours per year
(E=CxD)</t>
  </si>
  <si>
    <t>Installation, maintenance, and repair person-hours per year
(F=CxD)</t>
  </si>
  <si>
    <t>Plant operator person-hours per year
(G=CxD)</t>
  </si>
  <si>
    <t>Management person-hours per year
(Ex0.05)</t>
  </si>
  <si>
    <t>Clerical person hours per year
(Ex0.1)</t>
  </si>
  <si>
    <t>Activity</t>
  </si>
  <si>
    <t>EPA person-hours per occurrence</t>
  </si>
  <si>
    <t>No. of occurrences per plant per year</t>
  </si>
  <si>
    <t>(D)</t>
  </si>
  <si>
    <t>Notification of  compliance status – heat exchange systems</t>
  </si>
  <si>
    <t xml:space="preserve">Semiannual parameter exceedance reports  </t>
  </si>
  <si>
    <t>Semiannual compliance – LDAR reports</t>
  </si>
  <si>
    <t>e.  The notification of compliance status includes performance test results, as required by the general provisions.</t>
  </si>
  <si>
    <t>EPA person-hours per plant per year
(C=AxB)</t>
  </si>
  <si>
    <t>Clerical person-hours per year
(Ex0.1)</t>
  </si>
  <si>
    <t>A.  Read and understand rule requirements</t>
  </si>
  <si>
    <t>Capital vs. Operation and Maintenance (O&amp;M) Costs for Fenceline Monitoring</t>
  </si>
  <si>
    <t xml:space="preserve">Small </t>
  </si>
  <si>
    <t xml:space="preserve">Medium </t>
  </si>
  <si>
    <t xml:space="preserve">Large </t>
  </si>
  <si>
    <t xml:space="preserve">TOTAL </t>
  </si>
  <si>
    <t>Capital vs. Operation and Maintenance (O&amp;M) Costs for Flare Monitoring</t>
  </si>
  <si>
    <t xml:space="preserve">Calorimeter </t>
  </si>
  <si>
    <t xml:space="preserve">H2 Analyzer </t>
  </si>
  <si>
    <t xml:space="preserve">Steam Controls/Flow Monitor </t>
  </si>
  <si>
    <t xml:space="preserve">Air Controls/ Flow Monitor </t>
  </si>
  <si>
    <t xml:space="preserve">Engineering Calculation Costs </t>
  </si>
  <si>
    <t>Total Annual Responses</t>
  </si>
  <si>
    <t>Labor Rates</t>
  </si>
  <si>
    <t>Operator</t>
  </si>
  <si>
    <t>Maintenance</t>
  </si>
  <si>
    <t>Clerical</t>
  </si>
  <si>
    <t>Labor Rates:</t>
  </si>
  <si>
    <t xml:space="preserve">variable </t>
  </si>
  <si>
    <t xml:space="preserve">Flares </t>
  </si>
  <si>
    <t xml:space="preserve">Storage vessels, delayed cokers </t>
  </si>
  <si>
    <t xml:space="preserve">Relief valves, flares </t>
  </si>
  <si>
    <t xml:space="preserve">Notification of storage vessel inspection </t>
  </si>
  <si>
    <t xml:space="preserve">Storage vessels </t>
  </si>
  <si>
    <t xml:space="preserve">Relief valves </t>
  </si>
  <si>
    <t xml:space="preserve">Bypass lines </t>
  </si>
  <si>
    <t xml:space="preserve">Delayed cokers </t>
  </si>
  <si>
    <t xml:space="preserve">Maintenance Vents </t>
  </si>
  <si>
    <t xml:space="preserve">Fenceline monitoring </t>
  </si>
  <si>
    <t xml:space="preserve">Average Natural Gas (NG) Costs per Flare to Meet NHVcz Targets </t>
  </si>
  <si>
    <t xml:space="preserve">Steam Costs (Savings) per Flare for Steam Controls to Meet NHVcz Targets </t>
  </si>
  <si>
    <t>Estimating Capital and Operation and Maintenance Costs for the 2015 Amendments</t>
  </si>
  <si>
    <t>Capital vs. Operation and Maintenance (O&amp;M) Costs for Relief Valves</t>
  </si>
  <si>
    <t>Install Monitor on Relief Valves</t>
  </si>
  <si>
    <t>Relief Valves Requiring Additional Prevention Measures</t>
  </si>
  <si>
    <t>TOTAL</t>
  </si>
  <si>
    <t>Capital/Startup vs. Operation and Maintenance (O&amp;M) Costs</t>
  </si>
  <si>
    <t>(A)
Continuous Monitoring Device</t>
  </si>
  <si>
    <t>(B)
Capital/Startup Cost for One Respondent</t>
  </si>
  <si>
    <t>(C)
Number of New Respondents</t>
  </si>
  <si>
    <t>(D)
Total Capital/Startup Cost, (B X C)</t>
  </si>
  <si>
    <t>(E)
Annual O&amp;M Costs for One Respondent</t>
  </si>
  <si>
    <t>(F)
Number of Respondents with O&amp;M</t>
  </si>
  <si>
    <t>(G)
Total O&amp;M
(E x F)</t>
  </si>
  <si>
    <r>
      <t xml:space="preserve">Initial Notifications </t>
    </r>
    <r>
      <rPr>
        <vertAlign val="superscript"/>
        <sz val="10"/>
        <color theme="1"/>
        <rFont val="Times New Roman"/>
        <family val="1"/>
      </rPr>
      <t>a</t>
    </r>
    <r>
      <rPr>
        <sz val="10"/>
        <color theme="1"/>
        <rFont val="Times New Roman"/>
        <family val="1"/>
      </rPr>
      <t xml:space="preserve">: </t>
    </r>
  </si>
  <si>
    <r>
      <t xml:space="preserve">Notification of reconstruction process vents </t>
    </r>
    <r>
      <rPr>
        <vertAlign val="superscript"/>
        <sz val="10"/>
        <color theme="1"/>
        <rFont val="Times New Roman"/>
        <family val="1"/>
      </rPr>
      <t>b</t>
    </r>
  </si>
  <si>
    <t>Notification of compliance status – storage vessels</t>
  </si>
  <si>
    <t>Notification of compliance status – equipment leaks</t>
  </si>
  <si>
    <t>Notification of compliance status – process vents</t>
  </si>
  <si>
    <t>Notification of compliance status – heat exchange systems</t>
  </si>
  <si>
    <r>
      <t xml:space="preserve">Notification of performance test – process vent control devices </t>
    </r>
    <r>
      <rPr>
        <vertAlign val="superscript"/>
        <sz val="10"/>
        <color theme="1"/>
        <rFont val="Times New Roman"/>
        <family val="1"/>
      </rPr>
      <t>b</t>
    </r>
  </si>
  <si>
    <t>Periodic Reports:</t>
  </si>
  <si>
    <t xml:space="preserve">Semiannual parameter exceedance reports </t>
  </si>
  <si>
    <t>(A)
Information Collection Activity</t>
  </si>
  <si>
    <t>(B)
Number of Respondents</t>
  </si>
  <si>
    <t>(C)
Number of Responses</t>
  </si>
  <si>
    <t>(D)
Number of Existing Respondents That Keep Records But Do Not Submit Reports</t>
  </si>
  <si>
    <t>(E)
Total Annual Responses
E=(BxC)+D</t>
  </si>
  <si>
    <t xml:space="preserve">Semiannual reports – Storage </t>
  </si>
  <si>
    <t xml:space="preserve">Semiannual reports – Relief valves </t>
  </si>
  <si>
    <t xml:space="preserve">Semiannual reports – Bypass lines </t>
  </si>
  <si>
    <t xml:space="preserve">Semiannual reports – Delayed cokers </t>
  </si>
  <si>
    <t xml:space="preserve">Semiannual reports – Flares </t>
  </si>
  <si>
    <t xml:space="preserve">Semiannual reports - Maintenance Vents </t>
  </si>
  <si>
    <t xml:space="preserve">Maintenance Vents - &lt;72 lb/day </t>
  </si>
  <si>
    <t>Audit Record Review</t>
  </si>
  <si>
    <t xml:space="preserve">Quarterly report for fenceline monitoring </t>
  </si>
  <si>
    <t>Table 2.  Average Annual EPA Burden and Cost -NESHAP for Petroleum Refineries (40 CFR Part 63, Subpart CC) (Renewal)</t>
  </si>
  <si>
    <t>Table 1.  Annual Respondent Burden and Cost - NESHAP for Petroleum Refineries (40 CFR Part 63, Subpart CC) (Renewal)</t>
  </si>
  <si>
    <t xml:space="preserve">j.  We assume that each respondent will re-read the entire rule twice each year to re-familiarize with the applicability, monitoring, testing reporting and recordkeeping requirements for the equipment and process units. </t>
  </si>
  <si>
    <t xml:space="preserve">r.  This is a one-time requirement from the 2015 amendments. </t>
  </si>
  <si>
    <t>Subtotal for Reporting Requirements</t>
  </si>
  <si>
    <t>Subtotal for Recordkeeping Requirements</t>
  </si>
  <si>
    <t xml:space="preserve">ee. The fenceline monitoring reports are submitted quarterly. </t>
  </si>
  <si>
    <t>ll. These additional training costs are for affected facilities with new requirements added in the 2015 amendments.</t>
  </si>
  <si>
    <t>ii. These additional recordkeeping costs are for affected facilities with new requirements added in the 2015 amendments.</t>
  </si>
  <si>
    <t xml:space="preserve">dd. These additional semiannual compliance reporting costs are for affected facilities with new requirements added in the 2015 amendments to subpart CC. </t>
  </si>
  <si>
    <t>a.  We assume that no new refineries will become subject to this regulation.  New refineries will need to purchase and install LDAR equipment for heat exchange systems, including an FID analyzer and a portable air stripping column apparatus, for sample collection.  For each refinery, we estimate the total cost to be $116,870, assuming a capital discount rate of  7 percent, annual interest over 10 years, and that there will be no other capital costs associated with other affected units.</t>
  </si>
  <si>
    <t>b.  The O&amp;M cost assumes one mid-point calibration of sampling equipment prior to each sampling event.  For each refinery, we assume 0.25 technical labor hours per sampling event, 12 sampling events per refinery per year, and 3 heat exchange systems per refinery.</t>
  </si>
  <si>
    <t>c. Totals have been rounded to 3 significant figures. Figures may not add exactly due to rounding.</t>
  </si>
  <si>
    <t>Note: Totals have been rounded to three significant figures.</t>
  </si>
  <si>
    <t xml:space="preserve">Semiannual compliance reports – LDAR </t>
  </si>
  <si>
    <t>Semiannual compliance reports – heat exchange system</t>
  </si>
  <si>
    <r>
      <t xml:space="preserve">c </t>
    </r>
    <r>
      <rPr>
        <sz val="10"/>
        <color theme="1"/>
        <rFont val="Times New Roman"/>
        <family val="1"/>
      </rPr>
      <t>Assume that one-third of refineries revise their flare management plan each year and submit the revised version to EPA for review.</t>
    </r>
  </si>
  <si>
    <r>
      <t xml:space="preserve">Total Labor Burden and Cost (rounded) </t>
    </r>
    <r>
      <rPr>
        <b/>
        <vertAlign val="superscript"/>
        <sz val="10"/>
        <rFont val="Times New Roman"/>
        <family val="1"/>
      </rPr>
      <t>mm</t>
    </r>
  </si>
  <si>
    <r>
      <t xml:space="preserve">Total Capital and O&amp;M Cost (rounded) </t>
    </r>
    <r>
      <rPr>
        <b/>
        <vertAlign val="superscript"/>
        <sz val="10"/>
        <rFont val="Times New Roman"/>
        <family val="1"/>
      </rPr>
      <t>mm</t>
    </r>
  </si>
  <si>
    <r>
      <t xml:space="preserve">Grand TOTAL (rounded) </t>
    </r>
    <r>
      <rPr>
        <b/>
        <vertAlign val="superscript"/>
        <sz val="10"/>
        <rFont val="Times New Roman"/>
        <family val="1"/>
      </rPr>
      <t>mm</t>
    </r>
  </si>
  <si>
    <t>b Assumed to be 10 percent of capital cost. EPA assumes that all refineries will use in-house labor to collect samples and would conduct sample analysis in-house.</t>
  </si>
  <si>
    <t xml:space="preserve">c.  The 2015 amendments included a one-time requirement for respondents to evaluate the prevention measures for affected pressure relief devices. </t>
  </si>
  <si>
    <t xml:space="preserve">f. Notification of compliance status is a one-time response required by the 2015 amendment. </t>
  </si>
  <si>
    <t>f.  The labor estimates are based on an EPA Maximum Achievable Control Technology (MACT) floor cost analysis, which estimates the planning burden for a single heat exchange system to be 32 hours for technical labor and 2 labor hours for management.</t>
  </si>
  <si>
    <t>g.  We assume that initial notifications and periodic reporting requirements for existing sources are accounted for in other existing NSPS and NESHAP regulations for equipment leaks, wastewater, storage tanks, and heat exchangers.  This ICR only addresses the additional industry burden associated with rule requirements for the compliance reports.</t>
  </si>
  <si>
    <t>h.  Only new respondents or respondents that reconstruct units must comply with initial monitoring, recordkeeping, and reporting requirements for existing units, including initial notifications; design analysis and establishment of operating parameters for storage vessels; LDAR  initial requirements; initial performance testing for process vents routed to a control device; heat exchanger requirements; and development of startup and malfunction plans and record systems for each unit.  We estimate that existing refineries will reconstruct 10 percent of their existing units (i.e., 12 storage vessels, 11 process units, 9 process vents, 3 heat exchange systems, or 3.8 flares per refinery).</t>
  </si>
  <si>
    <t>l.  We assume that 4 process vents per refinery are routed to control devices, and of which existing refineries will reconstruct 10 percent. We assume that 5 percent of respondents will have to repeat performance tests.</t>
  </si>
  <si>
    <t>m.  We assume all heat exchange systems at existing refineries are in compliance with the heat exchange system monitoring requirements promulgated in the 2009 rule amendment, but would need to meet the periodic requirements.  We estimate the labor burden for setup of portable air stripping column and sampling/analysis for one heat exchange system to be 1 hour for technical labor and 3 labor hours for an operator.  We assume there are 3 heat exchange systems per refinery, and that the event occurs 12 times per system per year, for a total of 36 occurrences per refinery per year.</t>
  </si>
  <si>
    <t>n.  We assume 2 events per year at each refinery, and estimate the labor burden for additional sampling and analysis triggered by leak monitoring to be 1 hour for technical labor and 3 labor hours for an operator.</t>
  </si>
  <si>
    <t>o.  We assume 2 events per year at each refinery, and estimate the labor burden to be 40 hours per repair.</t>
  </si>
  <si>
    <r>
      <t xml:space="preserve">q. These values are consistent with the </t>
    </r>
    <r>
      <rPr>
        <i/>
        <sz val="10"/>
        <rFont val="Times New Roman"/>
        <family val="1"/>
      </rPr>
      <t>Fenceline Monitoring Technical Support Document</t>
    </r>
    <r>
      <rPr>
        <sz val="10"/>
        <rFont val="Times New Roman"/>
        <family val="1"/>
      </rPr>
      <t xml:space="preserve">, located in Docket ID No. EPA-HQ-OAR-2010-0682. </t>
    </r>
  </si>
  <si>
    <t>t.  New and existing refineries must submit notifications of compliance status for new or reconstructed units affected by the standard.</t>
  </si>
  <si>
    <t xml:space="preserve">u. Notification of compliance status is a one-time response required by the 2015 amendment. </t>
  </si>
  <si>
    <t>v.  The rule requires that sources meet specific periodic requirements including: monitoring of storage vessels annually, LDAR monitoring of process units daily, monthly monitoring of process vents, recording of process parameters and monitoring results, and submittal of periodic semiannual compliance reports addressing each affected facility and performance test result.</t>
  </si>
  <si>
    <t>w.  Notifications related to construction/reconstruction and to periodic reporting for existing sources are accounted for in other existing NSPS and NESHAP regulations for equipment leaks, wastewater, storage tanks, and heat exchangers.</t>
  </si>
  <si>
    <t>x.  We assume 18 labor hours per occurrence, and that there will be 2 occurrences per refinery per year.</t>
  </si>
  <si>
    <t>y.  We assume 1 labor hour per occurrence, and that there will be 24 occurrences per respondent per year (12 Group 1 storage vessels/refinery x 2 occurrences/storage vessel/year).</t>
  </si>
  <si>
    <t>z.  We assume 3 labor hours per occurrence, and that there will be 2 occurrences per refinery per year.</t>
  </si>
  <si>
    <t>aa.  We assume 3 labor hours per occurrence, and that there will be 22 occurrences per respondent per year (11 process units/refinery x 2 occurrences/process unit/year).</t>
  </si>
  <si>
    <t>bb.  We assume 1.5 labor hours per occurrence, and that there will be 8 occurrences per respondent per year (4 process vents routed to control devices/refinery x 2 occurrences/process vent/year).</t>
  </si>
  <si>
    <t>cc.  We assume 2 labor hours per occurrence, and that there will be 6 occurrences per respondent per year (3 heat exchange systems/refinery x 2 occurrences/heat exchange system/year).</t>
  </si>
  <si>
    <t>ff.  We assume sources already have record systems in place to monitor existing operations.  The burden shown below reflects reconstructed units affected by the standard.</t>
  </si>
  <si>
    <t>gg.  We assume 12 occurrences per respondent per year and 24 labor hours per occurrence for recordkeeping requirements associated with heat exchange systems. The labor hours are divided equally between technical and plant operators.</t>
  </si>
  <si>
    <t>hh.  We have included the labor associated with recording and transmitting data to develop initial and semiannual reports.  We assume it takes respondents approximately  3.5 hours at each of the 12 Group 1storage vessels, 99 hours for equipment leaks at each of the 11 process units, 29 hours at each of the 4 process vents routed to control devices, and 1 hour at each of the 3 heat exchange systems.</t>
  </si>
  <si>
    <t>kk.  We assume annual training for heat exchange system requirements will require 2 labor hours per operator, and assume there are 10 operators per facility.</t>
  </si>
  <si>
    <r>
      <rPr>
        <sz val="10"/>
        <rFont val="Times New Roman"/>
        <family val="1"/>
      </rPr>
      <t>mm.</t>
    </r>
    <r>
      <rPr>
        <vertAlign val="superscript"/>
        <sz val="10"/>
        <rFont val="Times New Roman"/>
        <family val="1"/>
      </rPr>
      <t xml:space="preserve">  </t>
    </r>
    <r>
      <rPr>
        <sz val="10"/>
        <rFont val="Times New Roman"/>
        <family val="1"/>
      </rPr>
      <t xml:space="preserve">Totals have been rounded to 3 significant figures.  Figures may not add exactly due to rounding. </t>
    </r>
  </si>
  <si>
    <t>c.   Only new respondents or respondents that reconstruct units must comply with initial monitoring, recordkeeping and reporting requirements for existing units, including: initial notifications; the design analysis and establishment of operating parameters for storage vessels, LDAR  initial requirements, initial performance testing for process vents routed to a control device; heat exchanger requirements, and development of startup and malfunction plans and record systems for each unit.  We estimate that existing refineries will reconstruct 10 percent of their existing units.</t>
  </si>
  <si>
    <t>i. Assumes that 25% of the respondents will be audited over the 3-year period of the ICR.</t>
  </si>
  <si>
    <r>
      <rPr>
        <sz val="10"/>
        <rFont val="Times New Roman"/>
        <family val="1"/>
      </rPr>
      <t>j.</t>
    </r>
    <r>
      <rPr>
        <vertAlign val="superscript"/>
        <sz val="10"/>
        <rFont val="Times New Roman"/>
        <family val="1"/>
      </rPr>
      <t xml:space="preserve">  </t>
    </r>
    <r>
      <rPr>
        <sz val="10"/>
        <rFont val="Times New Roman"/>
        <family val="1"/>
      </rPr>
      <t xml:space="preserve">Totals have been rounded to 3 significant figures.  Figures may not add exactly due to rounding. </t>
    </r>
  </si>
  <si>
    <r>
      <t xml:space="preserve">Respondents per year </t>
    </r>
    <r>
      <rPr>
        <vertAlign val="superscript"/>
        <sz val="10"/>
        <rFont val="Times New Roman"/>
        <family val="1"/>
      </rPr>
      <t>a</t>
    </r>
  </si>
  <si>
    <r>
      <t>Cost</t>
    </r>
    <r>
      <rPr>
        <vertAlign val="superscript"/>
        <sz val="10"/>
        <rFont val="Times New Roman"/>
        <family val="1"/>
      </rPr>
      <t xml:space="preserve"> b </t>
    </r>
    <r>
      <rPr>
        <sz val="10"/>
        <rFont val="Times New Roman"/>
        <family val="1"/>
      </rPr>
      <t>$</t>
    </r>
  </si>
  <si>
    <r>
      <t xml:space="preserve">Process units -LDAR Evaluation of prevention measures </t>
    </r>
    <r>
      <rPr>
        <vertAlign val="superscript"/>
        <sz val="10"/>
        <rFont val="Times New Roman"/>
        <family val="1"/>
      </rPr>
      <t>c</t>
    </r>
  </si>
  <si>
    <r>
      <t xml:space="preserve">Initial Flare Management Plan </t>
    </r>
    <r>
      <rPr>
        <vertAlign val="superscript"/>
        <sz val="10"/>
        <rFont val="Times New Roman"/>
        <family val="1"/>
      </rPr>
      <t>d</t>
    </r>
  </si>
  <si>
    <r>
      <t xml:space="preserve">Update the Flare Management Plan </t>
    </r>
    <r>
      <rPr>
        <vertAlign val="superscript"/>
        <sz val="10"/>
        <rFont val="Times New Roman"/>
        <family val="1"/>
      </rPr>
      <t>e</t>
    </r>
  </si>
  <si>
    <r>
      <t xml:space="preserve">3.  Acquisition, installation, and utilization of technology and systems </t>
    </r>
    <r>
      <rPr>
        <vertAlign val="superscript"/>
        <sz val="10"/>
        <rFont val="Times New Roman"/>
        <family val="1"/>
      </rPr>
      <t>f</t>
    </r>
  </si>
  <si>
    <r>
      <t>A.  Familiarization with rule requirements</t>
    </r>
    <r>
      <rPr>
        <vertAlign val="superscript"/>
        <sz val="10"/>
        <rFont val="Times New Roman"/>
        <family val="1"/>
      </rPr>
      <t>g, h</t>
    </r>
  </si>
  <si>
    <r>
      <t xml:space="preserve">Initial:  </t>
    </r>
    <r>
      <rPr>
        <u/>
        <vertAlign val="superscript"/>
        <sz val="10"/>
        <rFont val="Times New Roman"/>
        <family val="1"/>
      </rPr>
      <t>i</t>
    </r>
  </si>
  <si>
    <r>
      <t xml:space="preserve">Periodic: </t>
    </r>
    <r>
      <rPr>
        <u/>
        <vertAlign val="superscript"/>
        <sz val="10"/>
        <rFont val="Times New Roman"/>
        <family val="1"/>
      </rPr>
      <t>j</t>
    </r>
  </si>
  <si>
    <r>
      <t xml:space="preserve">B.  Required activities </t>
    </r>
    <r>
      <rPr>
        <vertAlign val="superscript"/>
        <sz val="10"/>
        <rFont val="Times New Roman"/>
        <family val="1"/>
      </rPr>
      <t>g, h</t>
    </r>
  </si>
  <si>
    <r>
      <t xml:space="preserve">iv.  Process vents – initial performance test </t>
    </r>
    <r>
      <rPr>
        <vertAlign val="superscript"/>
        <sz val="10"/>
        <rFont val="Times New Roman"/>
        <family val="1"/>
      </rPr>
      <t>l</t>
    </r>
  </si>
  <si>
    <r>
      <t xml:space="preserve">v.  Process vents – repeat performance test </t>
    </r>
    <r>
      <rPr>
        <vertAlign val="superscript"/>
        <sz val="10"/>
        <rFont val="Times New Roman"/>
        <family val="1"/>
      </rPr>
      <t>l</t>
    </r>
  </si>
  <si>
    <r>
      <t xml:space="preserve">v.  Heat exchange systems – sampling analysis </t>
    </r>
    <r>
      <rPr>
        <vertAlign val="superscript"/>
        <sz val="10"/>
        <rFont val="Times New Roman"/>
        <family val="1"/>
      </rPr>
      <t>m</t>
    </r>
  </si>
  <si>
    <r>
      <t xml:space="preserve">vi.  Heat exchange systems – triggered monitoring of leak </t>
    </r>
    <r>
      <rPr>
        <vertAlign val="superscript"/>
        <sz val="10"/>
        <rFont val="Times New Roman"/>
        <family val="1"/>
      </rPr>
      <t>n</t>
    </r>
  </si>
  <si>
    <r>
      <t xml:space="preserve">vii.  Heat exchange systems – leak repair </t>
    </r>
    <r>
      <rPr>
        <vertAlign val="superscript"/>
        <sz val="10"/>
        <rFont val="Times New Roman"/>
        <family val="1"/>
      </rPr>
      <t>o</t>
    </r>
  </si>
  <si>
    <r>
      <t xml:space="preserve">Required Activities: </t>
    </r>
    <r>
      <rPr>
        <vertAlign val="superscript"/>
        <sz val="10"/>
        <rFont val="Times New Roman"/>
        <family val="1"/>
      </rPr>
      <t>p</t>
    </r>
  </si>
  <si>
    <r>
      <t xml:space="preserve">i.  Fenceline monitoring - small facility </t>
    </r>
    <r>
      <rPr>
        <vertAlign val="superscript"/>
        <sz val="10"/>
        <rFont val="Times New Roman"/>
        <family val="1"/>
      </rPr>
      <t xml:space="preserve">q </t>
    </r>
  </si>
  <si>
    <r>
      <t xml:space="preserve">ii.  Fenceline monitoring - medium facility </t>
    </r>
    <r>
      <rPr>
        <vertAlign val="superscript"/>
        <sz val="10"/>
        <rFont val="Times New Roman"/>
        <family val="1"/>
      </rPr>
      <t>q</t>
    </r>
    <r>
      <rPr>
        <sz val="10"/>
        <rFont val="Times New Roman"/>
        <family val="1"/>
      </rPr>
      <t xml:space="preserve"> </t>
    </r>
  </si>
  <si>
    <r>
      <t xml:space="preserve">iii.  Fenceline monitoring - large facility </t>
    </r>
    <r>
      <rPr>
        <vertAlign val="superscript"/>
        <sz val="10"/>
        <rFont val="Times New Roman"/>
        <family val="1"/>
      </rPr>
      <t>q</t>
    </r>
    <r>
      <rPr>
        <sz val="10"/>
        <rFont val="Times New Roman"/>
        <family val="1"/>
      </rPr>
      <t xml:space="preserve"> </t>
    </r>
  </si>
  <si>
    <r>
      <t xml:space="preserve">iv.  Develop alternative monitoring plan for fenceline monitoring </t>
    </r>
    <r>
      <rPr>
        <vertAlign val="superscript"/>
        <sz val="10"/>
        <rFont val="Times New Roman"/>
        <family val="1"/>
      </rPr>
      <t>r</t>
    </r>
  </si>
  <si>
    <r>
      <rPr>
        <sz val="10"/>
        <rFont val="Times New Roman"/>
        <family val="1"/>
      </rPr>
      <t>v.  Storage vessel inspections</t>
    </r>
    <r>
      <rPr>
        <vertAlign val="superscript"/>
        <sz val="10"/>
        <rFont val="Times New Roman"/>
        <family val="1"/>
      </rPr>
      <t xml:space="preserve"> s</t>
    </r>
  </si>
  <si>
    <r>
      <t xml:space="preserve">vi.  Flares </t>
    </r>
    <r>
      <rPr>
        <vertAlign val="superscript"/>
        <sz val="10"/>
        <rFont val="Times New Roman"/>
        <family val="1"/>
      </rPr>
      <t>s</t>
    </r>
  </si>
  <si>
    <r>
      <t xml:space="preserve">E.  Write report </t>
    </r>
    <r>
      <rPr>
        <vertAlign val="superscript"/>
        <sz val="10"/>
        <rFont val="Times New Roman"/>
        <family val="1"/>
      </rPr>
      <t>g, h</t>
    </r>
  </si>
  <si>
    <r>
      <t xml:space="preserve">Notification of compliance status </t>
    </r>
    <r>
      <rPr>
        <vertAlign val="superscript"/>
        <sz val="10"/>
        <rFont val="Times New Roman"/>
        <family val="1"/>
      </rPr>
      <t>t</t>
    </r>
  </si>
  <si>
    <r>
      <t xml:space="preserve">Notification of reconstruction – process vent control devices </t>
    </r>
    <r>
      <rPr>
        <vertAlign val="superscript"/>
        <sz val="10"/>
        <rFont val="Times New Roman"/>
        <family val="1"/>
      </rPr>
      <t>l</t>
    </r>
  </si>
  <si>
    <r>
      <t xml:space="preserve">Notification of performance tests </t>
    </r>
    <r>
      <rPr>
        <vertAlign val="superscript"/>
        <sz val="10"/>
        <rFont val="Times New Roman"/>
        <family val="1"/>
      </rPr>
      <t>g, h</t>
    </r>
  </si>
  <si>
    <r>
      <t xml:space="preserve">Notification of compliance status </t>
    </r>
    <r>
      <rPr>
        <vertAlign val="superscript"/>
        <sz val="10"/>
        <rFont val="Times New Roman"/>
        <family val="1"/>
      </rPr>
      <t>u</t>
    </r>
  </si>
  <si>
    <r>
      <t xml:space="preserve">Semiannual compliance reports </t>
    </r>
    <r>
      <rPr>
        <vertAlign val="superscript"/>
        <sz val="10"/>
        <rFont val="Times New Roman"/>
        <family val="1"/>
      </rPr>
      <t>v, w</t>
    </r>
  </si>
  <si>
    <r>
      <t xml:space="preserve">i.  General/applicability </t>
    </r>
    <r>
      <rPr>
        <vertAlign val="superscript"/>
        <sz val="10"/>
        <rFont val="Times New Roman"/>
        <family val="1"/>
      </rPr>
      <t>x</t>
    </r>
  </si>
  <si>
    <r>
      <t xml:space="preserve">ii.  Storage vessels </t>
    </r>
    <r>
      <rPr>
        <vertAlign val="superscript"/>
        <sz val="10"/>
        <rFont val="Times New Roman"/>
        <family val="1"/>
      </rPr>
      <t>y</t>
    </r>
  </si>
  <si>
    <r>
      <t xml:space="preserve">iii.  Storage vessels – seal gap failure </t>
    </r>
    <r>
      <rPr>
        <vertAlign val="superscript"/>
        <sz val="10"/>
        <rFont val="Times New Roman"/>
        <family val="1"/>
      </rPr>
      <t>z</t>
    </r>
  </si>
  <si>
    <r>
      <t xml:space="preserve">iv.  Process units – LDAR </t>
    </r>
    <r>
      <rPr>
        <vertAlign val="superscript"/>
        <sz val="10"/>
        <rFont val="Times New Roman"/>
        <family val="1"/>
      </rPr>
      <t>aa</t>
    </r>
  </si>
  <si>
    <r>
      <t xml:space="preserve">v.  Process vents </t>
    </r>
    <r>
      <rPr>
        <vertAlign val="superscript"/>
        <sz val="10"/>
        <rFont val="Times New Roman"/>
        <family val="1"/>
      </rPr>
      <t>bb</t>
    </r>
  </si>
  <si>
    <r>
      <t xml:space="preserve">vi.  Heat exchange systems </t>
    </r>
    <r>
      <rPr>
        <vertAlign val="superscript"/>
        <sz val="10"/>
        <rFont val="Times New Roman"/>
        <family val="1"/>
      </rPr>
      <t>cc</t>
    </r>
  </si>
  <si>
    <r>
      <t xml:space="preserve">vii.  Storage vessels </t>
    </r>
    <r>
      <rPr>
        <vertAlign val="superscript"/>
        <sz val="10"/>
        <rFont val="Times New Roman"/>
        <family val="1"/>
      </rPr>
      <t>dd</t>
    </r>
  </si>
  <si>
    <r>
      <t xml:space="preserve">viii.  Relief valves </t>
    </r>
    <r>
      <rPr>
        <vertAlign val="superscript"/>
        <sz val="10"/>
        <rFont val="Times New Roman"/>
        <family val="1"/>
      </rPr>
      <t>dd</t>
    </r>
  </si>
  <si>
    <r>
      <t xml:space="preserve">ix.  Bypass lines </t>
    </r>
    <r>
      <rPr>
        <vertAlign val="superscript"/>
        <sz val="10"/>
        <rFont val="Times New Roman"/>
        <family val="1"/>
      </rPr>
      <t>dd</t>
    </r>
  </si>
  <si>
    <r>
      <t xml:space="preserve">x.  Delayed cokers </t>
    </r>
    <r>
      <rPr>
        <vertAlign val="superscript"/>
        <sz val="10"/>
        <rFont val="Times New Roman"/>
        <family val="1"/>
      </rPr>
      <t>dd</t>
    </r>
  </si>
  <si>
    <r>
      <t xml:space="preserve">xi.  Flares </t>
    </r>
    <r>
      <rPr>
        <vertAlign val="superscript"/>
        <sz val="10"/>
        <rFont val="Times New Roman"/>
        <family val="1"/>
      </rPr>
      <t>dd</t>
    </r>
  </si>
  <si>
    <r>
      <t xml:space="preserve">xii.  Maintenance Vents </t>
    </r>
    <r>
      <rPr>
        <vertAlign val="superscript"/>
        <sz val="10"/>
        <rFont val="Times New Roman"/>
        <family val="1"/>
      </rPr>
      <t>dd</t>
    </r>
  </si>
  <si>
    <r>
      <t xml:space="preserve">Quarterly fenceline monitoring report </t>
    </r>
    <r>
      <rPr>
        <vertAlign val="superscript"/>
        <sz val="10"/>
        <rFont val="Times New Roman"/>
        <family val="1"/>
      </rPr>
      <t>ee</t>
    </r>
  </si>
  <si>
    <r>
      <t xml:space="preserve">B.  Plan activities </t>
    </r>
    <r>
      <rPr>
        <vertAlign val="superscript"/>
        <sz val="10"/>
        <rFont val="Times New Roman"/>
        <family val="1"/>
      </rPr>
      <t>g, h</t>
    </r>
  </si>
  <si>
    <r>
      <t xml:space="preserve">C.  Implement activities </t>
    </r>
    <r>
      <rPr>
        <vertAlign val="superscript"/>
        <sz val="10"/>
        <rFont val="Times New Roman"/>
        <family val="1"/>
      </rPr>
      <t>g, h</t>
    </r>
  </si>
  <si>
    <r>
      <t xml:space="preserve">D.  Develop record system </t>
    </r>
    <r>
      <rPr>
        <vertAlign val="superscript"/>
        <sz val="10"/>
        <rFont val="Times New Roman"/>
        <family val="1"/>
      </rPr>
      <t>ff</t>
    </r>
  </si>
  <si>
    <r>
      <t xml:space="preserve">iv.  Heat exchange systems </t>
    </r>
    <r>
      <rPr>
        <vertAlign val="superscript"/>
        <sz val="10"/>
        <rFont val="Times New Roman"/>
        <family val="1"/>
      </rPr>
      <t>gg</t>
    </r>
  </si>
  <si>
    <r>
      <t>Initial:</t>
    </r>
    <r>
      <rPr>
        <sz val="10"/>
        <rFont val="Times New Roman"/>
        <family val="1"/>
      </rPr>
      <t xml:space="preserve"> </t>
    </r>
    <r>
      <rPr>
        <vertAlign val="superscript"/>
        <sz val="10"/>
        <rFont val="Times New Roman"/>
        <family val="1"/>
      </rPr>
      <t>h</t>
    </r>
  </si>
  <si>
    <r>
      <t xml:space="preserve">iii.  Process vents </t>
    </r>
    <r>
      <rPr>
        <vertAlign val="superscript"/>
        <sz val="10"/>
        <rFont val="Times New Roman"/>
        <family val="1"/>
      </rPr>
      <t>l</t>
    </r>
  </si>
  <si>
    <r>
      <t>Periodic:</t>
    </r>
    <r>
      <rPr>
        <sz val="10"/>
        <rFont val="Times New Roman"/>
        <family val="1"/>
      </rPr>
      <t xml:space="preserve"> </t>
    </r>
    <r>
      <rPr>
        <vertAlign val="superscript"/>
        <sz val="10"/>
        <rFont val="Times New Roman"/>
        <family val="1"/>
      </rPr>
      <t>hh</t>
    </r>
  </si>
  <si>
    <r>
      <t xml:space="preserve">Time to enter information </t>
    </r>
    <r>
      <rPr>
        <vertAlign val="superscript"/>
        <sz val="10"/>
        <rFont val="Times New Roman"/>
        <family val="1"/>
      </rPr>
      <t>ii</t>
    </r>
  </si>
  <si>
    <r>
      <t xml:space="preserve">F.  Time to train personnel </t>
    </r>
    <r>
      <rPr>
        <vertAlign val="superscript"/>
        <sz val="10"/>
        <rFont val="Times New Roman"/>
        <family val="1"/>
      </rPr>
      <t>jj</t>
    </r>
  </si>
  <si>
    <r>
      <t xml:space="preserve">iv.  Heat exchange systems </t>
    </r>
    <r>
      <rPr>
        <vertAlign val="superscript"/>
        <sz val="10"/>
        <rFont val="Times New Roman"/>
        <family val="1"/>
      </rPr>
      <t>kk</t>
    </r>
  </si>
  <si>
    <r>
      <t xml:space="preserve">  v.  Training </t>
    </r>
    <r>
      <rPr>
        <vertAlign val="superscript"/>
        <sz val="10"/>
        <rFont val="Times New Roman"/>
        <family val="1"/>
      </rPr>
      <t>ll</t>
    </r>
  </si>
  <si>
    <r>
      <t xml:space="preserve">Plants per year </t>
    </r>
    <r>
      <rPr>
        <vertAlign val="superscript"/>
        <sz val="10"/>
        <rFont val="Times New Roman"/>
        <family val="1"/>
      </rPr>
      <t>a</t>
    </r>
  </si>
  <si>
    <r>
      <t xml:space="preserve">Cost </t>
    </r>
    <r>
      <rPr>
        <vertAlign val="superscript"/>
        <sz val="10"/>
        <rFont val="Times New Roman"/>
        <family val="1"/>
      </rPr>
      <t>b</t>
    </r>
    <r>
      <rPr>
        <sz val="10"/>
        <rFont val="Times New Roman"/>
        <family val="1"/>
      </rPr>
      <t xml:space="preserve"> $</t>
    </r>
  </si>
  <si>
    <r>
      <t xml:space="preserve">1.  Initial notifications </t>
    </r>
    <r>
      <rPr>
        <vertAlign val="superscript"/>
        <sz val="10"/>
        <rFont val="Times New Roman"/>
        <family val="1"/>
      </rPr>
      <t>c</t>
    </r>
  </si>
  <si>
    <r>
      <t xml:space="preserve">Notification of reconstruction – process vents </t>
    </r>
    <r>
      <rPr>
        <vertAlign val="superscript"/>
        <sz val="10"/>
        <rFont val="Times New Roman"/>
        <family val="1"/>
      </rPr>
      <t>d</t>
    </r>
  </si>
  <si>
    <r>
      <t xml:space="preserve">Notification of compliance status – storage vessels </t>
    </r>
    <r>
      <rPr>
        <vertAlign val="superscript"/>
        <sz val="10"/>
        <rFont val="Times New Roman"/>
        <family val="1"/>
      </rPr>
      <t>e</t>
    </r>
  </si>
  <si>
    <r>
      <t xml:space="preserve">Notification of compliance status – equipment leaks </t>
    </r>
    <r>
      <rPr>
        <vertAlign val="superscript"/>
        <sz val="10"/>
        <rFont val="Times New Roman"/>
        <family val="1"/>
      </rPr>
      <t>e</t>
    </r>
  </si>
  <si>
    <r>
      <t xml:space="preserve">Notification of compliance status – process vents </t>
    </r>
    <r>
      <rPr>
        <vertAlign val="superscript"/>
        <sz val="10"/>
        <rFont val="Times New Roman"/>
        <family val="1"/>
      </rPr>
      <t>e</t>
    </r>
  </si>
  <si>
    <r>
      <t xml:space="preserve">Notification of performance test – process vent control devices </t>
    </r>
    <r>
      <rPr>
        <vertAlign val="superscript"/>
        <sz val="10"/>
        <rFont val="Times New Roman"/>
        <family val="1"/>
      </rPr>
      <t>e</t>
    </r>
  </si>
  <si>
    <r>
      <t xml:space="preserve">Notification of compliance status – Storage vessels, delayed cokers </t>
    </r>
    <r>
      <rPr>
        <vertAlign val="superscript"/>
        <sz val="10"/>
        <rFont val="Times New Roman"/>
        <family val="1"/>
      </rPr>
      <t>f</t>
    </r>
  </si>
  <si>
    <r>
      <t xml:space="preserve">Notification of compliance status – Relief valves, flares </t>
    </r>
    <r>
      <rPr>
        <vertAlign val="superscript"/>
        <sz val="10"/>
        <rFont val="Times New Roman"/>
        <family val="1"/>
      </rPr>
      <t xml:space="preserve"> f</t>
    </r>
  </si>
  <si>
    <r>
      <t xml:space="preserve">Request for alternative monitoring for fenceline requirements  </t>
    </r>
    <r>
      <rPr>
        <vertAlign val="superscript"/>
        <sz val="10"/>
        <rFont val="Times New Roman"/>
        <family val="1"/>
      </rPr>
      <t>f</t>
    </r>
  </si>
  <si>
    <r>
      <t xml:space="preserve">Maintenance Vents - &lt;72 lb/day </t>
    </r>
    <r>
      <rPr>
        <vertAlign val="superscript"/>
        <sz val="10"/>
        <rFont val="Times New Roman"/>
        <family val="1"/>
      </rPr>
      <t>i</t>
    </r>
  </si>
  <si>
    <r>
      <t xml:space="preserve">TOTAL (rounded) </t>
    </r>
    <r>
      <rPr>
        <b/>
        <vertAlign val="superscript"/>
        <sz val="10"/>
        <rFont val="Times New Roman"/>
        <family val="1"/>
      </rPr>
      <t>j</t>
    </r>
  </si>
  <si>
    <t>Total O&amp;M Costs</t>
  </si>
  <si>
    <t xml:space="preserve">(E)
Number of Affected Facilities </t>
  </si>
  <si>
    <t xml:space="preserve">(F)
Annual O&amp;M Costs for One Affected Facility a </t>
  </si>
  <si>
    <t xml:space="preserve">(G)
Total Annual O&amp;M Cost
(E x F) </t>
  </si>
  <si>
    <t xml:space="preserve">(C)
Number of Affected Facilities </t>
  </si>
  <si>
    <t xml:space="preserve">(D)
Total Capital Cost
 (B x C) </t>
  </si>
  <si>
    <t xml:space="preserve">(B) 
Capital Cost for One Affected Facility </t>
  </si>
  <si>
    <t>(A)  
Facility Size (acreage)</t>
  </si>
  <si>
    <t xml:space="preserve">(A) 
Equipment or Material </t>
  </si>
  <si>
    <t xml:space="preserve">(B)
Capital Cost for One Affected Valve </t>
  </si>
  <si>
    <t xml:space="preserve">(C)
Number of Affected Valves </t>
  </si>
  <si>
    <t>(D)
Total Capital Cost 
(A x B)</t>
  </si>
  <si>
    <t xml:space="preserve">(F)
Number of Affected Valves </t>
  </si>
  <si>
    <t xml:space="preserve">(E)
Annual O&amp;M Costs for One Affected Valve </t>
  </si>
  <si>
    <t>(G)
Total Annual O&amp;M Cost 
(D x B)</t>
  </si>
  <si>
    <t xml:space="preserve">(A)
Monitoring Equipment or Material </t>
  </si>
  <si>
    <t xml:space="preserve">(B)
Capital Cost for One Affected Flare </t>
  </si>
  <si>
    <t xml:space="preserve">(C)
Number of Affected Flares </t>
  </si>
  <si>
    <t xml:space="preserve">(E)
Annual O&amp;M Costs for One Affected Flare </t>
  </si>
  <si>
    <t xml:space="preserve">(F)
Number of Affected Flares </t>
  </si>
  <si>
    <t>(G)
Total Annual O&amp;M Cost 
(E x F)</t>
  </si>
  <si>
    <t>(D)
Total Capital Cost 
(B x C)</t>
  </si>
  <si>
    <r>
      <t xml:space="preserve">Maintenance vents &lt;72lb/day </t>
    </r>
    <r>
      <rPr>
        <vertAlign val="superscript"/>
        <sz val="10"/>
        <color theme="1"/>
        <rFont val="Times New Roman"/>
        <family val="1"/>
      </rPr>
      <t>f</t>
    </r>
  </si>
  <si>
    <r>
      <t xml:space="preserve">d </t>
    </r>
    <r>
      <rPr>
        <sz val="10"/>
        <color theme="1"/>
        <rFont val="Times New Roman"/>
        <family val="1"/>
      </rPr>
      <t>These additional semiannual reports were added in the 2015 amendments.</t>
    </r>
  </si>
  <si>
    <r>
      <t xml:space="preserve">e </t>
    </r>
    <r>
      <rPr>
        <sz val="10"/>
        <color theme="1"/>
        <rFont val="Times New Roman"/>
        <family val="1"/>
      </rPr>
      <t xml:space="preserve">Semiannual reports for maintenance vents are expected for 10% of the reporters during each year. </t>
    </r>
  </si>
  <si>
    <r>
      <t xml:space="preserve">Semiannual reports - Maintenance Vents </t>
    </r>
    <r>
      <rPr>
        <vertAlign val="superscript"/>
        <sz val="10"/>
        <color theme="1"/>
        <rFont val="Times New Roman"/>
        <family val="1"/>
      </rPr>
      <t>d, e</t>
    </r>
  </si>
  <si>
    <r>
      <t xml:space="preserve">Semiannual reports – Flares </t>
    </r>
    <r>
      <rPr>
        <vertAlign val="superscript"/>
        <sz val="10"/>
        <color theme="1"/>
        <rFont val="Times New Roman"/>
        <family val="1"/>
      </rPr>
      <t>d</t>
    </r>
  </si>
  <si>
    <r>
      <t xml:space="preserve">Semiannual reports – Delayed cokers </t>
    </r>
    <r>
      <rPr>
        <vertAlign val="superscript"/>
        <sz val="10"/>
        <color theme="1"/>
        <rFont val="Times New Roman"/>
        <family val="1"/>
      </rPr>
      <t>d</t>
    </r>
  </si>
  <si>
    <r>
      <t xml:space="preserve">Semiannual reports – Bypass lines </t>
    </r>
    <r>
      <rPr>
        <vertAlign val="superscript"/>
        <sz val="10"/>
        <color theme="1"/>
        <rFont val="Times New Roman"/>
        <family val="1"/>
      </rPr>
      <t>d</t>
    </r>
  </si>
  <si>
    <r>
      <t>Semiannual reports – Relief valves</t>
    </r>
    <r>
      <rPr>
        <vertAlign val="superscript"/>
        <sz val="10"/>
        <color theme="1"/>
        <rFont val="Times New Roman"/>
        <family val="1"/>
      </rPr>
      <t xml:space="preserve"> d</t>
    </r>
  </si>
  <si>
    <r>
      <t xml:space="preserve">Semiannual reports – Storage </t>
    </r>
    <r>
      <rPr>
        <vertAlign val="superscript"/>
        <sz val="10"/>
        <color theme="1"/>
        <rFont val="Times New Roman"/>
        <family val="1"/>
      </rPr>
      <t>d</t>
    </r>
  </si>
  <si>
    <t>Burden Item</t>
  </si>
  <si>
    <r>
      <t xml:space="preserve">  vi. Relief valves, bypass lines, delayed cokers, flares </t>
    </r>
    <r>
      <rPr>
        <vertAlign val="superscript"/>
        <sz val="10"/>
        <rFont val="Times New Roman"/>
        <family val="1"/>
      </rPr>
      <t>k</t>
    </r>
  </si>
  <si>
    <t>k. These requirements were added in the 2015 amendments. We have assumed 8 hours per year for respondents to refamiliarize with these requirements.</t>
  </si>
  <si>
    <r>
      <t>a</t>
    </r>
    <r>
      <rPr>
        <sz val="10"/>
        <color theme="1"/>
        <rFont val="Times New Roman"/>
        <family val="1"/>
      </rPr>
      <t xml:space="preserve"> Only new respondents or respondents with reconstructed units must comply with initial monitoring, recordkeeping, and reporting requirements for existing units, including initial notifications; design analysis and establishment of operating parameters for storage vessels; LDAR initial requirements; initial performance testing for process vents routed to a control device; heat exchanger requirements; and development of startup and malfunction plans and record systems for each unit. We estimate that existing refineries will reconstruct 10 percent of their existing units.</t>
    </r>
  </si>
  <si>
    <r>
      <t xml:space="preserve">b </t>
    </r>
    <r>
      <rPr>
        <sz val="10"/>
        <color theme="1"/>
        <rFont val="Times New Roman"/>
        <family val="1"/>
      </rPr>
      <t xml:space="preserve">We assume that 4 process vents per refinery are routed to control devices, and that existing refineries will reconstruct 10 percent of these vents. </t>
    </r>
  </si>
  <si>
    <t>d.  The notification of reconstruction is only required for process vents routed to control devices. We assume that 4 process vents per refinery are routed to control devices, and of which existing refineries will reconstruct 10 percent.</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</si>
  <si>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</si>
  <si>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</si>
  <si>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</si>
  <si>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</si>
  <si>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</si>
  <si>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</si>
  <si>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</si>
  <si>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</si>
  <si>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</si>
  <si>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r>
      <t>1</t>
    </r>
    <r>
      <rPr>
        <sz val="10"/>
        <color rgb="FF000000"/>
        <rFont val="Times New Roman"/>
        <family val="1"/>
      </rPr>
      <t xml:space="preserve"> New respondents include sources with constructed, reconstructed and modified affected facilities.</t>
    </r>
    <r>
      <rPr>
        <sz val="10"/>
        <color rgb="FFFF0000"/>
        <rFont val="Times New Roman"/>
        <family val="1"/>
      </rPr>
      <t xml:space="preserve"> </t>
    </r>
    <r>
      <rPr>
        <sz val="10"/>
        <color theme="1"/>
        <rFont val="Times New Roman"/>
        <family val="1"/>
      </rPr>
      <t>In this standard, existing respondents who construct new facilities or modify existing facilities submit initial notifications.</t>
    </r>
  </si>
  <si>
    <t>Number of Respondents
(E=A+B+C-D)</t>
  </si>
  <si>
    <r>
      <t xml:space="preserve">Air stripping column and FID analyzer </t>
    </r>
    <r>
      <rPr>
        <vertAlign val="superscript"/>
        <sz val="10"/>
        <color theme="1"/>
        <rFont val="Times New Roman"/>
        <family val="1"/>
      </rPr>
      <t>a, b</t>
    </r>
  </si>
  <si>
    <r>
      <t xml:space="preserve">Totals </t>
    </r>
    <r>
      <rPr>
        <b/>
        <vertAlign val="superscript"/>
        <sz val="10"/>
        <color theme="1"/>
        <rFont val="Times New Roman"/>
        <family val="1"/>
      </rPr>
      <t>c</t>
    </r>
  </si>
  <si>
    <r>
      <t xml:space="preserve">Flare management plan review </t>
    </r>
    <r>
      <rPr>
        <vertAlign val="superscript"/>
        <sz val="10"/>
        <rFont val="Times New Roman"/>
        <family val="1"/>
      </rPr>
      <t xml:space="preserve">g </t>
    </r>
  </si>
  <si>
    <r>
      <t xml:space="preserve">2.  Periodic reports </t>
    </r>
    <r>
      <rPr>
        <vertAlign val="superscript"/>
        <sz val="10"/>
        <rFont val="Times New Roman"/>
        <family val="1"/>
      </rPr>
      <t>h</t>
    </r>
  </si>
  <si>
    <t>h.  The rule requires that respondents submit semiannual compliance reports addressing each affected unit subject to the rule.</t>
  </si>
  <si>
    <t>Semiannual compliance – Heat exchange systems</t>
  </si>
  <si>
    <t>Semiannual compliance – Process vents</t>
  </si>
  <si>
    <t>a.  We estimate there are 142 existing petroleum refineries, and that no new refineries will become subject to the rule  over the 3-year period of  this ICR.  We have further assumed that a refinery has the following affected units: 12 Group 1 storage vessels; 11 process units subject to LDAR provisions; 9 process vents for requiring monitoring, recordkeeping, and reporting; and 3 heat exchange systems subject to a monthly sampling program for VOC leak detection and repair, as well as recordkeeping and reporting requirements to ensure compliance with the program.</t>
  </si>
  <si>
    <t>a.  We estimate there are 142 existing petroleum refineries in the U.S. subject to NESHAP subpart CC, based on recent Agency data gathered through an ICR collection request under Section 114 of the CAA.  We assume that no new refineries will become subject to this regulation.  Furthermore, we estimate that a refinery has the following affected units: 12 Group 1 storage vessels subject to regulation; 11 process units subject to LDAR provisions; 9 process vents requiring monitoring, recordkeeping, and reporting; and 3 heat exchange systems subject to a monthly sampling program for VOC leak detection and repair, as well as recordkeeping and reporting requirements to ensure compliance with the program.</t>
  </si>
  <si>
    <t xml:space="preserve">e.  Assume all respondents have submitted the Flare Management Plan by January 30, 2019. Assume one-third of all respondents (142/3 = 47) make periodic updates to the Plan each year, and that the update takes 2 hours.  </t>
  </si>
  <si>
    <r>
      <t>b</t>
    </r>
    <r>
      <rPr>
        <sz val="10"/>
        <color theme="1"/>
        <rFont val="Times New Roman"/>
        <family val="1"/>
      </rPr>
      <t xml:space="preserve"> Note: Totals have been rounded to three significant figures.</t>
    </r>
  </si>
  <si>
    <t>b.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</si>
  <si>
    <t>Flare management plan review</t>
  </si>
  <si>
    <t>Semiannual compliance reports – process vents</t>
  </si>
  <si>
    <t>b.  This ICR uses the following labor rates: $152.73 per hour for Executive, Administrative, and Managerial labor; $113.21 per hour for Technical labor, $76.63 per hour for plant operators; $70.31 per hour for installation, maintenance, and repair; and $48.72 per hour for Clerical labor.  The labor rates are from the United States Department of Labor, Bureau of Labor Statistics, "May 2019 National Industry-Specific Occupational Employment Wage Estimates" for NAICS code 324100 - Petroleum and Coal Products Manufacturing.  The rates have been increased by 110 percent to account for the benefit packages available to those employed by private industry.</t>
  </si>
  <si>
    <t xml:space="preserve">d.  New refineries are required to develop a Flare Management Plan, and existing refineries were required to submit a Flare Management Plan by January 30, 2019.  </t>
  </si>
  <si>
    <t>a For fenceline monitoring, costs vary depending on the physical size (not capacity) of the refinery where a small refinery is less than 750 acres, a medium refinery is between 750 acres and 1,500 acres, and a large refinery is greater than 1,500 acres. There are 84 small refineries, 27 medium refineries and 31 large refineries, for a total of 142 refineries. There are no affected facilities with capital costs, as all fenceline monitoring equipment required by the 2015 amendment have has been installed.</t>
  </si>
  <si>
    <r>
      <t>a</t>
    </r>
    <r>
      <rPr>
        <sz val="10"/>
        <color theme="1"/>
        <rFont val="Times New Roman"/>
        <family val="1"/>
      </rPr>
      <t xml:space="preserve"> There are 510 flares that would be subject to the flare monitoring requirements at the 142 major source refineries. There are no affected facilities with capital costs, as all flare monitoring equipment required by the 2015 amendment has been installed. If a source reconstructs or modifies a flare, EPA assumes the equipment will be re-used.</t>
    </r>
  </si>
  <si>
    <r>
      <t>a</t>
    </r>
    <r>
      <rPr>
        <sz val="10"/>
        <color rgb="FF000000"/>
        <rFont val="Times New Roman"/>
        <family val="1"/>
      </rPr>
      <t xml:space="preserve"> Capital costs are based on the 2015 final rule ICR, which assumed the total capital cost to install a monitor on each relief valve is $3,882,880 for an estimated 4,800 relief valves over the next 3 years ($3,882,880/4800 valves = $809/valve). Additionally, it was estimated that the cost for relief valves requiring additional prevention measures would be $5,800,000 ($1,208/valve). This ICR assumes no capital costs, as all monitoring equipment required by the 2015 amendment have been installed and there are no new petroleum refineries.</t>
    </r>
  </si>
  <si>
    <t>Semiannual compliance - Storage tank seal gap failure reports</t>
  </si>
  <si>
    <t>Notification of compliance status – Storage vessels, delayed cokers</t>
  </si>
  <si>
    <t>Notification of compliance status – Relief valves, flares</t>
  </si>
  <si>
    <t>Request for alternative monitoring for fenceline requirements</t>
  </si>
  <si>
    <t>Semiannual compliance reports - Storage tank seal gap failure</t>
  </si>
  <si>
    <t xml:space="preserve">hr/response  </t>
  </si>
  <si>
    <r>
      <t>f</t>
    </r>
    <r>
      <rPr>
        <sz val="10"/>
        <color theme="1"/>
        <rFont val="Times New Roman"/>
        <family val="1"/>
      </rPr>
      <t xml:space="preserve"> Assumes that 25% of the respondents will be audited over the 3-year period of the ICR. This requirement is a result of the 2018 amendments, and is documented in Table 1 of the Supporting Statement for ICR 1692.12.</t>
    </r>
  </si>
  <si>
    <t>p.  These requirements are based on burden assumptions from the ICR for the 2015 amendment (ICR 1692.10).</t>
  </si>
  <si>
    <t>s.  These requirements for flare reporting are based on burden assumptions from the ICR for the 2015 amendment (ICR 1692.10).</t>
  </si>
  <si>
    <t>jj.  We assume existing sources will provide initial training to employees associated with new affected facilities, and that there will be periodic refresher trainings. For ‘Maintenance Vents - &lt;72 lb/day’, this requirement is a result of the 2018 amendment.</t>
  </si>
  <si>
    <t xml:space="preserve">i. Respondents having new, modified, or reconstructed units must comply with initial requirements. The occurrence estimates are based on reading and understanding the rule requirements for each process unit/equipment that is modified. </t>
  </si>
  <si>
    <t>g. We assume one-third of all respondents (142/3 = 47) make periodic updates to the Flare Management Plan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</si>
</sst>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
    <numFmt numFmtId="167" formatCode="0.000"/>
    <numFmt numFmtId="168" formatCode="_(* #,##0_);_(* \(#,##0\);_(* &quot;-&quot;??_);_(@_)"/>
  </numFmts>
  <fonts count="27" x14ac:knownFonts="1">
    <font>
      <sz val="11"/>
      <color theme="1"/>
      <name val="Calibri"/>
      <family val="2"/>
      <scheme val="minor"/>
    </font>
    <font>
      <sz val="11"/>
      <color theme="1"/>
      <name val="Calibri"/>
      <family val="2"/>
      <scheme val="minor"/>
    </font>
    <font>
      <b/>
      <sz val="12"/>
      <color theme="1"/>
      <name val="Times New Roman"/>
      <family val="1"/>
    </font>
    <font>
      <sz val="10"/>
      <color theme="1"/>
      <name val="Times New Roman"/>
      <family val="1"/>
    </font>
    <font>
      <sz val="10"/>
      <color rgb="FF000000"/>
      <name val="Times New Roman"/>
      <family val="1"/>
    </font>
    <font>
      <vertAlign val="superscript"/>
      <sz val="10"/>
      <color theme="1"/>
      <name val="Times New Roman"/>
      <family val="1"/>
    </font>
    <font>
      <b/>
      <sz val="10"/>
      <color rgb="FF000000"/>
      <name val="Times New Roman"/>
      <family val="1"/>
    </font>
    <font>
      <b/>
      <sz val="10"/>
      <color theme="1"/>
      <name val="Times New Roman"/>
      <family val="1"/>
    </font>
    <font>
      <sz val="10"/>
      <name val="Times New Roman"/>
      <family val="1"/>
    </font>
    <font>
      <b/>
      <sz val="10"/>
      <name val="Times New Roman"/>
      <family val="1"/>
    </font>
    <font>
      <b/>
      <vertAlign val="superscript"/>
      <sz val="10"/>
      <name val="Times New Roman"/>
      <family val="1"/>
    </font>
    <font>
      <b/>
      <i/>
      <sz val="10"/>
      <name val="Times New Roman"/>
      <family val="1"/>
    </font>
    <font>
      <i/>
      <sz val="10"/>
      <name val="Times New Roman"/>
      <family val="1"/>
    </font>
    <font>
      <vertAlign val="superscript"/>
      <sz val="10"/>
      <name val="Times New Roman"/>
      <family val="1"/>
    </font>
    <font>
      <sz val="11"/>
      <name val="Calibri"/>
      <family val="2"/>
      <scheme val="minor"/>
    </font>
    <font>
      <sz val="10"/>
      <name val="Calibri"/>
      <family val="2"/>
      <scheme val="minor"/>
    </font>
    <font>
      <b/>
      <sz val="12"/>
      <name val="Times New Roman"/>
      <family val="1"/>
    </font>
    <font>
      <sz val="11"/>
      <name val="Times New Roman"/>
      <family val="1"/>
    </font>
    <font>
      <u/>
      <sz val="10"/>
      <name val="Times New Roman"/>
      <family val="1"/>
    </font>
    <font>
      <u/>
      <vertAlign val="superscript"/>
      <sz val="10"/>
      <name val="Times New Roman"/>
      <family val="1"/>
    </font>
    <font>
      <sz val="12"/>
      <color rgb="FF000000"/>
      <name val="Times New Roman"/>
      <family val="1"/>
    </font>
    <font>
      <b/>
      <sz val="12"/>
      <color rgb="FF000000"/>
      <name val="Times New Roman"/>
      <family val="1"/>
    </font>
    <font>
      <vertAlign val="superscript"/>
      <sz val="10"/>
      <color rgb="FF000000"/>
      <name val="Times New Roman"/>
      <family val="1"/>
    </font>
    <font>
      <sz val="10"/>
      <color rgb="FFFF0000"/>
      <name val="Times New Roman"/>
      <family val="1"/>
    </font>
    <font>
      <sz val="8"/>
      <name val="Calibri"/>
      <family val="2"/>
      <scheme val="minor"/>
    </font>
    <font>
      <b/>
      <vertAlign val="superscript"/>
      <sz val="10"/>
      <color theme="1"/>
      <name val="Times New Roman"/>
      <family val="1"/>
    </font>
    <font>
      <b/>
      <sz val="10"/>
      <color rgb="FF7030A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59">
    <xf numFmtId="0" fontId="0" fillId="0" borderId="0" xfId="0"/>
    <xf numFmtId="0" fontId="4" fillId="0" borderId="1" xfId="0" applyFont="1" applyBorder="1" applyAlignment="1">
      <alignmen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6" fontId="4" fillId="0" borderId="1" xfId="0" applyNumberFormat="1" applyFont="1" applyBorder="1" applyAlignment="1">
      <alignment vertical="center" wrapText="1"/>
    </xf>
    <xf numFmtId="3" fontId="4" fillId="0" borderId="1" xfId="0" applyNumberFormat="1" applyFont="1" applyBorder="1" applyAlignment="1">
      <alignment vertical="center" wrapText="1"/>
    </xf>
    <xf numFmtId="0" fontId="3" fillId="0" borderId="0" xfId="0" applyFont="1"/>
    <xf numFmtId="0" fontId="8" fillId="0" borderId="1" xfId="0" applyFont="1" applyBorder="1"/>
    <xf numFmtId="0" fontId="4" fillId="0" borderId="6" xfId="0" applyFont="1" applyBorder="1" applyAlignment="1">
      <alignment horizontal="center" vertical="center" wrapText="1"/>
    </xf>
    <xf numFmtId="0" fontId="3" fillId="0" borderId="0" xfId="0" applyFont="1" applyAlignment="1">
      <alignment vertical="center" wrapText="1"/>
    </xf>
    <xf numFmtId="0" fontId="7" fillId="0" borderId="0" xfId="0" applyFont="1"/>
    <xf numFmtId="0" fontId="4" fillId="0" borderId="1" xfId="0" applyFont="1" applyBorder="1" applyAlignment="1">
      <alignment horizontal="center" wrapText="1"/>
    </xf>
    <xf numFmtId="6" fontId="4" fillId="0" borderId="1" xfId="0" applyNumberFormat="1" applyFont="1" applyBorder="1" applyAlignment="1">
      <alignment horizontal="center" wrapText="1"/>
    </xf>
    <xf numFmtId="6" fontId="4" fillId="0" borderId="1" xfId="0" applyNumberFormat="1" applyFont="1" applyBorder="1" applyAlignment="1">
      <alignment wrapText="1"/>
    </xf>
    <xf numFmtId="0" fontId="6" fillId="0" borderId="0" xfId="0" applyFont="1" applyAlignment="1">
      <alignment vertical="center" wrapText="1"/>
    </xf>
    <xf numFmtId="0" fontId="4" fillId="0" borderId="9" xfId="0" applyFont="1" applyBorder="1" applyAlignment="1">
      <alignment horizontal="center"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top" wrapText="1"/>
    </xf>
    <xf numFmtId="0" fontId="4" fillId="0" borderId="0" xfId="0" applyFont="1" applyAlignment="1">
      <alignment horizontal="left" vertical="top"/>
    </xf>
    <xf numFmtId="0" fontId="8" fillId="0" borderId="1" xfId="0" applyFont="1" applyBorder="1" applyAlignment="1">
      <alignment horizontal="center" vertical="center"/>
    </xf>
    <xf numFmtId="0" fontId="3" fillId="0" borderId="0" xfId="0" applyFont="1" applyAlignment="1">
      <alignment horizontal="center" vertical="center" wrapText="1"/>
    </xf>
    <xf numFmtId="3" fontId="3" fillId="0" borderId="1" xfId="0" applyNumberFormat="1" applyFont="1" applyBorder="1" applyAlignment="1">
      <alignment horizontal="center" vertical="center" wrapText="1"/>
    </xf>
    <xf numFmtId="0" fontId="9" fillId="0" borderId="1" xfId="0" applyFont="1" applyBorder="1" applyAlignment="1">
      <alignment vertical="center" wrapText="1"/>
    </xf>
    <xf numFmtId="6" fontId="3" fillId="0" borderId="0" xfId="0" applyNumberFormat="1" applyFont="1" applyAlignment="1">
      <alignment horizontal="center" vertical="center" wrapText="1"/>
    </xf>
    <xf numFmtId="1" fontId="3"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8" fillId="0" borderId="0" xfId="0" applyFont="1" applyAlignment="1">
      <alignment vertical="top" wrapText="1"/>
    </xf>
    <xf numFmtId="0" fontId="3" fillId="0" borderId="0" xfId="0" applyFont="1" applyAlignment="1">
      <alignment vertical="top" wrapText="1"/>
    </xf>
    <xf numFmtId="164" fontId="8" fillId="0" borderId="1" xfId="0" applyNumberFormat="1" applyFont="1" applyBorder="1" applyAlignment="1">
      <alignment horizontal="right" vertical="center"/>
    </xf>
    <xf numFmtId="1" fontId="8" fillId="0" borderId="4" xfId="0" applyNumberFormat="1" applyFont="1" applyBorder="1" applyAlignment="1">
      <alignment horizontal="center" vertical="center"/>
    </xf>
    <xf numFmtId="166" fontId="8"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6" fillId="0" borderId="0" xfId="0" applyFont="1" applyAlignment="1">
      <alignment horizontal="left" vertical="center"/>
    </xf>
    <xf numFmtId="0" fontId="17" fillId="0" borderId="0" xfId="0" applyFont="1"/>
    <xf numFmtId="0" fontId="8" fillId="0" borderId="1" xfId="0" applyFont="1" applyBorder="1" applyAlignment="1">
      <alignment horizontal="center" vertical="center" wrapText="1"/>
    </xf>
    <xf numFmtId="0" fontId="8" fillId="0" borderId="0" xfId="0" applyFont="1"/>
    <xf numFmtId="0" fontId="8" fillId="0" borderId="0" xfId="0" applyFont="1" applyAlignment="1">
      <alignment wrapText="1"/>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left" vertical="center" wrapText="1" indent="1"/>
    </xf>
    <xf numFmtId="165" fontId="8" fillId="0" borderId="1" xfId="0" applyNumberFormat="1" applyFont="1" applyBorder="1" applyAlignment="1">
      <alignment horizontal="right" vertical="center"/>
    </xf>
    <xf numFmtId="164" fontId="8" fillId="0" borderId="1" xfId="1" applyNumberFormat="1" applyFont="1" applyBorder="1"/>
    <xf numFmtId="1"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4" fontId="8" fillId="0" borderId="1" xfId="0" applyNumberFormat="1" applyFont="1" applyBorder="1" applyAlignment="1">
      <alignment vertical="center"/>
    </xf>
    <xf numFmtId="0" fontId="18" fillId="0" borderId="1" xfId="0" applyFont="1" applyBorder="1" applyAlignment="1">
      <alignment horizontal="left" vertical="center" wrapText="1" indent="2"/>
    </xf>
    <xf numFmtId="0" fontId="8" fillId="0" borderId="1" xfId="0" applyFont="1" applyBorder="1" applyAlignment="1">
      <alignment horizontal="left" vertical="center" wrapText="1" indent="3"/>
    </xf>
    <xf numFmtId="1" fontId="8" fillId="0" borderId="0" xfId="0" applyNumberFormat="1" applyFont="1"/>
    <xf numFmtId="1" fontId="8" fillId="0" borderId="0" xfId="0" applyNumberFormat="1" applyFont="1" applyAlignment="1">
      <alignment wrapText="1"/>
    </xf>
    <xf numFmtId="2" fontId="8" fillId="0" borderId="0" xfId="0" applyNumberFormat="1" applyFont="1"/>
    <xf numFmtId="0" fontId="8" fillId="0" borderId="1" xfId="0" applyFont="1" applyBorder="1" applyAlignment="1">
      <alignment horizontal="left" vertical="center" wrapText="1" indent="2"/>
    </xf>
    <xf numFmtId="2" fontId="8" fillId="0" borderId="1" xfId="0" applyNumberFormat="1" applyFont="1" applyBorder="1" applyAlignment="1">
      <alignment horizontal="center" vertical="center"/>
    </xf>
    <xf numFmtId="0" fontId="8" fillId="0" borderId="1" xfId="0" applyFont="1" applyBorder="1" applyAlignment="1">
      <alignment horizontal="left" vertical="center" wrapText="1" indent="5"/>
    </xf>
    <xf numFmtId="0" fontId="8" fillId="0" borderId="1" xfId="0" applyFont="1" applyBorder="1" applyAlignment="1">
      <alignment horizontal="left" vertical="center" wrapText="1" indent="4"/>
    </xf>
    <xf numFmtId="0" fontId="8" fillId="0" borderId="4" xfId="0" applyFont="1" applyBorder="1" applyAlignment="1">
      <alignment horizontal="center" vertical="center"/>
    </xf>
    <xf numFmtId="0" fontId="13" fillId="0" borderId="1" xfId="0" applyFont="1" applyBorder="1" applyAlignment="1">
      <alignment horizontal="left" vertical="center" wrapText="1" indent="3"/>
    </xf>
    <xf numFmtId="164" fontId="8" fillId="0" borderId="1" xfId="1" applyNumberFormat="1" applyFont="1" applyBorder="1" applyAlignment="1">
      <alignment horizontal="right" vertical="center"/>
    </xf>
    <xf numFmtId="0" fontId="11" fillId="0" borderId="1" xfId="0" applyFont="1" applyBorder="1" applyAlignment="1">
      <alignment vertical="center" wrapText="1"/>
    </xf>
    <xf numFmtId="0" fontId="11" fillId="0" borderId="1" xfId="0" applyFont="1" applyBorder="1" applyAlignment="1">
      <alignment vertical="center"/>
    </xf>
    <xf numFmtId="165" fontId="11" fillId="0" borderId="1" xfId="0" applyNumberFormat="1" applyFont="1" applyBorder="1" applyAlignment="1">
      <alignment horizontal="right" vertical="center"/>
    </xf>
    <xf numFmtId="164" fontId="8" fillId="0" borderId="1" xfId="0" applyNumberFormat="1" applyFont="1" applyBorder="1" applyAlignment="1">
      <alignment horizontal="center" vertical="center"/>
    </xf>
    <xf numFmtId="167" fontId="8"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165" fontId="9" fillId="0" borderId="1" xfId="0" applyNumberFormat="1" applyFont="1" applyBorder="1" applyAlignment="1">
      <alignment horizontal="right" vertical="center"/>
    </xf>
    <xf numFmtId="0" fontId="9" fillId="0" borderId="0" xfId="0" applyFont="1" applyAlignment="1">
      <alignment vertical="center"/>
    </xf>
    <xf numFmtId="164" fontId="8" fillId="0" borderId="0" xfId="0" applyNumberFormat="1" applyFont="1"/>
    <xf numFmtId="0" fontId="14" fillId="0" borderId="0" xfId="0" applyFont="1"/>
    <xf numFmtId="0" fontId="8" fillId="0" borderId="0" xfId="0" applyFont="1" applyAlignment="1">
      <alignment vertical="center"/>
    </xf>
    <xf numFmtId="0" fontId="8" fillId="0" borderId="1" xfId="0" applyFont="1" applyBorder="1" applyAlignment="1">
      <alignment horizontal="right" vertical="center" wrapText="1" indent="1"/>
    </xf>
    <xf numFmtId="0" fontId="8" fillId="0" borderId="0" xfId="0" applyFont="1" applyAlignment="1">
      <alignment horizontal="right"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6" fontId="8" fillId="0" borderId="1" xfId="0" applyNumberFormat="1" applyFont="1" applyBorder="1" applyAlignment="1">
      <alignment vertical="center" wrapText="1"/>
    </xf>
    <xf numFmtId="0" fontId="3" fillId="0" borderId="11" xfId="0" applyFont="1" applyBorder="1"/>
    <xf numFmtId="0" fontId="3" fillId="0" borderId="12" xfId="0" applyFont="1" applyBorder="1"/>
    <xf numFmtId="0" fontId="3" fillId="0" borderId="10" xfId="0" applyFont="1" applyBorder="1" applyAlignment="1">
      <alignment vertical="top" wrapText="1"/>
    </xf>
    <xf numFmtId="0" fontId="8" fillId="0" borderId="10" xfId="0" applyFont="1" applyBorder="1" applyAlignment="1">
      <alignment vertical="top" wrapText="1"/>
    </xf>
    <xf numFmtId="164" fontId="8" fillId="0" borderId="0" xfId="0" applyNumberFormat="1" applyFont="1" applyAlignment="1">
      <alignment horizontal="center" wrapText="1"/>
    </xf>
    <xf numFmtId="6" fontId="3" fillId="0" borderId="1" xfId="0" applyNumberFormat="1" applyFont="1" applyBorder="1"/>
    <xf numFmtId="0" fontId="7" fillId="0" borderId="13" xfId="0" applyFont="1" applyBorder="1"/>
    <xf numFmtId="6" fontId="7" fillId="0" borderId="1" xfId="0" applyNumberFormat="1" applyFont="1" applyBorder="1"/>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0" xfId="0" applyFont="1" applyBorder="1" applyAlignment="1">
      <alignment vertical="center"/>
    </xf>
    <xf numFmtId="0" fontId="0" fillId="0" borderId="0" xfId="0" applyBorder="1"/>
    <xf numFmtId="0" fontId="22" fillId="0" borderId="0" xfId="0" applyFont="1" applyBorder="1" applyAlignment="1">
      <alignment vertical="center"/>
    </xf>
    <xf numFmtId="165" fontId="8" fillId="0" borderId="0" xfId="0" applyNumberFormat="1" applyFont="1" applyAlignment="1">
      <alignment horizontal="center" vertical="center"/>
    </xf>
    <xf numFmtId="0" fontId="7" fillId="0" borderId="1" xfId="0" applyFont="1" applyBorder="1"/>
    <xf numFmtId="6" fontId="7" fillId="0" borderId="1" xfId="0" applyNumberFormat="1" applyFont="1" applyBorder="1" applyAlignment="1">
      <alignment horizontal="center" vertical="center" wrapText="1"/>
    </xf>
    <xf numFmtId="6" fontId="7" fillId="0" borderId="1" xfId="0" applyNumberFormat="1" applyFont="1" applyBorder="1" applyAlignment="1">
      <alignment horizontal="center"/>
    </xf>
    <xf numFmtId="3" fontId="8" fillId="0" borderId="1" xfId="0" applyNumberFormat="1" applyFont="1" applyBorder="1" applyAlignment="1">
      <alignment horizontal="center" vertical="center"/>
    </xf>
    <xf numFmtId="1" fontId="3" fillId="0" borderId="0" xfId="0" applyNumberFormat="1" applyFont="1"/>
    <xf numFmtId="3" fontId="8" fillId="0" borderId="4" xfId="0" applyNumberFormat="1" applyFont="1" applyBorder="1" applyAlignment="1">
      <alignment horizontal="center" vertical="center"/>
    </xf>
    <xf numFmtId="0" fontId="5" fillId="0" borderId="0" xfId="0" applyFont="1" applyAlignment="1">
      <alignment vertical="center"/>
    </xf>
    <xf numFmtId="0" fontId="23" fillId="0" borderId="0" xfId="0" applyFont="1"/>
    <xf numFmtId="0" fontId="3" fillId="0" borderId="0" xfId="0" applyFont="1" applyBorder="1" applyAlignment="1">
      <alignment vertical="top" wrapText="1"/>
    </xf>
    <xf numFmtId="164" fontId="3" fillId="0" borderId="1" xfId="0" applyNumberFormat="1" applyFont="1" applyBorder="1"/>
    <xf numFmtId="0" fontId="8" fillId="0" borderId="1" xfId="0" applyFont="1" applyBorder="1" applyAlignment="1">
      <alignment horizontal="center" vertical="center" wrapText="1"/>
    </xf>
    <xf numFmtId="1" fontId="26" fillId="0" borderId="0" xfId="0" applyNumberFormat="1" applyFont="1"/>
    <xf numFmtId="6" fontId="26" fillId="0" borderId="0" xfId="0" applyNumberFormat="1" applyFont="1"/>
    <xf numFmtId="164" fontId="8" fillId="0" borderId="1" xfId="1" applyNumberFormat="1" applyFont="1" applyFill="1" applyBorder="1"/>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8" fillId="0" borderId="1" xfId="0" applyFont="1" applyFill="1" applyBorder="1" applyAlignment="1">
      <alignment horizontal="center" wrapText="1"/>
    </xf>
    <xf numFmtId="3" fontId="8" fillId="0" borderId="1" xfId="0" applyNumberFormat="1" applyFont="1" applyFill="1" applyBorder="1" applyAlignment="1">
      <alignment vertical="center" wrapText="1"/>
    </xf>
    <xf numFmtId="168" fontId="8" fillId="0" borderId="1" xfId="2" applyNumberFormat="1" applyFont="1" applyFill="1" applyBorder="1" applyAlignment="1">
      <alignment vertical="center" wrapText="1"/>
    </xf>
    <xf numFmtId="0" fontId="4" fillId="0" borderId="0" xfId="0" applyFont="1" applyAlignment="1">
      <alignment vertical="top" wrapText="1"/>
    </xf>
    <xf numFmtId="0" fontId="26" fillId="0" borderId="0" xfId="0" applyFont="1" applyFill="1"/>
    <xf numFmtId="0" fontId="22" fillId="0" borderId="0" xfId="0" applyFont="1" applyFill="1" applyBorder="1" applyAlignment="1">
      <alignment vertical="center"/>
    </xf>
    <xf numFmtId="0" fontId="3" fillId="0" borderId="0" xfId="0" applyFont="1" applyFill="1"/>
    <xf numFmtId="0" fontId="0" fillId="0" borderId="0" xfId="0" applyFill="1" applyBorder="1"/>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11" fillId="0" borderId="4"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8" fillId="0" borderId="1" xfId="0" applyFont="1" applyBorder="1" applyAlignment="1">
      <alignment horizontal="center"/>
    </xf>
    <xf numFmtId="0" fontId="13" fillId="0" borderId="0" xfId="0" applyFont="1" applyAlignment="1">
      <alignment horizontal="left" vertical="top" wrapText="1"/>
    </xf>
    <xf numFmtId="0" fontId="9" fillId="0" borderId="1" xfId="0" applyFont="1" applyBorder="1" applyAlignment="1">
      <alignment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0" fontId="14" fillId="0" borderId="0" xfId="0" applyFont="1" applyAlignment="1">
      <alignment horizontal="left" vertical="center" wrapText="1"/>
    </xf>
    <xf numFmtId="0" fontId="9" fillId="0" borderId="0" xfId="0" applyFont="1" applyAlignment="1">
      <alignment horizontal="left" vertical="center"/>
    </xf>
    <xf numFmtId="0" fontId="8" fillId="0" borderId="1" xfId="0" applyFont="1" applyBorder="1" applyAlignment="1">
      <alignment horizontal="center" vertical="top"/>
    </xf>
    <xf numFmtId="0" fontId="13" fillId="0" borderId="0" xfId="0" applyFont="1" applyAlignment="1">
      <alignment horizontal="left" vertical="center" wrapText="1"/>
    </xf>
    <xf numFmtId="0" fontId="15"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left" vertical="top" wrapText="1"/>
    </xf>
    <xf numFmtId="0" fontId="22" fillId="0" borderId="5" xfId="0" applyFont="1" applyBorder="1" applyAlignment="1">
      <alignment horizontal="left" vertical="top" wrapText="1"/>
    </xf>
    <xf numFmtId="0" fontId="21" fillId="0" borderId="1"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1"/>
  <sheetViews>
    <sheetView tabSelected="1" zoomScaleNormal="100" workbookViewId="0">
      <pane ySplit="4" topLeftCell="A139" activePane="bottomLeft" state="frozen"/>
      <selection pane="bottomLeft" activeCell="A143" sqref="A143:K143"/>
    </sheetView>
  </sheetViews>
  <sheetFormatPr defaultColWidth="9.1796875" defaultRowHeight="14" x14ac:dyDescent="0.3"/>
  <cols>
    <col min="1" max="1" width="39.1796875" style="35" customWidth="1"/>
    <col min="2" max="10" width="12" style="35" customWidth="1"/>
    <col min="11" max="11" width="13.7265625" style="35" customWidth="1"/>
    <col min="12" max="12" width="12.26953125" style="35" customWidth="1"/>
    <col min="13" max="13" width="11.1796875" style="35" bestFit="1" customWidth="1"/>
    <col min="14" max="14" width="8.453125" style="35" bestFit="1" customWidth="1"/>
    <col min="15" max="15" width="7.7265625" style="35" bestFit="1" customWidth="1"/>
    <col min="16" max="16" width="11.1796875" style="35" bestFit="1" customWidth="1"/>
    <col min="17" max="17" width="6.81640625" style="35" bestFit="1" customWidth="1"/>
    <col min="18" max="16384" width="9.1796875" style="35"/>
  </cols>
  <sheetData>
    <row r="1" spans="1:18" ht="15" x14ac:dyDescent="0.3">
      <c r="A1" s="34" t="s">
        <v>126</v>
      </c>
    </row>
    <row r="3" spans="1:18" ht="15" customHeight="1" x14ac:dyDescent="0.3">
      <c r="A3" s="118" t="s">
        <v>270</v>
      </c>
      <c r="B3" s="36" t="s">
        <v>0</v>
      </c>
      <c r="C3" s="36" t="s">
        <v>2</v>
      </c>
      <c r="D3" s="36" t="s">
        <v>4</v>
      </c>
      <c r="E3" s="36" t="s">
        <v>41</v>
      </c>
      <c r="F3" s="36" t="s">
        <v>5</v>
      </c>
      <c r="G3" s="36" t="s">
        <v>6</v>
      </c>
      <c r="H3" s="36" t="s">
        <v>7</v>
      </c>
      <c r="I3" s="36" t="s">
        <v>8</v>
      </c>
      <c r="J3" s="36" t="s">
        <v>9</v>
      </c>
      <c r="K3" s="21" t="s">
        <v>10</v>
      </c>
      <c r="L3" s="37"/>
      <c r="M3" s="37"/>
      <c r="N3" s="37"/>
      <c r="O3" s="37"/>
      <c r="P3" s="37"/>
      <c r="Q3" s="37"/>
      <c r="R3" s="37"/>
    </row>
    <row r="4" spans="1:18" ht="78" x14ac:dyDescent="0.3">
      <c r="A4" s="118"/>
      <c r="B4" s="36" t="s">
        <v>1</v>
      </c>
      <c r="C4" s="36" t="s">
        <v>3</v>
      </c>
      <c r="D4" s="36" t="s">
        <v>42</v>
      </c>
      <c r="E4" s="36" t="s">
        <v>174</v>
      </c>
      <c r="F4" s="36" t="s">
        <v>43</v>
      </c>
      <c r="G4" s="36" t="s">
        <v>44</v>
      </c>
      <c r="H4" s="36" t="s">
        <v>45</v>
      </c>
      <c r="I4" s="36" t="s">
        <v>46</v>
      </c>
      <c r="J4" s="36" t="s">
        <v>47</v>
      </c>
      <c r="K4" s="21" t="s">
        <v>175</v>
      </c>
      <c r="L4" s="38"/>
      <c r="M4" s="37"/>
      <c r="N4" s="37"/>
      <c r="O4" s="37"/>
      <c r="P4" s="37"/>
      <c r="Q4" s="37"/>
      <c r="R4" s="37"/>
    </row>
    <row r="5" spans="1:18" x14ac:dyDescent="0.3">
      <c r="A5" s="39" t="s">
        <v>11</v>
      </c>
      <c r="B5" s="21" t="s">
        <v>12</v>
      </c>
      <c r="C5" s="40"/>
      <c r="D5" s="40"/>
      <c r="E5" s="40"/>
      <c r="F5" s="40"/>
      <c r="G5" s="40"/>
      <c r="H5" s="40"/>
      <c r="I5" s="40"/>
      <c r="J5" s="40"/>
      <c r="K5" s="40"/>
      <c r="L5" s="37"/>
      <c r="M5" s="124" t="s">
        <v>71</v>
      </c>
      <c r="N5" s="124"/>
      <c r="O5" s="124"/>
      <c r="P5" s="124"/>
      <c r="Q5" s="124"/>
      <c r="R5" s="37"/>
    </row>
    <row r="6" spans="1:18" x14ac:dyDescent="0.3">
      <c r="A6" s="39" t="s">
        <v>13</v>
      </c>
      <c r="B6" s="21" t="s">
        <v>12</v>
      </c>
      <c r="C6" s="40"/>
      <c r="D6" s="40"/>
      <c r="E6" s="40"/>
      <c r="F6" s="40"/>
      <c r="G6" s="40"/>
      <c r="H6" s="40"/>
      <c r="I6" s="40"/>
      <c r="J6" s="40"/>
      <c r="K6" s="40"/>
      <c r="L6" s="37"/>
      <c r="M6" s="8" t="s">
        <v>15</v>
      </c>
      <c r="N6" s="8" t="s">
        <v>14</v>
      </c>
      <c r="O6" s="8" t="s">
        <v>72</v>
      </c>
      <c r="P6" s="8" t="s">
        <v>73</v>
      </c>
      <c r="Q6" s="8" t="s">
        <v>74</v>
      </c>
      <c r="R6" s="37"/>
    </row>
    <row r="7" spans="1:18" ht="28.5" x14ac:dyDescent="0.3">
      <c r="A7" s="41" t="s">
        <v>176</v>
      </c>
      <c r="B7" s="36">
        <v>8</v>
      </c>
      <c r="C7" s="36">
        <v>13</v>
      </c>
      <c r="D7" s="36">
        <f>B7*C7</f>
        <v>104</v>
      </c>
      <c r="E7" s="36">
        <v>0</v>
      </c>
      <c r="F7" s="31">
        <f>D7*E7</f>
        <v>0</v>
      </c>
      <c r="G7" s="21" t="s">
        <v>12</v>
      </c>
      <c r="H7" s="21" t="s">
        <v>12</v>
      </c>
      <c r="I7" s="21">
        <f>F7*0.05</f>
        <v>0</v>
      </c>
      <c r="J7" s="21">
        <f>F7*0.1</f>
        <v>0</v>
      </c>
      <c r="K7" s="42">
        <f>J7*$Q$7+I7*$M$7+F7*$N$7</f>
        <v>0</v>
      </c>
      <c r="L7" s="37"/>
      <c r="M7" s="103">
        <f>72.73*2.1</f>
        <v>152.733</v>
      </c>
      <c r="N7" s="103">
        <f>53.91*2.1</f>
        <v>113.211</v>
      </c>
      <c r="O7" s="43">
        <f>36.49*2.1</f>
        <v>76.629000000000005</v>
      </c>
      <c r="P7" s="43">
        <f>33.48*2.1</f>
        <v>70.307999999999993</v>
      </c>
      <c r="Q7" s="103">
        <f>23.2*2.1</f>
        <v>48.72</v>
      </c>
      <c r="R7" s="37"/>
    </row>
    <row r="8" spans="1:18" ht="15.5" x14ac:dyDescent="0.3">
      <c r="A8" s="41" t="s">
        <v>177</v>
      </c>
      <c r="B8" s="36">
        <v>75</v>
      </c>
      <c r="C8" s="36">
        <v>4</v>
      </c>
      <c r="D8" s="36">
        <v>270</v>
      </c>
      <c r="E8" s="36">
        <v>0</v>
      </c>
      <c r="F8" s="31">
        <f>D8*E8</f>
        <v>0</v>
      </c>
      <c r="G8" s="21" t="s">
        <v>12</v>
      </c>
      <c r="H8" s="21" t="s">
        <v>12</v>
      </c>
      <c r="I8" s="21">
        <f>F8*0.05</f>
        <v>0</v>
      </c>
      <c r="J8" s="21">
        <f>F8*0.1</f>
        <v>0</v>
      </c>
      <c r="K8" s="42">
        <f>J8*$Q$7+I8*$M$7+F8*$N$7</f>
        <v>0</v>
      </c>
      <c r="L8" s="37"/>
      <c r="M8" s="8"/>
      <c r="N8" s="8"/>
      <c r="O8" s="8"/>
      <c r="P8" s="8"/>
      <c r="Q8" s="8"/>
      <c r="R8" s="37"/>
    </row>
    <row r="9" spans="1:18" ht="15.5" x14ac:dyDescent="0.3">
      <c r="A9" s="41" t="s">
        <v>178</v>
      </c>
      <c r="B9" s="36">
        <v>2</v>
      </c>
      <c r="C9" s="44">
        <v>1</v>
      </c>
      <c r="D9" s="45">
        <f>B9*C9</f>
        <v>2</v>
      </c>
      <c r="E9" s="36">
        <f>ROUND('O&amp;M'!M17/3,0)</f>
        <v>47</v>
      </c>
      <c r="F9" s="21">
        <f>D9*E9</f>
        <v>94</v>
      </c>
      <c r="G9" s="21" t="s">
        <v>12</v>
      </c>
      <c r="H9" s="21" t="s">
        <v>12</v>
      </c>
      <c r="I9" s="21">
        <f>F9*0.05</f>
        <v>4.7</v>
      </c>
      <c r="J9" s="21">
        <f>F9*0.1</f>
        <v>9.4</v>
      </c>
      <c r="K9" s="30">
        <f>J9*$Q$7+I9*$M$7+F9*$N$7</f>
        <v>11817.6471</v>
      </c>
      <c r="L9" s="37"/>
      <c r="M9" s="97"/>
      <c r="N9" s="37"/>
      <c r="O9" s="37"/>
      <c r="P9" s="37"/>
      <c r="Q9" s="37"/>
      <c r="R9" s="37"/>
    </row>
    <row r="10" spans="1:18" ht="28.5" x14ac:dyDescent="0.3">
      <c r="A10" s="39" t="s">
        <v>179</v>
      </c>
      <c r="B10" s="40"/>
      <c r="C10" s="40"/>
      <c r="D10" s="40"/>
      <c r="E10" s="40"/>
      <c r="F10" s="40"/>
      <c r="G10" s="40"/>
      <c r="H10" s="40"/>
      <c r="I10" s="40"/>
      <c r="J10" s="40"/>
      <c r="K10" s="40"/>
      <c r="L10" s="37"/>
      <c r="M10" s="37"/>
      <c r="N10" s="37"/>
      <c r="O10" s="37"/>
      <c r="P10" s="37"/>
      <c r="Q10" s="37"/>
      <c r="R10" s="37"/>
    </row>
    <row r="11" spans="1:18" x14ac:dyDescent="0.3">
      <c r="A11" s="41" t="s">
        <v>14</v>
      </c>
      <c r="B11" s="21">
        <v>32</v>
      </c>
      <c r="C11" s="21">
        <v>1</v>
      </c>
      <c r="D11" s="21">
        <f>B11*C11</f>
        <v>32</v>
      </c>
      <c r="E11" s="21">
        <v>0</v>
      </c>
      <c r="F11" s="21">
        <f>D11*E11</f>
        <v>0</v>
      </c>
      <c r="G11" s="21" t="s">
        <v>12</v>
      </c>
      <c r="H11" s="21" t="s">
        <v>12</v>
      </c>
      <c r="I11" s="21">
        <f>F11*0.05</f>
        <v>0</v>
      </c>
      <c r="J11" s="21">
        <f>F11*0.1</f>
        <v>0</v>
      </c>
      <c r="K11" s="42">
        <f>J11*$Q$7+I11*$M$7+F11*$N$7</f>
        <v>0</v>
      </c>
      <c r="L11" s="37"/>
      <c r="M11" s="37"/>
      <c r="N11" s="37"/>
      <c r="O11" s="37"/>
      <c r="P11" s="37"/>
      <c r="Q11" s="37"/>
      <c r="R11" s="37"/>
    </row>
    <row r="12" spans="1:18" x14ac:dyDescent="0.3">
      <c r="A12" s="41" t="s">
        <v>15</v>
      </c>
      <c r="B12" s="21">
        <v>2</v>
      </c>
      <c r="C12" s="21">
        <v>1</v>
      </c>
      <c r="D12" s="21">
        <f>B12*C12</f>
        <v>2</v>
      </c>
      <c r="E12" s="21">
        <v>0</v>
      </c>
      <c r="F12" s="21">
        <f>D12*E12</f>
        <v>0</v>
      </c>
      <c r="G12" s="21" t="s">
        <v>12</v>
      </c>
      <c r="H12" s="21" t="s">
        <v>12</v>
      </c>
      <c r="I12" s="21">
        <f>F12*0.05</f>
        <v>0</v>
      </c>
      <c r="J12" s="21">
        <f>F12*0.1</f>
        <v>0</v>
      </c>
      <c r="K12" s="42">
        <f>J12*$Q$7+I12*$M$7+F12*$N$7</f>
        <v>0</v>
      </c>
      <c r="L12" s="37"/>
      <c r="M12" s="37"/>
      <c r="N12" s="37"/>
      <c r="O12" s="37"/>
      <c r="P12" s="37"/>
      <c r="Q12" s="37"/>
      <c r="R12" s="37"/>
    </row>
    <row r="13" spans="1:18" x14ac:dyDescent="0.3">
      <c r="A13" s="39" t="s">
        <v>16</v>
      </c>
      <c r="B13" s="21"/>
      <c r="C13" s="21"/>
      <c r="D13" s="21"/>
      <c r="E13" s="21"/>
      <c r="F13" s="21"/>
      <c r="G13" s="21"/>
      <c r="H13" s="21"/>
      <c r="I13" s="21"/>
      <c r="J13" s="21"/>
      <c r="K13" s="46"/>
      <c r="L13" s="37"/>
      <c r="M13" s="37"/>
      <c r="N13" s="37"/>
      <c r="O13" s="37"/>
      <c r="P13" s="37"/>
      <c r="Q13" s="37"/>
      <c r="R13" s="37"/>
    </row>
    <row r="14" spans="1:18" ht="15.5" x14ac:dyDescent="0.3">
      <c r="A14" s="41" t="s">
        <v>180</v>
      </c>
      <c r="B14" s="21"/>
      <c r="C14" s="21"/>
      <c r="D14" s="21"/>
      <c r="E14" s="21"/>
      <c r="F14" s="21"/>
      <c r="G14" s="21"/>
      <c r="H14" s="21"/>
      <c r="I14" s="21"/>
      <c r="J14" s="21"/>
      <c r="K14" s="46"/>
      <c r="L14" s="37"/>
      <c r="M14" s="37"/>
      <c r="N14" s="37"/>
      <c r="O14" s="37"/>
      <c r="P14" s="37"/>
      <c r="Q14" s="37"/>
      <c r="R14" s="37"/>
    </row>
    <row r="15" spans="1:18" ht="15.5" x14ac:dyDescent="0.3">
      <c r="A15" s="47" t="s">
        <v>181</v>
      </c>
      <c r="B15" s="21"/>
      <c r="C15" s="21"/>
      <c r="D15" s="21"/>
      <c r="E15" s="21"/>
      <c r="F15" s="21"/>
      <c r="G15" s="21"/>
      <c r="H15" s="21"/>
      <c r="I15" s="21"/>
      <c r="J15" s="21"/>
      <c r="K15" s="46"/>
      <c r="L15" s="37"/>
      <c r="M15" s="37"/>
      <c r="N15" s="37"/>
      <c r="O15" s="37"/>
      <c r="P15" s="37"/>
      <c r="Q15" s="37"/>
      <c r="R15" s="37"/>
    </row>
    <row r="16" spans="1:18" x14ac:dyDescent="0.3">
      <c r="A16" s="48" t="s">
        <v>18</v>
      </c>
      <c r="B16" s="21">
        <v>20</v>
      </c>
      <c r="C16" s="21">
        <v>1</v>
      </c>
      <c r="D16" s="21">
        <f t="shared" ref="D16:D19" si="0">B16*C16</f>
        <v>20</v>
      </c>
      <c r="E16" s="21">
        <f>'O&amp;M'!M17*0.1</f>
        <v>14.200000000000001</v>
      </c>
      <c r="F16" s="21">
        <f t="shared" ref="F16:F19" si="1">D16*E16</f>
        <v>284</v>
      </c>
      <c r="G16" s="21" t="s">
        <v>12</v>
      </c>
      <c r="H16" s="21" t="s">
        <v>12</v>
      </c>
      <c r="I16" s="33">
        <f t="shared" ref="I16:I19" si="2">F16*0.05</f>
        <v>14.200000000000001</v>
      </c>
      <c r="J16" s="33">
        <f t="shared" ref="J16:J19" si="3">F16*0.1</f>
        <v>28.400000000000002</v>
      </c>
      <c r="K16" s="30">
        <f t="shared" ref="K16:K19" si="4">J16*$Q$7+I16*$M$7+F16*$N$7</f>
        <v>35704.380599999997</v>
      </c>
      <c r="L16" s="37"/>
      <c r="M16" s="37"/>
      <c r="N16" s="37"/>
      <c r="O16" s="37"/>
      <c r="P16" s="37"/>
      <c r="Q16" s="37"/>
      <c r="R16" s="37"/>
    </row>
    <row r="17" spans="1:18" x14ac:dyDescent="0.3">
      <c r="A17" s="48" t="s">
        <v>19</v>
      </c>
      <c r="B17" s="21">
        <v>20</v>
      </c>
      <c r="C17" s="21">
        <v>12</v>
      </c>
      <c r="D17" s="21">
        <f t="shared" si="0"/>
        <v>240</v>
      </c>
      <c r="E17" s="21">
        <f>E16</f>
        <v>14.200000000000001</v>
      </c>
      <c r="F17" s="93">
        <f t="shared" si="1"/>
        <v>3408.0000000000005</v>
      </c>
      <c r="G17" s="21" t="s">
        <v>12</v>
      </c>
      <c r="H17" s="21" t="s">
        <v>12</v>
      </c>
      <c r="I17" s="33">
        <f t="shared" si="2"/>
        <v>170.40000000000003</v>
      </c>
      <c r="J17" s="33">
        <f t="shared" si="3"/>
        <v>340.80000000000007</v>
      </c>
      <c r="K17" s="30">
        <f t="shared" si="4"/>
        <v>428452.56720000005</v>
      </c>
      <c r="L17" s="37"/>
      <c r="M17" s="37"/>
      <c r="N17" s="37"/>
      <c r="O17" s="37"/>
      <c r="P17" s="49"/>
      <c r="Q17" s="37"/>
      <c r="R17" s="37"/>
    </row>
    <row r="18" spans="1:18" x14ac:dyDescent="0.3">
      <c r="A18" s="48" t="s">
        <v>20</v>
      </c>
      <c r="B18" s="21">
        <v>20</v>
      </c>
      <c r="C18" s="21">
        <v>11</v>
      </c>
      <c r="D18" s="21">
        <f t="shared" si="0"/>
        <v>220</v>
      </c>
      <c r="E18" s="21">
        <f>E16</f>
        <v>14.200000000000001</v>
      </c>
      <c r="F18" s="93">
        <f t="shared" si="1"/>
        <v>3124.0000000000005</v>
      </c>
      <c r="G18" s="21" t="s">
        <v>12</v>
      </c>
      <c r="H18" s="21" t="s">
        <v>12</v>
      </c>
      <c r="I18" s="33">
        <f t="shared" si="2"/>
        <v>156.20000000000005</v>
      </c>
      <c r="J18" s="33">
        <f t="shared" si="3"/>
        <v>312.40000000000009</v>
      </c>
      <c r="K18" s="30">
        <f t="shared" si="4"/>
        <v>392748.18660000007</v>
      </c>
      <c r="L18" s="37"/>
      <c r="M18" s="37"/>
      <c r="N18" s="37"/>
      <c r="O18" s="37"/>
      <c r="P18" s="50"/>
      <c r="Q18" s="37"/>
      <c r="R18" s="37"/>
    </row>
    <row r="19" spans="1:18" x14ac:dyDescent="0.3">
      <c r="A19" s="48" t="s">
        <v>21</v>
      </c>
      <c r="B19" s="21">
        <v>20</v>
      </c>
      <c r="C19" s="21">
        <v>9</v>
      </c>
      <c r="D19" s="21">
        <f t="shared" si="0"/>
        <v>180</v>
      </c>
      <c r="E19" s="21">
        <f>E16</f>
        <v>14.200000000000001</v>
      </c>
      <c r="F19" s="93">
        <f t="shared" si="1"/>
        <v>2556</v>
      </c>
      <c r="G19" s="21" t="s">
        <v>12</v>
      </c>
      <c r="H19" s="21" t="s">
        <v>12</v>
      </c>
      <c r="I19" s="33">
        <f t="shared" si="2"/>
        <v>127.80000000000001</v>
      </c>
      <c r="J19" s="33">
        <f t="shared" si="3"/>
        <v>255.60000000000002</v>
      </c>
      <c r="K19" s="30">
        <f t="shared" si="4"/>
        <v>321339.42540000001</v>
      </c>
      <c r="L19" s="37"/>
      <c r="M19" s="37"/>
      <c r="N19" s="51"/>
      <c r="O19" s="37"/>
      <c r="P19" s="49"/>
      <c r="Q19" s="51"/>
      <c r="R19" s="51"/>
    </row>
    <row r="20" spans="1:18" ht="15.5" x14ac:dyDescent="0.3">
      <c r="A20" s="47" t="s">
        <v>182</v>
      </c>
      <c r="B20" s="21"/>
      <c r="C20" s="21"/>
      <c r="D20" s="21"/>
      <c r="E20" s="21"/>
      <c r="F20" s="93"/>
      <c r="G20" s="21"/>
      <c r="H20" s="21"/>
      <c r="I20" s="33"/>
      <c r="J20" s="33"/>
      <c r="K20" s="46"/>
      <c r="L20" s="37"/>
      <c r="M20" s="37"/>
      <c r="N20" s="51"/>
      <c r="O20" s="37"/>
      <c r="P20" s="49"/>
      <c r="Q20" s="51"/>
      <c r="R20" s="51"/>
    </row>
    <row r="21" spans="1:18" x14ac:dyDescent="0.3">
      <c r="A21" s="48" t="s">
        <v>18</v>
      </c>
      <c r="B21" s="21">
        <v>4</v>
      </c>
      <c r="C21" s="21">
        <v>1</v>
      </c>
      <c r="D21" s="21">
        <f t="shared" ref="D21:D24" si="5">B21*C21</f>
        <v>4</v>
      </c>
      <c r="E21" s="21">
        <f>'O&amp;M'!M17</f>
        <v>142</v>
      </c>
      <c r="F21" s="93">
        <f t="shared" ref="F21:F25" si="6">D21*E21</f>
        <v>568</v>
      </c>
      <c r="G21" s="21" t="s">
        <v>12</v>
      </c>
      <c r="H21" s="21" t="s">
        <v>12</v>
      </c>
      <c r="I21" s="33">
        <f t="shared" ref="I21:I25" si="7">F21*0.05</f>
        <v>28.400000000000002</v>
      </c>
      <c r="J21" s="33">
        <f t="shared" ref="J21:J25" si="8">F21*0.1</f>
        <v>56.800000000000004</v>
      </c>
      <c r="K21" s="30">
        <f t="shared" ref="K21:K26" si="9">J21*$Q$7+I21*$M$7+F21*$N$7</f>
        <v>71408.761199999994</v>
      </c>
      <c r="L21" s="37"/>
      <c r="M21" s="37"/>
      <c r="N21" s="51"/>
      <c r="O21" s="37"/>
      <c r="P21" s="49"/>
      <c r="Q21" s="51"/>
      <c r="R21" s="51"/>
    </row>
    <row r="22" spans="1:18" x14ac:dyDescent="0.3">
      <c r="A22" s="48" t="s">
        <v>19</v>
      </c>
      <c r="B22" s="21">
        <v>2</v>
      </c>
      <c r="C22" s="21">
        <v>12</v>
      </c>
      <c r="D22" s="21">
        <f t="shared" si="5"/>
        <v>24</v>
      </c>
      <c r="E22" s="21">
        <f>E21</f>
        <v>142</v>
      </c>
      <c r="F22" s="93">
        <f t="shared" si="6"/>
        <v>3408</v>
      </c>
      <c r="G22" s="21" t="s">
        <v>12</v>
      </c>
      <c r="H22" s="21" t="s">
        <v>12</v>
      </c>
      <c r="I22" s="33">
        <f t="shared" si="7"/>
        <v>170.4</v>
      </c>
      <c r="J22" s="33">
        <f t="shared" si="8"/>
        <v>340.8</v>
      </c>
      <c r="K22" s="30">
        <f t="shared" si="9"/>
        <v>428452.56719999999</v>
      </c>
      <c r="L22" s="37"/>
      <c r="M22" s="37"/>
      <c r="N22" s="51"/>
      <c r="O22" s="37"/>
      <c r="P22" s="49"/>
      <c r="Q22" s="51"/>
      <c r="R22" s="51"/>
    </row>
    <row r="23" spans="1:18" x14ac:dyDescent="0.3">
      <c r="A23" s="48" t="s">
        <v>23</v>
      </c>
      <c r="B23" s="21">
        <v>2</v>
      </c>
      <c r="C23" s="21">
        <v>11</v>
      </c>
      <c r="D23" s="21">
        <f t="shared" si="5"/>
        <v>22</v>
      </c>
      <c r="E23" s="21">
        <f t="shared" ref="E23:E26" si="10">E22</f>
        <v>142</v>
      </c>
      <c r="F23" s="93">
        <f t="shared" si="6"/>
        <v>3124</v>
      </c>
      <c r="G23" s="21" t="s">
        <v>12</v>
      </c>
      <c r="H23" s="21" t="s">
        <v>12</v>
      </c>
      <c r="I23" s="33">
        <f t="shared" si="7"/>
        <v>156.20000000000002</v>
      </c>
      <c r="J23" s="33">
        <f t="shared" si="8"/>
        <v>312.40000000000003</v>
      </c>
      <c r="K23" s="30">
        <f t="shared" si="9"/>
        <v>392748.18660000002</v>
      </c>
      <c r="L23" s="37"/>
      <c r="M23" s="37"/>
      <c r="N23" s="51"/>
      <c r="O23" s="37"/>
      <c r="P23" s="49"/>
      <c r="Q23" s="51"/>
      <c r="R23" s="51"/>
    </row>
    <row r="24" spans="1:18" x14ac:dyDescent="0.3">
      <c r="A24" s="48" t="s">
        <v>21</v>
      </c>
      <c r="B24" s="21">
        <v>2</v>
      </c>
      <c r="C24" s="21">
        <v>9</v>
      </c>
      <c r="D24" s="21">
        <f t="shared" si="5"/>
        <v>18</v>
      </c>
      <c r="E24" s="21">
        <f t="shared" si="10"/>
        <v>142</v>
      </c>
      <c r="F24" s="93">
        <f t="shared" si="6"/>
        <v>2556</v>
      </c>
      <c r="G24" s="21" t="s">
        <v>12</v>
      </c>
      <c r="H24" s="21" t="s">
        <v>12</v>
      </c>
      <c r="I24" s="33">
        <f t="shared" si="7"/>
        <v>127.80000000000001</v>
      </c>
      <c r="J24" s="33">
        <f t="shared" si="8"/>
        <v>255.60000000000002</v>
      </c>
      <c r="K24" s="30">
        <f t="shared" si="9"/>
        <v>321339.42540000001</v>
      </c>
      <c r="L24" s="37"/>
      <c r="M24" s="37"/>
      <c r="N24" s="51"/>
      <c r="O24" s="37"/>
      <c r="P24" s="49"/>
      <c r="Q24" s="51"/>
      <c r="R24" s="51"/>
    </row>
    <row r="25" spans="1:18" x14ac:dyDescent="0.3">
      <c r="A25" s="48" t="s">
        <v>24</v>
      </c>
      <c r="B25" s="21">
        <v>2</v>
      </c>
      <c r="C25" s="21">
        <v>3</v>
      </c>
      <c r="D25" s="21">
        <f>B25*C25</f>
        <v>6</v>
      </c>
      <c r="E25" s="21">
        <f t="shared" si="10"/>
        <v>142</v>
      </c>
      <c r="F25" s="93">
        <f t="shared" si="6"/>
        <v>852</v>
      </c>
      <c r="G25" s="21" t="s">
        <v>12</v>
      </c>
      <c r="H25" s="21" t="s">
        <v>12</v>
      </c>
      <c r="I25" s="33">
        <f t="shared" si="7"/>
        <v>42.6</v>
      </c>
      <c r="J25" s="33">
        <f t="shared" si="8"/>
        <v>85.2</v>
      </c>
      <c r="K25" s="30">
        <f t="shared" si="9"/>
        <v>107113.1418</v>
      </c>
      <c r="L25" s="37"/>
      <c r="M25" s="37"/>
      <c r="N25" s="51"/>
      <c r="O25" s="37"/>
      <c r="P25" s="49"/>
      <c r="Q25" s="51"/>
      <c r="R25" s="51"/>
    </row>
    <row r="26" spans="1:18" ht="28.5" x14ac:dyDescent="0.3">
      <c r="A26" s="52" t="s">
        <v>271</v>
      </c>
      <c r="B26" s="21">
        <v>8</v>
      </c>
      <c r="C26" s="21">
        <v>1</v>
      </c>
      <c r="D26" s="21">
        <f>B26*C26</f>
        <v>8</v>
      </c>
      <c r="E26" s="21">
        <f t="shared" si="10"/>
        <v>142</v>
      </c>
      <c r="F26" s="93">
        <f t="shared" ref="F26" si="11">D26*E26</f>
        <v>1136</v>
      </c>
      <c r="G26" s="21" t="s">
        <v>12</v>
      </c>
      <c r="H26" s="21" t="s">
        <v>12</v>
      </c>
      <c r="I26" s="33">
        <f t="shared" ref="I26" si="12">F26*0.05</f>
        <v>56.800000000000004</v>
      </c>
      <c r="J26" s="33">
        <f t="shared" ref="J26" si="13">F26*0.1</f>
        <v>113.60000000000001</v>
      </c>
      <c r="K26" s="30">
        <f t="shared" si="9"/>
        <v>142817.52239999999</v>
      </c>
      <c r="L26" s="37"/>
      <c r="M26" s="37"/>
      <c r="N26" s="37"/>
      <c r="O26" s="37"/>
      <c r="P26" s="49"/>
      <c r="Q26" s="37"/>
      <c r="R26" s="37"/>
    </row>
    <row r="27" spans="1:18" ht="15.5" x14ac:dyDescent="0.3">
      <c r="A27" s="41" t="s">
        <v>183</v>
      </c>
      <c r="B27" s="21"/>
      <c r="C27" s="21"/>
      <c r="D27" s="21"/>
      <c r="E27" s="21"/>
      <c r="F27" s="21"/>
      <c r="G27" s="21"/>
      <c r="H27" s="21"/>
      <c r="I27" s="21"/>
      <c r="J27" s="21"/>
      <c r="K27" s="46"/>
      <c r="L27" s="37"/>
      <c r="M27" s="37"/>
      <c r="N27" s="37"/>
      <c r="O27" s="37"/>
      <c r="P27" s="49"/>
      <c r="Q27" s="37"/>
      <c r="R27" s="37"/>
    </row>
    <row r="28" spans="1:18" x14ac:dyDescent="0.3">
      <c r="A28" s="47" t="s">
        <v>17</v>
      </c>
      <c r="B28" s="21"/>
      <c r="C28" s="21"/>
      <c r="D28" s="21"/>
      <c r="E28" s="21"/>
      <c r="F28" s="21"/>
      <c r="G28" s="21"/>
      <c r="H28" s="21"/>
      <c r="I28" s="21"/>
      <c r="J28" s="21"/>
      <c r="K28" s="46"/>
      <c r="L28" s="37"/>
      <c r="M28" s="37"/>
      <c r="N28" s="37"/>
      <c r="O28" s="37"/>
      <c r="P28" s="49"/>
      <c r="Q28" s="37"/>
      <c r="R28" s="37"/>
    </row>
    <row r="29" spans="1:18" x14ac:dyDescent="0.3">
      <c r="A29" s="48" t="s">
        <v>18</v>
      </c>
      <c r="B29" s="21">
        <v>10</v>
      </c>
      <c r="C29" s="21">
        <f>C16</f>
        <v>1</v>
      </c>
      <c r="D29" s="21">
        <f t="shared" ref="D29:D33" si="14">B29*C29</f>
        <v>10</v>
      </c>
      <c r="E29" s="21">
        <f>E16</f>
        <v>14.200000000000001</v>
      </c>
      <c r="F29" s="93">
        <f t="shared" ref="F29:F32" si="15">D29*E29</f>
        <v>142</v>
      </c>
      <c r="G29" s="21" t="s">
        <v>12</v>
      </c>
      <c r="H29" s="21" t="s">
        <v>12</v>
      </c>
      <c r="I29" s="21">
        <f t="shared" ref="I29:I33" si="16">F29*0.05</f>
        <v>7.1000000000000005</v>
      </c>
      <c r="J29" s="33">
        <f t="shared" ref="J29:J33" si="17">F29*0.1</f>
        <v>14.200000000000001</v>
      </c>
      <c r="K29" s="30">
        <f>J29*$Q$7+I29*$M$7+F29*$N$7</f>
        <v>17852.190299999998</v>
      </c>
      <c r="L29" s="37"/>
      <c r="M29" s="37"/>
      <c r="N29" s="37"/>
      <c r="O29" s="37"/>
      <c r="P29" s="49"/>
      <c r="Q29" s="37"/>
      <c r="R29" s="37"/>
    </row>
    <row r="30" spans="1:18" x14ac:dyDescent="0.3">
      <c r="A30" s="48" t="s">
        <v>19</v>
      </c>
      <c r="B30" s="21">
        <v>88</v>
      </c>
      <c r="C30" s="21">
        <f t="shared" ref="C30:C31" si="18">C17</f>
        <v>12</v>
      </c>
      <c r="D30" s="21">
        <f t="shared" si="14"/>
        <v>1056</v>
      </c>
      <c r="E30" s="21">
        <f t="shared" ref="E30:E31" si="19">E17</f>
        <v>14.200000000000001</v>
      </c>
      <c r="F30" s="93">
        <f t="shared" si="15"/>
        <v>14995.2</v>
      </c>
      <c r="G30" s="21" t="s">
        <v>12</v>
      </c>
      <c r="H30" s="21" t="s">
        <v>12</v>
      </c>
      <c r="I30" s="33">
        <f t="shared" si="16"/>
        <v>749.7600000000001</v>
      </c>
      <c r="J30" s="33">
        <f t="shared" si="17"/>
        <v>1499.5200000000002</v>
      </c>
      <c r="K30" s="30">
        <f>J30*$Q$7+I30*$M$7+F30*$N$7</f>
        <v>1885191.29568</v>
      </c>
      <c r="L30" s="37"/>
      <c r="M30" s="37"/>
      <c r="N30" s="37"/>
      <c r="O30" s="37"/>
      <c r="P30" s="49"/>
      <c r="Q30" s="37"/>
      <c r="R30" s="37"/>
    </row>
    <row r="31" spans="1:18" x14ac:dyDescent="0.3">
      <c r="A31" s="48" t="s">
        <v>23</v>
      </c>
      <c r="B31" s="21">
        <v>8</v>
      </c>
      <c r="C31" s="21">
        <f t="shared" si="18"/>
        <v>11</v>
      </c>
      <c r="D31" s="21">
        <f t="shared" si="14"/>
        <v>88</v>
      </c>
      <c r="E31" s="21">
        <f t="shared" si="19"/>
        <v>14.200000000000001</v>
      </c>
      <c r="F31" s="93">
        <f t="shared" si="15"/>
        <v>1249.6000000000001</v>
      </c>
      <c r="G31" s="21" t="s">
        <v>12</v>
      </c>
      <c r="H31" s="21" t="s">
        <v>12</v>
      </c>
      <c r="I31" s="33">
        <f t="shared" si="16"/>
        <v>62.480000000000011</v>
      </c>
      <c r="J31" s="33">
        <f t="shared" si="17"/>
        <v>124.96000000000002</v>
      </c>
      <c r="K31" s="30">
        <f>J31*$Q$7+I31*$M$7+F31*$N$7</f>
        <v>157099.27464000002</v>
      </c>
      <c r="L31" s="37"/>
      <c r="M31" s="37"/>
      <c r="N31" s="37"/>
      <c r="O31" s="37"/>
      <c r="P31" s="49"/>
      <c r="Q31" s="37"/>
      <c r="R31" s="37"/>
    </row>
    <row r="32" spans="1:18" ht="15.5" x14ac:dyDescent="0.3">
      <c r="A32" s="48" t="s">
        <v>184</v>
      </c>
      <c r="B32" s="21">
        <v>11</v>
      </c>
      <c r="C32" s="21">
        <v>4</v>
      </c>
      <c r="D32" s="21">
        <f t="shared" si="14"/>
        <v>44</v>
      </c>
      <c r="E32" s="21">
        <f>E31</f>
        <v>14.200000000000001</v>
      </c>
      <c r="F32" s="93">
        <f t="shared" si="15"/>
        <v>624.80000000000007</v>
      </c>
      <c r="G32" s="21" t="s">
        <v>12</v>
      </c>
      <c r="H32" s="21" t="s">
        <v>12</v>
      </c>
      <c r="I32" s="33">
        <f t="shared" si="16"/>
        <v>31.240000000000006</v>
      </c>
      <c r="J32" s="33">
        <f t="shared" si="17"/>
        <v>62.480000000000011</v>
      </c>
      <c r="K32" s="30">
        <f>J32*$Q$7+I32*$M$7+F32*$N$7</f>
        <v>78549.637320000009</v>
      </c>
      <c r="L32" s="37"/>
      <c r="M32" s="37"/>
      <c r="N32" s="37"/>
      <c r="O32" s="37"/>
      <c r="P32" s="49"/>
      <c r="Q32" s="37"/>
      <c r="R32" s="37"/>
    </row>
    <row r="33" spans="1:18" ht="15.5" x14ac:dyDescent="0.3">
      <c r="A33" s="48" t="s">
        <v>185</v>
      </c>
      <c r="B33" s="21">
        <v>11</v>
      </c>
      <c r="C33" s="21">
        <v>4</v>
      </c>
      <c r="D33" s="21">
        <f t="shared" si="14"/>
        <v>44</v>
      </c>
      <c r="E33" s="53">
        <f>E32*0.05</f>
        <v>0.71000000000000008</v>
      </c>
      <c r="F33" s="93">
        <f>D33*E33</f>
        <v>31.240000000000002</v>
      </c>
      <c r="G33" s="21" t="s">
        <v>12</v>
      </c>
      <c r="H33" s="21" t="s">
        <v>12</v>
      </c>
      <c r="I33" s="32">
        <f t="shared" si="16"/>
        <v>1.5620000000000003</v>
      </c>
      <c r="J33" s="32">
        <f t="shared" si="17"/>
        <v>3.1240000000000006</v>
      </c>
      <c r="K33" s="30">
        <f>J33*$Q$7+I33*$M$7+F33*$N$7</f>
        <v>3927.4818660000001</v>
      </c>
      <c r="L33" s="37"/>
      <c r="M33" s="37"/>
      <c r="N33" s="37"/>
      <c r="O33" s="37"/>
      <c r="P33" s="49"/>
      <c r="Q33" s="37"/>
      <c r="R33" s="37"/>
    </row>
    <row r="34" spans="1:18" x14ac:dyDescent="0.3">
      <c r="A34" s="47" t="s">
        <v>22</v>
      </c>
      <c r="B34" s="21"/>
      <c r="C34" s="21"/>
      <c r="D34" s="21"/>
      <c r="E34" s="21"/>
      <c r="F34" s="93"/>
      <c r="G34" s="21"/>
      <c r="H34" s="21"/>
      <c r="I34" s="21"/>
      <c r="J34" s="21"/>
      <c r="K34" s="46"/>
      <c r="L34" s="37"/>
      <c r="M34" s="37"/>
      <c r="N34" s="37"/>
      <c r="O34" s="37"/>
      <c r="P34" s="49"/>
      <c r="Q34" s="37"/>
      <c r="R34" s="37"/>
    </row>
    <row r="35" spans="1:18" x14ac:dyDescent="0.3">
      <c r="A35" s="48" t="s">
        <v>18</v>
      </c>
      <c r="B35" s="21">
        <v>3</v>
      </c>
      <c r="C35" s="21">
        <f>C21</f>
        <v>1</v>
      </c>
      <c r="D35" s="21">
        <f t="shared" ref="D35:D38" si="20">B35*C35</f>
        <v>3</v>
      </c>
      <c r="E35" s="21">
        <f>E21</f>
        <v>142</v>
      </c>
      <c r="F35" s="93">
        <f t="shared" ref="F35:F38" si="21">D35*E35</f>
        <v>426</v>
      </c>
      <c r="G35" s="21" t="s">
        <v>12</v>
      </c>
      <c r="H35" s="21" t="s">
        <v>12</v>
      </c>
      <c r="I35" s="33">
        <f t="shared" ref="I35:I38" si="22">F35*0.05</f>
        <v>21.3</v>
      </c>
      <c r="J35" s="33">
        <f t="shared" ref="J35:J38" si="23">F35*0.1</f>
        <v>42.6</v>
      </c>
      <c r="K35" s="30">
        <f>J35*$Q$7+I35*$M$7+F35*$N$7</f>
        <v>53556.570899999999</v>
      </c>
      <c r="L35" s="37"/>
      <c r="M35" s="37"/>
      <c r="N35" s="37"/>
      <c r="O35" s="37"/>
      <c r="P35" s="49"/>
      <c r="Q35" s="37"/>
      <c r="R35" s="37"/>
    </row>
    <row r="36" spans="1:18" x14ac:dyDescent="0.3">
      <c r="A36" s="48" t="s">
        <v>25</v>
      </c>
      <c r="B36" s="21">
        <v>4</v>
      </c>
      <c r="C36" s="21">
        <f t="shared" ref="C36:C38" si="24">C22</f>
        <v>12</v>
      </c>
      <c r="D36" s="21">
        <f t="shared" si="20"/>
        <v>48</v>
      </c>
      <c r="E36" s="21">
        <f t="shared" ref="E36:E38" si="25">E22</f>
        <v>142</v>
      </c>
      <c r="F36" s="93">
        <f t="shared" si="21"/>
        <v>6816</v>
      </c>
      <c r="G36" s="21" t="s">
        <v>12</v>
      </c>
      <c r="H36" s="21" t="s">
        <v>12</v>
      </c>
      <c r="I36" s="33">
        <f t="shared" si="22"/>
        <v>340.8</v>
      </c>
      <c r="J36" s="33">
        <f t="shared" si="23"/>
        <v>681.6</v>
      </c>
      <c r="K36" s="30">
        <f>J36*$Q$7+I36*$M$7+F36*$N$7</f>
        <v>856905.13439999998</v>
      </c>
      <c r="L36" s="37"/>
      <c r="M36" s="37"/>
      <c r="N36" s="37"/>
      <c r="O36" s="37"/>
      <c r="P36" s="37"/>
      <c r="Q36" s="37"/>
      <c r="R36" s="37"/>
    </row>
    <row r="37" spans="1:18" x14ac:dyDescent="0.3">
      <c r="A37" s="48" t="s">
        <v>20</v>
      </c>
      <c r="B37" s="21">
        <v>1</v>
      </c>
      <c r="C37" s="21">
        <f t="shared" si="24"/>
        <v>11</v>
      </c>
      <c r="D37" s="21">
        <f t="shared" si="20"/>
        <v>11</v>
      </c>
      <c r="E37" s="21">
        <f t="shared" si="25"/>
        <v>142</v>
      </c>
      <c r="F37" s="93">
        <f t="shared" si="21"/>
        <v>1562</v>
      </c>
      <c r="G37" s="21" t="s">
        <v>12</v>
      </c>
      <c r="H37" s="21" t="s">
        <v>12</v>
      </c>
      <c r="I37" s="33">
        <f t="shared" si="22"/>
        <v>78.100000000000009</v>
      </c>
      <c r="J37" s="33">
        <f t="shared" si="23"/>
        <v>156.20000000000002</v>
      </c>
      <c r="K37" s="30">
        <f>J37*$Q$7+I37*$M$7+F37*$N$7</f>
        <v>196374.09330000001</v>
      </c>
      <c r="L37" s="37"/>
      <c r="M37" s="37"/>
      <c r="N37" s="37"/>
      <c r="O37" s="37"/>
      <c r="P37" s="37"/>
      <c r="Q37" s="37"/>
      <c r="R37" s="37"/>
    </row>
    <row r="38" spans="1:18" x14ac:dyDescent="0.3">
      <c r="A38" s="48" t="s">
        <v>26</v>
      </c>
      <c r="B38" s="21">
        <v>2</v>
      </c>
      <c r="C38" s="21">
        <f t="shared" si="24"/>
        <v>9</v>
      </c>
      <c r="D38" s="21">
        <f t="shared" si="20"/>
        <v>18</v>
      </c>
      <c r="E38" s="21">
        <f t="shared" si="25"/>
        <v>142</v>
      </c>
      <c r="F38" s="93">
        <f t="shared" si="21"/>
        <v>2556</v>
      </c>
      <c r="G38" s="21" t="s">
        <v>12</v>
      </c>
      <c r="H38" s="21" t="s">
        <v>12</v>
      </c>
      <c r="I38" s="33">
        <f t="shared" si="22"/>
        <v>127.80000000000001</v>
      </c>
      <c r="J38" s="33">
        <f t="shared" si="23"/>
        <v>255.60000000000002</v>
      </c>
      <c r="K38" s="30">
        <f>J38*$Q$7+I38*$M$7+F38*$N$7</f>
        <v>321339.42540000001</v>
      </c>
      <c r="L38" s="37"/>
      <c r="M38" s="37"/>
      <c r="N38" s="37"/>
      <c r="O38" s="37"/>
      <c r="P38" s="37"/>
      <c r="Q38" s="37"/>
      <c r="R38" s="37"/>
    </row>
    <row r="39" spans="1:18" ht="28.5" x14ac:dyDescent="0.3">
      <c r="A39" s="48" t="s">
        <v>186</v>
      </c>
      <c r="B39" s="21"/>
      <c r="C39" s="21"/>
      <c r="D39" s="21"/>
      <c r="E39" s="21"/>
      <c r="F39" s="93"/>
      <c r="G39" s="21"/>
      <c r="H39" s="21"/>
      <c r="I39" s="21"/>
      <c r="J39" s="21"/>
      <c r="K39" s="46"/>
      <c r="L39" s="37"/>
      <c r="M39" s="37"/>
      <c r="N39" s="37"/>
      <c r="O39" s="37"/>
      <c r="P39" s="37"/>
      <c r="Q39" s="37"/>
      <c r="R39" s="37"/>
    </row>
    <row r="40" spans="1:18" x14ac:dyDescent="0.3">
      <c r="A40" s="54" t="s">
        <v>14</v>
      </c>
      <c r="B40" s="21">
        <v>1</v>
      </c>
      <c r="C40" s="21">
        <v>36</v>
      </c>
      <c r="D40" s="21">
        <f t="shared" ref="D40:D41" si="26">B40*C40</f>
        <v>36</v>
      </c>
      <c r="E40" s="21">
        <f>'O&amp;M'!M17</f>
        <v>142</v>
      </c>
      <c r="F40" s="93">
        <f>$D40*$E40</f>
        <v>5112</v>
      </c>
      <c r="G40" s="21" t="s">
        <v>12</v>
      </c>
      <c r="H40" s="21" t="s">
        <v>12</v>
      </c>
      <c r="I40" s="21" t="s">
        <v>12</v>
      </c>
      <c r="J40" s="21" t="s">
        <v>12</v>
      </c>
      <c r="K40" s="30">
        <f>F40*N7</f>
        <v>578734.63199999998</v>
      </c>
      <c r="L40" s="37"/>
      <c r="M40" s="37"/>
      <c r="N40" s="37"/>
      <c r="O40" s="37"/>
      <c r="P40" s="37"/>
      <c r="Q40" s="37"/>
      <c r="R40" s="37"/>
    </row>
    <row r="41" spans="1:18" x14ac:dyDescent="0.3">
      <c r="A41" s="54" t="s">
        <v>27</v>
      </c>
      <c r="B41" s="21">
        <v>3</v>
      </c>
      <c r="C41" s="21">
        <v>36</v>
      </c>
      <c r="D41" s="21">
        <f t="shared" si="26"/>
        <v>108</v>
      </c>
      <c r="E41" s="21">
        <f>E40</f>
        <v>142</v>
      </c>
      <c r="F41" s="21" t="s">
        <v>12</v>
      </c>
      <c r="G41" s="21" t="s">
        <v>12</v>
      </c>
      <c r="H41" s="93">
        <f>$D41*$E41</f>
        <v>15336</v>
      </c>
      <c r="I41" s="21" t="s">
        <v>12</v>
      </c>
      <c r="J41" s="21" t="s">
        <v>12</v>
      </c>
      <c r="K41" s="30">
        <f>H41*O7</f>
        <v>1175182.344</v>
      </c>
      <c r="L41" s="37"/>
      <c r="M41" s="37"/>
      <c r="N41" s="37"/>
      <c r="O41" s="37"/>
      <c r="P41" s="37"/>
      <c r="Q41" s="37"/>
      <c r="R41" s="37"/>
    </row>
    <row r="42" spans="1:18" ht="28.5" x14ac:dyDescent="0.3">
      <c r="A42" s="48" t="s">
        <v>187</v>
      </c>
      <c r="B42" s="21"/>
      <c r="C42" s="21"/>
      <c r="D42" s="21"/>
      <c r="E42" s="21"/>
      <c r="F42" s="21"/>
      <c r="G42" s="21"/>
      <c r="H42" s="21"/>
      <c r="I42" s="21"/>
      <c r="J42" s="21"/>
      <c r="K42" s="46"/>
      <c r="L42" s="37"/>
      <c r="M42" s="37"/>
      <c r="N42" s="37"/>
      <c r="O42" s="37"/>
      <c r="P42" s="37"/>
      <c r="Q42" s="37"/>
      <c r="R42" s="37"/>
    </row>
    <row r="43" spans="1:18" x14ac:dyDescent="0.3">
      <c r="A43" s="55" t="s">
        <v>14</v>
      </c>
      <c r="B43" s="21">
        <v>1</v>
      </c>
      <c r="C43" s="21">
        <v>2</v>
      </c>
      <c r="D43" s="21">
        <f t="shared" ref="D43:D52" si="27">B43*C43</f>
        <v>2</v>
      </c>
      <c r="E43" s="21">
        <f>E40</f>
        <v>142</v>
      </c>
      <c r="F43" s="21">
        <f t="shared" ref="F43" si="28">D43*E43</f>
        <v>284</v>
      </c>
      <c r="G43" s="21" t="s">
        <v>12</v>
      </c>
      <c r="H43" s="21" t="s">
        <v>12</v>
      </c>
      <c r="I43" s="21" t="s">
        <v>12</v>
      </c>
      <c r="J43" s="21" t="s">
        <v>12</v>
      </c>
      <c r="K43" s="30">
        <f>F43*N7</f>
        <v>32151.923999999999</v>
      </c>
      <c r="L43" s="37"/>
      <c r="M43" s="37"/>
      <c r="N43" s="37"/>
      <c r="O43" s="37"/>
      <c r="P43" s="37"/>
      <c r="Q43" s="37"/>
      <c r="R43" s="37"/>
    </row>
    <row r="44" spans="1:18" x14ac:dyDescent="0.3">
      <c r="A44" s="55" t="s">
        <v>27</v>
      </c>
      <c r="B44" s="21">
        <v>3</v>
      </c>
      <c r="C44" s="21">
        <v>2</v>
      </c>
      <c r="D44" s="21">
        <f t="shared" si="27"/>
        <v>6</v>
      </c>
      <c r="E44" s="21">
        <f>E41</f>
        <v>142</v>
      </c>
      <c r="F44" s="21" t="s">
        <v>12</v>
      </c>
      <c r="G44" s="21" t="s">
        <v>12</v>
      </c>
      <c r="H44" s="21">
        <f>$D44*$E44</f>
        <v>852</v>
      </c>
      <c r="I44" s="21" t="s">
        <v>12</v>
      </c>
      <c r="J44" s="21" t="s">
        <v>12</v>
      </c>
      <c r="K44" s="30">
        <f>H44*O7</f>
        <v>65287.908000000003</v>
      </c>
      <c r="L44" s="37"/>
      <c r="M44" s="37"/>
      <c r="N44" s="37"/>
      <c r="O44" s="37"/>
      <c r="P44" s="37"/>
      <c r="Q44" s="37"/>
      <c r="R44" s="37"/>
    </row>
    <row r="45" spans="1:18" ht="15.5" x14ac:dyDescent="0.3">
      <c r="A45" s="48" t="s">
        <v>188</v>
      </c>
      <c r="B45" s="21">
        <v>40</v>
      </c>
      <c r="C45" s="21">
        <v>2</v>
      </c>
      <c r="D45" s="21">
        <f t="shared" si="27"/>
        <v>80</v>
      </c>
      <c r="E45" s="21">
        <f>E43</f>
        <v>142</v>
      </c>
      <c r="F45" s="21" t="s">
        <v>12</v>
      </c>
      <c r="G45" s="93">
        <f>$D45*$E45</f>
        <v>11360</v>
      </c>
      <c r="H45" s="21" t="s">
        <v>12</v>
      </c>
      <c r="I45" s="21" t="s">
        <v>12</v>
      </c>
      <c r="J45" s="21" t="s">
        <v>12</v>
      </c>
      <c r="K45" s="30">
        <f>G45*P7</f>
        <v>798698.87999999989</v>
      </c>
      <c r="L45" s="37"/>
      <c r="M45" s="37"/>
      <c r="N45" s="37"/>
      <c r="O45" s="37"/>
      <c r="P45" s="37"/>
      <c r="Q45" s="37"/>
      <c r="R45" s="37"/>
    </row>
    <row r="46" spans="1:18" ht="15.5" x14ac:dyDescent="0.3">
      <c r="A46" s="52" t="s">
        <v>189</v>
      </c>
      <c r="B46" s="21"/>
      <c r="C46" s="21"/>
      <c r="D46" s="21"/>
      <c r="E46" s="21"/>
      <c r="F46" s="56"/>
      <c r="G46" s="21"/>
      <c r="H46" s="21"/>
      <c r="I46" s="21"/>
      <c r="J46" s="21"/>
      <c r="K46" s="30"/>
      <c r="L46" s="37"/>
      <c r="M46" s="37"/>
      <c r="N46" s="37"/>
      <c r="O46" s="37"/>
      <c r="P46" s="37"/>
      <c r="Q46" s="37"/>
      <c r="R46" s="37"/>
    </row>
    <row r="47" spans="1:18" ht="15.5" x14ac:dyDescent="0.3">
      <c r="A47" s="48" t="s">
        <v>190</v>
      </c>
      <c r="B47" s="36">
        <v>7.4</v>
      </c>
      <c r="C47" s="36">
        <v>26</v>
      </c>
      <c r="D47" s="33">
        <f t="shared" si="27"/>
        <v>192.4</v>
      </c>
      <c r="E47" s="104">
        <f>'O&amp;M'!E51</f>
        <v>84</v>
      </c>
      <c r="F47" s="95">
        <f t="shared" ref="F47:F52" si="29">D47*E47</f>
        <v>16161.6</v>
      </c>
      <c r="G47" s="21" t="s">
        <v>12</v>
      </c>
      <c r="H47" s="21" t="s">
        <v>12</v>
      </c>
      <c r="I47" s="33">
        <f t="shared" ref="I47:I52" si="30">F47*0.05</f>
        <v>808.08</v>
      </c>
      <c r="J47" s="93">
        <f t="shared" ref="J47:J52" si="31">F47*0.1</f>
        <v>1616.16</v>
      </c>
      <c r="K47" s="30">
        <f>J47*$Q$7+I47*$M$7+F47*$N$7</f>
        <v>2031830.6954399999</v>
      </c>
      <c r="L47" s="37"/>
      <c r="M47" s="37"/>
      <c r="N47" s="37"/>
      <c r="O47" s="37"/>
      <c r="P47" s="37"/>
      <c r="Q47" s="37"/>
      <c r="R47" s="37"/>
    </row>
    <row r="48" spans="1:18" ht="15.5" x14ac:dyDescent="0.3">
      <c r="A48" s="48" t="s">
        <v>191</v>
      </c>
      <c r="B48" s="36">
        <v>9.8000000000000007</v>
      </c>
      <c r="C48" s="36">
        <v>26</v>
      </c>
      <c r="D48" s="33">
        <f t="shared" si="27"/>
        <v>254.8</v>
      </c>
      <c r="E48" s="104">
        <f>'O&amp;M'!E52</f>
        <v>27</v>
      </c>
      <c r="F48" s="95">
        <f t="shared" si="29"/>
        <v>6879.6</v>
      </c>
      <c r="G48" s="21" t="s">
        <v>12</v>
      </c>
      <c r="H48" s="21" t="s">
        <v>12</v>
      </c>
      <c r="I48" s="33">
        <f t="shared" si="30"/>
        <v>343.98</v>
      </c>
      <c r="J48" s="33">
        <f t="shared" si="31"/>
        <v>687.96</v>
      </c>
      <c r="K48" s="30">
        <f>J48*$Q$7+I48*$M$7+F48*$N$7</f>
        <v>864900.90414</v>
      </c>
      <c r="L48" s="37"/>
      <c r="M48" s="37"/>
      <c r="N48" s="37"/>
      <c r="O48" s="37"/>
      <c r="P48" s="37"/>
      <c r="Q48" s="37"/>
      <c r="R48" s="37"/>
    </row>
    <row r="49" spans="1:18" ht="15.5" x14ac:dyDescent="0.3">
      <c r="A49" s="48" t="s">
        <v>192</v>
      </c>
      <c r="B49" s="36">
        <v>11.6</v>
      </c>
      <c r="C49" s="36">
        <v>26</v>
      </c>
      <c r="D49" s="33">
        <f t="shared" si="27"/>
        <v>301.59999999999997</v>
      </c>
      <c r="E49" s="104">
        <f>'O&amp;M'!E53</f>
        <v>31</v>
      </c>
      <c r="F49" s="95">
        <f>D49*E49</f>
        <v>9349.5999999999985</v>
      </c>
      <c r="G49" s="21" t="s">
        <v>12</v>
      </c>
      <c r="H49" s="21" t="s">
        <v>12</v>
      </c>
      <c r="I49" s="33">
        <f t="shared" si="30"/>
        <v>467.47999999999996</v>
      </c>
      <c r="J49" s="33">
        <f t="shared" si="31"/>
        <v>934.95999999999992</v>
      </c>
      <c r="K49" s="30">
        <f>J49*$Q$7+I49*$M$7+F49*$N$7</f>
        <v>1175428.4396399998</v>
      </c>
      <c r="L49" s="37"/>
      <c r="M49" s="37"/>
      <c r="N49" s="37"/>
      <c r="O49" s="37"/>
      <c r="P49" s="37"/>
      <c r="Q49" s="37"/>
      <c r="R49" s="37"/>
    </row>
    <row r="50" spans="1:18" ht="28.5" x14ac:dyDescent="0.3">
      <c r="A50" s="48" t="s">
        <v>193</v>
      </c>
      <c r="B50" s="36">
        <v>40</v>
      </c>
      <c r="C50" s="36">
        <v>1</v>
      </c>
      <c r="D50" s="21">
        <f t="shared" si="27"/>
        <v>40</v>
      </c>
      <c r="E50" s="36">
        <v>0</v>
      </c>
      <c r="F50" s="31">
        <f t="shared" si="29"/>
        <v>0</v>
      </c>
      <c r="G50" s="21" t="s">
        <v>12</v>
      </c>
      <c r="H50" s="21" t="s">
        <v>12</v>
      </c>
      <c r="I50" s="33">
        <f t="shared" si="30"/>
        <v>0</v>
      </c>
      <c r="J50" s="33">
        <f t="shared" si="31"/>
        <v>0</v>
      </c>
      <c r="K50" s="42">
        <f>J50*$Q$7+I50*$M$7+F50*$N$7</f>
        <v>0</v>
      </c>
      <c r="L50" s="37"/>
      <c r="M50" s="37"/>
      <c r="N50" s="37"/>
      <c r="O50" s="37"/>
      <c r="P50" s="37"/>
      <c r="Q50" s="37"/>
      <c r="R50" s="37"/>
    </row>
    <row r="51" spans="1:18" ht="15.5" x14ac:dyDescent="0.3">
      <c r="A51" s="57" t="s">
        <v>194</v>
      </c>
      <c r="B51" s="36" t="s">
        <v>76</v>
      </c>
      <c r="C51" s="36" t="s">
        <v>76</v>
      </c>
      <c r="D51" s="21">
        <v>2.66</v>
      </c>
      <c r="E51" s="36">
        <f>'O&amp;M'!M17</f>
        <v>142</v>
      </c>
      <c r="F51" s="31">
        <f t="shared" si="29"/>
        <v>377.72</v>
      </c>
      <c r="G51" s="21" t="s">
        <v>12</v>
      </c>
      <c r="H51" s="21" t="s">
        <v>12</v>
      </c>
      <c r="I51" s="33">
        <f t="shared" si="30"/>
        <v>18.886000000000003</v>
      </c>
      <c r="J51" s="33">
        <f t="shared" si="31"/>
        <v>37.772000000000006</v>
      </c>
      <c r="K51" s="30">
        <f t="shared" ref="K51:K52" si="32">J51*$Q$7+I51*$M$7+F51*$N$7</f>
        <v>47486.826198000002</v>
      </c>
      <c r="L51" s="37"/>
      <c r="M51" s="37"/>
      <c r="N51" s="37"/>
      <c r="O51" s="37"/>
      <c r="P51" s="37"/>
      <c r="Q51" s="37"/>
      <c r="R51" s="37"/>
    </row>
    <row r="52" spans="1:18" ht="15.5" x14ac:dyDescent="0.3">
      <c r="A52" s="48" t="s">
        <v>195</v>
      </c>
      <c r="B52" s="36">
        <v>0.4</v>
      </c>
      <c r="C52" s="36">
        <v>365</v>
      </c>
      <c r="D52" s="21">
        <f t="shared" si="27"/>
        <v>146</v>
      </c>
      <c r="E52" s="36">
        <f>E51</f>
        <v>142</v>
      </c>
      <c r="F52" s="95">
        <f t="shared" si="29"/>
        <v>20732</v>
      </c>
      <c r="G52" s="21" t="s">
        <v>12</v>
      </c>
      <c r="H52" s="21" t="s">
        <v>12</v>
      </c>
      <c r="I52" s="93">
        <f t="shared" si="30"/>
        <v>1036.6000000000001</v>
      </c>
      <c r="J52" s="93">
        <f t="shared" si="31"/>
        <v>2073.2000000000003</v>
      </c>
      <c r="K52" s="30">
        <f t="shared" si="32"/>
        <v>2606419.7837999999</v>
      </c>
      <c r="L52" s="37"/>
      <c r="M52" s="37"/>
      <c r="N52" s="37"/>
      <c r="O52" s="37"/>
      <c r="P52" s="37"/>
      <c r="Q52" s="37"/>
      <c r="R52" s="37"/>
    </row>
    <row r="53" spans="1:18" x14ac:dyDescent="0.3">
      <c r="A53" s="41" t="s">
        <v>28</v>
      </c>
      <c r="B53" s="21" t="s">
        <v>29</v>
      </c>
      <c r="C53" s="40"/>
      <c r="D53" s="40"/>
      <c r="E53" s="40"/>
      <c r="F53" s="40"/>
      <c r="G53" s="40"/>
      <c r="H53" s="40"/>
      <c r="I53" s="40"/>
      <c r="J53" s="40"/>
      <c r="K53" s="46"/>
      <c r="L53" s="37"/>
      <c r="M53" s="37"/>
      <c r="N53" s="37"/>
      <c r="O53" s="37"/>
      <c r="P53" s="37"/>
      <c r="Q53" s="37"/>
      <c r="R53" s="37"/>
    </row>
    <row r="54" spans="1:18" x14ac:dyDescent="0.3">
      <c r="A54" s="41" t="s">
        <v>30</v>
      </c>
      <c r="B54" s="21" t="s">
        <v>29</v>
      </c>
      <c r="C54" s="40"/>
      <c r="D54" s="40"/>
      <c r="E54" s="40"/>
      <c r="F54" s="40"/>
      <c r="G54" s="40"/>
      <c r="H54" s="40"/>
      <c r="I54" s="40"/>
      <c r="J54" s="40"/>
      <c r="K54" s="46"/>
      <c r="L54" s="37"/>
      <c r="M54" s="37"/>
      <c r="N54" s="37"/>
      <c r="O54" s="37"/>
      <c r="P54" s="37"/>
      <c r="Q54" s="37"/>
      <c r="R54" s="37"/>
    </row>
    <row r="55" spans="1:18" ht="15.5" x14ac:dyDescent="0.3">
      <c r="A55" s="41" t="s">
        <v>196</v>
      </c>
      <c r="B55" s="21"/>
      <c r="C55" s="21"/>
      <c r="D55" s="21"/>
      <c r="E55" s="21"/>
      <c r="F55" s="21"/>
      <c r="G55" s="21"/>
      <c r="H55" s="21"/>
      <c r="I55" s="21"/>
      <c r="J55" s="21"/>
      <c r="K55" s="46"/>
      <c r="L55" s="37"/>
      <c r="M55" s="37"/>
      <c r="N55" s="37"/>
      <c r="O55" s="37"/>
      <c r="P55" s="37"/>
      <c r="Q55" s="37"/>
      <c r="R55" s="37"/>
    </row>
    <row r="56" spans="1:18" ht="15.5" x14ac:dyDescent="0.3">
      <c r="A56" s="52" t="s">
        <v>197</v>
      </c>
      <c r="B56" s="21"/>
      <c r="C56" s="21"/>
      <c r="D56" s="21"/>
      <c r="E56" s="21"/>
      <c r="F56" s="21"/>
      <c r="G56" s="21"/>
      <c r="H56" s="21"/>
      <c r="I56" s="21"/>
      <c r="J56" s="21"/>
      <c r="K56" s="46"/>
      <c r="L56" s="37"/>
      <c r="M56" s="37"/>
      <c r="N56" s="37"/>
      <c r="O56" s="37"/>
      <c r="P56" s="37"/>
      <c r="Q56" s="37"/>
      <c r="R56" s="37"/>
    </row>
    <row r="57" spans="1:18" x14ac:dyDescent="0.3">
      <c r="A57" s="48" t="s">
        <v>31</v>
      </c>
      <c r="B57" s="21">
        <v>1</v>
      </c>
      <c r="C57" s="21">
        <f>C17</f>
        <v>12</v>
      </c>
      <c r="D57" s="21">
        <f t="shared" ref="D57:D62" si="33">B57*C57</f>
        <v>12</v>
      </c>
      <c r="E57" s="21">
        <f>E17</f>
        <v>14.200000000000001</v>
      </c>
      <c r="F57" s="33">
        <f t="shared" ref="F57:F62" si="34">D57*E57</f>
        <v>170.4</v>
      </c>
      <c r="G57" s="21" t="s">
        <v>12</v>
      </c>
      <c r="H57" s="21" t="s">
        <v>12</v>
      </c>
      <c r="I57" s="32">
        <f t="shared" ref="I57:I62" si="35">F57*0.05</f>
        <v>8.5200000000000014</v>
      </c>
      <c r="J57" s="33">
        <f t="shared" ref="J57:J62" si="36">F57*0.1</f>
        <v>17.040000000000003</v>
      </c>
      <c r="K57" s="30">
        <f t="shared" ref="K57:K62" si="37">J57*$Q$7+I57*$M$7+F57*$N$7</f>
        <v>21422.628359999999</v>
      </c>
      <c r="L57" s="37"/>
      <c r="M57" s="37"/>
      <c r="N57" s="37"/>
      <c r="O57" s="37"/>
      <c r="P57" s="37"/>
      <c r="Q57" s="37"/>
      <c r="R57" s="37"/>
    </row>
    <row r="58" spans="1:18" x14ac:dyDescent="0.3">
      <c r="A58" s="48" t="s">
        <v>32</v>
      </c>
      <c r="B58" s="21">
        <v>4</v>
      </c>
      <c r="C58" s="21">
        <f>C18</f>
        <v>11</v>
      </c>
      <c r="D58" s="21">
        <f t="shared" si="33"/>
        <v>44</v>
      </c>
      <c r="E58" s="21">
        <f>E18</f>
        <v>14.200000000000001</v>
      </c>
      <c r="F58" s="33">
        <f t="shared" si="34"/>
        <v>624.80000000000007</v>
      </c>
      <c r="G58" s="21" t="s">
        <v>12</v>
      </c>
      <c r="H58" s="21" t="s">
        <v>12</v>
      </c>
      <c r="I58" s="33">
        <f t="shared" si="35"/>
        <v>31.240000000000006</v>
      </c>
      <c r="J58" s="33">
        <f t="shared" si="36"/>
        <v>62.480000000000011</v>
      </c>
      <c r="K58" s="30">
        <f t="shared" si="37"/>
        <v>78549.637320000009</v>
      </c>
      <c r="L58" s="37"/>
      <c r="M58" s="37"/>
      <c r="N58" s="37"/>
      <c r="O58" s="37"/>
      <c r="P58" s="37"/>
      <c r="Q58" s="37"/>
      <c r="R58" s="37"/>
    </row>
    <row r="59" spans="1:18" x14ac:dyDescent="0.3">
      <c r="A59" s="48" t="s">
        <v>33</v>
      </c>
      <c r="B59" s="21">
        <v>1</v>
      </c>
      <c r="C59" s="21">
        <f>C19</f>
        <v>9</v>
      </c>
      <c r="D59" s="21">
        <f t="shared" si="33"/>
        <v>9</v>
      </c>
      <c r="E59" s="21">
        <f>E19</f>
        <v>14.200000000000001</v>
      </c>
      <c r="F59" s="33">
        <f t="shared" si="34"/>
        <v>127.80000000000001</v>
      </c>
      <c r="G59" s="21" t="s">
        <v>12</v>
      </c>
      <c r="H59" s="21" t="s">
        <v>12</v>
      </c>
      <c r="I59" s="32">
        <f t="shared" si="35"/>
        <v>6.3900000000000006</v>
      </c>
      <c r="J59" s="33">
        <f t="shared" si="36"/>
        <v>12.780000000000001</v>
      </c>
      <c r="K59" s="30">
        <f t="shared" si="37"/>
        <v>16066.971270000002</v>
      </c>
      <c r="L59" s="37"/>
      <c r="M59" s="37"/>
      <c r="N59" s="37"/>
      <c r="O59" s="37"/>
      <c r="P59" s="37"/>
      <c r="Q59" s="37"/>
      <c r="R59" s="37"/>
    </row>
    <row r="60" spans="1:18" x14ac:dyDescent="0.3">
      <c r="A60" s="48" t="s">
        <v>34</v>
      </c>
      <c r="B60" s="21">
        <v>1</v>
      </c>
      <c r="C60" s="21">
        <v>3</v>
      </c>
      <c r="D60" s="21">
        <f t="shared" si="33"/>
        <v>3</v>
      </c>
      <c r="E60" s="21">
        <f>E57</f>
        <v>14.200000000000001</v>
      </c>
      <c r="F60" s="33">
        <f t="shared" si="34"/>
        <v>42.6</v>
      </c>
      <c r="G60" s="21" t="s">
        <v>12</v>
      </c>
      <c r="H60" s="21" t="s">
        <v>12</v>
      </c>
      <c r="I60" s="32">
        <f t="shared" si="35"/>
        <v>2.1300000000000003</v>
      </c>
      <c r="J60" s="32">
        <f t="shared" si="36"/>
        <v>4.2600000000000007</v>
      </c>
      <c r="K60" s="30">
        <f t="shared" si="37"/>
        <v>5355.6570899999997</v>
      </c>
      <c r="L60" s="37"/>
      <c r="M60" s="37"/>
      <c r="N60" s="37"/>
      <c r="O60" s="37"/>
      <c r="P60" s="37"/>
      <c r="Q60" s="37"/>
      <c r="R60" s="37"/>
    </row>
    <row r="61" spans="1:18" x14ac:dyDescent="0.3">
      <c r="A61" s="52" t="s">
        <v>35</v>
      </c>
      <c r="B61" s="21">
        <v>1</v>
      </c>
      <c r="C61" s="21">
        <f>C57</f>
        <v>12</v>
      </c>
      <c r="D61" s="21">
        <f t="shared" si="33"/>
        <v>12</v>
      </c>
      <c r="E61" s="21">
        <f>E60</f>
        <v>14.200000000000001</v>
      </c>
      <c r="F61" s="33">
        <f>D61*E61</f>
        <v>170.4</v>
      </c>
      <c r="G61" s="21" t="s">
        <v>12</v>
      </c>
      <c r="H61" s="21" t="s">
        <v>12</v>
      </c>
      <c r="I61" s="32">
        <f t="shared" si="35"/>
        <v>8.5200000000000014</v>
      </c>
      <c r="J61" s="33">
        <f t="shared" si="36"/>
        <v>17.040000000000003</v>
      </c>
      <c r="K61" s="30">
        <f t="shared" si="37"/>
        <v>21422.628359999999</v>
      </c>
      <c r="L61" s="37"/>
      <c r="M61" s="37"/>
      <c r="N61" s="37"/>
      <c r="O61" s="37"/>
      <c r="P61" s="37"/>
      <c r="Q61" s="37"/>
      <c r="R61" s="37"/>
    </row>
    <row r="62" spans="1:18" ht="28.5" x14ac:dyDescent="0.3">
      <c r="A62" s="52" t="s">
        <v>198</v>
      </c>
      <c r="B62" s="21">
        <v>4</v>
      </c>
      <c r="C62" s="21">
        <v>4</v>
      </c>
      <c r="D62" s="21">
        <f t="shared" si="33"/>
        <v>16</v>
      </c>
      <c r="E62" s="21">
        <f>E61</f>
        <v>14.200000000000001</v>
      </c>
      <c r="F62" s="33">
        <f t="shared" si="34"/>
        <v>227.20000000000002</v>
      </c>
      <c r="G62" s="21" t="s">
        <v>12</v>
      </c>
      <c r="H62" s="21" t="s">
        <v>12</v>
      </c>
      <c r="I62" s="33">
        <f t="shared" si="35"/>
        <v>11.360000000000001</v>
      </c>
      <c r="J62" s="33">
        <f t="shared" si="36"/>
        <v>22.720000000000002</v>
      </c>
      <c r="K62" s="30">
        <f t="shared" si="37"/>
        <v>28563.504480000003</v>
      </c>
      <c r="L62" s="37"/>
      <c r="M62" s="37"/>
      <c r="N62" s="37"/>
      <c r="O62" s="37"/>
      <c r="P62" s="37"/>
      <c r="Q62" s="37"/>
      <c r="R62" s="37"/>
    </row>
    <row r="63" spans="1:18" ht="15.5" x14ac:dyDescent="0.3">
      <c r="A63" s="52" t="s">
        <v>199</v>
      </c>
      <c r="B63" s="21" t="s">
        <v>29</v>
      </c>
      <c r="C63" s="21"/>
      <c r="D63" s="21"/>
      <c r="E63" s="21"/>
      <c r="F63" s="21"/>
      <c r="G63" s="21"/>
      <c r="H63" s="21"/>
      <c r="I63" s="21"/>
      <c r="J63" s="21"/>
      <c r="K63" s="40"/>
      <c r="L63" s="37"/>
      <c r="M63" s="37"/>
      <c r="N63" s="37"/>
      <c r="O63" s="37"/>
      <c r="P63" s="37"/>
      <c r="Q63" s="37"/>
      <c r="R63" s="37"/>
    </row>
    <row r="64" spans="1:18" ht="15.5" x14ac:dyDescent="0.3">
      <c r="A64" s="52" t="s">
        <v>200</v>
      </c>
      <c r="B64" s="36"/>
      <c r="C64" s="36"/>
      <c r="D64" s="36"/>
      <c r="E64" s="36"/>
      <c r="F64" s="31"/>
      <c r="G64" s="21"/>
      <c r="H64" s="21"/>
      <c r="I64" s="33"/>
      <c r="J64" s="33"/>
      <c r="K64" s="30"/>
      <c r="L64" s="37"/>
      <c r="M64" s="37"/>
      <c r="N64" s="37"/>
      <c r="O64" s="37"/>
      <c r="P64" s="37"/>
      <c r="Q64" s="37"/>
      <c r="R64" s="37"/>
    </row>
    <row r="65" spans="1:18" x14ac:dyDescent="0.3">
      <c r="A65" s="48" t="s">
        <v>78</v>
      </c>
      <c r="B65" s="36">
        <v>1</v>
      </c>
      <c r="C65" s="36">
        <v>2.67</v>
      </c>
      <c r="D65" s="36">
        <v>2.67</v>
      </c>
      <c r="E65" s="36">
        <v>0</v>
      </c>
      <c r="F65" s="31">
        <f t="shared" ref="F65:F67" si="38">D65*E65</f>
        <v>0</v>
      </c>
      <c r="G65" s="21" t="s">
        <v>12</v>
      </c>
      <c r="H65" s="21" t="s">
        <v>12</v>
      </c>
      <c r="I65" s="33">
        <f t="shared" ref="I65:I67" si="39">F65*0.05</f>
        <v>0</v>
      </c>
      <c r="J65" s="33">
        <f t="shared" ref="J65:J67" si="40">F65*0.1</f>
        <v>0</v>
      </c>
      <c r="K65" s="42">
        <f t="shared" ref="K65:K67" si="41">J65*$Q$7+I65*$M$7+F65*$N$7</f>
        <v>0</v>
      </c>
      <c r="L65" s="37"/>
      <c r="M65" s="37"/>
      <c r="N65" s="37"/>
      <c r="O65" s="37"/>
      <c r="P65" s="37"/>
      <c r="Q65" s="37"/>
      <c r="R65" s="37"/>
    </row>
    <row r="66" spans="1:18" x14ac:dyDescent="0.3">
      <c r="A66" s="48" t="s">
        <v>79</v>
      </c>
      <c r="B66" s="36">
        <v>1</v>
      </c>
      <c r="C66" s="36">
        <v>2</v>
      </c>
      <c r="D66" s="36">
        <v>2</v>
      </c>
      <c r="E66" s="36">
        <v>0</v>
      </c>
      <c r="F66" s="31">
        <f t="shared" si="38"/>
        <v>0</v>
      </c>
      <c r="G66" s="21" t="s">
        <v>12</v>
      </c>
      <c r="H66" s="21" t="s">
        <v>12</v>
      </c>
      <c r="I66" s="33">
        <f t="shared" si="39"/>
        <v>0</v>
      </c>
      <c r="J66" s="33">
        <f t="shared" si="40"/>
        <v>0</v>
      </c>
      <c r="K66" s="42">
        <f t="shared" si="41"/>
        <v>0</v>
      </c>
      <c r="L66" s="37"/>
      <c r="M66" s="37"/>
      <c r="N66" s="37"/>
      <c r="O66" s="37"/>
      <c r="P66" s="37"/>
      <c r="Q66" s="37"/>
      <c r="R66" s="37"/>
    </row>
    <row r="67" spans="1:18" x14ac:dyDescent="0.3">
      <c r="A67" s="48" t="s">
        <v>80</v>
      </c>
      <c r="B67" s="36">
        <v>0.5</v>
      </c>
      <c r="C67" s="36">
        <v>1</v>
      </c>
      <c r="D67" s="36">
        <v>0.5</v>
      </c>
      <c r="E67" s="36">
        <v>0</v>
      </c>
      <c r="F67" s="31">
        <f t="shared" si="38"/>
        <v>0</v>
      </c>
      <c r="G67" s="21" t="s">
        <v>12</v>
      </c>
      <c r="H67" s="21" t="s">
        <v>12</v>
      </c>
      <c r="I67" s="33">
        <f t="shared" si="39"/>
        <v>0</v>
      </c>
      <c r="J67" s="33">
        <f t="shared" si="40"/>
        <v>0</v>
      </c>
      <c r="K67" s="42">
        <f t="shared" si="41"/>
        <v>0</v>
      </c>
      <c r="L67" s="37"/>
      <c r="M67" s="37"/>
      <c r="N67" s="37"/>
      <c r="O67" s="37"/>
      <c r="P67" s="37"/>
      <c r="Q67" s="37"/>
      <c r="R67" s="37"/>
    </row>
    <row r="68" spans="1:18" ht="15.5" x14ac:dyDescent="0.3">
      <c r="A68" s="52" t="s">
        <v>201</v>
      </c>
      <c r="B68" s="21"/>
      <c r="C68" s="21"/>
      <c r="D68" s="21"/>
      <c r="E68" s="21"/>
      <c r="F68" s="21"/>
      <c r="G68" s="21"/>
      <c r="H68" s="21"/>
      <c r="I68" s="21"/>
      <c r="J68" s="21"/>
      <c r="K68" s="21"/>
      <c r="L68" s="37"/>
      <c r="M68" s="37"/>
      <c r="N68" s="37"/>
      <c r="O68" s="37"/>
      <c r="P68" s="37"/>
      <c r="Q68" s="37"/>
      <c r="R68" s="37"/>
    </row>
    <row r="69" spans="1:18" ht="15.5" x14ac:dyDescent="0.3">
      <c r="A69" s="48" t="s">
        <v>202</v>
      </c>
      <c r="B69" s="21">
        <v>18</v>
      </c>
      <c r="C69" s="21">
        <v>2</v>
      </c>
      <c r="D69" s="21">
        <f t="shared" ref="D69:D80" si="42">B69*C69</f>
        <v>36</v>
      </c>
      <c r="E69" s="21">
        <f>'O&amp;M'!M17</f>
        <v>142</v>
      </c>
      <c r="F69" s="93">
        <f t="shared" ref="F69:F74" si="43">D69*E69</f>
        <v>5112</v>
      </c>
      <c r="G69" s="21" t="s">
        <v>12</v>
      </c>
      <c r="H69" s="21" t="s">
        <v>12</v>
      </c>
      <c r="I69" s="33">
        <f t="shared" ref="I69:I74" si="44">F69*0.05</f>
        <v>255.60000000000002</v>
      </c>
      <c r="J69" s="33">
        <f t="shared" ref="J69:J74" si="45">F69*0.1</f>
        <v>511.20000000000005</v>
      </c>
      <c r="K69" s="58">
        <f t="shared" ref="K69:K74" si="46">J69*$Q$7+I69*$M$7+F69*$N$7</f>
        <v>642678.85080000001</v>
      </c>
      <c r="L69" s="37"/>
      <c r="M69" s="37"/>
      <c r="N69" s="37"/>
      <c r="O69" s="37"/>
      <c r="P69" s="37"/>
      <c r="Q69" s="37"/>
      <c r="R69" s="37"/>
    </row>
    <row r="70" spans="1:18" ht="15.5" x14ac:dyDescent="0.3">
      <c r="A70" s="48" t="s">
        <v>203</v>
      </c>
      <c r="B70" s="21">
        <v>1</v>
      </c>
      <c r="C70" s="21">
        <v>18</v>
      </c>
      <c r="D70" s="21">
        <f t="shared" si="42"/>
        <v>18</v>
      </c>
      <c r="E70" s="21">
        <f>E69</f>
        <v>142</v>
      </c>
      <c r="F70" s="93">
        <f t="shared" si="43"/>
        <v>2556</v>
      </c>
      <c r="G70" s="21" t="s">
        <v>12</v>
      </c>
      <c r="H70" s="21" t="s">
        <v>12</v>
      </c>
      <c r="I70" s="33">
        <f t="shared" si="44"/>
        <v>127.80000000000001</v>
      </c>
      <c r="J70" s="33">
        <f t="shared" si="45"/>
        <v>255.60000000000002</v>
      </c>
      <c r="K70" s="58">
        <f t="shared" si="46"/>
        <v>321339.42540000001</v>
      </c>
      <c r="L70" s="37"/>
      <c r="M70" s="37"/>
      <c r="N70" s="37"/>
      <c r="O70" s="37"/>
      <c r="P70" s="37"/>
      <c r="Q70" s="37"/>
      <c r="R70" s="37"/>
    </row>
    <row r="71" spans="1:18" ht="15.5" x14ac:dyDescent="0.3">
      <c r="A71" s="48" t="s">
        <v>204</v>
      </c>
      <c r="B71" s="21">
        <v>3</v>
      </c>
      <c r="C71" s="21">
        <v>2</v>
      </c>
      <c r="D71" s="21">
        <f t="shared" si="42"/>
        <v>6</v>
      </c>
      <c r="E71" s="21">
        <f t="shared" ref="E71:E79" si="47">E70</f>
        <v>142</v>
      </c>
      <c r="F71" s="93">
        <f t="shared" si="43"/>
        <v>852</v>
      </c>
      <c r="G71" s="21" t="s">
        <v>12</v>
      </c>
      <c r="H71" s="21" t="s">
        <v>12</v>
      </c>
      <c r="I71" s="33">
        <f t="shared" si="44"/>
        <v>42.6</v>
      </c>
      <c r="J71" s="33">
        <f t="shared" si="45"/>
        <v>85.2</v>
      </c>
      <c r="K71" s="58">
        <f t="shared" si="46"/>
        <v>107113.1418</v>
      </c>
      <c r="L71" s="37"/>
      <c r="M71" s="37"/>
      <c r="N71" s="37"/>
      <c r="O71" s="37"/>
      <c r="P71" s="37"/>
      <c r="Q71" s="37"/>
      <c r="R71" s="37"/>
    </row>
    <row r="72" spans="1:18" ht="15.5" x14ac:dyDescent="0.3">
      <c r="A72" s="48" t="s">
        <v>205</v>
      </c>
      <c r="B72" s="21">
        <v>3</v>
      </c>
      <c r="C72" s="21">
        <v>22</v>
      </c>
      <c r="D72" s="21">
        <f t="shared" si="42"/>
        <v>66</v>
      </c>
      <c r="E72" s="21">
        <f t="shared" si="47"/>
        <v>142</v>
      </c>
      <c r="F72" s="93">
        <f t="shared" si="43"/>
        <v>9372</v>
      </c>
      <c r="G72" s="21" t="s">
        <v>12</v>
      </c>
      <c r="H72" s="21" t="s">
        <v>12</v>
      </c>
      <c r="I72" s="33">
        <f t="shared" si="44"/>
        <v>468.6</v>
      </c>
      <c r="J72" s="33">
        <f t="shared" si="45"/>
        <v>937.2</v>
      </c>
      <c r="K72" s="58">
        <f t="shared" si="46"/>
        <v>1178244.5598000002</v>
      </c>
      <c r="L72" s="37"/>
      <c r="M72" s="37"/>
      <c r="N72" s="37"/>
      <c r="O72" s="37"/>
      <c r="P72" s="37"/>
      <c r="Q72" s="37"/>
      <c r="R72" s="37"/>
    </row>
    <row r="73" spans="1:18" ht="15.5" x14ac:dyDescent="0.3">
      <c r="A73" s="48" t="s">
        <v>206</v>
      </c>
      <c r="B73" s="21">
        <v>1.5</v>
      </c>
      <c r="C73" s="21">
        <v>8</v>
      </c>
      <c r="D73" s="21">
        <f t="shared" si="42"/>
        <v>12</v>
      </c>
      <c r="E73" s="21">
        <f t="shared" si="47"/>
        <v>142</v>
      </c>
      <c r="F73" s="93">
        <f t="shared" si="43"/>
        <v>1704</v>
      </c>
      <c r="G73" s="21" t="s">
        <v>12</v>
      </c>
      <c r="H73" s="21" t="s">
        <v>12</v>
      </c>
      <c r="I73" s="33">
        <f t="shared" si="44"/>
        <v>85.2</v>
      </c>
      <c r="J73" s="33">
        <f t="shared" si="45"/>
        <v>170.4</v>
      </c>
      <c r="K73" s="58">
        <f t="shared" si="46"/>
        <v>214226.2836</v>
      </c>
      <c r="L73" s="37"/>
      <c r="M73" s="37"/>
      <c r="N73" s="37"/>
      <c r="O73" s="37"/>
      <c r="P73" s="37"/>
      <c r="Q73" s="37"/>
      <c r="R73" s="37"/>
    </row>
    <row r="74" spans="1:18" ht="15.5" x14ac:dyDescent="0.3">
      <c r="A74" s="48" t="s">
        <v>207</v>
      </c>
      <c r="B74" s="21">
        <v>2</v>
      </c>
      <c r="C74" s="21">
        <v>6</v>
      </c>
      <c r="D74" s="21">
        <f t="shared" si="42"/>
        <v>12</v>
      </c>
      <c r="E74" s="21">
        <f t="shared" si="47"/>
        <v>142</v>
      </c>
      <c r="F74" s="93">
        <f t="shared" si="43"/>
        <v>1704</v>
      </c>
      <c r="G74" s="21" t="s">
        <v>12</v>
      </c>
      <c r="H74" s="21" t="s">
        <v>12</v>
      </c>
      <c r="I74" s="33">
        <f t="shared" si="44"/>
        <v>85.2</v>
      </c>
      <c r="J74" s="33">
        <f t="shared" si="45"/>
        <v>170.4</v>
      </c>
      <c r="K74" s="58">
        <f t="shared" si="46"/>
        <v>214226.2836</v>
      </c>
      <c r="L74" s="37"/>
      <c r="M74" s="37"/>
      <c r="N74" s="37"/>
      <c r="O74" s="37"/>
      <c r="P74" s="37"/>
      <c r="Q74" s="37"/>
      <c r="R74" s="37"/>
    </row>
    <row r="75" spans="1:18" ht="15.5" x14ac:dyDescent="0.3">
      <c r="A75" s="48" t="s">
        <v>208</v>
      </c>
      <c r="B75" s="36">
        <v>5.11E-3</v>
      </c>
      <c r="C75" s="36">
        <v>2</v>
      </c>
      <c r="D75" s="21">
        <f t="shared" si="42"/>
        <v>1.022E-2</v>
      </c>
      <c r="E75" s="21">
        <f t="shared" si="47"/>
        <v>142</v>
      </c>
      <c r="F75" s="95">
        <f t="shared" ref="F75:F80" si="48">D75*E75</f>
        <v>1.4512400000000001</v>
      </c>
      <c r="G75" s="21" t="s">
        <v>12</v>
      </c>
      <c r="H75" s="21" t="s">
        <v>12</v>
      </c>
      <c r="I75" s="53">
        <f t="shared" ref="I75:I80" si="49">F75*0.05</f>
        <v>7.2562000000000001E-2</v>
      </c>
      <c r="J75" s="53">
        <f t="shared" ref="J75:J80" si="50">F75*0.1</f>
        <v>0.145124</v>
      </c>
      <c r="K75" s="30">
        <f t="shared" ref="K75:K80" si="51">J75*$Q$7+I75*$M$7+F75*$N$7</f>
        <v>182.449384866</v>
      </c>
      <c r="L75" s="37"/>
      <c r="M75" s="37"/>
      <c r="N75" s="37"/>
      <c r="O75" s="37"/>
      <c r="P75" s="37"/>
      <c r="Q75" s="37"/>
      <c r="R75" s="37"/>
    </row>
    <row r="76" spans="1:18" ht="15.5" x14ac:dyDescent="0.3">
      <c r="A76" s="48" t="s">
        <v>209</v>
      </c>
      <c r="B76" s="36">
        <v>0.5</v>
      </c>
      <c r="C76" s="36">
        <v>2</v>
      </c>
      <c r="D76" s="21">
        <f t="shared" si="42"/>
        <v>1</v>
      </c>
      <c r="E76" s="21">
        <f t="shared" si="47"/>
        <v>142</v>
      </c>
      <c r="F76" s="95">
        <f t="shared" si="48"/>
        <v>142</v>
      </c>
      <c r="G76" s="21" t="s">
        <v>12</v>
      </c>
      <c r="H76" s="21" t="s">
        <v>12</v>
      </c>
      <c r="I76" s="33">
        <f t="shared" si="49"/>
        <v>7.1000000000000005</v>
      </c>
      <c r="J76" s="33">
        <f t="shared" si="50"/>
        <v>14.200000000000001</v>
      </c>
      <c r="K76" s="30">
        <f t="shared" si="51"/>
        <v>17852.190299999998</v>
      </c>
      <c r="L76" s="37"/>
      <c r="M76" s="37"/>
      <c r="N76" s="37"/>
      <c r="O76" s="37"/>
      <c r="P76" s="37"/>
      <c r="Q76" s="37"/>
      <c r="R76" s="37"/>
    </row>
    <row r="77" spans="1:18" ht="15.5" x14ac:dyDescent="0.3">
      <c r="A77" s="48" t="s">
        <v>210</v>
      </c>
      <c r="B77" s="36">
        <v>7.4999999999999997E-2</v>
      </c>
      <c r="C77" s="36">
        <v>2</v>
      </c>
      <c r="D77" s="21">
        <f t="shared" si="42"/>
        <v>0.15</v>
      </c>
      <c r="E77" s="21">
        <f t="shared" si="47"/>
        <v>142</v>
      </c>
      <c r="F77" s="95">
        <f t="shared" si="48"/>
        <v>21.3</v>
      </c>
      <c r="G77" s="21" t="s">
        <v>12</v>
      </c>
      <c r="H77" s="21" t="s">
        <v>12</v>
      </c>
      <c r="I77" s="33">
        <f t="shared" si="49"/>
        <v>1.0650000000000002</v>
      </c>
      <c r="J77" s="33">
        <f t="shared" si="50"/>
        <v>2.1300000000000003</v>
      </c>
      <c r="K77" s="30">
        <f t="shared" si="51"/>
        <v>2677.8285449999998</v>
      </c>
      <c r="L77" s="37"/>
      <c r="M77" s="37"/>
      <c r="N77" s="37"/>
      <c r="O77" s="37"/>
      <c r="P77" s="37"/>
      <c r="Q77" s="37"/>
      <c r="R77" s="37"/>
    </row>
    <row r="78" spans="1:18" ht="15.5" x14ac:dyDescent="0.3">
      <c r="A78" s="48" t="s">
        <v>211</v>
      </c>
      <c r="B78" s="36">
        <v>0.25</v>
      </c>
      <c r="C78" s="36">
        <v>0.16700000000000001</v>
      </c>
      <c r="D78" s="21">
        <f t="shared" si="42"/>
        <v>4.1750000000000002E-2</v>
      </c>
      <c r="E78" s="21">
        <f t="shared" si="47"/>
        <v>142</v>
      </c>
      <c r="F78" s="95">
        <f t="shared" si="48"/>
        <v>5.9285000000000005</v>
      </c>
      <c r="G78" s="21" t="s">
        <v>12</v>
      </c>
      <c r="H78" s="21" t="s">
        <v>12</v>
      </c>
      <c r="I78" s="32">
        <f t="shared" si="49"/>
        <v>0.29642500000000005</v>
      </c>
      <c r="J78" s="33">
        <f t="shared" si="50"/>
        <v>0.5928500000000001</v>
      </c>
      <c r="K78" s="30">
        <f t="shared" si="51"/>
        <v>745.32894502500017</v>
      </c>
      <c r="L78" s="37"/>
      <c r="M78" s="37"/>
      <c r="N78" s="37"/>
      <c r="O78" s="37"/>
      <c r="P78" s="37"/>
      <c r="Q78" s="37"/>
      <c r="R78" s="37"/>
    </row>
    <row r="79" spans="1:18" ht="15.5" x14ac:dyDescent="0.3">
      <c r="A79" s="48" t="s">
        <v>212</v>
      </c>
      <c r="B79" s="36">
        <v>1.5</v>
      </c>
      <c r="C79" s="36">
        <v>2</v>
      </c>
      <c r="D79" s="21">
        <f t="shared" si="42"/>
        <v>3</v>
      </c>
      <c r="E79" s="21">
        <f t="shared" si="47"/>
        <v>142</v>
      </c>
      <c r="F79" s="95">
        <f t="shared" si="48"/>
        <v>426</v>
      </c>
      <c r="G79" s="21" t="s">
        <v>12</v>
      </c>
      <c r="H79" s="21" t="s">
        <v>12</v>
      </c>
      <c r="I79" s="33">
        <f t="shared" si="49"/>
        <v>21.3</v>
      </c>
      <c r="J79" s="33">
        <f t="shared" si="50"/>
        <v>42.6</v>
      </c>
      <c r="K79" s="30">
        <f t="shared" si="51"/>
        <v>53556.570899999999</v>
      </c>
      <c r="L79" s="37"/>
      <c r="M79" s="37"/>
      <c r="N79" s="37"/>
      <c r="O79" s="37"/>
      <c r="P79" s="37"/>
      <c r="Q79" s="37"/>
      <c r="R79" s="37"/>
    </row>
    <row r="80" spans="1:18" ht="15.5" x14ac:dyDescent="0.3">
      <c r="A80" s="48" t="s">
        <v>213</v>
      </c>
      <c r="B80" s="36">
        <v>1</v>
      </c>
      <c r="C80" s="36">
        <v>1</v>
      </c>
      <c r="D80" s="21">
        <f t="shared" si="42"/>
        <v>1</v>
      </c>
      <c r="E80" s="36">
        <f>E79*0.1</f>
        <v>14.200000000000001</v>
      </c>
      <c r="F80" s="95">
        <f t="shared" si="48"/>
        <v>14.200000000000001</v>
      </c>
      <c r="G80" s="21" t="s">
        <v>12</v>
      </c>
      <c r="H80" s="21" t="s">
        <v>12</v>
      </c>
      <c r="I80" s="32">
        <f t="shared" si="49"/>
        <v>0.71000000000000008</v>
      </c>
      <c r="J80" s="33">
        <f t="shared" si="50"/>
        <v>1.4200000000000002</v>
      </c>
      <c r="K80" s="30">
        <f t="shared" si="51"/>
        <v>1785.2190300000002</v>
      </c>
      <c r="L80" s="37"/>
      <c r="M80" s="37"/>
      <c r="N80" s="37"/>
      <c r="O80" s="37"/>
      <c r="P80" s="37"/>
      <c r="Q80" s="37"/>
      <c r="R80" s="37"/>
    </row>
    <row r="81" spans="1:18" ht="15.5" x14ac:dyDescent="0.3">
      <c r="A81" s="52" t="s">
        <v>214</v>
      </c>
      <c r="B81" s="36">
        <v>2</v>
      </c>
      <c r="C81" s="36">
        <v>4</v>
      </c>
      <c r="D81" s="21">
        <f t="shared" ref="D81" si="52">B81*C81</f>
        <v>8</v>
      </c>
      <c r="E81" s="36">
        <f>E79</f>
        <v>142</v>
      </c>
      <c r="F81" s="95">
        <f t="shared" ref="F81" si="53">D81*E81</f>
        <v>1136</v>
      </c>
      <c r="G81" s="21" t="s">
        <v>12</v>
      </c>
      <c r="H81" s="21" t="s">
        <v>12</v>
      </c>
      <c r="I81" s="33">
        <f t="shared" ref="I81" si="54">F81*0.05</f>
        <v>56.800000000000004</v>
      </c>
      <c r="J81" s="33">
        <f t="shared" ref="J81" si="55">F81*0.1</f>
        <v>113.60000000000001</v>
      </c>
      <c r="K81" s="30">
        <f t="shared" ref="K81" si="56">J81*$Q$7+I81*$M$7+F81*$N$7</f>
        <v>142817.52239999999</v>
      </c>
      <c r="L81" s="37"/>
      <c r="M81" s="37"/>
      <c r="N81" s="37"/>
      <c r="O81" s="37"/>
      <c r="P81" s="37"/>
      <c r="Q81" s="37"/>
      <c r="R81" s="37"/>
    </row>
    <row r="82" spans="1:18" x14ac:dyDescent="0.3">
      <c r="A82" s="59" t="s">
        <v>129</v>
      </c>
      <c r="B82" s="60"/>
      <c r="C82" s="60"/>
      <c r="D82" s="60"/>
      <c r="E82" s="60"/>
      <c r="F82" s="119">
        <f>SUM(F69:J81,F7:J67)</f>
        <v>179480.95570100006</v>
      </c>
      <c r="G82" s="120"/>
      <c r="H82" s="120"/>
      <c r="I82" s="120"/>
      <c r="J82" s="121"/>
      <c r="K82" s="61">
        <f>SUM(K7:K67,K69:K81)</f>
        <v>18669685.933908887</v>
      </c>
      <c r="L82" s="37"/>
      <c r="M82" s="37"/>
      <c r="N82" s="37"/>
      <c r="O82" s="37"/>
      <c r="P82" s="37"/>
      <c r="Q82" s="37"/>
      <c r="R82" s="37"/>
    </row>
    <row r="83" spans="1:18" x14ac:dyDescent="0.3">
      <c r="A83" s="39" t="s">
        <v>36</v>
      </c>
      <c r="B83" s="21"/>
      <c r="C83" s="21"/>
      <c r="D83" s="21"/>
      <c r="E83" s="21"/>
      <c r="F83" s="21"/>
      <c r="G83" s="21"/>
      <c r="H83" s="21"/>
      <c r="I83" s="21"/>
      <c r="J83" s="21"/>
      <c r="K83" s="21"/>
      <c r="L83" s="37"/>
      <c r="M83" s="37"/>
      <c r="N83" s="37"/>
      <c r="O83" s="37"/>
      <c r="P83" s="37"/>
      <c r="Q83" s="37"/>
      <c r="R83" s="37"/>
    </row>
    <row r="84" spans="1:18" x14ac:dyDescent="0.3">
      <c r="A84" s="41" t="s">
        <v>58</v>
      </c>
      <c r="B84" s="21" t="s">
        <v>37</v>
      </c>
      <c r="C84" s="21"/>
      <c r="D84" s="21"/>
      <c r="E84" s="21"/>
      <c r="F84" s="21"/>
      <c r="G84" s="21"/>
      <c r="H84" s="21"/>
      <c r="I84" s="21"/>
      <c r="J84" s="21"/>
      <c r="K84" s="21"/>
      <c r="L84" s="37"/>
      <c r="M84" s="37"/>
      <c r="N84" s="37"/>
      <c r="O84" s="37"/>
      <c r="P84" s="37"/>
      <c r="Q84" s="37"/>
      <c r="R84" s="37"/>
    </row>
    <row r="85" spans="1:18" ht="15.5" x14ac:dyDescent="0.3">
      <c r="A85" s="41" t="s">
        <v>215</v>
      </c>
      <c r="B85" s="21" t="s">
        <v>37</v>
      </c>
      <c r="C85" s="21"/>
      <c r="D85" s="21"/>
      <c r="E85" s="21"/>
      <c r="F85" s="21"/>
      <c r="G85" s="21"/>
      <c r="H85" s="21"/>
      <c r="I85" s="21"/>
      <c r="J85" s="21"/>
      <c r="K85" s="21"/>
      <c r="L85" s="37"/>
      <c r="M85" s="37"/>
      <c r="N85" s="37"/>
      <c r="O85" s="37"/>
      <c r="P85" s="37"/>
      <c r="Q85" s="37"/>
      <c r="R85" s="37"/>
    </row>
    <row r="86" spans="1:18" ht="15.5" x14ac:dyDescent="0.3">
      <c r="A86" s="41" t="s">
        <v>216</v>
      </c>
      <c r="B86" s="21" t="s">
        <v>29</v>
      </c>
      <c r="C86" s="21"/>
      <c r="D86" s="21"/>
      <c r="E86" s="21"/>
      <c r="F86" s="21"/>
      <c r="G86" s="21"/>
      <c r="H86" s="21"/>
      <c r="I86" s="21"/>
      <c r="J86" s="21"/>
      <c r="K86" s="21"/>
      <c r="L86" s="37"/>
      <c r="M86" s="37"/>
      <c r="N86" s="37"/>
      <c r="O86" s="37"/>
      <c r="P86" s="37"/>
      <c r="Q86" s="37"/>
      <c r="R86" s="37"/>
    </row>
    <row r="87" spans="1:18" ht="15.5" x14ac:dyDescent="0.3">
      <c r="A87" s="41" t="s">
        <v>217</v>
      </c>
      <c r="B87" s="21"/>
      <c r="C87" s="21"/>
      <c r="D87" s="21"/>
      <c r="E87" s="21"/>
      <c r="F87" s="21"/>
      <c r="G87" s="21"/>
      <c r="H87" s="21"/>
      <c r="I87" s="21"/>
      <c r="J87" s="21"/>
      <c r="K87" s="21"/>
      <c r="L87" s="37"/>
      <c r="M87" s="37"/>
      <c r="N87" s="37"/>
      <c r="O87" s="37"/>
      <c r="P87" s="37"/>
      <c r="Q87" s="37"/>
      <c r="R87" s="37"/>
    </row>
    <row r="88" spans="1:18" x14ac:dyDescent="0.3">
      <c r="A88" s="47" t="s">
        <v>17</v>
      </c>
      <c r="B88" s="21"/>
      <c r="C88" s="21"/>
      <c r="D88" s="21"/>
      <c r="E88" s="21"/>
      <c r="F88" s="21"/>
      <c r="G88" s="21"/>
      <c r="H88" s="21"/>
      <c r="I88" s="21"/>
      <c r="J88" s="21"/>
      <c r="K88" s="21"/>
      <c r="L88" s="37"/>
      <c r="M88" s="37"/>
      <c r="N88" s="37"/>
      <c r="O88" s="37"/>
      <c r="P88" s="37"/>
      <c r="Q88" s="37"/>
      <c r="R88" s="37"/>
    </row>
    <row r="89" spans="1:18" x14ac:dyDescent="0.3">
      <c r="A89" s="48" t="s">
        <v>31</v>
      </c>
      <c r="B89" s="21">
        <v>2</v>
      </c>
      <c r="C89" s="21">
        <f>C17</f>
        <v>12</v>
      </c>
      <c r="D89" s="21">
        <f t="shared" ref="D89:D91" si="57">B89*C89</f>
        <v>24</v>
      </c>
      <c r="E89" s="21">
        <f>E17</f>
        <v>14.200000000000001</v>
      </c>
      <c r="F89" s="93">
        <f t="shared" ref="F89:F91" si="58">D89*E89</f>
        <v>340.8</v>
      </c>
      <c r="G89" s="21" t="s">
        <v>12</v>
      </c>
      <c r="H89" s="21" t="s">
        <v>12</v>
      </c>
      <c r="I89" s="33">
        <f t="shared" ref="I89:I91" si="59">F89*0.05</f>
        <v>17.040000000000003</v>
      </c>
      <c r="J89" s="33">
        <f t="shared" ref="J89:J91" si="60">F89*0.1</f>
        <v>34.080000000000005</v>
      </c>
      <c r="K89" s="30">
        <f>J89*$Q$7+I89*$M$7+F89*$N$7</f>
        <v>42845.256719999998</v>
      </c>
      <c r="L89" s="37"/>
      <c r="M89" s="37"/>
      <c r="N89" s="37"/>
      <c r="O89" s="37"/>
      <c r="P89" s="37"/>
      <c r="Q89" s="37"/>
      <c r="R89" s="37"/>
    </row>
    <row r="90" spans="1:18" x14ac:dyDescent="0.3">
      <c r="A90" s="48" t="s">
        <v>32</v>
      </c>
      <c r="B90" s="21">
        <v>75</v>
      </c>
      <c r="C90" s="21">
        <f>C18</f>
        <v>11</v>
      </c>
      <c r="D90" s="21">
        <f t="shared" si="57"/>
        <v>825</v>
      </c>
      <c r="E90" s="21">
        <f>E18</f>
        <v>14.200000000000001</v>
      </c>
      <c r="F90" s="93">
        <f t="shared" si="58"/>
        <v>11715</v>
      </c>
      <c r="G90" s="21" t="s">
        <v>12</v>
      </c>
      <c r="H90" s="21" t="s">
        <v>12</v>
      </c>
      <c r="I90" s="93">
        <f t="shared" si="59"/>
        <v>585.75</v>
      </c>
      <c r="J90" s="93">
        <f t="shared" si="60"/>
        <v>1171.5</v>
      </c>
      <c r="K90" s="30">
        <f>J90*$Q$7+I90*$M$7+F90*$N$7</f>
        <v>1472805.6997499999</v>
      </c>
      <c r="L90" s="37"/>
      <c r="M90" s="37"/>
      <c r="N90" s="37"/>
      <c r="O90" s="37"/>
      <c r="P90" s="37"/>
      <c r="Q90" s="37"/>
      <c r="R90" s="37"/>
    </row>
    <row r="91" spans="1:18" x14ac:dyDescent="0.3">
      <c r="A91" s="48" t="s">
        <v>33</v>
      </c>
      <c r="B91" s="21">
        <v>2</v>
      </c>
      <c r="C91" s="21">
        <f>C19</f>
        <v>9</v>
      </c>
      <c r="D91" s="21">
        <f t="shared" si="57"/>
        <v>18</v>
      </c>
      <c r="E91" s="21">
        <f>E19</f>
        <v>14.200000000000001</v>
      </c>
      <c r="F91" s="93">
        <f t="shared" si="58"/>
        <v>255.60000000000002</v>
      </c>
      <c r="G91" s="21" t="s">
        <v>12</v>
      </c>
      <c r="H91" s="21" t="s">
        <v>12</v>
      </c>
      <c r="I91" s="93">
        <f t="shared" si="59"/>
        <v>12.780000000000001</v>
      </c>
      <c r="J91" s="93">
        <f t="shared" si="60"/>
        <v>25.560000000000002</v>
      </c>
      <c r="K91" s="30">
        <f>J91*$Q$7+I91*$M$7+F91*$N$7</f>
        <v>32133.942540000004</v>
      </c>
      <c r="L91" s="37"/>
      <c r="M91" s="37"/>
      <c r="N91" s="37"/>
      <c r="O91" s="37"/>
      <c r="P91" s="37"/>
      <c r="Q91" s="37"/>
      <c r="R91" s="37"/>
    </row>
    <row r="92" spans="1:18" x14ac:dyDescent="0.3">
      <c r="A92" s="47" t="s">
        <v>22</v>
      </c>
      <c r="B92" s="21"/>
      <c r="C92" s="21"/>
      <c r="D92" s="21"/>
      <c r="E92" s="21"/>
      <c r="F92" s="93"/>
      <c r="G92" s="21"/>
      <c r="H92" s="21"/>
      <c r="I92" s="93"/>
      <c r="J92" s="93"/>
      <c r="K92" s="62"/>
      <c r="L92" s="37"/>
      <c r="M92" s="37"/>
      <c r="N92" s="37"/>
      <c r="O92" s="37"/>
      <c r="P92" s="37"/>
      <c r="Q92" s="37"/>
      <c r="R92" s="37"/>
    </row>
    <row r="93" spans="1:18" x14ac:dyDescent="0.3">
      <c r="A93" s="48" t="s">
        <v>31</v>
      </c>
      <c r="B93" s="21">
        <v>2</v>
      </c>
      <c r="C93" s="21">
        <f>C22</f>
        <v>12</v>
      </c>
      <c r="D93" s="21">
        <f t="shared" ref="D93:D95" si="61">B93*C93</f>
        <v>24</v>
      </c>
      <c r="E93" s="21">
        <f>E22</f>
        <v>142</v>
      </c>
      <c r="F93" s="93">
        <f t="shared" ref="F93:F95" si="62">D93*E93</f>
        <v>3408</v>
      </c>
      <c r="G93" s="21" t="s">
        <v>12</v>
      </c>
      <c r="H93" s="21" t="s">
        <v>12</v>
      </c>
      <c r="I93" s="93">
        <f t="shared" ref="I93:I95" si="63">F93*0.05</f>
        <v>170.4</v>
      </c>
      <c r="J93" s="93">
        <f t="shared" ref="J93:J95" si="64">F93*0.1</f>
        <v>340.8</v>
      </c>
      <c r="K93" s="30">
        <f>J93*$Q$7+I93*$M$7+F93*$N$7</f>
        <v>428452.56719999999</v>
      </c>
      <c r="L93" s="37"/>
      <c r="M93" s="37"/>
      <c r="N93" s="37"/>
      <c r="O93" s="37"/>
      <c r="P93" s="37"/>
      <c r="Q93" s="37"/>
      <c r="R93" s="37"/>
    </row>
    <row r="94" spans="1:18" x14ac:dyDescent="0.3">
      <c r="A94" s="48" t="s">
        <v>32</v>
      </c>
      <c r="B94" s="21">
        <v>75</v>
      </c>
      <c r="C94" s="21">
        <f>C23</f>
        <v>11</v>
      </c>
      <c r="D94" s="21">
        <f t="shared" si="61"/>
        <v>825</v>
      </c>
      <c r="E94" s="21">
        <f>E23</f>
        <v>142</v>
      </c>
      <c r="F94" s="93">
        <f t="shared" si="62"/>
        <v>117150</v>
      </c>
      <c r="G94" s="21" t="s">
        <v>12</v>
      </c>
      <c r="H94" s="21" t="s">
        <v>12</v>
      </c>
      <c r="I94" s="93">
        <f t="shared" si="63"/>
        <v>5857.5</v>
      </c>
      <c r="J94" s="93">
        <f t="shared" si="64"/>
        <v>11715</v>
      </c>
      <c r="K94" s="30">
        <f>J94*$Q$7+I94*$M$7+F94*$N$7</f>
        <v>14728056.997500001</v>
      </c>
      <c r="L94" s="37"/>
      <c r="M94" s="37"/>
      <c r="N94" s="37"/>
      <c r="O94" s="37"/>
      <c r="P94" s="37"/>
      <c r="Q94" s="37"/>
      <c r="R94" s="37"/>
    </row>
    <row r="95" spans="1:18" x14ac:dyDescent="0.3">
      <c r="A95" s="48" t="s">
        <v>33</v>
      </c>
      <c r="B95" s="21">
        <v>2</v>
      </c>
      <c r="C95" s="21">
        <f>C24</f>
        <v>9</v>
      </c>
      <c r="D95" s="21">
        <f t="shared" si="61"/>
        <v>18</v>
      </c>
      <c r="E95" s="21">
        <f>E24</f>
        <v>142</v>
      </c>
      <c r="F95" s="93">
        <f t="shared" si="62"/>
        <v>2556</v>
      </c>
      <c r="G95" s="21" t="s">
        <v>12</v>
      </c>
      <c r="H95" s="21" t="s">
        <v>12</v>
      </c>
      <c r="I95" s="33">
        <f t="shared" si="63"/>
        <v>127.80000000000001</v>
      </c>
      <c r="J95" s="33">
        <f t="shared" si="64"/>
        <v>255.60000000000002</v>
      </c>
      <c r="K95" s="30">
        <f>J95*$Q$7+I95*$M$7+F95*$N$7</f>
        <v>321339.42540000001</v>
      </c>
      <c r="L95" s="37"/>
      <c r="M95" s="37"/>
      <c r="N95" s="37"/>
      <c r="O95" s="37"/>
      <c r="P95" s="37"/>
      <c r="Q95" s="37"/>
      <c r="R95" s="37"/>
    </row>
    <row r="96" spans="1:18" ht="15.5" x14ac:dyDescent="0.3">
      <c r="A96" s="48" t="s">
        <v>218</v>
      </c>
      <c r="B96" s="21"/>
      <c r="C96" s="21"/>
      <c r="D96" s="21"/>
      <c r="E96" s="21"/>
      <c r="F96" s="93"/>
      <c r="G96" s="21"/>
      <c r="H96" s="21"/>
      <c r="I96" s="21"/>
      <c r="J96" s="21"/>
      <c r="K96" s="62"/>
      <c r="L96" s="37"/>
      <c r="M96" s="37"/>
      <c r="N96" s="37"/>
      <c r="O96" s="37"/>
      <c r="P96" s="37"/>
      <c r="Q96" s="37"/>
      <c r="R96" s="37"/>
    </row>
    <row r="97" spans="1:18" x14ac:dyDescent="0.3">
      <c r="A97" s="54" t="s">
        <v>14</v>
      </c>
      <c r="B97" s="21">
        <v>12</v>
      </c>
      <c r="C97" s="21">
        <v>12</v>
      </c>
      <c r="D97" s="21">
        <f t="shared" ref="D97:D98" si="65">B97*C97</f>
        <v>144</v>
      </c>
      <c r="E97" s="21">
        <f>E40</f>
        <v>142</v>
      </c>
      <c r="F97" s="93">
        <f t="shared" ref="F97" si="66">D97*E97</f>
        <v>20448</v>
      </c>
      <c r="G97" s="21" t="s">
        <v>12</v>
      </c>
      <c r="H97" s="21" t="s">
        <v>12</v>
      </c>
      <c r="I97" s="21" t="s">
        <v>12</v>
      </c>
      <c r="J97" s="21" t="s">
        <v>12</v>
      </c>
      <c r="K97" s="30">
        <f>F97*N7</f>
        <v>2314938.5279999999</v>
      </c>
      <c r="L97" s="37"/>
      <c r="M97" s="37"/>
      <c r="N97" s="37"/>
      <c r="O97" s="37"/>
      <c r="P97" s="37"/>
      <c r="Q97" s="37"/>
      <c r="R97" s="37"/>
    </row>
    <row r="98" spans="1:18" x14ac:dyDescent="0.3">
      <c r="A98" s="54" t="s">
        <v>27</v>
      </c>
      <c r="B98" s="21">
        <v>12</v>
      </c>
      <c r="C98" s="21">
        <v>12</v>
      </c>
      <c r="D98" s="21">
        <f t="shared" si="65"/>
        <v>144</v>
      </c>
      <c r="E98" s="21">
        <f>E41</f>
        <v>142</v>
      </c>
      <c r="F98" s="21" t="s">
        <v>12</v>
      </c>
      <c r="G98" s="21" t="s">
        <v>12</v>
      </c>
      <c r="H98" s="93">
        <f>$D98*$E98</f>
        <v>20448</v>
      </c>
      <c r="I98" s="21" t="s">
        <v>12</v>
      </c>
      <c r="J98" s="21" t="s">
        <v>12</v>
      </c>
      <c r="K98" s="30">
        <f>H98*O7</f>
        <v>1566909.7920000001</v>
      </c>
      <c r="L98" s="37"/>
      <c r="M98" s="37"/>
      <c r="N98" s="37"/>
      <c r="O98" s="37"/>
      <c r="P98" s="37"/>
      <c r="Q98" s="37"/>
      <c r="R98" s="37"/>
    </row>
    <row r="99" spans="1:18" x14ac:dyDescent="0.3">
      <c r="A99" s="41" t="s">
        <v>38</v>
      </c>
      <c r="B99" s="21"/>
      <c r="C99" s="21"/>
      <c r="D99" s="21"/>
      <c r="E99" s="21"/>
      <c r="F99" s="21"/>
      <c r="G99" s="21"/>
      <c r="H99" s="21"/>
      <c r="I99" s="21"/>
      <c r="J99" s="21"/>
      <c r="K99" s="62"/>
      <c r="L99" s="37"/>
      <c r="M99" s="37"/>
      <c r="N99" s="37"/>
      <c r="O99" s="37"/>
      <c r="P99" s="37"/>
      <c r="Q99" s="37"/>
      <c r="R99" s="37"/>
    </row>
    <row r="100" spans="1:18" ht="15.5" x14ac:dyDescent="0.3">
      <c r="A100" s="47" t="s">
        <v>219</v>
      </c>
      <c r="B100" s="21"/>
      <c r="C100" s="21"/>
      <c r="D100" s="21"/>
      <c r="E100" s="21"/>
      <c r="F100" s="21"/>
      <c r="G100" s="21"/>
      <c r="H100" s="21"/>
      <c r="I100" s="21"/>
      <c r="J100" s="21"/>
      <c r="K100" s="62"/>
      <c r="L100" s="37"/>
      <c r="M100" s="37"/>
      <c r="N100" s="37"/>
      <c r="O100" s="37"/>
      <c r="P100" s="37"/>
      <c r="Q100" s="37"/>
      <c r="R100" s="37"/>
    </row>
    <row r="101" spans="1:18" x14ac:dyDescent="0.3">
      <c r="A101" s="48" t="s">
        <v>31</v>
      </c>
      <c r="B101" s="21">
        <v>6</v>
      </c>
      <c r="C101" s="21">
        <f>C30</f>
        <v>12</v>
      </c>
      <c r="D101" s="21">
        <f t="shared" ref="D101:D103" si="67">B101*C101</f>
        <v>72</v>
      </c>
      <c r="E101" s="21">
        <f>E30</f>
        <v>14.200000000000001</v>
      </c>
      <c r="F101" s="93">
        <f t="shared" ref="F101:F103" si="68">D101*E101</f>
        <v>1022.4000000000001</v>
      </c>
      <c r="G101" s="21" t="s">
        <v>12</v>
      </c>
      <c r="H101" s="21" t="s">
        <v>12</v>
      </c>
      <c r="I101" s="33">
        <f t="shared" ref="I101:I103" si="69">F101*0.05</f>
        <v>51.120000000000005</v>
      </c>
      <c r="J101" s="33">
        <f t="shared" ref="J101:J103" si="70">F101*0.1</f>
        <v>102.24000000000001</v>
      </c>
      <c r="K101" s="30">
        <f>J101*$Q$7+I101*$M$7+F101*$N$7</f>
        <v>128535.77016000001</v>
      </c>
      <c r="L101" s="37"/>
      <c r="M101" s="37"/>
      <c r="N101" s="37"/>
      <c r="O101" s="37"/>
      <c r="P101" s="37"/>
      <c r="Q101" s="37"/>
      <c r="R101" s="37"/>
    </row>
    <row r="102" spans="1:18" x14ac:dyDescent="0.3">
      <c r="A102" s="48" t="s">
        <v>32</v>
      </c>
      <c r="B102" s="21">
        <v>99</v>
      </c>
      <c r="C102" s="21">
        <f>C31</f>
        <v>11</v>
      </c>
      <c r="D102" s="21">
        <f t="shared" si="67"/>
        <v>1089</v>
      </c>
      <c r="E102" s="21">
        <f>E31</f>
        <v>14.200000000000001</v>
      </c>
      <c r="F102" s="93">
        <f t="shared" si="68"/>
        <v>15463.800000000001</v>
      </c>
      <c r="G102" s="21" t="s">
        <v>12</v>
      </c>
      <c r="H102" s="21" t="s">
        <v>12</v>
      </c>
      <c r="I102" s="33">
        <f t="shared" si="69"/>
        <v>773.19</v>
      </c>
      <c r="J102" s="93">
        <f t="shared" si="70"/>
        <v>1546.38</v>
      </c>
      <c r="K102" s="30">
        <f>J102*$Q$7+I102*$M$7+F102*$N$7</f>
        <v>1944103.5236700003</v>
      </c>
      <c r="L102" s="37"/>
      <c r="M102" s="37"/>
      <c r="N102" s="37"/>
      <c r="O102" s="37"/>
      <c r="P102" s="37"/>
      <c r="Q102" s="37"/>
      <c r="R102" s="37"/>
    </row>
    <row r="103" spans="1:18" ht="15.5" x14ac:dyDescent="0.3">
      <c r="A103" s="48" t="s">
        <v>220</v>
      </c>
      <c r="B103" s="21">
        <v>12</v>
      </c>
      <c r="C103" s="21">
        <f>C32</f>
        <v>4</v>
      </c>
      <c r="D103" s="21">
        <f t="shared" si="67"/>
        <v>48</v>
      </c>
      <c r="E103" s="21">
        <f>E32</f>
        <v>14.200000000000001</v>
      </c>
      <c r="F103" s="93">
        <f t="shared" si="68"/>
        <v>681.6</v>
      </c>
      <c r="G103" s="21" t="s">
        <v>12</v>
      </c>
      <c r="H103" s="21" t="s">
        <v>12</v>
      </c>
      <c r="I103" s="33">
        <f t="shared" si="69"/>
        <v>34.080000000000005</v>
      </c>
      <c r="J103" s="33">
        <f t="shared" si="70"/>
        <v>68.160000000000011</v>
      </c>
      <c r="K103" s="30">
        <f>J103*$Q$7+I103*$M$7+F103*$N$7</f>
        <v>85690.513439999995</v>
      </c>
      <c r="L103" s="37"/>
      <c r="M103" s="37"/>
      <c r="N103" s="37"/>
      <c r="O103" s="37"/>
      <c r="P103" s="37"/>
      <c r="Q103" s="37"/>
      <c r="R103" s="37"/>
    </row>
    <row r="104" spans="1:18" ht="15.5" x14ac:dyDescent="0.3">
      <c r="A104" s="47" t="s">
        <v>221</v>
      </c>
      <c r="B104" s="21"/>
      <c r="C104" s="21"/>
      <c r="D104" s="21"/>
      <c r="E104" s="21"/>
      <c r="F104" s="93"/>
      <c r="G104" s="21"/>
      <c r="H104" s="21"/>
      <c r="I104" s="21"/>
      <c r="J104" s="21"/>
      <c r="K104" s="62"/>
      <c r="L104" s="37"/>
      <c r="M104" s="37"/>
      <c r="N104" s="37"/>
      <c r="O104" s="37"/>
      <c r="P104" s="37"/>
      <c r="Q104" s="37"/>
      <c r="R104" s="37"/>
    </row>
    <row r="105" spans="1:18" x14ac:dyDescent="0.3">
      <c r="A105" s="48" t="s">
        <v>31</v>
      </c>
      <c r="B105" s="21">
        <v>3.5</v>
      </c>
      <c r="C105" s="21">
        <f>C30</f>
        <v>12</v>
      </c>
      <c r="D105" s="21">
        <f t="shared" ref="D105:D108" si="71">B105*C105</f>
        <v>42</v>
      </c>
      <c r="E105" s="21">
        <f>E93</f>
        <v>142</v>
      </c>
      <c r="F105" s="93">
        <f t="shared" ref="F105:F108" si="72">D105*E105</f>
        <v>5964</v>
      </c>
      <c r="G105" s="21" t="s">
        <v>12</v>
      </c>
      <c r="H105" s="21" t="s">
        <v>12</v>
      </c>
      <c r="I105" s="93">
        <f t="shared" ref="I105:I108" si="73">F105*0.05</f>
        <v>298.2</v>
      </c>
      <c r="J105" s="93">
        <f t="shared" ref="J105:J108" si="74">F105*0.1</f>
        <v>596.4</v>
      </c>
      <c r="K105" s="30">
        <f>J105*$Q$7+I105*$M$7+F105*$N$7</f>
        <v>749791.9926</v>
      </c>
      <c r="L105" s="37"/>
      <c r="M105" s="37"/>
      <c r="N105" s="37"/>
      <c r="O105" s="37"/>
      <c r="P105" s="37"/>
      <c r="Q105" s="37"/>
      <c r="R105" s="37"/>
    </row>
    <row r="106" spans="1:18" x14ac:dyDescent="0.3">
      <c r="A106" s="48" t="s">
        <v>32</v>
      </c>
      <c r="B106" s="21">
        <v>99</v>
      </c>
      <c r="C106" s="21">
        <f>C31</f>
        <v>11</v>
      </c>
      <c r="D106" s="21">
        <f t="shared" si="71"/>
        <v>1089</v>
      </c>
      <c r="E106" s="21">
        <f t="shared" ref="E106:E107" si="75">E94</f>
        <v>142</v>
      </c>
      <c r="F106" s="93">
        <f t="shared" si="72"/>
        <v>154638</v>
      </c>
      <c r="G106" s="21" t="s">
        <v>12</v>
      </c>
      <c r="H106" s="21" t="s">
        <v>12</v>
      </c>
      <c r="I106" s="93">
        <f t="shared" si="73"/>
        <v>7731.9000000000005</v>
      </c>
      <c r="J106" s="93">
        <f t="shared" si="74"/>
        <v>15463.800000000001</v>
      </c>
      <c r="K106" s="30">
        <f>J106*$Q$7+I106*$M$7+F106*$N$7</f>
        <v>19441035.236700002</v>
      </c>
      <c r="L106" s="37"/>
      <c r="M106" s="37"/>
      <c r="N106" s="37"/>
      <c r="O106" s="37"/>
      <c r="P106" s="37"/>
      <c r="Q106" s="37"/>
      <c r="R106" s="37"/>
    </row>
    <row r="107" spans="1:18" x14ac:dyDescent="0.3">
      <c r="A107" s="48" t="s">
        <v>33</v>
      </c>
      <c r="B107" s="21">
        <v>29</v>
      </c>
      <c r="C107" s="21">
        <f>C32</f>
        <v>4</v>
      </c>
      <c r="D107" s="21">
        <f t="shared" si="71"/>
        <v>116</v>
      </c>
      <c r="E107" s="21">
        <f t="shared" si="75"/>
        <v>142</v>
      </c>
      <c r="F107" s="93">
        <f t="shared" si="72"/>
        <v>16472</v>
      </c>
      <c r="G107" s="21" t="s">
        <v>12</v>
      </c>
      <c r="H107" s="21" t="s">
        <v>12</v>
      </c>
      <c r="I107" s="93">
        <f t="shared" si="73"/>
        <v>823.6</v>
      </c>
      <c r="J107" s="93">
        <f t="shared" si="74"/>
        <v>1647.2</v>
      </c>
      <c r="K107" s="30">
        <f>J107*$Q$7+I107*$M$7+F107*$N$7</f>
        <v>2070854.0748000001</v>
      </c>
      <c r="L107" s="37"/>
      <c r="M107" s="37"/>
      <c r="N107" s="37"/>
      <c r="O107" s="37"/>
      <c r="P107" s="37"/>
      <c r="Q107" s="37"/>
      <c r="R107" s="37"/>
    </row>
    <row r="108" spans="1:18" x14ac:dyDescent="0.3">
      <c r="A108" s="48" t="s">
        <v>34</v>
      </c>
      <c r="B108" s="21">
        <v>1</v>
      </c>
      <c r="C108" s="21">
        <f>C25</f>
        <v>3</v>
      </c>
      <c r="D108" s="21">
        <f t="shared" si="71"/>
        <v>3</v>
      </c>
      <c r="E108" s="21">
        <f>E97</f>
        <v>142</v>
      </c>
      <c r="F108" s="93">
        <f t="shared" si="72"/>
        <v>426</v>
      </c>
      <c r="G108" s="21" t="s">
        <v>12</v>
      </c>
      <c r="H108" s="21" t="s">
        <v>12</v>
      </c>
      <c r="I108" s="93">
        <f t="shared" si="73"/>
        <v>21.3</v>
      </c>
      <c r="J108" s="93">
        <f t="shared" si="74"/>
        <v>42.6</v>
      </c>
      <c r="K108" s="30">
        <f>J108*$Q$7+I108*$M$7+F108*$N$7</f>
        <v>53556.570899999999</v>
      </c>
      <c r="L108" s="37"/>
      <c r="M108" s="37"/>
      <c r="N108" s="37"/>
      <c r="O108" s="37"/>
      <c r="P108" s="37"/>
      <c r="Q108" s="37"/>
      <c r="R108" s="37"/>
    </row>
    <row r="109" spans="1:18" ht="15.5" x14ac:dyDescent="0.3">
      <c r="A109" s="52" t="s">
        <v>222</v>
      </c>
      <c r="B109" s="36"/>
      <c r="C109" s="36"/>
      <c r="D109" s="36"/>
      <c r="E109" s="36"/>
      <c r="F109" s="56"/>
      <c r="G109" s="21"/>
      <c r="H109" s="21"/>
      <c r="I109" s="21"/>
      <c r="J109" s="21"/>
      <c r="K109" s="21"/>
      <c r="L109" s="37"/>
      <c r="M109" s="37"/>
      <c r="N109" s="37"/>
      <c r="O109" s="37"/>
      <c r="P109" s="37"/>
      <c r="Q109" s="37"/>
      <c r="R109" s="37"/>
    </row>
    <row r="110" spans="1:18" x14ac:dyDescent="0.3">
      <c r="A110" s="48" t="s">
        <v>81</v>
      </c>
      <c r="B110" s="36" t="s">
        <v>76</v>
      </c>
      <c r="C110" s="36" t="s">
        <v>76</v>
      </c>
      <c r="D110" s="36">
        <v>4.09</v>
      </c>
      <c r="E110" s="36">
        <f>E75</f>
        <v>142</v>
      </c>
      <c r="F110" s="31">
        <f>D110*E110</f>
        <v>580.78</v>
      </c>
      <c r="G110" s="21" t="s">
        <v>12</v>
      </c>
      <c r="H110" s="21" t="s">
        <v>12</v>
      </c>
      <c r="I110" s="33">
        <f t="shared" ref="I110:I117" si="76">F110*0.05</f>
        <v>29.039000000000001</v>
      </c>
      <c r="J110" s="33">
        <f t="shared" ref="J110:J117" si="77">F110*0.1</f>
        <v>58.078000000000003</v>
      </c>
      <c r="K110" s="30">
        <f t="shared" ref="K110:K117" si="78">J110*$Q$7+I110*$M$7+F110*$N$7</f>
        <v>73015.458327</v>
      </c>
      <c r="L110" s="37"/>
      <c r="M110" s="37"/>
      <c r="N110" s="37"/>
      <c r="O110" s="37"/>
      <c r="P110" s="37"/>
      <c r="Q110" s="37"/>
      <c r="R110" s="37"/>
    </row>
    <row r="111" spans="1:18" x14ac:dyDescent="0.3">
      <c r="A111" s="48" t="s">
        <v>82</v>
      </c>
      <c r="B111" s="36">
        <v>0.5</v>
      </c>
      <c r="C111" s="36">
        <v>3.2</v>
      </c>
      <c r="D111" s="44">
        <f t="shared" ref="D111:D116" si="79">B111*C111</f>
        <v>1.6</v>
      </c>
      <c r="E111" s="36">
        <f>E110</f>
        <v>142</v>
      </c>
      <c r="F111" s="31">
        <f t="shared" ref="F111:F117" si="80">D111*E111</f>
        <v>227.20000000000002</v>
      </c>
      <c r="G111" s="21" t="s">
        <v>12</v>
      </c>
      <c r="H111" s="21" t="s">
        <v>12</v>
      </c>
      <c r="I111" s="33">
        <f t="shared" si="76"/>
        <v>11.360000000000001</v>
      </c>
      <c r="J111" s="33">
        <f t="shared" si="77"/>
        <v>22.720000000000002</v>
      </c>
      <c r="K111" s="30">
        <f t="shared" si="78"/>
        <v>28563.504480000003</v>
      </c>
      <c r="L111" s="37"/>
      <c r="M111" s="37"/>
      <c r="N111" s="37"/>
      <c r="O111" s="37"/>
      <c r="P111" s="37"/>
      <c r="Q111" s="37"/>
      <c r="R111" s="37"/>
    </row>
    <row r="112" spans="1:18" x14ac:dyDescent="0.3">
      <c r="A112" s="48" t="s">
        <v>83</v>
      </c>
      <c r="B112" s="36">
        <v>0.35499999999999998</v>
      </c>
      <c r="C112" s="36">
        <v>0.21099999999999999</v>
      </c>
      <c r="D112" s="63">
        <f t="shared" si="79"/>
        <v>7.4904999999999999E-2</v>
      </c>
      <c r="E112" s="36">
        <f t="shared" ref="E112:E115" si="81">E111</f>
        <v>142</v>
      </c>
      <c r="F112" s="31">
        <f t="shared" si="80"/>
        <v>10.636509999999999</v>
      </c>
      <c r="G112" s="21" t="s">
        <v>12</v>
      </c>
      <c r="H112" s="21" t="s">
        <v>12</v>
      </c>
      <c r="I112" s="32">
        <f t="shared" si="76"/>
        <v>0.53182549999999995</v>
      </c>
      <c r="J112" s="32">
        <f t="shared" si="77"/>
        <v>1.0636509999999999</v>
      </c>
      <c r="K112" s="30">
        <f t="shared" si="78"/>
        <v>1337.2183144214998</v>
      </c>
      <c r="L112" s="37"/>
      <c r="M112" s="37"/>
      <c r="N112" s="37"/>
      <c r="O112" s="37"/>
      <c r="P112" s="37"/>
      <c r="Q112" s="37"/>
      <c r="R112" s="37"/>
    </row>
    <row r="113" spans="1:18" x14ac:dyDescent="0.3">
      <c r="A113" s="48" t="s">
        <v>86</v>
      </c>
      <c r="B113" s="36">
        <v>0.5</v>
      </c>
      <c r="C113" s="36">
        <v>26</v>
      </c>
      <c r="D113" s="44">
        <f t="shared" si="79"/>
        <v>13</v>
      </c>
      <c r="E113" s="36">
        <f t="shared" si="81"/>
        <v>142</v>
      </c>
      <c r="F113" s="95">
        <f t="shared" si="80"/>
        <v>1846</v>
      </c>
      <c r="G113" s="21" t="s">
        <v>12</v>
      </c>
      <c r="H113" s="21" t="s">
        <v>12</v>
      </c>
      <c r="I113" s="33">
        <f t="shared" si="76"/>
        <v>92.300000000000011</v>
      </c>
      <c r="J113" s="33">
        <f t="shared" si="77"/>
        <v>184.60000000000002</v>
      </c>
      <c r="K113" s="30">
        <f t="shared" si="78"/>
        <v>232078.47389999998</v>
      </c>
      <c r="L113" s="37"/>
      <c r="M113" s="37"/>
      <c r="N113" s="37"/>
      <c r="O113" s="37"/>
      <c r="P113" s="37"/>
      <c r="Q113" s="37"/>
      <c r="R113" s="37"/>
    </row>
    <row r="114" spans="1:18" x14ac:dyDescent="0.3">
      <c r="A114" s="48" t="s">
        <v>84</v>
      </c>
      <c r="B114" s="36">
        <v>1.67E-2</v>
      </c>
      <c r="C114" s="36">
        <v>501</v>
      </c>
      <c r="D114" s="45">
        <f t="shared" si="79"/>
        <v>8.3666999999999998</v>
      </c>
      <c r="E114" s="36">
        <f t="shared" si="81"/>
        <v>142</v>
      </c>
      <c r="F114" s="95">
        <f t="shared" si="80"/>
        <v>1188.0714</v>
      </c>
      <c r="G114" s="21" t="s">
        <v>12</v>
      </c>
      <c r="H114" s="21" t="s">
        <v>12</v>
      </c>
      <c r="I114" s="33">
        <f t="shared" si="76"/>
        <v>59.403570000000002</v>
      </c>
      <c r="J114" s="33">
        <f t="shared" si="77"/>
        <v>118.80714</v>
      </c>
      <c r="K114" s="30">
        <f t="shared" si="78"/>
        <v>149363.92058301001</v>
      </c>
      <c r="L114" s="37"/>
      <c r="M114" s="37"/>
      <c r="N114" s="37"/>
      <c r="O114" s="37"/>
      <c r="P114" s="37"/>
      <c r="Q114" s="37"/>
      <c r="R114" s="37"/>
    </row>
    <row r="115" spans="1:18" x14ac:dyDescent="0.3">
      <c r="A115" s="48" t="s">
        <v>77</v>
      </c>
      <c r="B115" s="36">
        <v>0.05</v>
      </c>
      <c r="C115" s="36">
        <v>365</v>
      </c>
      <c r="D115" s="45">
        <f t="shared" si="79"/>
        <v>18.25</v>
      </c>
      <c r="E115" s="36">
        <f t="shared" si="81"/>
        <v>142</v>
      </c>
      <c r="F115" s="95">
        <f t="shared" si="80"/>
        <v>2591.5</v>
      </c>
      <c r="G115" s="21" t="s">
        <v>12</v>
      </c>
      <c r="H115" s="21" t="s">
        <v>12</v>
      </c>
      <c r="I115" s="33">
        <f t="shared" si="76"/>
        <v>129.57500000000002</v>
      </c>
      <c r="J115" s="33">
        <f t="shared" si="77"/>
        <v>259.15000000000003</v>
      </c>
      <c r="K115" s="30">
        <f t="shared" si="78"/>
        <v>325802.47297499998</v>
      </c>
      <c r="L115" s="37"/>
      <c r="M115" s="37"/>
      <c r="N115" s="37"/>
      <c r="O115" s="37"/>
      <c r="P115" s="37"/>
      <c r="Q115" s="37"/>
      <c r="R115" s="37"/>
    </row>
    <row r="116" spans="1:18" x14ac:dyDescent="0.3">
      <c r="A116" s="48" t="s">
        <v>85</v>
      </c>
      <c r="B116" s="36">
        <v>1</v>
      </c>
      <c r="C116" s="36">
        <v>1</v>
      </c>
      <c r="D116" s="44">
        <f t="shared" si="79"/>
        <v>1</v>
      </c>
      <c r="E116" s="36">
        <f>E115*0.1</f>
        <v>14.200000000000001</v>
      </c>
      <c r="F116" s="31">
        <f t="shared" si="80"/>
        <v>14.200000000000001</v>
      </c>
      <c r="G116" s="21" t="s">
        <v>12</v>
      </c>
      <c r="H116" s="21" t="s">
        <v>12</v>
      </c>
      <c r="I116" s="32">
        <f t="shared" si="76"/>
        <v>0.71000000000000008</v>
      </c>
      <c r="J116" s="32">
        <f t="shared" si="77"/>
        <v>1.4200000000000002</v>
      </c>
      <c r="K116" s="30">
        <f t="shared" si="78"/>
        <v>1785.2190300000002</v>
      </c>
      <c r="L116" s="37"/>
      <c r="M116" s="37"/>
      <c r="N116" s="37"/>
      <c r="O116" s="37"/>
      <c r="P116" s="37"/>
      <c r="Q116" s="37"/>
      <c r="R116" s="37"/>
    </row>
    <row r="117" spans="1:18" x14ac:dyDescent="0.3">
      <c r="A117" s="48" t="s">
        <v>122</v>
      </c>
      <c r="B117" s="36">
        <v>0.1</v>
      </c>
      <c r="C117" s="36">
        <v>1</v>
      </c>
      <c r="D117" s="36">
        <v>0.1</v>
      </c>
      <c r="E117" s="36">
        <f>E110</f>
        <v>142</v>
      </c>
      <c r="F117" s="31">
        <f t="shared" si="80"/>
        <v>14.200000000000001</v>
      </c>
      <c r="G117" s="21" t="s">
        <v>12</v>
      </c>
      <c r="H117" s="21" t="s">
        <v>12</v>
      </c>
      <c r="I117" s="32">
        <f t="shared" si="76"/>
        <v>0.71000000000000008</v>
      </c>
      <c r="J117" s="32">
        <f t="shared" si="77"/>
        <v>1.4200000000000002</v>
      </c>
      <c r="K117" s="30">
        <f t="shared" si="78"/>
        <v>1785.2190300000002</v>
      </c>
      <c r="L117" s="37"/>
      <c r="M117" s="37"/>
      <c r="N117" s="37"/>
      <c r="O117" s="37"/>
      <c r="P117" s="37"/>
      <c r="Q117" s="37"/>
      <c r="R117" s="37"/>
    </row>
    <row r="118" spans="1:18" ht="15.5" x14ac:dyDescent="0.3">
      <c r="A118" s="41" t="s">
        <v>223</v>
      </c>
      <c r="B118" s="21"/>
      <c r="C118" s="21"/>
      <c r="D118" s="21"/>
      <c r="E118" s="21"/>
      <c r="F118" s="21"/>
      <c r="G118" s="21"/>
      <c r="H118" s="21"/>
      <c r="I118" s="21"/>
      <c r="J118" s="21"/>
      <c r="K118" s="62"/>
      <c r="L118" s="37"/>
      <c r="M118" s="37"/>
      <c r="N118" s="37"/>
      <c r="O118" s="37"/>
      <c r="P118" s="37"/>
      <c r="Q118" s="37"/>
      <c r="R118" s="37"/>
    </row>
    <row r="119" spans="1:18" x14ac:dyDescent="0.3">
      <c r="A119" s="47" t="s">
        <v>17</v>
      </c>
      <c r="B119" s="21"/>
      <c r="C119" s="21"/>
      <c r="D119" s="21"/>
      <c r="E119" s="21"/>
      <c r="F119" s="21"/>
      <c r="G119" s="21"/>
      <c r="H119" s="21"/>
      <c r="I119" s="21"/>
      <c r="J119" s="21"/>
      <c r="K119" s="62"/>
      <c r="L119" s="37"/>
      <c r="M119" s="37"/>
      <c r="N119" s="37"/>
      <c r="O119" s="37"/>
      <c r="P119" s="37"/>
      <c r="Q119" s="37"/>
      <c r="R119" s="37"/>
    </row>
    <row r="120" spans="1:18" x14ac:dyDescent="0.3">
      <c r="A120" s="48" t="s">
        <v>31</v>
      </c>
      <c r="B120" s="21">
        <v>1</v>
      </c>
      <c r="C120" s="21">
        <v>12</v>
      </c>
      <c r="D120" s="21">
        <f t="shared" ref="D120:D122" si="82">B120*C120</f>
        <v>12</v>
      </c>
      <c r="E120" s="21">
        <f>E101</f>
        <v>14.200000000000001</v>
      </c>
      <c r="F120" s="33">
        <f t="shared" ref="F120:F122" si="83">D120*E120</f>
        <v>170.4</v>
      </c>
      <c r="G120" s="21" t="s">
        <v>12</v>
      </c>
      <c r="H120" s="21" t="s">
        <v>12</v>
      </c>
      <c r="I120" s="32">
        <f t="shared" ref="I120:I122" si="84">F120*0.05</f>
        <v>8.5200000000000014</v>
      </c>
      <c r="J120" s="33">
        <f t="shared" ref="J120:J122" si="85">F120*0.1</f>
        <v>17.040000000000003</v>
      </c>
      <c r="K120" s="30">
        <f>J120*$Q$7+I120*$M$7+F120*$N$7</f>
        <v>21422.628359999999</v>
      </c>
      <c r="L120" s="37"/>
      <c r="M120" s="37"/>
      <c r="N120" s="37"/>
      <c r="O120" s="37"/>
      <c r="P120" s="37"/>
      <c r="Q120" s="37"/>
      <c r="R120" s="37"/>
    </row>
    <row r="121" spans="1:18" x14ac:dyDescent="0.3">
      <c r="A121" s="48" t="s">
        <v>32</v>
      </c>
      <c r="B121" s="21">
        <v>1</v>
      </c>
      <c r="C121" s="21">
        <v>11</v>
      </c>
      <c r="D121" s="21">
        <f t="shared" si="82"/>
        <v>11</v>
      </c>
      <c r="E121" s="21">
        <f t="shared" ref="E121:E122" si="86">E102</f>
        <v>14.200000000000001</v>
      </c>
      <c r="F121" s="33">
        <f t="shared" si="83"/>
        <v>156.20000000000002</v>
      </c>
      <c r="G121" s="21" t="s">
        <v>12</v>
      </c>
      <c r="H121" s="21" t="s">
        <v>12</v>
      </c>
      <c r="I121" s="32">
        <f t="shared" si="84"/>
        <v>7.8100000000000014</v>
      </c>
      <c r="J121" s="33">
        <f t="shared" si="85"/>
        <v>15.620000000000003</v>
      </c>
      <c r="K121" s="30">
        <f>J121*$Q$7+I121*$M$7+F121*$N$7</f>
        <v>19637.409330000002</v>
      </c>
      <c r="L121" s="37"/>
      <c r="M121" s="37"/>
      <c r="N121" s="37"/>
      <c r="O121" s="37"/>
      <c r="P121" s="37"/>
      <c r="Q121" s="37"/>
      <c r="R121" s="37"/>
    </row>
    <row r="122" spans="1:18" x14ac:dyDescent="0.3">
      <c r="A122" s="48" t="s">
        <v>33</v>
      </c>
      <c r="B122" s="21">
        <v>1</v>
      </c>
      <c r="C122" s="21">
        <v>4</v>
      </c>
      <c r="D122" s="21">
        <f t="shared" si="82"/>
        <v>4</v>
      </c>
      <c r="E122" s="21">
        <f t="shared" si="86"/>
        <v>14.200000000000001</v>
      </c>
      <c r="F122" s="33">
        <f t="shared" si="83"/>
        <v>56.800000000000004</v>
      </c>
      <c r="G122" s="21" t="s">
        <v>12</v>
      </c>
      <c r="H122" s="21" t="s">
        <v>12</v>
      </c>
      <c r="I122" s="32">
        <f t="shared" si="84"/>
        <v>2.8400000000000003</v>
      </c>
      <c r="J122" s="32">
        <f t="shared" si="85"/>
        <v>5.6800000000000006</v>
      </c>
      <c r="K122" s="30">
        <f>J122*$Q$7+I122*$M$7+F122*$N$7</f>
        <v>7140.8761200000008</v>
      </c>
      <c r="L122" s="37"/>
      <c r="M122" s="37"/>
      <c r="N122" s="37"/>
      <c r="O122" s="37"/>
      <c r="P122" s="37"/>
      <c r="Q122" s="37"/>
      <c r="R122" s="37"/>
    </row>
    <row r="123" spans="1:18" x14ac:dyDescent="0.3">
      <c r="A123" s="47" t="s">
        <v>22</v>
      </c>
      <c r="B123" s="21"/>
      <c r="C123" s="21"/>
      <c r="D123" s="21"/>
      <c r="E123" s="21"/>
      <c r="F123" s="21"/>
      <c r="G123" s="21"/>
      <c r="H123" s="21"/>
      <c r="I123" s="21"/>
      <c r="J123" s="21"/>
      <c r="K123" s="62"/>
      <c r="L123" s="37"/>
      <c r="M123" s="37"/>
      <c r="N123" s="37"/>
      <c r="O123" s="37"/>
      <c r="P123" s="37"/>
      <c r="Q123" s="37"/>
      <c r="R123" s="37"/>
    </row>
    <row r="124" spans="1:18" x14ac:dyDescent="0.3">
      <c r="A124" s="48" t="s">
        <v>31</v>
      </c>
      <c r="B124" s="21" t="s">
        <v>12</v>
      </c>
      <c r="C124" s="21"/>
      <c r="D124" s="21"/>
      <c r="E124" s="21"/>
      <c r="F124" s="21"/>
      <c r="G124" s="21"/>
      <c r="H124" s="21"/>
      <c r="I124" s="21"/>
      <c r="J124" s="21"/>
      <c r="K124" s="62"/>
      <c r="L124" s="37"/>
      <c r="M124" s="37"/>
      <c r="N124" s="37"/>
      <c r="O124" s="37"/>
      <c r="P124" s="37"/>
      <c r="Q124" s="37"/>
      <c r="R124" s="37"/>
    </row>
    <row r="125" spans="1:18" x14ac:dyDescent="0.3">
      <c r="A125" s="48" t="s">
        <v>32</v>
      </c>
      <c r="B125" s="21">
        <v>0.5</v>
      </c>
      <c r="C125" s="21">
        <v>11</v>
      </c>
      <c r="D125" s="21">
        <f t="shared" ref="D125:D127" si="87">B125*C125</f>
        <v>5.5</v>
      </c>
      <c r="E125" s="21">
        <f>E105</f>
        <v>142</v>
      </c>
      <c r="F125" s="93">
        <f t="shared" ref="F125:F128" si="88">D125*E125</f>
        <v>781</v>
      </c>
      <c r="G125" s="21" t="s">
        <v>12</v>
      </c>
      <c r="H125" s="21" t="s">
        <v>12</v>
      </c>
      <c r="I125" s="33">
        <f t="shared" ref="I125:I128" si="89">F125*0.05</f>
        <v>39.050000000000004</v>
      </c>
      <c r="J125" s="33">
        <f t="shared" ref="J125:J128" si="90">F125*0.1</f>
        <v>78.100000000000009</v>
      </c>
      <c r="K125" s="30">
        <f>J125*$Q$7+I125*$M$7+F125*$N$7</f>
        <v>98187.046650000004</v>
      </c>
      <c r="L125" s="37"/>
      <c r="M125" s="37"/>
      <c r="N125" s="37"/>
      <c r="O125" s="37"/>
      <c r="P125" s="37"/>
      <c r="Q125" s="37"/>
      <c r="R125" s="37"/>
    </row>
    <row r="126" spans="1:18" x14ac:dyDescent="0.3">
      <c r="A126" s="48" t="s">
        <v>33</v>
      </c>
      <c r="B126" s="21">
        <v>1</v>
      </c>
      <c r="C126" s="21">
        <v>4</v>
      </c>
      <c r="D126" s="21">
        <f t="shared" si="87"/>
        <v>4</v>
      </c>
      <c r="E126" s="21">
        <f t="shared" ref="E126:E128" si="91">E106</f>
        <v>142</v>
      </c>
      <c r="F126" s="93">
        <f t="shared" si="88"/>
        <v>568</v>
      </c>
      <c r="G126" s="21" t="s">
        <v>12</v>
      </c>
      <c r="H126" s="21" t="s">
        <v>12</v>
      </c>
      <c r="I126" s="33">
        <f t="shared" si="89"/>
        <v>28.400000000000002</v>
      </c>
      <c r="J126" s="33">
        <f t="shared" si="90"/>
        <v>56.800000000000004</v>
      </c>
      <c r="K126" s="30">
        <f>J126*$Q$7+I126*$M$7+F126*$N$7</f>
        <v>71408.761199999994</v>
      </c>
      <c r="L126" s="37"/>
      <c r="M126" s="37"/>
      <c r="N126" s="37"/>
      <c r="O126" s="37"/>
      <c r="P126" s="37"/>
      <c r="Q126" s="37"/>
      <c r="R126" s="37"/>
    </row>
    <row r="127" spans="1:18" ht="15.5" x14ac:dyDescent="0.3">
      <c r="A127" s="48" t="s">
        <v>224</v>
      </c>
      <c r="B127" s="21">
        <v>2</v>
      </c>
      <c r="C127" s="21">
        <v>10</v>
      </c>
      <c r="D127" s="21">
        <f t="shared" si="87"/>
        <v>20</v>
      </c>
      <c r="E127" s="21">
        <f t="shared" si="91"/>
        <v>142</v>
      </c>
      <c r="F127" s="93">
        <f t="shared" si="88"/>
        <v>2840</v>
      </c>
      <c r="G127" s="21" t="s">
        <v>12</v>
      </c>
      <c r="H127" s="21" t="s">
        <v>12</v>
      </c>
      <c r="I127" s="33">
        <f t="shared" si="89"/>
        <v>142</v>
      </c>
      <c r="J127" s="33">
        <f t="shared" si="90"/>
        <v>284</v>
      </c>
      <c r="K127" s="30">
        <f>J127*$Q$7+I127*$M$7+F127*$N$7</f>
        <v>357043.80599999998</v>
      </c>
      <c r="L127" s="37"/>
      <c r="M127" s="37"/>
      <c r="N127" s="37"/>
      <c r="O127" s="37"/>
      <c r="P127" s="37"/>
      <c r="Q127" s="37"/>
      <c r="R127" s="37"/>
    </row>
    <row r="128" spans="1:18" ht="15.5" x14ac:dyDescent="0.3">
      <c r="A128" s="52" t="s">
        <v>225</v>
      </c>
      <c r="B128" s="36">
        <v>8.5</v>
      </c>
      <c r="C128" s="36">
        <v>1</v>
      </c>
      <c r="D128" s="36">
        <v>8.5</v>
      </c>
      <c r="E128" s="21">
        <f t="shared" si="91"/>
        <v>142</v>
      </c>
      <c r="F128" s="95">
        <f t="shared" si="88"/>
        <v>1207</v>
      </c>
      <c r="G128" s="21" t="s">
        <v>12</v>
      </c>
      <c r="H128" s="21" t="s">
        <v>12</v>
      </c>
      <c r="I128" s="33">
        <f t="shared" si="89"/>
        <v>60.35</v>
      </c>
      <c r="J128" s="33">
        <f t="shared" si="90"/>
        <v>120.7</v>
      </c>
      <c r="K128" s="30">
        <f t="shared" ref="K128" si="92">J128*$Q$7+I128*$M$7+F128*$N$7</f>
        <v>151743.61755</v>
      </c>
      <c r="L128" s="37"/>
      <c r="M128" s="37"/>
      <c r="N128" s="37"/>
      <c r="O128" s="37"/>
      <c r="P128" s="37"/>
      <c r="Q128" s="37"/>
      <c r="R128" s="37"/>
    </row>
    <row r="129" spans="1:18" x14ac:dyDescent="0.3">
      <c r="A129" s="27" t="s">
        <v>130</v>
      </c>
      <c r="B129" s="64"/>
      <c r="C129" s="64"/>
      <c r="D129" s="64"/>
      <c r="E129" s="64"/>
      <c r="F129" s="122">
        <f>SUM(F89:J128)</f>
        <v>434592.96609649993</v>
      </c>
      <c r="G129" s="122"/>
      <c r="H129" s="122"/>
      <c r="I129" s="122"/>
      <c r="J129" s="122"/>
      <c r="K129" s="61">
        <f>SUM(K89:K128)</f>
        <v>46921365.52322945</v>
      </c>
      <c r="L129" s="37"/>
      <c r="M129" s="37"/>
      <c r="N129" s="37"/>
      <c r="O129" s="37"/>
      <c r="P129" s="37"/>
      <c r="Q129" s="37"/>
      <c r="R129" s="37"/>
    </row>
    <row r="130" spans="1:18" ht="15" x14ac:dyDescent="0.3">
      <c r="A130" s="24" t="s">
        <v>142</v>
      </c>
      <c r="B130" s="21"/>
      <c r="C130" s="21"/>
      <c r="D130" s="21"/>
      <c r="E130" s="21"/>
      <c r="F130" s="123">
        <f>ROUND(SUM(F82,F129),-3)</f>
        <v>614000</v>
      </c>
      <c r="G130" s="123"/>
      <c r="H130" s="123"/>
      <c r="I130" s="123"/>
      <c r="J130" s="123"/>
      <c r="K130" s="65">
        <f>ROUND(SUM(K129,K82),-5)</f>
        <v>65600000</v>
      </c>
      <c r="L130" s="37"/>
      <c r="M130" s="49">
        <f>F130/'O&amp;M'!E37</f>
        <v>156.48893872973801</v>
      </c>
      <c r="N130" s="37" t="s">
        <v>311</v>
      </c>
      <c r="O130" s="37"/>
      <c r="P130" s="37"/>
      <c r="Q130" s="37"/>
      <c r="R130" s="37"/>
    </row>
    <row r="131" spans="1:18" ht="15" customHeight="1" x14ac:dyDescent="0.3">
      <c r="A131" s="24" t="s">
        <v>143</v>
      </c>
      <c r="B131" s="39"/>
      <c r="C131" s="39"/>
      <c r="D131" s="39"/>
      <c r="E131" s="39"/>
      <c r="F131" s="39"/>
      <c r="G131" s="39"/>
      <c r="H131" s="39"/>
      <c r="I131" s="39"/>
      <c r="J131" s="39"/>
      <c r="K131" s="65">
        <f>ROUND('O&amp;M'!J74,-5)</f>
        <v>32600000</v>
      </c>
      <c r="L131" s="37"/>
      <c r="M131" s="37"/>
      <c r="N131" s="37"/>
      <c r="O131" s="37"/>
      <c r="P131" s="37"/>
      <c r="Q131" s="37"/>
      <c r="R131" s="37"/>
    </row>
    <row r="132" spans="1:18" ht="15" customHeight="1" x14ac:dyDescent="0.3">
      <c r="A132" s="24" t="s">
        <v>144</v>
      </c>
      <c r="B132" s="24"/>
      <c r="C132" s="24"/>
      <c r="D132" s="24"/>
      <c r="E132" s="24"/>
      <c r="F132" s="24"/>
      <c r="G132" s="24"/>
      <c r="H132" s="24"/>
      <c r="I132" s="24"/>
      <c r="J132" s="24"/>
      <c r="K132" s="65">
        <f>ROUND(SUM(K130:K131),-6)</f>
        <v>98000000</v>
      </c>
      <c r="L132" s="37"/>
      <c r="M132" s="37"/>
      <c r="N132" s="37"/>
      <c r="O132" s="37"/>
      <c r="P132" s="37"/>
      <c r="Q132" s="37"/>
      <c r="R132" s="37"/>
    </row>
    <row r="133" spans="1:18" x14ac:dyDescent="0.3">
      <c r="A133" s="37"/>
      <c r="B133" s="37"/>
      <c r="C133" s="37"/>
      <c r="D133" s="37"/>
      <c r="E133" s="37"/>
      <c r="F133" s="37"/>
      <c r="G133" s="37"/>
      <c r="H133" s="37"/>
      <c r="I133" s="37"/>
      <c r="J133" s="37"/>
      <c r="K133" s="37"/>
      <c r="L133" s="37"/>
      <c r="M133" s="37"/>
      <c r="N133" s="37"/>
      <c r="O133" s="37"/>
      <c r="P133" s="37"/>
      <c r="Q133" s="37"/>
      <c r="R133" s="37"/>
    </row>
    <row r="134" spans="1:18" x14ac:dyDescent="0.3">
      <c r="A134" s="66" t="s">
        <v>39</v>
      </c>
      <c r="B134" s="37"/>
      <c r="C134" s="37"/>
      <c r="D134" s="37"/>
      <c r="E134" s="37"/>
      <c r="F134" s="37"/>
      <c r="G134" s="37"/>
      <c r="H134" s="37"/>
      <c r="I134" s="37"/>
      <c r="J134" s="37"/>
      <c r="K134" s="37"/>
      <c r="L134" s="37"/>
      <c r="M134" s="37"/>
      <c r="N134" s="37"/>
      <c r="O134" s="37"/>
      <c r="P134" s="37"/>
      <c r="Q134" s="37"/>
      <c r="R134" s="37"/>
    </row>
    <row r="135" spans="1:18" ht="56.25" customHeight="1" x14ac:dyDescent="0.3">
      <c r="A135" s="117" t="s">
        <v>295</v>
      </c>
      <c r="B135" s="117"/>
      <c r="C135" s="117"/>
      <c r="D135" s="117"/>
      <c r="E135" s="117"/>
      <c r="F135" s="117"/>
      <c r="G135" s="117"/>
      <c r="H135" s="117"/>
      <c r="I135" s="117"/>
      <c r="J135" s="117"/>
      <c r="K135" s="117"/>
      <c r="L135" s="37"/>
      <c r="M135" s="37"/>
      <c r="N135" s="37"/>
      <c r="O135" s="37"/>
      <c r="P135" s="37"/>
      <c r="Q135" s="37"/>
      <c r="R135" s="37"/>
    </row>
    <row r="136" spans="1:18" ht="72.75" customHeight="1" x14ac:dyDescent="0.3">
      <c r="A136" s="117" t="s">
        <v>301</v>
      </c>
      <c r="B136" s="117"/>
      <c r="C136" s="117"/>
      <c r="D136" s="117"/>
      <c r="E136" s="117"/>
      <c r="F136" s="117"/>
      <c r="G136" s="117"/>
      <c r="H136" s="117"/>
      <c r="I136" s="117"/>
      <c r="J136" s="117"/>
      <c r="K136" s="117"/>
      <c r="L136" s="37"/>
      <c r="M136" s="51"/>
      <c r="N136" s="51"/>
      <c r="O136" s="51"/>
      <c r="P136" s="51"/>
      <c r="Q136" s="51"/>
      <c r="R136" s="37"/>
    </row>
    <row r="137" spans="1:18" x14ac:dyDescent="0.3">
      <c r="A137" s="115" t="s">
        <v>146</v>
      </c>
      <c r="B137" s="115"/>
      <c r="C137" s="115"/>
      <c r="D137" s="115"/>
      <c r="E137" s="115"/>
      <c r="F137" s="115"/>
      <c r="G137" s="115"/>
      <c r="H137" s="115"/>
      <c r="I137" s="115"/>
      <c r="J137" s="115"/>
      <c r="K137" s="115"/>
      <c r="L137" s="37"/>
      <c r="M137" s="37"/>
      <c r="N137" s="37"/>
      <c r="O137" s="37"/>
      <c r="P137" s="37"/>
      <c r="Q137" s="37"/>
      <c r="R137" s="37"/>
    </row>
    <row r="138" spans="1:18" x14ac:dyDescent="0.3">
      <c r="A138" s="115" t="s">
        <v>302</v>
      </c>
      <c r="B138" s="115"/>
      <c r="C138" s="115"/>
      <c r="D138" s="115"/>
      <c r="E138" s="115"/>
      <c r="F138" s="115"/>
      <c r="G138" s="115"/>
      <c r="H138" s="115"/>
      <c r="I138" s="115"/>
      <c r="J138" s="115"/>
      <c r="K138" s="115"/>
      <c r="L138" s="37"/>
      <c r="M138" s="37"/>
      <c r="N138" s="37"/>
      <c r="O138" s="37"/>
      <c r="P138" s="37"/>
      <c r="Q138" s="37"/>
      <c r="R138" s="37"/>
    </row>
    <row r="139" spans="1:18" ht="30" customHeight="1" x14ac:dyDescent="0.3">
      <c r="A139" s="115" t="s">
        <v>296</v>
      </c>
      <c r="B139" s="115"/>
      <c r="C139" s="115"/>
      <c r="D139" s="115"/>
      <c r="E139" s="115"/>
      <c r="F139" s="115"/>
      <c r="G139" s="115"/>
      <c r="H139" s="115"/>
      <c r="I139" s="115"/>
      <c r="J139" s="115"/>
      <c r="K139" s="115"/>
      <c r="L139" s="37"/>
      <c r="M139" s="37"/>
      <c r="N139" s="37"/>
      <c r="O139" s="37"/>
      <c r="P139" s="37"/>
      <c r="Q139" s="37"/>
      <c r="R139" s="37"/>
    </row>
    <row r="140" spans="1:18" ht="30" customHeight="1" x14ac:dyDescent="0.3">
      <c r="A140" s="117" t="s">
        <v>148</v>
      </c>
      <c r="B140" s="117"/>
      <c r="C140" s="117"/>
      <c r="D140" s="117"/>
      <c r="E140" s="117"/>
      <c r="F140" s="117"/>
      <c r="G140" s="117"/>
      <c r="H140" s="117"/>
      <c r="I140" s="117"/>
      <c r="J140" s="117"/>
      <c r="K140" s="117"/>
      <c r="L140" s="37"/>
      <c r="M140" s="37"/>
      <c r="N140" s="37"/>
      <c r="O140" s="37"/>
      <c r="P140" s="37"/>
      <c r="Q140" s="37"/>
      <c r="R140" s="37"/>
    </row>
    <row r="141" spans="1:18" ht="32.25" customHeight="1" x14ac:dyDescent="0.3">
      <c r="A141" s="117" t="s">
        <v>149</v>
      </c>
      <c r="B141" s="117"/>
      <c r="C141" s="117"/>
      <c r="D141" s="117"/>
      <c r="E141" s="117"/>
      <c r="F141" s="117"/>
      <c r="G141" s="117"/>
      <c r="H141" s="117"/>
      <c r="I141" s="117"/>
      <c r="J141" s="117"/>
      <c r="K141" s="117"/>
      <c r="L141" s="37"/>
      <c r="M141" s="37"/>
      <c r="N141" s="37"/>
      <c r="O141" s="37"/>
      <c r="P141" s="37"/>
      <c r="Q141" s="37"/>
      <c r="R141" s="37"/>
    </row>
    <row r="142" spans="1:18" ht="56.25" customHeight="1" x14ac:dyDescent="0.3">
      <c r="A142" s="117" t="s">
        <v>150</v>
      </c>
      <c r="B142" s="117"/>
      <c r="C142" s="117"/>
      <c r="D142" s="117"/>
      <c r="E142" s="117"/>
      <c r="F142" s="117"/>
      <c r="G142" s="117"/>
      <c r="H142" s="117"/>
      <c r="I142" s="117"/>
      <c r="J142" s="117"/>
      <c r="K142" s="117"/>
      <c r="L142" s="37"/>
      <c r="M142" s="37"/>
      <c r="N142" s="37"/>
      <c r="O142" s="37"/>
      <c r="P142" s="37"/>
      <c r="Q142" s="37"/>
      <c r="R142" s="37"/>
    </row>
    <row r="143" spans="1:18" ht="27.75" customHeight="1" x14ac:dyDescent="0.3">
      <c r="A143" s="115" t="s">
        <v>316</v>
      </c>
      <c r="B143" s="115"/>
      <c r="C143" s="115"/>
      <c r="D143" s="115"/>
      <c r="E143" s="115"/>
      <c r="F143" s="115"/>
      <c r="G143" s="115"/>
      <c r="H143" s="115"/>
      <c r="I143" s="115"/>
      <c r="J143" s="115"/>
      <c r="K143" s="115"/>
      <c r="L143" s="37"/>
      <c r="M143" s="37"/>
      <c r="N143" s="37"/>
      <c r="O143" s="37"/>
      <c r="P143" s="37"/>
      <c r="Q143" s="37"/>
      <c r="R143" s="37"/>
    </row>
    <row r="144" spans="1:18" ht="18.75" customHeight="1" x14ac:dyDescent="0.3">
      <c r="A144" s="115" t="s">
        <v>127</v>
      </c>
      <c r="B144" s="115"/>
      <c r="C144" s="115"/>
      <c r="D144" s="115"/>
      <c r="E144" s="115"/>
      <c r="F144" s="115"/>
      <c r="G144" s="115"/>
      <c r="H144" s="115"/>
      <c r="I144" s="115"/>
      <c r="J144" s="115"/>
      <c r="K144" s="115"/>
      <c r="L144" s="37"/>
      <c r="M144" s="37"/>
      <c r="N144" s="37"/>
      <c r="O144" s="37"/>
      <c r="P144" s="37"/>
      <c r="Q144" s="37"/>
      <c r="R144" s="37"/>
    </row>
    <row r="145" spans="1:18" ht="18" customHeight="1" x14ac:dyDescent="0.3">
      <c r="A145" s="115" t="s">
        <v>272</v>
      </c>
      <c r="B145" s="115"/>
      <c r="C145" s="115"/>
      <c r="D145" s="115"/>
      <c r="E145" s="115"/>
      <c r="F145" s="115"/>
      <c r="G145" s="115"/>
      <c r="H145" s="115"/>
      <c r="I145" s="115"/>
      <c r="J145" s="115"/>
      <c r="K145" s="115"/>
      <c r="L145" s="37"/>
      <c r="M145" s="37"/>
      <c r="N145" s="37"/>
      <c r="O145" s="37"/>
      <c r="P145" s="37"/>
      <c r="Q145" s="37"/>
      <c r="R145" s="37"/>
    </row>
    <row r="146" spans="1:18" ht="23.25" customHeight="1" x14ac:dyDescent="0.3">
      <c r="A146" s="117" t="s">
        <v>151</v>
      </c>
      <c r="B146" s="117"/>
      <c r="C146" s="117"/>
      <c r="D146" s="117"/>
      <c r="E146" s="117"/>
      <c r="F146" s="117"/>
      <c r="G146" s="117"/>
      <c r="H146" s="117"/>
      <c r="I146" s="117"/>
      <c r="J146" s="117"/>
      <c r="K146" s="117"/>
      <c r="L146" s="37"/>
      <c r="M146" s="37"/>
      <c r="N146" s="37"/>
      <c r="O146" s="37"/>
      <c r="P146" s="37"/>
      <c r="Q146" s="37"/>
      <c r="R146" s="37"/>
    </row>
    <row r="147" spans="1:18" ht="44.25" customHeight="1" x14ac:dyDescent="0.3">
      <c r="A147" s="117" t="s">
        <v>152</v>
      </c>
      <c r="B147" s="117"/>
      <c r="C147" s="117"/>
      <c r="D147" s="117"/>
      <c r="E147" s="117"/>
      <c r="F147" s="117"/>
      <c r="G147" s="117"/>
      <c r="H147" s="117"/>
      <c r="I147" s="117"/>
      <c r="J147" s="117"/>
      <c r="K147" s="117"/>
      <c r="L147" s="37"/>
      <c r="M147" s="67"/>
      <c r="N147" s="67"/>
      <c r="O147" s="67"/>
      <c r="P147" s="67"/>
      <c r="Q147" s="67"/>
      <c r="R147" s="37"/>
    </row>
    <row r="148" spans="1:18" x14ac:dyDescent="0.3">
      <c r="A148" s="117" t="s">
        <v>153</v>
      </c>
      <c r="B148" s="117"/>
      <c r="C148" s="117"/>
      <c r="D148" s="117"/>
      <c r="E148" s="117"/>
      <c r="F148" s="117"/>
      <c r="G148" s="117"/>
      <c r="H148" s="117"/>
      <c r="I148" s="117"/>
      <c r="J148" s="117"/>
      <c r="K148" s="117"/>
      <c r="L148" s="37"/>
      <c r="M148" s="67"/>
      <c r="N148" s="67"/>
      <c r="O148" s="67"/>
      <c r="P148" s="67"/>
      <c r="Q148" s="67"/>
      <c r="R148" s="37"/>
    </row>
    <row r="149" spans="1:18" x14ac:dyDescent="0.3">
      <c r="A149" s="117" t="s">
        <v>154</v>
      </c>
      <c r="B149" s="117"/>
      <c r="C149" s="117"/>
      <c r="D149" s="117"/>
      <c r="E149" s="117"/>
      <c r="F149" s="117"/>
      <c r="G149" s="117"/>
      <c r="H149" s="117"/>
      <c r="I149" s="117"/>
      <c r="J149" s="117"/>
      <c r="K149" s="117"/>
      <c r="L149" s="37"/>
      <c r="M149" s="67"/>
      <c r="N149" s="67"/>
      <c r="O149" s="67"/>
      <c r="P149" s="67"/>
      <c r="Q149" s="67"/>
      <c r="R149" s="37"/>
    </row>
    <row r="150" spans="1:18" x14ac:dyDescent="0.3">
      <c r="A150" s="115" t="s">
        <v>313</v>
      </c>
      <c r="B150" s="115"/>
      <c r="C150" s="115"/>
      <c r="D150" s="115"/>
      <c r="E150" s="115"/>
      <c r="F150" s="115"/>
      <c r="G150" s="115"/>
      <c r="H150" s="115"/>
      <c r="I150" s="115"/>
      <c r="J150" s="115"/>
      <c r="K150" s="115"/>
      <c r="L150" s="37"/>
      <c r="M150" s="67"/>
      <c r="N150" s="67"/>
      <c r="O150" s="67"/>
      <c r="P150" s="67"/>
      <c r="Q150" s="67"/>
      <c r="R150" s="37"/>
    </row>
    <row r="151" spans="1:18" x14ac:dyDescent="0.3">
      <c r="A151" s="116" t="s">
        <v>155</v>
      </c>
      <c r="B151" s="116"/>
      <c r="C151" s="116"/>
      <c r="D151" s="116"/>
      <c r="E151" s="116"/>
      <c r="F151" s="116"/>
      <c r="G151" s="116"/>
      <c r="H151" s="116"/>
      <c r="I151" s="116"/>
      <c r="J151" s="116"/>
      <c r="K151" s="116"/>
      <c r="L151" s="37"/>
      <c r="M151" s="67"/>
      <c r="N151" s="67"/>
      <c r="O151" s="67"/>
      <c r="P151" s="67"/>
      <c r="Q151" s="67"/>
      <c r="R151" s="37"/>
    </row>
    <row r="152" spans="1:18" x14ac:dyDescent="0.3">
      <c r="A152" s="114" t="s">
        <v>128</v>
      </c>
      <c r="B152" s="114"/>
      <c r="C152" s="114"/>
      <c r="D152" s="114"/>
      <c r="E152" s="114"/>
      <c r="F152" s="114"/>
      <c r="G152" s="114"/>
      <c r="H152" s="114"/>
      <c r="I152" s="114"/>
      <c r="J152" s="114"/>
      <c r="K152" s="114"/>
      <c r="L152" s="37"/>
      <c r="M152" s="67"/>
      <c r="N152" s="67"/>
      <c r="O152" s="67"/>
      <c r="P152" s="67"/>
      <c r="Q152" s="67"/>
      <c r="R152" s="37"/>
    </row>
    <row r="153" spans="1:18" x14ac:dyDescent="0.3">
      <c r="A153" s="114" t="s">
        <v>314</v>
      </c>
      <c r="B153" s="114"/>
      <c r="C153" s="114"/>
      <c r="D153" s="114"/>
      <c r="E153" s="114"/>
      <c r="F153" s="114"/>
      <c r="G153" s="114"/>
      <c r="H153" s="114"/>
      <c r="I153" s="114"/>
      <c r="J153" s="114"/>
      <c r="K153" s="114"/>
      <c r="L153" s="37"/>
      <c r="M153" s="67"/>
      <c r="N153" s="67"/>
      <c r="O153" s="67"/>
      <c r="P153" s="67"/>
      <c r="Q153" s="67"/>
      <c r="R153" s="37"/>
    </row>
    <row r="154" spans="1:18" x14ac:dyDescent="0.3">
      <c r="A154" s="117" t="s">
        <v>156</v>
      </c>
      <c r="B154" s="117"/>
      <c r="C154" s="117"/>
      <c r="D154" s="117"/>
      <c r="E154" s="117"/>
      <c r="F154" s="117"/>
      <c r="G154" s="117"/>
      <c r="H154" s="117"/>
      <c r="I154" s="117"/>
      <c r="J154" s="117"/>
      <c r="K154" s="117"/>
      <c r="L154" s="37"/>
      <c r="M154" s="67"/>
      <c r="N154" s="67"/>
      <c r="O154" s="67"/>
      <c r="P154" s="67"/>
      <c r="Q154" s="67"/>
      <c r="R154" s="37"/>
    </row>
    <row r="155" spans="1:18" ht="17.25" customHeight="1" x14ac:dyDescent="0.3">
      <c r="A155" s="116" t="s">
        <v>157</v>
      </c>
      <c r="B155" s="116"/>
      <c r="C155" s="116"/>
      <c r="D155" s="116"/>
      <c r="E155" s="116"/>
      <c r="F155" s="116"/>
      <c r="G155" s="116"/>
      <c r="H155" s="116"/>
      <c r="I155" s="116"/>
      <c r="J155" s="116"/>
      <c r="K155" s="116"/>
      <c r="L155" s="37"/>
      <c r="M155" s="67"/>
      <c r="N155" s="67"/>
      <c r="O155" s="67"/>
      <c r="P155" s="67"/>
      <c r="Q155" s="67"/>
      <c r="R155" s="37"/>
    </row>
    <row r="156" spans="1:18" ht="27" customHeight="1" x14ac:dyDescent="0.3">
      <c r="A156" s="117" t="s">
        <v>158</v>
      </c>
      <c r="B156" s="117"/>
      <c r="C156" s="117"/>
      <c r="D156" s="117"/>
      <c r="E156" s="117"/>
      <c r="F156" s="117"/>
      <c r="G156" s="117"/>
      <c r="H156" s="117"/>
      <c r="I156" s="117"/>
      <c r="J156" s="117"/>
      <c r="K156" s="117"/>
      <c r="L156" s="37"/>
      <c r="M156" s="37"/>
      <c r="N156" s="37"/>
      <c r="O156" s="37"/>
      <c r="P156" s="37"/>
      <c r="Q156" s="37"/>
      <c r="R156" s="37"/>
    </row>
    <row r="157" spans="1:18" ht="24" customHeight="1" x14ac:dyDescent="0.3">
      <c r="A157" s="117" t="s">
        <v>159</v>
      </c>
      <c r="B157" s="117"/>
      <c r="C157" s="117"/>
      <c r="D157" s="117"/>
      <c r="E157" s="117"/>
      <c r="F157" s="117"/>
      <c r="G157" s="117"/>
      <c r="H157" s="117"/>
      <c r="I157" s="117"/>
      <c r="J157" s="117"/>
      <c r="K157" s="117"/>
      <c r="L157" s="37"/>
      <c r="M157" s="37"/>
      <c r="N157" s="37"/>
      <c r="O157" s="37"/>
      <c r="P157" s="37"/>
      <c r="Q157" s="37"/>
      <c r="R157" s="37"/>
    </row>
    <row r="158" spans="1:18" ht="24" customHeight="1" x14ac:dyDescent="0.3">
      <c r="A158" s="117" t="s">
        <v>160</v>
      </c>
      <c r="B158" s="117"/>
      <c r="C158" s="117"/>
      <c r="D158" s="117"/>
      <c r="E158" s="117"/>
      <c r="F158" s="117"/>
      <c r="G158" s="117"/>
      <c r="H158" s="117"/>
      <c r="I158" s="117"/>
      <c r="J158" s="117"/>
      <c r="K158" s="117"/>
      <c r="L158" s="37"/>
      <c r="M158" s="37"/>
      <c r="N158" s="37"/>
      <c r="O158" s="37"/>
      <c r="P158" s="37"/>
      <c r="Q158" s="37"/>
      <c r="R158" s="37"/>
    </row>
    <row r="159" spans="1:18" ht="24" customHeight="1" x14ac:dyDescent="0.3">
      <c r="A159" s="117" t="s">
        <v>161</v>
      </c>
      <c r="B159" s="117"/>
      <c r="C159" s="117"/>
      <c r="D159" s="117"/>
      <c r="E159" s="117"/>
      <c r="F159" s="117"/>
      <c r="G159" s="117"/>
      <c r="H159" s="117"/>
      <c r="I159" s="117"/>
      <c r="J159" s="117"/>
      <c r="K159" s="117"/>
      <c r="L159" s="37"/>
      <c r="M159" s="37"/>
      <c r="N159" s="37"/>
      <c r="O159" s="37"/>
      <c r="P159" s="37"/>
      <c r="Q159" s="37"/>
      <c r="R159" s="37"/>
    </row>
    <row r="160" spans="1:18" ht="24" customHeight="1" x14ac:dyDescent="0.3">
      <c r="A160" s="117" t="s">
        <v>162</v>
      </c>
      <c r="B160" s="117"/>
      <c r="C160" s="117"/>
      <c r="D160" s="117"/>
      <c r="E160" s="117"/>
      <c r="F160" s="117"/>
      <c r="G160" s="117"/>
      <c r="H160" s="117"/>
      <c r="I160" s="117"/>
      <c r="J160" s="117"/>
      <c r="K160" s="117"/>
      <c r="L160" s="37"/>
      <c r="M160" s="37"/>
      <c r="N160" s="37"/>
      <c r="O160" s="37"/>
      <c r="P160" s="37"/>
      <c r="Q160" s="37"/>
      <c r="R160" s="37"/>
    </row>
    <row r="161" spans="1:18" ht="24" customHeight="1" x14ac:dyDescent="0.3">
      <c r="A161" s="117" t="s">
        <v>163</v>
      </c>
      <c r="B161" s="117"/>
      <c r="C161" s="117"/>
      <c r="D161" s="117"/>
      <c r="E161" s="117"/>
      <c r="F161" s="117"/>
      <c r="G161" s="117"/>
      <c r="H161" s="117"/>
      <c r="I161" s="117"/>
      <c r="J161" s="117"/>
      <c r="K161" s="117"/>
      <c r="L161" s="37"/>
      <c r="M161" s="37"/>
      <c r="N161" s="37"/>
      <c r="O161" s="37"/>
      <c r="P161" s="37"/>
      <c r="Q161" s="37"/>
      <c r="R161" s="37"/>
    </row>
    <row r="162" spans="1:18" ht="24" customHeight="1" x14ac:dyDescent="0.3">
      <c r="A162" s="117" t="s">
        <v>164</v>
      </c>
      <c r="B162" s="117"/>
      <c r="C162" s="117"/>
      <c r="D162" s="117"/>
      <c r="E162" s="117"/>
      <c r="F162" s="117"/>
      <c r="G162" s="117"/>
      <c r="H162" s="117"/>
      <c r="I162" s="117"/>
      <c r="J162" s="117"/>
      <c r="K162" s="117"/>
      <c r="L162" s="37"/>
      <c r="M162" s="37"/>
      <c r="N162" s="37"/>
      <c r="O162" s="37"/>
      <c r="P162" s="37"/>
      <c r="Q162" s="37"/>
      <c r="R162" s="37"/>
    </row>
    <row r="163" spans="1:18" ht="24" customHeight="1" x14ac:dyDescent="0.3">
      <c r="A163" s="117" t="s">
        <v>165</v>
      </c>
      <c r="B163" s="117"/>
      <c r="C163" s="117"/>
      <c r="D163" s="117"/>
      <c r="E163" s="117"/>
      <c r="F163" s="117"/>
      <c r="G163" s="117"/>
      <c r="H163" s="117"/>
      <c r="I163" s="117"/>
      <c r="J163" s="117"/>
      <c r="K163" s="117"/>
      <c r="L163" s="37"/>
      <c r="M163" s="37"/>
      <c r="N163" s="37"/>
      <c r="O163" s="37"/>
      <c r="P163" s="37"/>
      <c r="Q163" s="37"/>
      <c r="R163" s="37"/>
    </row>
    <row r="164" spans="1:18" ht="24" customHeight="1" x14ac:dyDescent="0.3">
      <c r="A164" s="116" t="s">
        <v>134</v>
      </c>
      <c r="B164" s="116"/>
      <c r="C164" s="116"/>
      <c r="D164" s="116"/>
      <c r="E164" s="116"/>
      <c r="F164" s="116"/>
      <c r="G164" s="116"/>
      <c r="H164" s="116"/>
      <c r="I164" s="116"/>
      <c r="J164" s="116"/>
      <c r="K164" s="116"/>
      <c r="L164" s="37"/>
      <c r="M164" s="37"/>
      <c r="N164" s="37"/>
      <c r="O164" s="37"/>
      <c r="P164" s="37"/>
      <c r="Q164" s="37"/>
      <c r="R164" s="37"/>
    </row>
    <row r="165" spans="1:18" ht="15" customHeight="1" x14ac:dyDescent="0.3">
      <c r="A165" s="116" t="s">
        <v>131</v>
      </c>
      <c r="B165" s="116"/>
      <c r="C165" s="116"/>
      <c r="D165" s="116"/>
      <c r="E165" s="116"/>
      <c r="F165" s="116"/>
      <c r="G165" s="116"/>
      <c r="H165" s="116"/>
      <c r="I165" s="116"/>
      <c r="J165" s="116"/>
      <c r="K165" s="116"/>
      <c r="L165" s="37"/>
      <c r="M165" s="37"/>
      <c r="N165" s="37"/>
      <c r="O165" s="37"/>
      <c r="P165" s="37"/>
      <c r="Q165" s="37"/>
      <c r="R165" s="37"/>
    </row>
    <row r="166" spans="1:18" ht="20.25" customHeight="1" x14ac:dyDescent="0.3">
      <c r="A166" s="117" t="s">
        <v>166</v>
      </c>
      <c r="B166" s="117"/>
      <c r="C166" s="117"/>
      <c r="D166" s="117"/>
      <c r="E166" s="117"/>
      <c r="F166" s="117"/>
      <c r="G166" s="117"/>
      <c r="H166" s="117"/>
      <c r="I166" s="117"/>
      <c r="J166" s="117"/>
      <c r="K166" s="117"/>
      <c r="L166" s="37"/>
      <c r="M166" s="37"/>
      <c r="N166" s="37"/>
      <c r="O166" s="37"/>
      <c r="P166" s="37"/>
      <c r="Q166" s="37"/>
      <c r="R166" s="37"/>
    </row>
    <row r="167" spans="1:18" ht="28.5" customHeight="1" x14ac:dyDescent="0.3">
      <c r="A167" s="117" t="s">
        <v>167</v>
      </c>
      <c r="B167" s="117"/>
      <c r="C167" s="117"/>
      <c r="D167" s="117"/>
      <c r="E167" s="117"/>
      <c r="F167" s="117"/>
      <c r="G167" s="117"/>
      <c r="H167" s="117"/>
      <c r="I167" s="117"/>
      <c r="J167" s="117"/>
      <c r="K167" s="117"/>
      <c r="L167" s="37"/>
      <c r="M167" s="37"/>
      <c r="N167" s="37"/>
      <c r="O167" s="37"/>
      <c r="P167" s="37"/>
      <c r="Q167" s="37"/>
      <c r="R167" s="37"/>
    </row>
    <row r="168" spans="1:18" ht="29.25" customHeight="1" x14ac:dyDescent="0.3">
      <c r="A168" s="117" t="s">
        <v>168</v>
      </c>
      <c r="B168" s="117"/>
      <c r="C168" s="117"/>
      <c r="D168" s="117"/>
      <c r="E168" s="117"/>
      <c r="F168" s="117"/>
      <c r="G168" s="117"/>
      <c r="H168" s="117"/>
      <c r="I168" s="117"/>
      <c r="J168" s="117"/>
      <c r="K168" s="117"/>
      <c r="L168" s="37"/>
      <c r="M168" s="37"/>
      <c r="N168" s="37"/>
      <c r="O168" s="37"/>
      <c r="P168" s="37"/>
      <c r="Q168" s="37"/>
      <c r="R168" s="37"/>
    </row>
    <row r="169" spans="1:18" ht="15" customHeight="1" x14ac:dyDescent="0.3">
      <c r="A169" s="115" t="s">
        <v>133</v>
      </c>
      <c r="B169" s="115"/>
      <c r="C169" s="115"/>
      <c r="D169" s="115"/>
      <c r="E169" s="115"/>
      <c r="F169" s="115"/>
      <c r="G169" s="115"/>
      <c r="H169" s="115"/>
      <c r="I169" s="115"/>
      <c r="J169" s="115"/>
      <c r="K169" s="115"/>
      <c r="L169" s="37"/>
      <c r="M169" s="37"/>
      <c r="N169" s="37"/>
      <c r="O169" s="37"/>
      <c r="P169" s="37"/>
      <c r="Q169" s="37"/>
      <c r="R169" s="37"/>
    </row>
    <row r="170" spans="1:18" ht="24" customHeight="1" x14ac:dyDescent="0.3">
      <c r="A170" s="117" t="s">
        <v>315</v>
      </c>
      <c r="B170" s="117"/>
      <c r="C170" s="117"/>
      <c r="D170" s="117"/>
      <c r="E170" s="117"/>
      <c r="F170" s="117"/>
      <c r="G170" s="117"/>
      <c r="H170" s="117"/>
      <c r="I170" s="117"/>
      <c r="J170" s="117"/>
      <c r="K170" s="117"/>
      <c r="L170" s="37"/>
      <c r="M170" s="37"/>
      <c r="N170" s="37"/>
      <c r="O170" s="37"/>
      <c r="P170" s="37"/>
      <c r="Q170" s="37"/>
      <c r="R170" s="37"/>
    </row>
    <row r="171" spans="1:18" ht="24" customHeight="1" x14ac:dyDescent="0.3">
      <c r="A171" s="117" t="s">
        <v>169</v>
      </c>
      <c r="B171" s="117"/>
      <c r="C171" s="117"/>
      <c r="D171" s="117"/>
      <c r="E171" s="117"/>
      <c r="F171" s="117"/>
      <c r="G171" s="117"/>
      <c r="H171" s="117"/>
      <c r="I171" s="117"/>
      <c r="J171" s="117"/>
      <c r="K171" s="117"/>
      <c r="L171" s="37"/>
      <c r="M171" s="37"/>
      <c r="N171" s="37"/>
      <c r="O171" s="37"/>
      <c r="P171" s="37"/>
      <c r="Q171" s="37"/>
      <c r="R171" s="37"/>
    </row>
    <row r="172" spans="1:18" ht="14.25" customHeight="1" x14ac:dyDescent="0.3">
      <c r="A172" s="115" t="s">
        <v>132</v>
      </c>
      <c r="B172" s="115"/>
      <c r="C172" s="115"/>
      <c r="D172" s="115"/>
      <c r="E172" s="115"/>
      <c r="F172" s="115"/>
      <c r="G172" s="115"/>
      <c r="H172" s="115"/>
      <c r="I172" s="115"/>
      <c r="J172" s="115"/>
      <c r="K172" s="115"/>
      <c r="L172" s="37"/>
      <c r="M172" s="37"/>
      <c r="N172" s="37"/>
      <c r="O172" s="37"/>
      <c r="P172" s="37"/>
      <c r="Q172" s="37"/>
      <c r="R172" s="37"/>
    </row>
    <row r="173" spans="1:18" ht="24" customHeight="1" x14ac:dyDescent="0.3">
      <c r="A173" s="125" t="s">
        <v>170</v>
      </c>
      <c r="B173" s="125"/>
      <c r="C173" s="125"/>
      <c r="D173" s="125"/>
      <c r="E173" s="125"/>
      <c r="F173" s="125"/>
      <c r="G173" s="125"/>
      <c r="H173" s="125"/>
      <c r="I173" s="125"/>
      <c r="J173" s="125"/>
      <c r="K173" s="125"/>
      <c r="L173" s="37"/>
      <c r="M173" s="37"/>
      <c r="N173" s="37"/>
      <c r="O173" s="37"/>
      <c r="P173" s="37"/>
      <c r="Q173" s="37"/>
      <c r="R173" s="37"/>
    </row>
    <row r="174" spans="1:18" ht="24" customHeight="1" x14ac:dyDescent="0.3">
      <c r="A174" s="117" t="s">
        <v>40</v>
      </c>
      <c r="B174" s="117"/>
      <c r="C174" s="117"/>
      <c r="D174" s="117"/>
      <c r="E174" s="117"/>
      <c r="F174" s="117"/>
      <c r="G174" s="117"/>
      <c r="H174" s="117"/>
      <c r="I174" s="117"/>
      <c r="J174" s="117"/>
      <c r="K174" s="117"/>
      <c r="L174" s="37"/>
      <c r="M174" s="37"/>
      <c r="N174" s="37"/>
      <c r="O174" s="37"/>
      <c r="P174" s="37"/>
      <c r="Q174" s="37"/>
      <c r="R174" s="37"/>
    </row>
    <row r="175" spans="1:18" ht="24" customHeight="1" x14ac:dyDescent="0.3">
      <c r="L175" s="37"/>
      <c r="M175" s="37"/>
      <c r="N175" s="37"/>
      <c r="O175" s="37"/>
      <c r="P175" s="37"/>
      <c r="Q175" s="37"/>
      <c r="R175" s="37"/>
    </row>
    <row r="176" spans="1:18" ht="24" customHeight="1" x14ac:dyDescent="0.3">
      <c r="L176" s="37"/>
      <c r="M176" s="37"/>
      <c r="N176" s="37"/>
      <c r="O176" s="37"/>
      <c r="P176" s="37"/>
      <c r="Q176" s="37"/>
      <c r="R176" s="37"/>
    </row>
    <row r="177" spans="1:18" ht="24" customHeight="1" x14ac:dyDescent="0.3">
      <c r="L177" s="37"/>
      <c r="M177" s="37"/>
      <c r="N177" s="37"/>
      <c r="O177" s="37"/>
      <c r="P177" s="37"/>
      <c r="Q177" s="37"/>
      <c r="R177" s="37"/>
    </row>
    <row r="178" spans="1:18" ht="24" customHeight="1" x14ac:dyDescent="0.3">
      <c r="A178" s="28"/>
      <c r="B178" s="28"/>
      <c r="C178" s="28"/>
      <c r="D178" s="28"/>
      <c r="E178" s="28"/>
      <c r="F178" s="28"/>
      <c r="G178" s="28"/>
      <c r="H178" s="28"/>
      <c r="I178" s="28"/>
      <c r="J178" s="28"/>
      <c r="K178" s="28"/>
      <c r="L178" s="37"/>
      <c r="M178" s="37"/>
      <c r="N178" s="37"/>
      <c r="O178" s="37"/>
      <c r="P178" s="37"/>
      <c r="Q178" s="37"/>
      <c r="R178" s="37"/>
    </row>
    <row r="179" spans="1:18" ht="14.25" customHeight="1" x14ac:dyDescent="0.3">
      <c r="L179" s="37"/>
      <c r="M179" s="37"/>
      <c r="N179" s="37"/>
      <c r="O179" s="37"/>
      <c r="P179" s="37"/>
      <c r="Q179" s="37"/>
      <c r="R179" s="37"/>
    </row>
    <row r="180" spans="1:18" ht="19.5" customHeight="1" x14ac:dyDescent="0.3">
      <c r="B180" s="37"/>
      <c r="C180" s="37"/>
      <c r="D180" s="37"/>
      <c r="E180" s="37"/>
      <c r="F180" s="37"/>
      <c r="G180" s="37"/>
      <c r="H180" s="37"/>
      <c r="I180" s="37"/>
      <c r="J180" s="37"/>
      <c r="K180" s="37"/>
      <c r="L180" s="37"/>
      <c r="M180" s="37"/>
      <c r="N180" s="37"/>
      <c r="O180" s="37"/>
      <c r="P180" s="37"/>
      <c r="Q180" s="37"/>
      <c r="R180" s="37"/>
    </row>
    <row r="181" spans="1:18" ht="28.5" customHeight="1" x14ac:dyDescent="0.3">
      <c r="A181" s="37"/>
      <c r="B181" s="37"/>
      <c r="C181" s="37"/>
      <c r="D181" s="37"/>
      <c r="E181" s="37"/>
      <c r="F181" s="37"/>
      <c r="G181" s="37"/>
      <c r="H181" s="37"/>
      <c r="I181" s="37"/>
      <c r="J181" s="37"/>
      <c r="K181" s="37"/>
      <c r="L181" s="37"/>
      <c r="M181" s="37"/>
      <c r="N181" s="37"/>
      <c r="O181" s="37"/>
      <c r="P181" s="37"/>
      <c r="Q181" s="37"/>
      <c r="R181" s="37"/>
    </row>
    <row r="182" spans="1:18" ht="21" customHeight="1" x14ac:dyDescent="0.3">
      <c r="A182" s="37"/>
      <c r="B182" s="37"/>
      <c r="C182" s="37"/>
      <c r="D182" s="37"/>
      <c r="E182" s="37"/>
      <c r="F182" s="37"/>
      <c r="G182" s="37"/>
      <c r="H182" s="37"/>
      <c r="I182" s="37"/>
      <c r="J182" s="37"/>
      <c r="K182" s="37"/>
      <c r="L182" s="37"/>
      <c r="M182" s="37"/>
      <c r="N182" s="37"/>
      <c r="O182" s="37"/>
      <c r="P182" s="37"/>
      <c r="Q182" s="37"/>
      <c r="R182" s="37"/>
    </row>
    <row r="183" spans="1:18" ht="44.25" customHeight="1" x14ac:dyDescent="0.3">
      <c r="A183" s="37"/>
      <c r="B183" s="37"/>
      <c r="C183" s="37"/>
      <c r="D183" s="37"/>
      <c r="E183" s="37"/>
      <c r="F183" s="37"/>
      <c r="G183" s="37"/>
      <c r="H183" s="37"/>
      <c r="I183" s="37"/>
      <c r="J183" s="37"/>
      <c r="K183" s="37"/>
      <c r="L183" s="37"/>
      <c r="M183" s="37"/>
      <c r="N183" s="37"/>
      <c r="O183" s="37"/>
      <c r="P183" s="37"/>
      <c r="Q183" s="37"/>
      <c r="R183" s="37"/>
    </row>
    <row r="184" spans="1:18" ht="42" customHeight="1" x14ac:dyDescent="0.3">
      <c r="A184" s="37"/>
      <c r="B184" s="37"/>
      <c r="C184" s="37"/>
      <c r="D184" s="37"/>
      <c r="E184" s="37"/>
      <c r="F184" s="37"/>
      <c r="G184" s="37"/>
      <c r="H184" s="37"/>
      <c r="I184" s="37"/>
      <c r="J184" s="37"/>
      <c r="K184" s="37"/>
      <c r="L184" s="37"/>
      <c r="M184" s="37"/>
      <c r="N184" s="37"/>
      <c r="O184" s="37"/>
      <c r="P184" s="37"/>
      <c r="Q184" s="37"/>
      <c r="R184" s="37"/>
    </row>
    <row r="185" spans="1:18" x14ac:dyDescent="0.3">
      <c r="A185" s="37"/>
      <c r="B185" s="37"/>
      <c r="C185" s="37"/>
      <c r="D185" s="37"/>
      <c r="E185" s="37"/>
      <c r="F185" s="37"/>
      <c r="G185" s="37"/>
      <c r="H185" s="37"/>
      <c r="I185" s="37"/>
      <c r="J185" s="37"/>
      <c r="K185" s="37"/>
      <c r="L185" s="37"/>
      <c r="M185" s="37"/>
      <c r="N185" s="37"/>
      <c r="O185" s="37"/>
      <c r="P185" s="37"/>
      <c r="Q185" s="37"/>
      <c r="R185" s="37"/>
    </row>
    <row r="186" spans="1:18" ht="30" customHeight="1" x14ac:dyDescent="0.3">
      <c r="A186" s="37"/>
      <c r="B186" s="37"/>
      <c r="C186" s="37"/>
      <c r="D186" s="37"/>
      <c r="E186" s="37"/>
      <c r="F186" s="37"/>
      <c r="G186" s="37"/>
      <c r="H186" s="37"/>
      <c r="I186" s="37"/>
      <c r="J186" s="37"/>
      <c r="K186" s="37"/>
      <c r="L186" s="37"/>
      <c r="M186" s="37"/>
      <c r="N186" s="37"/>
      <c r="O186" s="37"/>
      <c r="P186" s="37"/>
      <c r="Q186" s="37"/>
      <c r="R186" s="37"/>
    </row>
    <row r="187" spans="1:18" ht="31.5" customHeight="1" x14ac:dyDescent="0.3">
      <c r="A187" s="37"/>
      <c r="B187" s="37"/>
      <c r="C187" s="37"/>
      <c r="D187" s="37"/>
      <c r="E187" s="37"/>
      <c r="F187" s="37"/>
      <c r="G187" s="37"/>
      <c r="H187" s="37"/>
      <c r="I187" s="37"/>
      <c r="J187" s="37"/>
      <c r="K187" s="37"/>
      <c r="L187" s="37"/>
      <c r="M187" s="37"/>
      <c r="N187" s="37"/>
      <c r="O187" s="37"/>
      <c r="P187" s="37"/>
      <c r="Q187" s="37"/>
      <c r="R187" s="37"/>
    </row>
    <row r="191" spans="1:18" ht="31.5" customHeight="1" x14ac:dyDescent="0.3"/>
  </sheetData>
  <mergeCells count="45">
    <mergeCell ref="A174:K174"/>
    <mergeCell ref="A168:K168"/>
    <mergeCell ref="A154:K154"/>
    <mergeCell ref="A156:K156"/>
    <mergeCell ref="A157:K157"/>
    <mergeCell ref="A158:K158"/>
    <mergeCell ref="A172:K172"/>
    <mergeCell ref="A173:K173"/>
    <mergeCell ref="M5:Q5"/>
    <mergeCell ref="A170:K170"/>
    <mergeCell ref="A171:K171"/>
    <mergeCell ref="A149:K149"/>
    <mergeCell ref="A135:K135"/>
    <mergeCell ref="A136:K136"/>
    <mergeCell ref="A140:K140"/>
    <mergeCell ref="A141:K141"/>
    <mergeCell ref="A142:K142"/>
    <mergeCell ref="A146:K146"/>
    <mergeCell ref="A147:K147"/>
    <mergeCell ref="A139:K139"/>
    <mergeCell ref="A138:K138"/>
    <mergeCell ref="A137:K137"/>
    <mergeCell ref="A151:K151"/>
    <mergeCell ref="A155:K155"/>
    <mergeCell ref="A148:K148"/>
    <mergeCell ref="A3:A4"/>
    <mergeCell ref="F82:J82"/>
    <mergeCell ref="F129:J129"/>
    <mergeCell ref="F130:J130"/>
    <mergeCell ref="A144:K144"/>
    <mergeCell ref="A143:K143"/>
    <mergeCell ref="A145:K145"/>
    <mergeCell ref="A152:K152"/>
    <mergeCell ref="A153:K153"/>
    <mergeCell ref="A150:K150"/>
    <mergeCell ref="A165:K165"/>
    <mergeCell ref="A169:K169"/>
    <mergeCell ref="A167:K167"/>
    <mergeCell ref="A159:K159"/>
    <mergeCell ref="A160:K160"/>
    <mergeCell ref="A161:K161"/>
    <mergeCell ref="A166:K166"/>
    <mergeCell ref="A163:K163"/>
    <mergeCell ref="A162:K162"/>
    <mergeCell ref="A164:K16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topLeftCell="A25" zoomScale="90" zoomScaleNormal="90" workbookViewId="0">
      <selection activeCell="A40" sqref="A40:I40"/>
    </sheetView>
  </sheetViews>
  <sheetFormatPr defaultColWidth="9.1796875" defaultRowHeight="14.5" x14ac:dyDescent="0.35"/>
  <cols>
    <col min="1" max="1" width="43.1796875" style="68" customWidth="1"/>
    <col min="2" max="9" width="13.7265625" style="68" customWidth="1"/>
    <col min="10" max="10" width="9.1796875" style="68"/>
    <col min="11" max="11" width="27.7265625" style="68" customWidth="1"/>
    <col min="12" max="16384" width="9.1796875" style="68"/>
  </cols>
  <sheetData>
    <row r="1" spans="1:13" ht="15" x14ac:dyDescent="0.35">
      <c r="A1" s="34" t="s">
        <v>125</v>
      </c>
      <c r="B1" s="35"/>
      <c r="C1" s="35"/>
      <c r="D1" s="35"/>
      <c r="E1" s="35"/>
      <c r="F1" s="35"/>
      <c r="G1" s="35"/>
      <c r="H1" s="35"/>
      <c r="I1" s="35"/>
    </row>
    <row r="2" spans="1:13" x14ac:dyDescent="0.35">
      <c r="A2" s="69"/>
      <c r="B2" s="35"/>
      <c r="C2" s="35"/>
      <c r="D2" s="35"/>
      <c r="E2" s="35"/>
      <c r="I2" s="35"/>
    </row>
    <row r="3" spans="1:13" x14ac:dyDescent="0.35">
      <c r="A3" s="118" t="s">
        <v>48</v>
      </c>
      <c r="B3" s="36" t="s">
        <v>0</v>
      </c>
      <c r="C3" s="36" t="s">
        <v>2</v>
      </c>
      <c r="D3" s="36" t="s">
        <v>4</v>
      </c>
      <c r="E3" s="36" t="s">
        <v>51</v>
      </c>
      <c r="F3" s="36" t="s">
        <v>5</v>
      </c>
      <c r="G3" s="36" t="s">
        <v>6</v>
      </c>
      <c r="H3" s="36" t="s">
        <v>7</v>
      </c>
      <c r="I3" s="36" t="s">
        <v>8</v>
      </c>
    </row>
    <row r="4" spans="1:13" ht="52" x14ac:dyDescent="0.35">
      <c r="A4" s="118"/>
      <c r="B4" s="36" t="s">
        <v>49</v>
      </c>
      <c r="C4" s="36" t="s">
        <v>50</v>
      </c>
      <c r="D4" s="36" t="s">
        <v>56</v>
      </c>
      <c r="E4" s="36" t="s">
        <v>226</v>
      </c>
      <c r="F4" s="36" t="s">
        <v>43</v>
      </c>
      <c r="G4" s="36" t="s">
        <v>46</v>
      </c>
      <c r="H4" s="36" t="s">
        <v>57</v>
      </c>
      <c r="I4" s="36" t="s">
        <v>227</v>
      </c>
    </row>
    <row r="5" spans="1:13" ht="15.5" x14ac:dyDescent="0.35">
      <c r="A5" s="39" t="s">
        <v>228</v>
      </c>
      <c r="B5" s="36"/>
      <c r="C5" s="36"/>
      <c r="D5" s="36"/>
      <c r="E5" s="36"/>
      <c r="F5" s="36"/>
      <c r="G5" s="36"/>
      <c r="H5" s="36"/>
      <c r="I5" s="70"/>
      <c r="K5" s="132" t="s">
        <v>75</v>
      </c>
      <c r="L5" s="132"/>
      <c r="M5" s="37"/>
    </row>
    <row r="6" spans="1:13" ht="15.5" x14ac:dyDescent="0.35">
      <c r="A6" s="41" t="s">
        <v>229</v>
      </c>
      <c r="B6" s="36">
        <v>1</v>
      </c>
      <c r="C6" s="36">
        <f>'Table 1'!C62</f>
        <v>4</v>
      </c>
      <c r="D6" s="36">
        <f>B6*C6</f>
        <v>4</v>
      </c>
      <c r="E6" s="36">
        <f>'Table 1'!E62</f>
        <v>14.200000000000001</v>
      </c>
      <c r="F6" s="44">
        <f>D6*E6</f>
        <v>56.800000000000004</v>
      </c>
      <c r="G6" s="44">
        <f>F6*0.05</f>
        <v>2.8400000000000003</v>
      </c>
      <c r="H6" s="44">
        <f>F6*0.1</f>
        <v>5.6800000000000006</v>
      </c>
      <c r="I6" s="30">
        <f t="shared" ref="I6:I15" si="0">F6*$L$7+G6*$L$6+H6*$L$8</f>
        <v>3231.0396000000001</v>
      </c>
      <c r="K6" s="8" t="s">
        <v>15</v>
      </c>
      <c r="L6" s="99">
        <v>68.37</v>
      </c>
      <c r="M6" s="37"/>
    </row>
    <row r="7" spans="1:13" ht="15.5" x14ac:dyDescent="0.35">
      <c r="A7" s="41" t="s">
        <v>230</v>
      </c>
      <c r="B7" s="36">
        <v>1</v>
      </c>
      <c r="C7" s="36">
        <f>'Table 1'!C57</f>
        <v>12</v>
      </c>
      <c r="D7" s="36">
        <f t="shared" ref="D7:D12" si="1">B7*C7</f>
        <v>12</v>
      </c>
      <c r="E7" s="36">
        <f>'Table 1'!E57</f>
        <v>14.200000000000001</v>
      </c>
      <c r="F7" s="44">
        <f t="shared" ref="F7:F12" si="2">D7*E7</f>
        <v>170.4</v>
      </c>
      <c r="G7" s="44">
        <f t="shared" ref="G7:G12" si="3">F7*0.05</f>
        <v>8.5200000000000014</v>
      </c>
      <c r="H7" s="44">
        <f t="shared" ref="H7:H12" si="4">F7*0.1</f>
        <v>17.040000000000003</v>
      </c>
      <c r="I7" s="30">
        <f t="shared" si="0"/>
        <v>9693.1188000000002</v>
      </c>
      <c r="K7" s="8" t="s">
        <v>14</v>
      </c>
      <c r="L7" s="99">
        <v>50.72</v>
      </c>
      <c r="M7" s="37"/>
    </row>
    <row r="8" spans="1:13" ht="18.75" customHeight="1" x14ac:dyDescent="0.35">
      <c r="A8" s="41" t="s">
        <v>231</v>
      </c>
      <c r="B8" s="36">
        <v>1</v>
      </c>
      <c r="C8" s="36">
        <f>'Table 1'!C58</f>
        <v>11</v>
      </c>
      <c r="D8" s="36">
        <f t="shared" si="1"/>
        <v>11</v>
      </c>
      <c r="E8" s="36">
        <f>'Table 1'!E58</f>
        <v>14.200000000000001</v>
      </c>
      <c r="F8" s="44">
        <f t="shared" si="2"/>
        <v>156.20000000000002</v>
      </c>
      <c r="G8" s="44">
        <f t="shared" si="3"/>
        <v>7.8100000000000014</v>
      </c>
      <c r="H8" s="44">
        <f t="shared" si="4"/>
        <v>15.620000000000003</v>
      </c>
      <c r="I8" s="30">
        <f t="shared" si="0"/>
        <v>8885.3589000000011</v>
      </c>
      <c r="K8" s="8" t="s">
        <v>74</v>
      </c>
      <c r="L8" s="99">
        <v>27.46</v>
      </c>
      <c r="M8" s="37"/>
    </row>
    <row r="9" spans="1:13" ht="15.5" x14ac:dyDescent="0.35">
      <c r="A9" s="41" t="s">
        <v>232</v>
      </c>
      <c r="B9" s="36">
        <v>1</v>
      </c>
      <c r="C9" s="36">
        <f>'Table 1'!C59</f>
        <v>9</v>
      </c>
      <c r="D9" s="36">
        <f t="shared" si="1"/>
        <v>9</v>
      </c>
      <c r="E9" s="36">
        <f>'Table 1'!E59</f>
        <v>14.200000000000001</v>
      </c>
      <c r="F9" s="44">
        <f t="shared" si="2"/>
        <v>127.80000000000001</v>
      </c>
      <c r="G9" s="44">
        <f t="shared" si="3"/>
        <v>6.3900000000000006</v>
      </c>
      <c r="H9" s="44">
        <f t="shared" si="4"/>
        <v>12.780000000000001</v>
      </c>
      <c r="I9" s="30">
        <f t="shared" si="0"/>
        <v>7269.8391000000001</v>
      </c>
    </row>
    <row r="10" spans="1:13" ht="26" x14ac:dyDescent="0.35">
      <c r="A10" s="41" t="s">
        <v>52</v>
      </c>
      <c r="B10" s="36">
        <v>2</v>
      </c>
      <c r="C10" s="36">
        <f>'Table 1'!C60</f>
        <v>3</v>
      </c>
      <c r="D10" s="36">
        <f t="shared" si="1"/>
        <v>6</v>
      </c>
      <c r="E10" s="36">
        <f>'Table 1'!E60</f>
        <v>14.200000000000001</v>
      </c>
      <c r="F10" s="44">
        <f t="shared" si="2"/>
        <v>85.2</v>
      </c>
      <c r="G10" s="44">
        <f t="shared" si="3"/>
        <v>4.2600000000000007</v>
      </c>
      <c r="H10" s="44">
        <f t="shared" si="4"/>
        <v>8.5200000000000014</v>
      </c>
      <c r="I10" s="30">
        <f t="shared" si="0"/>
        <v>4846.5594000000001</v>
      </c>
    </row>
    <row r="11" spans="1:13" ht="28.5" x14ac:dyDescent="0.35">
      <c r="A11" s="41" t="s">
        <v>233</v>
      </c>
      <c r="B11" s="36">
        <v>1</v>
      </c>
      <c r="C11" s="36">
        <f>'Table 1'!C32</f>
        <v>4</v>
      </c>
      <c r="D11" s="36">
        <f t="shared" si="1"/>
        <v>4</v>
      </c>
      <c r="E11" s="36">
        <f>'Table 1'!E32</f>
        <v>14.200000000000001</v>
      </c>
      <c r="F11" s="44">
        <f t="shared" si="2"/>
        <v>56.800000000000004</v>
      </c>
      <c r="G11" s="44">
        <f t="shared" si="3"/>
        <v>2.8400000000000003</v>
      </c>
      <c r="H11" s="44">
        <f t="shared" si="4"/>
        <v>5.6800000000000006</v>
      </c>
      <c r="I11" s="30">
        <f t="shared" si="0"/>
        <v>3231.0396000000001</v>
      </c>
    </row>
    <row r="12" spans="1:13" x14ac:dyDescent="0.35">
      <c r="A12" s="41" t="s">
        <v>35</v>
      </c>
      <c r="B12" s="36">
        <v>1</v>
      </c>
      <c r="C12" s="36">
        <f>'Table 1'!C61</f>
        <v>12</v>
      </c>
      <c r="D12" s="36">
        <f t="shared" si="1"/>
        <v>12</v>
      </c>
      <c r="E12" s="36">
        <f>'Table 1'!E61</f>
        <v>14.200000000000001</v>
      </c>
      <c r="F12" s="44">
        <f t="shared" si="2"/>
        <v>170.4</v>
      </c>
      <c r="G12" s="44">
        <f t="shared" si="3"/>
        <v>8.5200000000000014</v>
      </c>
      <c r="H12" s="44">
        <f t="shared" si="4"/>
        <v>17.040000000000003</v>
      </c>
      <c r="I12" s="30">
        <f t="shared" si="0"/>
        <v>9693.1188000000002</v>
      </c>
    </row>
    <row r="13" spans="1:13" ht="28.5" x14ac:dyDescent="0.35">
      <c r="A13" s="41" t="s">
        <v>234</v>
      </c>
      <c r="B13" s="36">
        <v>1</v>
      </c>
      <c r="C13" s="36">
        <v>2</v>
      </c>
      <c r="D13" s="72">
        <f>B13*C13</f>
        <v>2</v>
      </c>
      <c r="E13" s="36">
        <f>'Table 1'!E65</f>
        <v>0</v>
      </c>
      <c r="F13" s="36">
        <f>D13*E13</f>
        <v>0</v>
      </c>
      <c r="G13" s="36">
        <f>F13*0.05</f>
        <v>0</v>
      </c>
      <c r="H13" s="36">
        <f>F13*0.1</f>
        <v>0</v>
      </c>
      <c r="I13" s="42">
        <f t="shared" si="0"/>
        <v>0</v>
      </c>
      <c r="J13" s="37"/>
    </row>
    <row r="14" spans="1:13" ht="31" x14ac:dyDescent="0.35">
      <c r="A14" s="41" t="s">
        <v>235</v>
      </c>
      <c r="B14" s="36">
        <v>1</v>
      </c>
      <c r="C14" s="36">
        <v>2</v>
      </c>
      <c r="D14" s="72">
        <f t="shared" ref="D14:D15" si="5">B14*C14</f>
        <v>2</v>
      </c>
      <c r="E14" s="36">
        <f>'Table 1'!E66</f>
        <v>0</v>
      </c>
      <c r="F14" s="36">
        <f t="shared" ref="F14:F15" si="6">D14*E14</f>
        <v>0</v>
      </c>
      <c r="G14" s="36">
        <f t="shared" ref="G14:G15" si="7">F14*0.05</f>
        <v>0</v>
      </c>
      <c r="H14" s="36">
        <f t="shared" ref="H14:H15" si="8">F14*0.1</f>
        <v>0</v>
      </c>
      <c r="I14" s="42">
        <f t="shared" si="0"/>
        <v>0</v>
      </c>
      <c r="J14" s="37"/>
    </row>
    <row r="15" spans="1:13" ht="28.5" x14ac:dyDescent="0.35">
      <c r="A15" s="41" t="s">
        <v>236</v>
      </c>
      <c r="B15" s="36">
        <v>1</v>
      </c>
      <c r="C15" s="36">
        <v>1</v>
      </c>
      <c r="D15" s="72">
        <f t="shared" si="5"/>
        <v>1</v>
      </c>
      <c r="E15" s="36">
        <f>'Table 1'!E50</f>
        <v>0</v>
      </c>
      <c r="F15" s="36">
        <f t="shared" si="6"/>
        <v>0</v>
      </c>
      <c r="G15" s="36">
        <f t="shared" si="7"/>
        <v>0</v>
      </c>
      <c r="H15" s="36">
        <f t="shared" si="8"/>
        <v>0</v>
      </c>
      <c r="I15" s="42">
        <f t="shared" si="0"/>
        <v>0</v>
      </c>
      <c r="J15" s="37"/>
    </row>
    <row r="16" spans="1:13" ht="15.5" x14ac:dyDescent="0.35">
      <c r="A16" s="41" t="s">
        <v>289</v>
      </c>
      <c r="B16" s="36">
        <v>1</v>
      </c>
      <c r="C16" s="36">
        <v>1</v>
      </c>
      <c r="D16" s="72">
        <f>B16*C16</f>
        <v>1</v>
      </c>
      <c r="E16" s="36">
        <f>'Table 1'!E9</f>
        <v>47</v>
      </c>
      <c r="F16" s="44">
        <f>D16*E16</f>
        <v>47</v>
      </c>
      <c r="G16" s="44">
        <f>F16*0.05</f>
        <v>2.35</v>
      </c>
      <c r="H16" s="44">
        <f>F16*0.1</f>
        <v>4.7</v>
      </c>
      <c r="I16" s="30">
        <f t="shared" ref="I16" si="9">F16*$L$7+G16*$L$6+H16*$L$8</f>
        <v>2673.5715</v>
      </c>
      <c r="J16" s="37"/>
    </row>
    <row r="17" spans="1:10" ht="15.5" x14ac:dyDescent="0.35">
      <c r="A17" s="39" t="s">
        <v>290</v>
      </c>
      <c r="B17" s="36"/>
      <c r="C17" s="36"/>
      <c r="D17" s="36"/>
      <c r="E17" s="36"/>
      <c r="F17" s="36"/>
      <c r="G17" s="36"/>
      <c r="H17" s="36"/>
      <c r="I17" s="70"/>
    </row>
    <row r="18" spans="1:10" x14ac:dyDescent="0.35">
      <c r="A18" s="41" t="s">
        <v>53</v>
      </c>
      <c r="B18" s="36">
        <v>4</v>
      </c>
      <c r="C18" s="36">
        <v>2</v>
      </c>
      <c r="D18" s="36">
        <f t="shared" ref="D18:D29" si="10">B18*C18</f>
        <v>8</v>
      </c>
      <c r="E18" s="36">
        <f>'Table 1'!E69</f>
        <v>142</v>
      </c>
      <c r="F18" s="44">
        <f t="shared" ref="F18:F29" si="11">D18*E18</f>
        <v>1136</v>
      </c>
      <c r="G18" s="44">
        <f t="shared" ref="G18:G29" si="12">F18*0.05</f>
        <v>56.800000000000004</v>
      </c>
      <c r="H18" s="44">
        <f t="shared" ref="H18:H29" si="13">F18*0.1</f>
        <v>113.60000000000001</v>
      </c>
      <c r="I18" s="30">
        <f>F18*$L$7+G18*$L$6+H18*$L$8</f>
        <v>64620.791999999994</v>
      </c>
    </row>
    <row r="19" spans="1:10" ht="26" x14ac:dyDescent="0.35">
      <c r="A19" s="105" t="s">
        <v>306</v>
      </c>
      <c r="B19" s="36">
        <v>4</v>
      </c>
      <c r="C19" s="100">
        <v>2</v>
      </c>
      <c r="D19" s="36">
        <f t="shared" si="10"/>
        <v>8</v>
      </c>
      <c r="E19" s="36">
        <f>'Table 1'!E71</f>
        <v>142</v>
      </c>
      <c r="F19" s="44">
        <f t="shared" si="11"/>
        <v>1136</v>
      </c>
      <c r="G19" s="44">
        <f t="shared" si="12"/>
        <v>56.800000000000004</v>
      </c>
      <c r="H19" s="44">
        <f t="shared" si="13"/>
        <v>113.60000000000001</v>
      </c>
      <c r="I19" s="30">
        <f>F19*$L$7+G19*$L$6+H19*$L$8</f>
        <v>64620.791999999994</v>
      </c>
    </row>
    <row r="20" spans="1:10" x14ac:dyDescent="0.35">
      <c r="A20" s="41" t="s">
        <v>54</v>
      </c>
      <c r="B20" s="36">
        <v>10</v>
      </c>
      <c r="C20" s="36">
        <v>2</v>
      </c>
      <c r="D20" s="36">
        <f t="shared" si="10"/>
        <v>20</v>
      </c>
      <c r="E20" s="36">
        <f>'Table 1'!E72</f>
        <v>142</v>
      </c>
      <c r="F20" s="44">
        <f t="shared" si="11"/>
        <v>2840</v>
      </c>
      <c r="G20" s="44">
        <f t="shared" si="12"/>
        <v>142</v>
      </c>
      <c r="H20" s="44">
        <f t="shared" si="13"/>
        <v>284</v>
      </c>
      <c r="I20" s="30">
        <f>F20*$L$7+G20*$L$6+H20*$L$8</f>
        <v>161551.98000000001</v>
      </c>
      <c r="J20" s="37"/>
    </row>
    <row r="21" spans="1:10" x14ac:dyDescent="0.35">
      <c r="A21" s="105" t="s">
        <v>293</v>
      </c>
      <c r="B21" s="84">
        <v>1</v>
      </c>
      <c r="C21" s="84">
        <v>2</v>
      </c>
      <c r="D21" s="84">
        <f t="shared" ref="D21" si="14">B21*C21</f>
        <v>2</v>
      </c>
      <c r="E21" s="84">
        <f>'Table 1'!E73</f>
        <v>142</v>
      </c>
      <c r="F21" s="44">
        <f t="shared" ref="F21" si="15">D21*E21</f>
        <v>284</v>
      </c>
      <c r="G21" s="44">
        <f t="shared" ref="G21" si="16">F21*0.05</f>
        <v>14.200000000000001</v>
      </c>
      <c r="H21" s="44">
        <f t="shared" ref="H21" si="17">F21*0.1</f>
        <v>28.400000000000002</v>
      </c>
      <c r="I21" s="30">
        <f>F21*$L$7+G21*$L$6+H21*$L$8</f>
        <v>16155.197999999999</v>
      </c>
      <c r="J21" s="37"/>
    </row>
    <row r="22" spans="1:10" x14ac:dyDescent="0.35">
      <c r="A22" s="41" t="s">
        <v>292</v>
      </c>
      <c r="B22" s="36">
        <v>1</v>
      </c>
      <c r="C22" s="36">
        <v>2</v>
      </c>
      <c r="D22" s="36">
        <f t="shared" si="10"/>
        <v>2</v>
      </c>
      <c r="E22" s="36">
        <f>'Table 1'!E74</f>
        <v>142</v>
      </c>
      <c r="F22" s="44">
        <f t="shared" si="11"/>
        <v>284</v>
      </c>
      <c r="G22" s="44">
        <f t="shared" si="12"/>
        <v>14.200000000000001</v>
      </c>
      <c r="H22" s="44">
        <f t="shared" si="13"/>
        <v>28.400000000000002</v>
      </c>
      <c r="I22" s="30">
        <f>F22*$L$7+G22*$L$6+H22*$L$8</f>
        <v>16155.197999999999</v>
      </c>
    </row>
    <row r="23" spans="1:10" x14ac:dyDescent="0.35">
      <c r="A23" s="41" t="s">
        <v>116</v>
      </c>
      <c r="B23" s="36">
        <v>0.25</v>
      </c>
      <c r="C23" s="36">
        <v>0.5</v>
      </c>
      <c r="D23" s="72">
        <f t="shared" si="10"/>
        <v>0.125</v>
      </c>
      <c r="E23" s="36">
        <f>'Table 1'!E75</f>
        <v>142</v>
      </c>
      <c r="F23" s="44">
        <f t="shared" si="11"/>
        <v>17.75</v>
      </c>
      <c r="G23" s="44">
        <f t="shared" si="12"/>
        <v>0.88750000000000007</v>
      </c>
      <c r="H23" s="44">
        <f t="shared" si="13"/>
        <v>1.7750000000000001</v>
      </c>
      <c r="I23" s="30">
        <f t="shared" ref="I23:I27" si="18">F23*$L$7+G23*$L$6+H23*$L$8</f>
        <v>1009.6998749999999</v>
      </c>
    </row>
    <row r="24" spans="1:10" x14ac:dyDescent="0.35">
      <c r="A24" s="41" t="s">
        <v>117</v>
      </c>
      <c r="B24" s="36">
        <v>1</v>
      </c>
      <c r="C24" s="36">
        <v>2</v>
      </c>
      <c r="D24" s="72">
        <f t="shared" si="10"/>
        <v>2</v>
      </c>
      <c r="E24" s="36">
        <f>'Table 1'!E76</f>
        <v>142</v>
      </c>
      <c r="F24" s="44">
        <f t="shared" si="11"/>
        <v>284</v>
      </c>
      <c r="G24" s="44">
        <f>F24*0.05</f>
        <v>14.200000000000001</v>
      </c>
      <c r="H24" s="44">
        <f t="shared" si="13"/>
        <v>28.400000000000002</v>
      </c>
      <c r="I24" s="30">
        <f t="shared" si="18"/>
        <v>16155.197999999999</v>
      </c>
      <c r="J24" s="37"/>
    </row>
    <row r="25" spans="1:10" x14ac:dyDescent="0.35">
      <c r="A25" s="41" t="s">
        <v>118</v>
      </c>
      <c r="B25" s="36">
        <v>0.25</v>
      </c>
      <c r="C25" s="36">
        <v>0.5</v>
      </c>
      <c r="D25" s="72">
        <f t="shared" si="10"/>
        <v>0.125</v>
      </c>
      <c r="E25" s="36">
        <f>'Table 1'!E77</f>
        <v>142</v>
      </c>
      <c r="F25" s="44">
        <f t="shared" si="11"/>
        <v>17.75</v>
      </c>
      <c r="G25" s="44">
        <f t="shared" si="12"/>
        <v>0.88750000000000007</v>
      </c>
      <c r="H25" s="44">
        <f t="shared" si="13"/>
        <v>1.7750000000000001</v>
      </c>
      <c r="I25" s="30">
        <f t="shared" si="18"/>
        <v>1009.6998749999999</v>
      </c>
      <c r="J25" s="37"/>
    </row>
    <row r="26" spans="1:10" x14ac:dyDescent="0.35">
      <c r="A26" s="41" t="s">
        <v>119</v>
      </c>
      <c r="B26" s="36">
        <v>0.25</v>
      </c>
      <c r="C26" s="36">
        <v>0.5</v>
      </c>
      <c r="D26" s="72">
        <f t="shared" si="10"/>
        <v>0.125</v>
      </c>
      <c r="E26" s="36">
        <f>'Table 1'!E78</f>
        <v>142</v>
      </c>
      <c r="F26" s="44">
        <f t="shared" si="11"/>
        <v>17.75</v>
      </c>
      <c r="G26" s="44">
        <f t="shared" si="12"/>
        <v>0.88750000000000007</v>
      </c>
      <c r="H26" s="44">
        <f t="shared" si="13"/>
        <v>1.7750000000000001</v>
      </c>
      <c r="I26" s="30">
        <f t="shared" si="18"/>
        <v>1009.6998749999999</v>
      </c>
      <c r="J26" s="37"/>
    </row>
    <row r="27" spans="1:10" x14ac:dyDescent="0.35">
      <c r="A27" s="41" t="s">
        <v>120</v>
      </c>
      <c r="B27" s="36">
        <v>2</v>
      </c>
      <c r="C27" s="36">
        <v>4</v>
      </c>
      <c r="D27" s="72">
        <f t="shared" si="10"/>
        <v>8</v>
      </c>
      <c r="E27" s="36">
        <f>'Table 1'!E79</f>
        <v>142</v>
      </c>
      <c r="F27" s="44">
        <f t="shared" si="11"/>
        <v>1136</v>
      </c>
      <c r="G27" s="44">
        <f t="shared" si="12"/>
        <v>56.800000000000004</v>
      </c>
      <c r="H27" s="44">
        <f t="shared" si="13"/>
        <v>113.60000000000001</v>
      </c>
      <c r="I27" s="30">
        <f t="shared" si="18"/>
        <v>64620.791999999994</v>
      </c>
      <c r="J27" s="37"/>
    </row>
    <row r="28" spans="1:10" x14ac:dyDescent="0.35">
      <c r="A28" s="41" t="s">
        <v>121</v>
      </c>
      <c r="B28" s="36">
        <v>0.25</v>
      </c>
      <c r="C28" s="36">
        <v>0.5</v>
      </c>
      <c r="D28" s="72">
        <f t="shared" si="10"/>
        <v>0.125</v>
      </c>
      <c r="E28" s="36">
        <f>'Table 1'!E80</f>
        <v>14.200000000000001</v>
      </c>
      <c r="F28" s="44">
        <f t="shared" si="11"/>
        <v>1.7750000000000001</v>
      </c>
      <c r="G28" s="44">
        <f t="shared" si="12"/>
        <v>8.8750000000000009E-2</v>
      </c>
      <c r="H28" s="44">
        <f t="shared" si="13"/>
        <v>0.17750000000000002</v>
      </c>
      <c r="I28" s="30">
        <f>F28*$L$7+G28*$L$6+H28*$L$8</f>
        <v>100.9699875</v>
      </c>
      <c r="J28" s="37"/>
    </row>
    <row r="29" spans="1:10" x14ac:dyDescent="0.35">
      <c r="A29" s="41" t="s">
        <v>124</v>
      </c>
      <c r="B29" s="36">
        <v>1</v>
      </c>
      <c r="C29" s="36">
        <v>4</v>
      </c>
      <c r="D29" s="72">
        <f t="shared" si="10"/>
        <v>4</v>
      </c>
      <c r="E29" s="36">
        <f>'Table 1'!E81</f>
        <v>142</v>
      </c>
      <c r="F29" s="44">
        <f t="shared" si="11"/>
        <v>568</v>
      </c>
      <c r="G29" s="44">
        <f t="shared" si="12"/>
        <v>28.400000000000002</v>
      </c>
      <c r="H29" s="44">
        <f t="shared" si="13"/>
        <v>56.800000000000004</v>
      </c>
      <c r="I29" s="30">
        <f>F29*$L$7+G29*$L$6+H29*$L$8</f>
        <v>32310.395999999997</v>
      </c>
      <c r="J29" s="37"/>
    </row>
    <row r="30" spans="1:10" x14ac:dyDescent="0.35">
      <c r="A30" s="41" t="s">
        <v>123</v>
      </c>
      <c r="B30" s="36"/>
      <c r="C30" s="36"/>
      <c r="D30" s="72"/>
      <c r="E30" s="36"/>
      <c r="F30" s="36"/>
      <c r="G30" s="36"/>
      <c r="H30" s="36"/>
      <c r="I30" s="30"/>
      <c r="J30" s="37"/>
    </row>
    <row r="31" spans="1:10" ht="15.5" x14ac:dyDescent="0.35">
      <c r="A31" s="52" t="s">
        <v>237</v>
      </c>
      <c r="B31" s="36">
        <v>0.2</v>
      </c>
      <c r="C31" s="36">
        <v>1</v>
      </c>
      <c r="D31" s="72">
        <f t="shared" ref="D31" si="19">B31*C31</f>
        <v>0.2</v>
      </c>
      <c r="E31" s="44">
        <f>'Table 1'!E117*0.25</f>
        <v>35.5</v>
      </c>
      <c r="F31" s="45">
        <f t="shared" ref="F31" si="20">D31*E31</f>
        <v>7.1000000000000005</v>
      </c>
      <c r="G31" s="45">
        <f t="shared" ref="G31" si="21">F31*0.05</f>
        <v>0.35500000000000004</v>
      </c>
      <c r="H31" s="45">
        <f t="shared" ref="H31" si="22">F31*0.1</f>
        <v>0.71000000000000008</v>
      </c>
      <c r="I31" s="30">
        <f t="shared" ref="I31" si="23">F31*$L$7+G31*$L$6+H31*$L$8</f>
        <v>403.87995000000001</v>
      </c>
      <c r="J31" s="71"/>
    </row>
    <row r="32" spans="1:10" x14ac:dyDescent="0.35">
      <c r="A32" s="126" t="s">
        <v>238</v>
      </c>
      <c r="B32" s="126"/>
      <c r="C32" s="126"/>
      <c r="D32" s="126"/>
      <c r="E32" s="126"/>
      <c r="F32" s="127">
        <f>ROUND(SUM(F6:H31),-1)</f>
        <v>9890</v>
      </c>
      <c r="G32" s="128"/>
      <c r="H32" s="129"/>
      <c r="I32" s="65">
        <f>ROUND(SUM(I6:I22),-3)</f>
        <v>373000</v>
      </c>
      <c r="J32" s="71"/>
    </row>
    <row r="34" spans="1:9" x14ac:dyDescent="0.35">
      <c r="A34" s="131" t="s">
        <v>39</v>
      </c>
      <c r="B34" s="131"/>
      <c r="C34" s="131"/>
      <c r="D34" s="131"/>
      <c r="E34" s="131"/>
      <c r="F34" s="131"/>
      <c r="G34" s="131"/>
      <c r="H34" s="131"/>
      <c r="I34" s="131"/>
    </row>
    <row r="35" spans="1:9" ht="51" customHeight="1" x14ac:dyDescent="0.35">
      <c r="A35" s="117" t="s">
        <v>294</v>
      </c>
      <c r="B35" s="117"/>
      <c r="C35" s="117"/>
      <c r="D35" s="117"/>
      <c r="E35" s="117"/>
      <c r="F35" s="117"/>
      <c r="G35" s="117"/>
      <c r="H35" s="117"/>
      <c r="I35" s="117"/>
    </row>
    <row r="36" spans="1:9" ht="45" customHeight="1" x14ac:dyDescent="0.35">
      <c r="A36" s="117" t="s">
        <v>298</v>
      </c>
      <c r="B36" s="130"/>
      <c r="C36" s="130"/>
      <c r="D36" s="130"/>
      <c r="E36" s="130"/>
      <c r="F36" s="130"/>
      <c r="G36" s="130"/>
      <c r="H36" s="130"/>
      <c r="I36" s="130"/>
    </row>
    <row r="37" spans="1:9" ht="46.5" customHeight="1" x14ac:dyDescent="0.35">
      <c r="A37" s="117" t="s">
        <v>171</v>
      </c>
      <c r="B37" s="130"/>
      <c r="C37" s="130"/>
      <c r="D37" s="130"/>
      <c r="E37" s="130"/>
      <c r="F37" s="130"/>
      <c r="G37" s="130"/>
      <c r="H37" s="130"/>
      <c r="I37" s="130"/>
    </row>
    <row r="38" spans="1:9" ht="45.75" customHeight="1" x14ac:dyDescent="0.35">
      <c r="A38" s="117" t="s">
        <v>275</v>
      </c>
      <c r="B38" s="130"/>
      <c r="C38" s="130"/>
      <c r="D38" s="130"/>
      <c r="E38" s="130"/>
      <c r="F38" s="130"/>
      <c r="G38" s="130"/>
      <c r="H38" s="130"/>
      <c r="I38" s="130"/>
    </row>
    <row r="39" spans="1:9" ht="30" customHeight="1" x14ac:dyDescent="0.35">
      <c r="A39" s="117" t="s">
        <v>55</v>
      </c>
      <c r="B39" s="130"/>
      <c r="C39" s="130"/>
      <c r="D39" s="130"/>
      <c r="E39" s="130"/>
      <c r="F39" s="130"/>
      <c r="G39" s="130"/>
      <c r="H39" s="130"/>
      <c r="I39" s="130"/>
    </row>
    <row r="40" spans="1:9" ht="21.75" customHeight="1" x14ac:dyDescent="0.35">
      <c r="A40" s="117" t="s">
        <v>147</v>
      </c>
      <c r="B40" s="117"/>
      <c r="C40" s="117"/>
      <c r="D40" s="117"/>
      <c r="E40" s="117"/>
      <c r="F40" s="117"/>
      <c r="G40" s="117"/>
      <c r="H40" s="117"/>
      <c r="I40" s="117"/>
    </row>
    <row r="41" spans="1:9" ht="15.75" customHeight="1" x14ac:dyDescent="0.35">
      <c r="A41" s="115" t="s">
        <v>317</v>
      </c>
      <c r="B41" s="115"/>
      <c r="C41" s="115"/>
      <c r="D41" s="115"/>
      <c r="E41" s="115"/>
      <c r="F41" s="115"/>
      <c r="G41" s="115"/>
      <c r="H41" s="115"/>
      <c r="I41" s="115"/>
    </row>
    <row r="42" spans="1:9" ht="21.75" customHeight="1" x14ac:dyDescent="0.35">
      <c r="A42" s="117" t="s">
        <v>291</v>
      </c>
      <c r="B42" s="130"/>
      <c r="C42" s="130"/>
      <c r="D42" s="130"/>
      <c r="E42" s="130"/>
      <c r="F42" s="130"/>
      <c r="G42" s="130"/>
      <c r="H42" s="130"/>
      <c r="I42" s="130"/>
    </row>
    <row r="43" spans="1:9" ht="21.75" customHeight="1" x14ac:dyDescent="0.35">
      <c r="A43" s="115" t="s">
        <v>172</v>
      </c>
      <c r="B43" s="115"/>
      <c r="C43" s="115"/>
      <c r="D43" s="115"/>
      <c r="E43" s="115"/>
      <c r="F43" s="115"/>
      <c r="G43" s="115"/>
      <c r="H43" s="115"/>
      <c r="I43" s="115"/>
    </row>
    <row r="44" spans="1:9" ht="18.75" customHeight="1" x14ac:dyDescent="0.35">
      <c r="A44" s="133" t="s">
        <v>173</v>
      </c>
      <c r="B44" s="134"/>
      <c r="C44" s="134"/>
      <c r="D44" s="134"/>
      <c r="E44" s="134"/>
      <c r="F44" s="134"/>
      <c r="G44" s="134"/>
      <c r="H44" s="134"/>
      <c r="I44" s="134"/>
    </row>
    <row r="45" spans="1:9" ht="21.75" customHeight="1" x14ac:dyDescent="0.35">
      <c r="A45" s="117" t="s">
        <v>40</v>
      </c>
      <c r="B45" s="130"/>
      <c r="C45" s="130"/>
      <c r="D45" s="130"/>
      <c r="E45" s="130"/>
      <c r="F45" s="130"/>
      <c r="G45" s="130"/>
      <c r="H45" s="130"/>
      <c r="I45" s="130"/>
    </row>
  </sheetData>
  <mergeCells count="16">
    <mergeCell ref="K5:L5"/>
    <mergeCell ref="A38:I38"/>
    <mergeCell ref="A39:I39"/>
    <mergeCell ref="A42:I42"/>
    <mergeCell ref="A45:I45"/>
    <mergeCell ref="A37:I37"/>
    <mergeCell ref="A44:I44"/>
    <mergeCell ref="A43:I43"/>
    <mergeCell ref="A40:I40"/>
    <mergeCell ref="A41:I41"/>
    <mergeCell ref="A3:A4"/>
    <mergeCell ref="A32:E32"/>
    <mergeCell ref="F32:H32"/>
    <mergeCell ref="A35:I35"/>
    <mergeCell ref="A36:I36"/>
    <mergeCell ref="A34:I34"/>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02EF-8FB7-4D83-8E09-E6E16C362AB9}">
  <sheetPr>
    <pageSetUpPr fitToPage="1"/>
  </sheetPr>
  <dimension ref="A1:R83"/>
  <sheetViews>
    <sheetView topLeftCell="A34" workbookViewId="0">
      <selection activeCell="G42" sqref="G42"/>
    </sheetView>
  </sheetViews>
  <sheetFormatPr defaultColWidth="9.1796875" defaultRowHeight="13" x14ac:dyDescent="0.3"/>
  <cols>
    <col min="1" max="1" width="29.453125" style="7" customWidth="1"/>
    <col min="2" max="2" width="12.7265625" style="7" customWidth="1"/>
    <col min="3" max="3" width="11.81640625" style="7" customWidth="1"/>
    <col min="4" max="4" width="12.26953125" style="7" customWidth="1"/>
    <col min="5" max="5" width="16.453125" style="7" customWidth="1"/>
    <col min="6" max="6" width="15.1796875" style="7" customWidth="1"/>
    <col min="7" max="7" width="14.1796875" style="7" customWidth="1"/>
    <col min="8" max="8" width="24.453125" style="7" customWidth="1"/>
    <col min="9" max="9" width="21.26953125" style="7" customWidth="1"/>
    <col min="10" max="10" width="13.7265625" style="7" customWidth="1"/>
    <col min="11" max="13" width="15.54296875" style="7" customWidth="1"/>
    <col min="14" max="16384" width="9.1796875" style="7"/>
  </cols>
  <sheetData>
    <row r="1" spans="1:18" ht="25.5" customHeight="1" x14ac:dyDescent="0.3">
      <c r="A1" s="135" t="s">
        <v>94</v>
      </c>
      <c r="B1" s="136"/>
      <c r="C1" s="136"/>
      <c r="D1" s="136"/>
      <c r="E1" s="136"/>
      <c r="F1" s="136"/>
      <c r="G1" s="137"/>
    </row>
    <row r="2" spans="1:18" ht="12.75" customHeight="1" x14ac:dyDescent="0.3">
      <c r="A2" s="3" t="s">
        <v>95</v>
      </c>
      <c r="B2" s="3" t="s">
        <v>96</v>
      </c>
      <c r="C2" s="3" t="s">
        <v>97</v>
      </c>
      <c r="D2" s="3" t="s">
        <v>98</v>
      </c>
      <c r="E2" s="3" t="s">
        <v>99</v>
      </c>
      <c r="F2" s="3" t="s">
        <v>100</v>
      </c>
      <c r="G2" s="3" t="s">
        <v>101</v>
      </c>
    </row>
    <row r="3" spans="1:18" ht="28.5" x14ac:dyDescent="0.3">
      <c r="A3" s="4" t="s">
        <v>287</v>
      </c>
      <c r="B3" s="17">
        <v>116870</v>
      </c>
      <c r="C3" s="3">
        <v>0</v>
      </c>
      <c r="D3" s="17">
        <v>0</v>
      </c>
      <c r="E3" s="89">
        <f>121.46*0.25*12*3</f>
        <v>1093.1399999999999</v>
      </c>
      <c r="F3" s="3">
        <f>M17</f>
        <v>142</v>
      </c>
      <c r="G3" s="17">
        <f>E3*F3</f>
        <v>155225.87999999998</v>
      </c>
      <c r="H3" s="10"/>
      <c r="I3" s="10"/>
      <c r="J3" s="10"/>
      <c r="K3" s="10"/>
      <c r="L3" s="10"/>
      <c r="M3" s="10"/>
      <c r="N3" s="10"/>
      <c r="O3" s="10"/>
      <c r="P3" s="10"/>
      <c r="Q3" s="10"/>
      <c r="R3" s="10"/>
    </row>
    <row r="4" spans="1:18" ht="15" x14ac:dyDescent="0.3">
      <c r="A4" s="90" t="s">
        <v>288</v>
      </c>
      <c r="B4" s="90"/>
      <c r="C4" s="90"/>
      <c r="D4" s="91">
        <v>0</v>
      </c>
      <c r="E4" s="90"/>
      <c r="F4" s="90"/>
      <c r="G4" s="92">
        <f>ROUND(G3,-3)</f>
        <v>155000</v>
      </c>
      <c r="I4" s="80"/>
      <c r="J4" s="18"/>
      <c r="K4" s="18"/>
      <c r="L4" s="18"/>
      <c r="M4" s="18"/>
      <c r="N4" s="18"/>
      <c r="O4" s="18"/>
      <c r="P4" s="18"/>
      <c r="Q4" s="18"/>
      <c r="R4" s="18"/>
    </row>
    <row r="5" spans="1:18" ht="55.5" customHeight="1" x14ac:dyDescent="0.3">
      <c r="A5" s="155" t="s">
        <v>135</v>
      </c>
      <c r="B5" s="155"/>
      <c r="C5" s="155"/>
      <c r="D5" s="155"/>
      <c r="E5" s="155"/>
      <c r="F5" s="155"/>
      <c r="G5" s="155"/>
      <c r="H5" s="18"/>
      <c r="I5" s="18"/>
      <c r="J5" s="18"/>
      <c r="K5" s="18"/>
      <c r="L5" s="18"/>
      <c r="M5" s="18"/>
      <c r="N5" s="18"/>
      <c r="O5" s="18"/>
      <c r="P5" s="18"/>
      <c r="Q5" s="18"/>
      <c r="R5" s="18"/>
    </row>
    <row r="6" spans="1:18" ht="30" customHeight="1" x14ac:dyDescent="0.3">
      <c r="A6" s="156" t="s">
        <v>136</v>
      </c>
      <c r="B6" s="156"/>
      <c r="C6" s="156"/>
      <c r="D6" s="156"/>
      <c r="E6" s="156"/>
      <c r="F6" s="156"/>
      <c r="G6" s="156"/>
      <c r="H6" s="18"/>
      <c r="I6" s="18"/>
      <c r="J6" s="18"/>
      <c r="K6" s="18"/>
      <c r="L6" s="18"/>
      <c r="M6" s="18"/>
      <c r="N6" s="18"/>
      <c r="O6" s="18"/>
      <c r="P6" s="18"/>
      <c r="Q6" s="18"/>
      <c r="R6" s="18"/>
    </row>
    <row r="7" spans="1:18" x14ac:dyDescent="0.3">
      <c r="A7" s="7" t="s">
        <v>137</v>
      </c>
      <c r="B7" s="25"/>
      <c r="C7" s="22"/>
      <c r="D7" s="25"/>
      <c r="E7" s="22"/>
      <c r="F7" s="22"/>
      <c r="G7" s="22"/>
      <c r="H7" s="18"/>
      <c r="I7" s="18"/>
      <c r="J7" s="18"/>
      <c r="K7" s="18"/>
      <c r="L7" s="18"/>
      <c r="M7" s="18"/>
      <c r="N7" s="18"/>
      <c r="O7" s="18"/>
      <c r="P7" s="18"/>
      <c r="Q7" s="18"/>
      <c r="R7" s="18"/>
    </row>
    <row r="8" spans="1:18" ht="15.5" x14ac:dyDescent="0.35">
      <c r="H8" s="86"/>
      <c r="I8" s="87"/>
      <c r="J8" s="87"/>
      <c r="K8" s="87"/>
      <c r="L8" s="87"/>
      <c r="M8" s="87"/>
    </row>
    <row r="9" spans="1:18" ht="15.75" customHeight="1" x14ac:dyDescent="0.3">
      <c r="A9" s="157" t="s">
        <v>70</v>
      </c>
      <c r="B9" s="158"/>
      <c r="C9" s="158"/>
      <c r="D9" s="158"/>
      <c r="E9" s="158"/>
      <c r="H9" s="140" t="s">
        <v>276</v>
      </c>
      <c r="I9" s="140"/>
      <c r="J9" s="140"/>
      <c r="K9" s="140"/>
      <c r="L9" s="140"/>
      <c r="M9" s="140"/>
    </row>
    <row r="10" spans="1:18" ht="104" x14ac:dyDescent="0.3">
      <c r="A10" s="3" t="s">
        <v>111</v>
      </c>
      <c r="B10" s="3" t="s">
        <v>112</v>
      </c>
      <c r="C10" s="3" t="s">
        <v>113</v>
      </c>
      <c r="D10" s="3" t="s">
        <v>114</v>
      </c>
      <c r="E10" s="3" t="s">
        <v>115</v>
      </c>
      <c r="H10" s="141"/>
      <c r="I10" s="142" t="s">
        <v>277</v>
      </c>
      <c r="J10" s="142"/>
      <c r="K10" s="142" t="s">
        <v>278</v>
      </c>
      <c r="L10" s="143"/>
      <c r="M10" s="143"/>
    </row>
    <row r="11" spans="1:18" ht="15.5" x14ac:dyDescent="0.3">
      <c r="A11" s="4" t="s">
        <v>102</v>
      </c>
      <c r="B11" s="3"/>
      <c r="C11" s="3"/>
      <c r="D11" s="3"/>
      <c r="E11" s="3"/>
      <c r="H11" s="141"/>
      <c r="I11" s="142"/>
      <c r="J11" s="142"/>
      <c r="K11" s="142"/>
      <c r="L11" s="143"/>
      <c r="M11" s="143"/>
    </row>
    <row r="12" spans="1:18" ht="28.5" x14ac:dyDescent="0.3">
      <c r="A12" s="2" t="s">
        <v>103</v>
      </c>
      <c r="B12" s="3">
        <f>'Table 2'!E6</f>
        <v>14.200000000000001</v>
      </c>
      <c r="C12" s="3">
        <f>'Table 2'!C6</f>
        <v>4</v>
      </c>
      <c r="D12" s="3">
        <v>0</v>
      </c>
      <c r="E12" s="3">
        <f>B12*C12</f>
        <v>56.800000000000004</v>
      </c>
      <c r="H12" s="1"/>
      <c r="I12" s="85" t="s">
        <v>0</v>
      </c>
      <c r="J12" s="85" t="s">
        <v>2</v>
      </c>
      <c r="K12" s="85" t="s">
        <v>4</v>
      </c>
      <c r="L12" s="85" t="s">
        <v>51</v>
      </c>
      <c r="M12" s="85" t="s">
        <v>5</v>
      </c>
    </row>
    <row r="13" spans="1:18" ht="52" x14ac:dyDescent="0.3">
      <c r="A13" s="2" t="s">
        <v>104</v>
      </c>
      <c r="B13" s="3">
        <f>'Table 2'!E7</f>
        <v>14.200000000000001</v>
      </c>
      <c r="C13" s="3">
        <f>'Table 2'!C7</f>
        <v>12</v>
      </c>
      <c r="D13" s="3">
        <v>0</v>
      </c>
      <c r="E13" s="3">
        <f t="shared" ref="E13:E22" si="0">B13*C13</f>
        <v>170.4</v>
      </c>
      <c r="H13" s="85" t="s">
        <v>279</v>
      </c>
      <c r="I13" s="1" t="s">
        <v>280</v>
      </c>
      <c r="J13" s="1" t="s">
        <v>281</v>
      </c>
      <c r="K13" s="1" t="s">
        <v>282</v>
      </c>
      <c r="L13" s="1" t="s">
        <v>283</v>
      </c>
      <c r="M13" s="1" t="s">
        <v>286</v>
      </c>
    </row>
    <row r="14" spans="1:18" ht="26" x14ac:dyDescent="0.3">
      <c r="A14" s="2" t="s">
        <v>105</v>
      </c>
      <c r="B14" s="3">
        <f>'Table 2'!E8</f>
        <v>14.200000000000001</v>
      </c>
      <c r="C14" s="3">
        <f>'Table 2'!C8</f>
        <v>11</v>
      </c>
      <c r="D14" s="3">
        <v>0</v>
      </c>
      <c r="E14" s="26">
        <f t="shared" si="0"/>
        <v>156.20000000000002</v>
      </c>
      <c r="H14" s="85">
        <v>1</v>
      </c>
      <c r="I14" s="85">
        <v>14.2</v>
      </c>
      <c r="J14" s="85">
        <v>142</v>
      </c>
      <c r="K14" s="85">
        <v>0</v>
      </c>
      <c r="L14" s="85">
        <v>14.2</v>
      </c>
      <c r="M14" s="85">
        <f>I14+J14+K14-L14</f>
        <v>142</v>
      </c>
    </row>
    <row r="15" spans="1:18" ht="26" x14ac:dyDescent="0.3">
      <c r="A15" s="2" t="s">
        <v>106</v>
      </c>
      <c r="B15" s="3">
        <f>'Table 2'!E9</f>
        <v>14.200000000000001</v>
      </c>
      <c r="C15" s="3">
        <f>'Table 2'!C9</f>
        <v>9</v>
      </c>
      <c r="D15" s="3">
        <v>0</v>
      </c>
      <c r="E15" s="26">
        <f t="shared" si="0"/>
        <v>127.80000000000001</v>
      </c>
      <c r="H15" s="85">
        <v>2</v>
      </c>
      <c r="I15" s="85">
        <f>I14</f>
        <v>14.2</v>
      </c>
      <c r="J15" s="85">
        <v>142</v>
      </c>
      <c r="K15" s="85">
        <v>0</v>
      </c>
      <c r="L15" s="85">
        <f>L14</f>
        <v>14.2</v>
      </c>
      <c r="M15" s="85">
        <f t="shared" ref="M15:M17" si="1">I15+J15+K15-L15</f>
        <v>142</v>
      </c>
    </row>
    <row r="16" spans="1:18" ht="26" x14ac:dyDescent="0.3">
      <c r="A16" s="2" t="s">
        <v>107</v>
      </c>
      <c r="B16" s="3">
        <f>'Table 2'!E10</f>
        <v>14.200000000000001</v>
      </c>
      <c r="C16" s="3">
        <f>'Table 2'!C10</f>
        <v>3</v>
      </c>
      <c r="D16" s="3">
        <v>0</v>
      </c>
      <c r="E16" s="26">
        <f t="shared" si="0"/>
        <v>42.6</v>
      </c>
      <c r="H16" s="85">
        <v>3</v>
      </c>
      <c r="I16" s="85">
        <f t="shared" ref="I16:I17" si="2">I15</f>
        <v>14.2</v>
      </c>
      <c r="J16" s="85">
        <v>142</v>
      </c>
      <c r="K16" s="85">
        <v>0</v>
      </c>
      <c r="L16" s="85">
        <f t="shared" ref="L16:L17" si="3">L15</f>
        <v>14.2</v>
      </c>
      <c r="M16" s="85">
        <f t="shared" si="1"/>
        <v>142</v>
      </c>
    </row>
    <row r="17" spans="1:13" ht="28.5" x14ac:dyDescent="0.3">
      <c r="A17" s="2" t="s">
        <v>108</v>
      </c>
      <c r="B17" s="3">
        <f>'Table 2'!E11</f>
        <v>14.200000000000001</v>
      </c>
      <c r="C17" s="3">
        <f>'Table 2'!C11</f>
        <v>4</v>
      </c>
      <c r="D17" s="3">
        <v>0</v>
      </c>
      <c r="E17" s="26">
        <f t="shared" si="0"/>
        <v>56.800000000000004</v>
      </c>
      <c r="H17" s="85" t="s">
        <v>284</v>
      </c>
      <c r="I17" s="85">
        <f t="shared" si="2"/>
        <v>14.2</v>
      </c>
      <c r="J17" s="85">
        <v>142</v>
      </c>
      <c r="K17" s="85">
        <v>0</v>
      </c>
      <c r="L17" s="85">
        <f t="shared" si="3"/>
        <v>14.2</v>
      </c>
      <c r="M17" s="85">
        <f t="shared" si="1"/>
        <v>142</v>
      </c>
    </row>
    <row r="18" spans="1:13" ht="26" x14ac:dyDescent="0.3">
      <c r="A18" s="2" t="s">
        <v>35</v>
      </c>
      <c r="B18" s="3">
        <f>'Table 2'!E12</f>
        <v>14.200000000000001</v>
      </c>
      <c r="C18" s="3">
        <f>'Table 2'!C12</f>
        <v>12</v>
      </c>
      <c r="D18" s="3">
        <v>0</v>
      </c>
      <c r="E18" s="26">
        <f t="shared" si="0"/>
        <v>170.4</v>
      </c>
      <c r="H18" s="88" t="s">
        <v>285</v>
      </c>
    </row>
    <row r="19" spans="1:13" ht="26" x14ac:dyDescent="0.3">
      <c r="A19" s="2" t="s">
        <v>307</v>
      </c>
      <c r="B19" s="3">
        <f>'Table 2'!E13</f>
        <v>0</v>
      </c>
      <c r="C19" s="3">
        <f>'Table 2'!C13</f>
        <v>2</v>
      </c>
      <c r="D19" s="3">
        <v>0</v>
      </c>
      <c r="E19" s="3">
        <f t="shared" si="0"/>
        <v>0</v>
      </c>
      <c r="H19" s="111"/>
      <c r="I19" s="112"/>
      <c r="J19" s="112"/>
    </row>
    <row r="20" spans="1:13" ht="26" x14ac:dyDescent="0.35">
      <c r="A20" s="2" t="s">
        <v>308</v>
      </c>
      <c r="B20" s="3">
        <f>'Table 2'!E14</f>
        <v>0</v>
      </c>
      <c r="C20" s="3">
        <f>'Table 2'!C14</f>
        <v>2</v>
      </c>
      <c r="D20" s="3">
        <v>0</v>
      </c>
      <c r="E20" s="3">
        <f t="shared" si="0"/>
        <v>0</v>
      </c>
      <c r="H20" s="111"/>
      <c r="I20" s="113"/>
      <c r="J20" s="113"/>
      <c r="K20" s="87"/>
      <c r="L20" s="87"/>
      <c r="M20" s="87"/>
    </row>
    <row r="21" spans="1:13" ht="26" x14ac:dyDescent="0.3">
      <c r="A21" s="2" t="s">
        <v>309</v>
      </c>
      <c r="B21" s="3">
        <f>'Table 2'!E15</f>
        <v>0</v>
      </c>
      <c r="C21" s="3">
        <f>'Table 2'!C15</f>
        <v>1</v>
      </c>
      <c r="D21" s="3">
        <v>0</v>
      </c>
      <c r="E21" s="3">
        <f t="shared" si="0"/>
        <v>0</v>
      </c>
      <c r="H21" s="112"/>
      <c r="I21" s="112"/>
      <c r="J21" s="112"/>
    </row>
    <row r="22" spans="1:13" x14ac:dyDescent="0.3">
      <c r="A22" s="2" t="s">
        <v>299</v>
      </c>
      <c r="B22" s="3">
        <f>'Table 2'!E16</f>
        <v>47</v>
      </c>
      <c r="C22" s="3">
        <f>'Table 2'!C16</f>
        <v>1</v>
      </c>
      <c r="D22" s="3">
        <v>0</v>
      </c>
      <c r="E22" s="3">
        <f t="shared" si="0"/>
        <v>47</v>
      </c>
      <c r="F22" s="110"/>
      <c r="H22" s="112"/>
      <c r="I22" s="112"/>
      <c r="J22" s="112"/>
    </row>
    <row r="23" spans="1:13" x14ac:dyDescent="0.3">
      <c r="A23" s="4" t="s">
        <v>109</v>
      </c>
      <c r="B23" s="3"/>
      <c r="C23" s="3"/>
      <c r="D23" s="3"/>
      <c r="E23" s="3"/>
      <c r="H23" s="112"/>
    </row>
    <row r="24" spans="1:13" ht="26" x14ac:dyDescent="0.3">
      <c r="A24" s="2" t="s">
        <v>110</v>
      </c>
      <c r="B24" s="3">
        <f>'Table 2'!E18</f>
        <v>142</v>
      </c>
      <c r="C24" s="3">
        <f>'Table 2'!C18</f>
        <v>2</v>
      </c>
      <c r="D24" s="3">
        <v>0</v>
      </c>
      <c r="E24" s="3">
        <f t="shared" ref="E24:E36" si="4">B24*C24</f>
        <v>284</v>
      </c>
      <c r="H24" s="112"/>
    </row>
    <row r="25" spans="1:13" ht="26" x14ac:dyDescent="0.3">
      <c r="A25" s="2" t="s">
        <v>310</v>
      </c>
      <c r="B25" s="3">
        <f>'Table 2'!E19</f>
        <v>142</v>
      </c>
      <c r="C25" s="3">
        <f>'Table 2'!C19</f>
        <v>2</v>
      </c>
      <c r="D25" s="3">
        <v>0</v>
      </c>
      <c r="E25" s="3">
        <f t="shared" si="4"/>
        <v>284</v>
      </c>
      <c r="F25" s="110"/>
      <c r="H25" s="112"/>
    </row>
    <row r="26" spans="1:13" ht="30.75" customHeight="1" x14ac:dyDescent="0.3">
      <c r="A26" s="2" t="s">
        <v>139</v>
      </c>
      <c r="B26" s="3">
        <f>'Table 2'!E20</f>
        <v>142</v>
      </c>
      <c r="C26" s="3">
        <f>'Table 2'!C20</f>
        <v>2</v>
      </c>
      <c r="D26" s="3">
        <v>0</v>
      </c>
      <c r="E26" s="3">
        <f t="shared" si="4"/>
        <v>284</v>
      </c>
      <c r="H26" s="112"/>
    </row>
    <row r="27" spans="1:13" ht="26" x14ac:dyDescent="0.3">
      <c r="A27" s="2" t="s">
        <v>300</v>
      </c>
      <c r="B27" s="3">
        <f>'Table 2'!E21</f>
        <v>142</v>
      </c>
      <c r="C27" s="3">
        <f>'Table 2'!C21</f>
        <v>2</v>
      </c>
      <c r="D27" s="3">
        <v>0</v>
      </c>
      <c r="E27" s="3">
        <f t="shared" si="4"/>
        <v>284</v>
      </c>
      <c r="H27" s="112"/>
    </row>
    <row r="28" spans="1:13" ht="26" x14ac:dyDescent="0.3">
      <c r="A28" s="2" t="s">
        <v>140</v>
      </c>
      <c r="B28" s="3">
        <f>'Table 2'!E22</f>
        <v>142</v>
      </c>
      <c r="C28" s="3">
        <f>'Table 2'!C22</f>
        <v>2</v>
      </c>
      <c r="D28" s="3">
        <v>0</v>
      </c>
      <c r="E28" s="3">
        <f t="shared" si="4"/>
        <v>284</v>
      </c>
      <c r="H28" s="112"/>
    </row>
    <row r="29" spans="1:13" ht="30" customHeight="1" x14ac:dyDescent="0.3">
      <c r="A29" s="2" t="s">
        <v>269</v>
      </c>
      <c r="B29" s="3">
        <f>'Table 2'!E23</f>
        <v>142</v>
      </c>
      <c r="C29" s="3">
        <f>'Table 2'!C23</f>
        <v>0.5</v>
      </c>
      <c r="D29" s="3">
        <v>0</v>
      </c>
      <c r="E29" s="26">
        <f t="shared" si="4"/>
        <v>71</v>
      </c>
    </row>
    <row r="30" spans="1:13" ht="15.5" x14ac:dyDescent="0.3">
      <c r="A30" s="2" t="s">
        <v>268</v>
      </c>
      <c r="B30" s="3">
        <f>'Table 2'!E24</f>
        <v>142</v>
      </c>
      <c r="C30" s="3">
        <f>'Table 2'!C24</f>
        <v>2</v>
      </c>
      <c r="D30" s="3">
        <v>0</v>
      </c>
      <c r="E30" s="26">
        <f t="shared" si="4"/>
        <v>284</v>
      </c>
    </row>
    <row r="31" spans="1:13" ht="26.25" customHeight="1" x14ac:dyDescent="0.3">
      <c r="A31" s="2" t="s">
        <v>267</v>
      </c>
      <c r="B31" s="3">
        <f>'Table 2'!E25</f>
        <v>142</v>
      </c>
      <c r="C31" s="3">
        <f>'Table 2'!C25</f>
        <v>0.5</v>
      </c>
      <c r="D31" s="3">
        <v>0</v>
      </c>
      <c r="E31" s="26">
        <f t="shared" si="4"/>
        <v>71</v>
      </c>
      <c r="F31" s="110"/>
    </row>
    <row r="32" spans="1:13" ht="26.25" customHeight="1" x14ac:dyDescent="0.3">
      <c r="A32" s="2" t="s">
        <v>266</v>
      </c>
      <c r="B32" s="3">
        <f>'Table 2'!E26</f>
        <v>142</v>
      </c>
      <c r="C32" s="3">
        <f>'Table 2'!C26</f>
        <v>0.5</v>
      </c>
      <c r="D32" s="3">
        <v>0</v>
      </c>
      <c r="E32" s="26">
        <f t="shared" si="4"/>
        <v>71</v>
      </c>
    </row>
    <row r="33" spans="1:9" ht="15.5" x14ac:dyDescent="0.3">
      <c r="A33" s="2" t="s">
        <v>265</v>
      </c>
      <c r="B33" s="3">
        <f>'Table 2'!E27</f>
        <v>142</v>
      </c>
      <c r="C33" s="3">
        <f>'Table 2'!C27</f>
        <v>4</v>
      </c>
      <c r="D33" s="3">
        <v>0</v>
      </c>
      <c r="E33" s="26">
        <f t="shared" si="4"/>
        <v>568</v>
      </c>
    </row>
    <row r="34" spans="1:9" ht="28.5" x14ac:dyDescent="0.3">
      <c r="A34" s="2" t="s">
        <v>264</v>
      </c>
      <c r="B34" s="3">
        <f>'Table 2'!E28</f>
        <v>14.200000000000001</v>
      </c>
      <c r="C34" s="3">
        <f>'Table 2'!C28</f>
        <v>0.5</v>
      </c>
      <c r="D34" s="3">
        <v>0</v>
      </c>
      <c r="E34" s="26">
        <f t="shared" si="4"/>
        <v>7.1000000000000005</v>
      </c>
    </row>
    <row r="35" spans="1:9" ht="66" customHeight="1" x14ac:dyDescent="0.3">
      <c r="A35" s="2" t="str">
        <f>'Table 2'!A29</f>
        <v xml:space="preserve">Quarterly report for fenceline monitoring </v>
      </c>
      <c r="B35" s="3">
        <f>'Table 2'!E29</f>
        <v>142</v>
      </c>
      <c r="C35" s="3">
        <f>'Table 2'!C29</f>
        <v>4</v>
      </c>
      <c r="D35" s="3">
        <v>0</v>
      </c>
      <c r="E35" s="26">
        <f t="shared" si="4"/>
        <v>568</v>
      </c>
    </row>
    <row r="36" spans="1:9" ht="33" customHeight="1" x14ac:dyDescent="0.3">
      <c r="A36" s="2" t="s">
        <v>261</v>
      </c>
      <c r="B36" s="26">
        <f>'Table 2'!E31</f>
        <v>35.5</v>
      </c>
      <c r="C36" s="3">
        <f>'Table 2'!C31</f>
        <v>1</v>
      </c>
      <c r="D36" s="3">
        <v>0</v>
      </c>
      <c r="E36" s="26">
        <f t="shared" si="4"/>
        <v>35.5</v>
      </c>
    </row>
    <row r="37" spans="1:9" ht="29.25" customHeight="1" x14ac:dyDescent="0.3">
      <c r="A37" s="4" t="s">
        <v>93</v>
      </c>
      <c r="B37" s="3"/>
      <c r="C37" s="3"/>
      <c r="D37" s="3"/>
      <c r="E37" s="23">
        <f>SUM(E12:E36)</f>
        <v>3923.6</v>
      </c>
    </row>
    <row r="38" spans="1:9" ht="29.25" customHeight="1" x14ac:dyDescent="0.3">
      <c r="A38" s="138" t="s">
        <v>273</v>
      </c>
      <c r="B38" s="138"/>
      <c r="C38" s="138"/>
      <c r="D38" s="138"/>
      <c r="E38" s="138"/>
    </row>
    <row r="39" spans="1:9" ht="19.5" customHeight="1" x14ac:dyDescent="0.3">
      <c r="A39" s="144" t="s">
        <v>274</v>
      </c>
      <c r="B39" s="144"/>
      <c r="C39" s="144"/>
      <c r="D39" s="144"/>
      <c r="E39" s="144"/>
    </row>
    <row r="40" spans="1:9" ht="19.5" customHeight="1" x14ac:dyDescent="0.3">
      <c r="A40" s="144" t="s">
        <v>141</v>
      </c>
      <c r="B40" s="144"/>
      <c r="C40" s="144"/>
      <c r="D40" s="144"/>
      <c r="E40" s="144"/>
    </row>
    <row r="41" spans="1:9" ht="15.5" x14ac:dyDescent="0.3">
      <c r="A41" s="144" t="s">
        <v>262</v>
      </c>
      <c r="B41" s="144"/>
      <c r="C41" s="144"/>
      <c r="D41" s="144"/>
      <c r="E41" s="144"/>
    </row>
    <row r="42" spans="1:9" ht="15.5" x14ac:dyDescent="0.3">
      <c r="A42" s="144" t="s">
        <v>263</v>
      </c>
      <c r="B42" s="144"/>
      <c r="C42" s="144"/>
      <c r="D42" s="144"/>
      <c r="E42" s="144"/>
    </row>
    <row r="43" spans="1:9" ht="31.5" customHeight="1" x14ac:dyDescent="0.3">
      <c r="A43" s="144" t="s">
        <v>312</v>
      </c>
      <c r="B43" s="144"/>
      <c r="C43" s="144"/>
      <c r="D43" s="144"/>
      <c r="E43" s="144"/>
    </row>
    <row r="44" spans="1:9" ht="12.75" customHeight="1" x14ac:dyDescent="0.3">
      <c r="A44" s="19"/>
      <c r="B44" s="19"/>
      <c r="C44" s="19"/>
      <c r="D44" s="19"/>
      <c r="E44" s="19"/>
    </row>
    <row r="45" spans="1:9" ht="15" customHeight="1" x14ac:dyDescent="0.3"/>
    <row r="46" spans="1:9" ht="45" customHeight="1" x14ac:dyDescent="0.3">
      <c r="A46" s="11" t="s">
        <v>89</v>
      </c>
    </row>
    <row r="47" spans="1:9" x14ac:dyDescent="0.3">
      <c r="A47" s="148" t="s">
        <v>59</v>
      </c>
      <c r="B47" s="149"/>
      <c r="C47" s="149"/>
      <c r="D47" s="149"/>
      <c r="E47" s="149"/>
      <c r="F47" s="149"/>
      <c r="G47" s="150"/>
    </row>
    <row r="48" spans="1:9" x14ac:dyDescent="0.3">
      <c r="A48" s="142" t="s">
        <v>246</v>
      </c>
      <c r="B48" s="142" t="s">
        <v>245</v>
      </c>
      <c r="C48" s="142" t="s">
        <v>243</v>
      </c>
      <c r="D48" s="145" t="s">
        <v>244</v>
      </c>
      <c r="E48" s="142" t="s">
        <v>240</v>
      </c>
      <c r="F48" s="145" t="s">
        <v>241</v>
      </c>
      <c r="G48" s="142" t="s">
        <v>242</v>
      </c>
      <c r="H48" s="97"/>
      <c r="I48" s="94"/>
    </row>
    <row r="49" spans="1:10" x14ac:dyDescent="0.3">
      <c r="A49" s="142"/>
      <c r="B49" s="142"/>
      <c r="C49" s="142"/>
      <c r="D49" s="146"/>
      <c r="E49" s="142"/>
      <c r="F49" s="146"/>
      <c r="G49" s="142"/>
      <c r="H49" s="101"/>
      <c r="I49" s="94"/>
    </row>
    <row r="50" spans="1:10" x14ac:dyDescent="0.3">
      <c r="A50" s="142"/>
      <c r="B50" s="142"/>
      <c r="C50" s="142"/>
      <c r="D50" s="147"/>
      <c r="E50" s="142"/>
      <c r="F50" s="147"/>
      <c r="G50" s="142"/>
      <c r="I50" s="94"/>
    </row>
    <row r="51" spans="1:10" ht="15" customHeight="1" x14ac:dyDescent="0.3">
      <c r="A51" s="12" t="s">
        <v>60</v>
      </c>
      <c r="B51" s="13">
        <v>86650</v>
      </c>
      <c r="C51" s="12">
        <v>0</v>
      </c>
      <c r="D51" s="13">
        <f>0*C51</f>
        <v>0</v>
      </c>
      <c r="E51" s="106">
        <v>84</v>
      </c>
      <c r="F51" s="13">
        <v>8665</v>
      </c>
      <c r="G51" s="13">
        <f>E51*F51</f>
        <v>727860</v>
      </c>
    </row>
    <row r="52" spans="1:10" ht="40.5" customHeight="1" x14ac:dyDescent="0.3">
      <c r="A52" s="12" t="s">
        <v>61</v>
      </c>
      <c r="B52" s="13">
        <v>89270</v>
      </c>
      <c r="C52" s="12">
        <v>0</v>
      </c>
      <c r="D52" s="13">
        <f>0*C52</f>
        <v>0</v>
      </c>
      <c r="E52" s="106">
        <v>27</v>
      </c>
      <c r="F52" s="13">
        <v>8927</v>
      </c>
      <c r="G52" s="13">
        <f t="shared" ref="G52:G53" si="5">E52*F52</f>
        <v>241029</v>
      </c>
      <c r="H52" s="109"/>
    </row>
    <row r="53" spans="1:10" x14ac:dyDescent="0.3">
      <c r="A53" s="12" t="s">
        <v>62</v>
      </c>
      <c r="B53" s="13">
        <v>90880</v>
      </c>
      <c r="C53" s="12">
        <v>0</v>
      </c>
      <c r="D53" s="13">
        <f>0*C53</f>
        <v>0</v>
      </c>
      <c r="E53" s="106">
        <v>31</v>
      </c>
      <c r="F53" s="13">
        <v>9088</v>
      </c>
      <c r="G53" s="13">
        <f t="shared" si="5"/>
        <v>281728</v>
      </c>
      <c r="H53" s="20"/>
    </row>
    <row r="54" spans="1:10" x14ac:dyDescent="0.3">
      <c r="A54" s="12" t="s">
        <v>63</v>
      </c>
      <c r="B54" s="12"/>
      <c r="C54" s="12">
        <v>0</v>
      </c>
      <c r="D54" s="13">
        <f>ROUND(SUM(D51:D53),-5)</f>
        <v>0</v>
      </c>
      <c r="E54" s="106">
        <f>SUM(E51:E53)</f>
        <v>142</v>
      </c>
      <c r="F54" s="14"/>
      <c r="G54" s="13">
        <f>ROUND(SUM(G51:G53),-4)</f>
        <v>1250000</v>
      </c>
    </row>
    <row r="55" spans="1:10" ht="40.5" customHeight="1" x14ac:dyDescent="0.3">
      <c r="A55" s="154" t="s">
        <v>303</v>
      </c>
      <c r="B55" s="154"/>
      <c r="C55" s="154"/>
      <c r="D55" s="154"/>
      <c r="E55" s="154"/>
      <c r="F55" s="154"/>
      <c r="G55" s="154"/>
    </row>
    <row r="56" spans="1:10" ht="12.75" customHeight="1" x14ac:dyDescent="0.3">
      <c r="A56" s="20" t="s">
        <v>145</v>
      </c>
      <c r="B56" s="20"/>
      <c r="C56" s="20"/>
      <c r="D56" s="20"/>
      <c r="E56" s="20"/>
      <c r="F56" s="20"/>
      <c r="G56" s="20"/>
    </row>
    <row r="57" spans="1:10" ht="15" customHeight="1" x14ac:dyDescent="0.3">
      <c r="A57" s="7" t="s">
        <v>138</v>
      </c>
    </row>
    <row r="59" spans="1:10" x14ac:dyDescent="0.3">
      <c r="A59" s="79"/>
      <c r="B59" s="79"/>
      <c r="C59" s="79"/>
      <c r="D59" s="79"/>
      <c r="E59" s="79"/>
      <c r="F59" s="79"/>
      <c r="H59" s="97"/>
      <c r="I59" s="94"/>
    </row>
    <row r="60" spans="1:10" x14ac:dyDescent="0.3">
      <c r="A60" s="151" t="s">
        <v>64</v>
      </c>
      <c r="B60" s="152"/>
      <c r="C60" s="152"/>
      <c r="D60" s="152"/>
      <c r="E60" s="152"/>
      <c r="F60" s="152"/>
      <c r="G60" s="153"/>
      <c r="H60" s="101"/>
      <c r="I60" s="94"/>
      <c r="J60" s="94"/>
    </row>
    <row r="61" spans="1:10" ht="52" x14ac:dyDescent="0.3">
      <c r="A61" s="36" t="s">
        <v>254</v>
      </c>
      <c r="B61" s="73" t="s">
        <v>255</v>
      </c>
      <c r="C61" s="73" t="s">
        <v>256</v>
      </c>
      <c r="D61" s="73" t="s">
        <v>260</v>
      </c>
      <c r="E61" s="74" t="s">
        <v>257</v>
      </c>
      <c r="F61" s="73" t="s">
        <v>258</v>
      </c>
      <c r="G61" s="73" t="s">
        <v>259</v>
      </c>
      <c r="I61" s="94"/>
      <c r="J61" s="94"/>
    </row>
    <row r="62" spans="1:10" x14ac:dyDescent="0.3">
      <c r="A62" s="39" t="s">
        <v>65</v>
      </c>
      <c r="B62" s="75">
        <v>105000</v>
      </c>
      <c r="C62" s="39">
        <v>0</v>
      </c>
      <c r="D62" s="75">
        <f>0</f>
        <v>0</v>
      </c>
      <c r="E62" s="75">
        <v>20100</v>
      </c>
      <c r="F62" s="104">
        <v>85</v>
      </c>
      <c r="G62" s="75">
        <f>F62*E62</f>
        <v>1708500</v>
      </c>
      <c r="I62" s="94"/>
      <c r="J62" s="94"/>
    </row>
    <row r="63" spans="1:10" x14ac:dyDescent="0.3">
      <c r="A63" s="39" t="s">
        <v>66</v>
      </c>
      <c r="B63" s="75">
        <v>36000</v>
      </c>
      <c r="C63" s="39">
        <v>0</v>
      </c>
      <c r="D63" s="75">
        <f>0</f>
        <v>0</v>
      </c>
      <c r="E63" s="75">
        <v>20000</v>
      </c>
      <c r="F63" s="104">
        <v>243</v>
      </c>
      <c r="G63" s="75">
        <f t="shared" ref="G63:G68" si="6">F63*E63</f>
        <v>4860000</v>
      </c>
      <c r="I63" s="94"/>
      <c r="J63" s="94"/>
    </row>
    <row r="64" spans="1:10" x14ac:dyDescent="0.3">
      <c r="A64" s="39" t="s">
        <v>67</v>
      </c>
      <c r="B64" s="75">
        <v>684000</v>
      </c>
      <c r="C64" s="39">
        <v>0</v>
      </c>
      <c r="D64" s="75">
        <f>0</f>
        <v>0</v>
      </c>
      <c r="E64" s="75">
        <v>59730</v>
      </c>
      <c r="F64" s="104">
        <v>190</v>
      </c>
      <c r="G64" s="75">
        <f t="shared" si="6"/>
        <v>11348700</v>
      </c>
      <c r="I64" s="94"/>
      <c r="J64" s="94"/>
    </row>
    <row r="65" spans="1:11" x14ac:dyDescent="0.3">
      <c r="A65" s="39" t="s">
        <v>68</v>
      </c>
      <c r="B65" s="75">
        <v>164000</v>
      </c>
      <c r="C65" s="39">
        <v>0</v>
      </c>
      <c r="D65" s="75">
        <f>0</f>
        <v>0</v>
      </c>
      <c r="E65" s="75">
        <v>36520</v>
      </c>
      <c r="F65" s="104">
        <v>37</v>
      </c>
      <c r="G65" s="75">
        <f t="shared" si="6"/>
        <v>1351240</v>
      </c>
      <c r="I65" s="94"/>
      <c r="J65" s="94"/>
    </row>
    <row r="66" spans="1:11" ht="26" x14ac:dyDescent="0.3">
      <c r="A66" s="39" t="s">
        <v>87</v>
      </c>
      <c r="B66" s="75">
        <v>0</v>
      </c>
      <c r="C66" s="39">
        <v>0</v>
      </c>
      <c r="D66" s="75">
        <f>0</f>
        <v>0</v>
      </c>
      <c r="E66" s="75">
        <v>100030</v>
      </c>
      <c r="F66" s="104">
        <v>190</v>
      </c>
      <c r="G66" s="75">
        <f t="shared" si="6"/>
        <v>19005700</v>
      </c>
      <c r="I66" s="94"/>
      <c r="J66" s="94"/>
    </row>
    <row r="67" spans="1:11" ht="42" customHeight="1" x14ac:dyDescent="0.3">
      <c r="A67" s="39" t="s">
        <v>88</v>
      </c>
      <c r="B67" s="75">
        <v>0</v>
      </c>
      <c r="C67" s="39">
        <v>0</v>
      </c>
      <c r="D67" s="75">
        <f>0</f>
        <v>0</v>
      </c>
      <c r="E67" s="75">
        <v>-56470</v>
      </c>
      <c r="F67" s="104">
        <v>190</v>
      </c>
      <c r="G67" s="75">
        <f>F67*E67</f>
        <v>-10729300</v>
      </c>
    </row>
    <row r="68" spans="1:11" ht="14.25" customHeight="1" x14ac:dyDescent="0.3">
      <c r="A68" s="39" t="s">
        <v>69</v>
      </c>
      <c r="B68" s="75">
        <v>7000</v>
      </c>
      <c r="C68" s="39">
        <v>0</v>
      </c>
      <c r="D68" s="75">
        <f>0</f>
        <v>0</v>
      </c>
      <c r="E68" s="75">
        <v>12500</v>
      </c>
      <c r="F68" s="104">
        <v>267</v>
      </c>
      <c r="G68" s="75">
        <f t="shared" si="6"/>
        <v>3337500</v>
      </c>
    </row>
    <row r="69" spans="1:11" ht="14.25" customHeight="1" x14ac:dyDescent="0.3">
      <c r="A69" s="39" t="s">
        <v>63</v>
      </c>
      <c r="B69" s="39"/>
      <c r="C69" s="39">
        <v>0</v>
      </c>
      <c r="D69" s="75">
        <f>0</f>
        <v>0</v>
      </c>
      <c r="E69" s="75"/>
      <c r="F69" s="104">
        <v>510</v>
      </c>
      <c r="G69" s="75">
        <f>ROUND(SUM(G62:G68),-5)</f>
        <v>30900000</v>
      </c>
    </row>
    <row r="70" spans="1:11" ht="48.75" customHeight="1" x14ac:dyDescent="0.3">
      <c r="A70" s="138" t="s">
        <v>304</v>
      </c>
      <c r="B70" s="138"/>
      <c r="C70" s="138"/>
      <c r="D70" s="138"/>
      <c r="E70" s="138"/>
      <c r="F70" s="138"/>
      <c r="G70" s="138"/>
      <c r="J70" s="81">
        <f>G4</f>
        <v>155000</v>
      </c>
      <c r="K70" s="76"/>
    </row>
    <row r="71" spans="1:11" ht="19.5" customHeight="1" x14ac:dyDescent="0.3">
      <c r="A71" s="96" t="s">
        <v>297</v>
      </c>
      <c r="B71" s="98"/>
      <c r="C71" s="98"/>
      <c r="D71" s="98"/>
      <c r="E71" s="98"/>
      <c r="F71" s="98"/>
      <c r="J71" s="81">
        <f>G54</f>
        <v>1250000</v>
      </c>
      <c r="K71" s="77"/>
    </row>
    <row r="72" spans="1:11" ht="16.5" customHeight="1" x14ac:dyDescent="0.3">
      <c r="A72" s="96"/>
      <c r="B72" s="78"/>
      <c r="C72" s="78"/>
      <c r="D72" s="78"/>
      <c r="E72" s="78"/>
      <c r="F72" s="78"/>
      <c r="H72" s="97"/>
      <c r="J72" s="81">
        <f>G69</f>
        <v>30900000</v>
      </c>
      <c r="K72" s="77"/>
    </row>
    <row r="73" spans="1:11" ht="24" customHeight="1" x14ac:dyDescent="0.3">
      <c r="A73" s="148" t="s">
        <v>90</v>
      </c>
      <c r="B73" s="149"/>
      <c r="C73" s="149"/>
      <c r="D73" s="149"/>
      <c r="E73" s="149"/>
      <c r="F73" s="149"/>
      <c r="G73" s="150"/>
      <c r="H73" s="102"/>
      <c r="J73" s="81">
        <f>G77</f>
        <v>323000</v>
      </c>
      <c r="K73" s="77"/>
    </row>
    <row r="74" spans="1:11" ht="63" customHeight="1" x14ac:dyDescent="0.3">
      <c r="A74" s="1" t="s">
        <v>247</v>
      </c>
      <c r="B74" s="9" t="s">
        <v>248</v>
      </c>
      <c r="C74" s="9" t="s">
        <v>249</v>
      </c>
      <c r="D74" s="9" t="s">
        <v>250</v>
      </c>
      <c r="E74" s="16" t="s">
        <v>252</v>
      </c>
      <c r="F74" s="9" t="s">
        <v>251</v>
      </c>
      <c r="G74" s="9" t="s">
        <v>253</v>
      </c>
      <c r="J74" s="83">
        <f>SUM(J70:J73)</f>
        <v>32628000</v>
      </c>
      <c r="K74" s="82" t="s">
        <v>239</v>
      </c>
    </row>
    <row r="75" spans="1:11" x14ac:dyDescent="0.3">
      <c r="A75" s="1" t="s">
        <v>91</v>
      </c>
      <c r="B75" s="5">
        <f>3882880/4800</f>
        <v>808.93333333333328</v>
      </c>
      <c r="C75" s="6">
        <v>0</v>
      </c>
      <c r="D75" s="5">
        <f>0*C75</f>
        <v>0</v>
      </c>
      <c r="E75" s="5">
        <f>B75*0.1</f>
        <v>80.893333333333331</v>
      </c>
      <c r="F75" s="107">
        <v>1600</v>
      </c>
      <c r="G75" s="5">
        <f>E75*F75</f>
        <v>129429.33333333333</v>
      </c>
    </row>
    <row r="76" spans="1:11" ht="26" x14ac:dyDescent="0.3">
      <c r="A76" s="1" t="s">
        <v>92</v>
      </c>
      <c r="B76" s="5">
        <f>5800000/4800</f>
        <v>1208.3333333333333</v>
      </c>
      <c r="C76" s="6">
        <v>0</v>
      </c>
      <c r="D76" s="5">
        <f>0*C76</f>
        <v>0</v>
      </c>
      <c r="E76" s="5">
        <f>B76*0.1</f>
        <v>120.83333333333333</v>
      </c>
      <c r="F76" s="107">
        <v>1600</v>
      </c>
      <c r="G76" s="5">
        <f>E76*F76</f>
        <v>193333.33333333331</v>
      </c>
    </row>
    <row r="77" spans="1:11" x14ac:dyDescent="0.3">
      <c r="A77" s="1" t="s">
        <v>93</v>
      </c>
      <c r="B77" s="5"/>
      <c r="C77" s="6">
        <v>0</v>
      </c>
      <c r="D77" s="5">
        <f>SUM(D75:D76)</f>
        <v>0</v>
      </c>
      <c r="E77" s="5"/>
      <c r="F77" s="108">
        <f>ROUND(SUM(F75:F76),-1)</f>
        <v>3200</v>
      </c>
      <c r="G77" s="5">
        <f>ROUND(SUM(G75:G76),-3)</f>
        <v>323000</v>
      </c>
    </row>
    <row r="78" spans="1:11" ht="66" customHeight="1" x14ac:dyDescent="0.3">
      <c r="A78" s="139" t="s">
        <v>305</v>
      </c>
      <c r="B78" s="139"/>
      <c r="C78" s="139"/>
      <c r="D78" s="139"/>
      <c r="E78" s="139"/>
      <c r="F78" s="139"/>
      <c r="G78" s="139"/>
    </row>
    <row r="79" spans="1:11" ht="16.5" customHeight="1" x14ac:dyDescent="0.3">
      <c r="A79" s="11"/>
    </row>
    <row r="80" spans="1:11" ht="15" customHeight="1" x14ac:dyDescent="0.3">
      <c r="A80" s="29"/>
      <c r="B80" s="29"/>
      <c r="C80" s="29"/>
      <c r="D80" s="29"/>
      <c r="E80" s="29"/>
      <c r="F80" s="29"/>
    </row>
    <row r="83" spans="1:4" x14ac:dyDescent="0.3">
      <c r="A83" s="15"/>
      <c r="B83" s="15"/>
      <c r="C83" s="15"/>
      <c r="D83" s="15"/>
    </row>
  </sheetData>
  <mergeCells count="28">
    <mergeCell ref="A55:G55"/>
    <mergeCell ref="A48:A50"/>
    <mergeCell ref="B48:B50"/>
    <mergeCell ref="A5:G5"/>
    <mergeCell ref="A6:G6"/>
    <mergeCell ref="A40:E40"/>
    <mergeCell ref="A42:E42"/>
    <mergeCell ref="A9:E9"/>
    <mergeCell ref="A38:E38"/>
    <mergeCell ref="A39:E39"/>
    <mergeCell ref="C48:C50"/>
    <mergeCell ref="G48:G50"/>
    <mergeCell ref="A1:G1"/>
    <mergeCell ref="A70:G70"/>
    <mergeCell ref="A78:G78"/>
    <mergeCell ref="H9:M9"/>
    <mergeCell ref="H10:H11"/>
    <mergeCell ref="I10:J11"/>
    <mergeCell ref="K10:K11"/>
    <mergeCell ref="L10:M11"/>
    <mergeCell ref="A43:E43"/>
    <mergeCell ref="D48:D50"/>
    <mergeCell ref="F48:F50"/>
    <mergeCell ref="E48:E50"/>
    <mergeCell ref="A47:G47"/>
    <mergeCell ref="A73:G73"/>
    <mergeCell ref="A60:G60"/>
    <mergeCell ref="A41:E41"/>
  </mergeCells>
  <phoneticPr fontId="24" type="noConversion"/>
  <pageMargins left="0.7" right="0.7" top="0.75" bottom="0.75" header="0.3" footer="0.3"/>
  <pageSetup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4" ma:contentTypeDescription="Create a new document." ma:contentTypeScope="" ma:versionID="46b2583a067f1805c4058a997842133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d2a1053ab4094b3f0318327e931efc6b"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2020-12-17T17:13:05+00:00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219C8979-DD4B-4957-90B6-15CD92E30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606F2A-A9FB-4F36-8E35-E422B28D01D0}">
  <ds:schemaRefs>
    <ds:schemaRef ds:uri="Microsoft.SharePoint.Taxonomy.ContentTypeSync"/>
  </ds:schemaRefs>
</ds:datastoreItem>
</file>

<file path=customXml/itemProps3.xml><?xml version="1.0" encoding="utf-8"?>
<ds:datastoreItem xmlns:ds="http://schemas.openxmlformats.org/officeDocument/2006/customXml" ds:itemID="{603D5685-14AE-487E-8757-C00B21011316}">
  <ds:schemaRefs>
    <ds:schemaRef ds:uri="http://schemas.microsoft.com/sharepoint/v3/contenttype/forms"/>
  </ds:schemaRefs>
</ds:datastoreItem>
</file>

<file path=customXml/itemProps4.xml><?xml version="1.0" encoding="utf-8"?>
<ds:datastoreItem xmlns:ds="http://schemas.openxmlformats.org/officeDocument/2006/customXml" ds:itemID="{0BFA385B-E85D-4E86-B1D1-90F1B5C7FDB3}">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O&amp;M</vt:lpstr>
      <vt:lpstr>'O&amp;M'!Print_Area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cp:lastPrinted>2019-03-11T20:41:23Z</cp:lastPrinted>
  <dcterms:created xsi:type="dcterms:W3CDTF">2015-10-20T13:41:56Z</dcterms:created>
  <dcterms:modified xsi:type="dcterms:W3CDTF">2021-03-17T18:34:21Z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ies>
</file>