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8E125CE5-8251-4FEA-8599-4BC963CABF1F}" xr6:coauthVersionLast="47" xr6:coauthVersionMax="47" xr10:uidLastSave="{00000000-0000-0000-0000-000000000000}"/>
  <bookViews>
    <workbookView xWindow="-110" yWindow="-110" windowWidth="19420" windowHeight="10420" activeTab="1" xr2:uid="{00000000-000D-0000-FFFF-FFFF00000000}"/>
  </bookViews>
  <sheets>
    <sheet name="Summary" sheetId="4" r:id="rId1"/>
    <sheet name="Table 1" sheetId="1" r:id="rId2"/>
    <sheet name="Table 2" sheetId="2" r:id="rId3"/>
    <sheet name="Capital O&amp;M" sheetId="5" r:id="rId4"/>
    <sheet name="Responses" sheetId="6"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4" l="1"/>
  <c r="B6" i="4" l="1"/>
  <c r="I20" i="1"/>
  <c r="I34" i="1"/>
  <c r="K34" i="1"/>
  <c r="F27" i="1"/>
  <c r="G27" i="1" s="1"/>
  <c r="H27" i="1" l="1"/>
  <c r="G19" i="1" l="1"/>
  <c r="F19" i="1"/>
  <c r="F11" i="1"/>
  <c r="G11" i="1" s="1"/>
  <c r="D19" i="1"/>
  <c r="D11" i="1"/>
  <c r="H19" i="1" l="1"/>
  <c r="I19" i="1" s="1"/>
  <c r="H11" i="1"/>
  <c r="I11" i="1" s="1"/>
  <c r="D8" i="1" l="1"/>
  <c r="F8" i="1" s="1"/>
  <c r="G8" i="1" s="1"/>
  <c r="D12" i="1"/>
  <c r="F12" i="1" s="1"/>
  <c r="D13" i="1"/>
  <c r="F13" i="1" s="1"/>
  <c r="D14" i="1"/>
  <c r="F14" i="1" s="1"/>
  <c r="D17" i="1"/>
  <c r="F17" i="1" s="1"/>
  <c r="D18" i="1"/>
  <c r="F18" i="1" s="1"/>
  <c r="G18" i="1" s="1"/>
  <c r="D25" i="1"/>
  <c r="F25" i="1" s="1"/>
  <c r="D27" i="1"/>
  <c r="D28" i="1"/>
  <c r="F28" i="1" s="1"/>
  <c r="G28" i="1" s="1"/>
  <c r="D29" i="1"/>
  <c r="F29" i="1" s="1"/>
  <c r="G29" i="1" s="1"/>
  <c r="I35" i="1"/>
  <c r="M28" i="1"/>
  <c r="B3" i="4"/>
  <c r="B7" i="4"/>
  <c r="I27" i="1" l="1"/>
  <c r="H12" i="1"/>
  <c r="G12" i="1"/>
  <c r="H17" i="1"/>
  <c r="G17" i="1"/>
  <c r="G13" i="1"/>
  <c r="H13" i="1"/>
  <c r="G14" i="1"/>
  <c r="H14" i="1"/>
  <c r="G25" i="1"/>
  <c r="H25" i="1"/>
  <c r="H28" i="1"/>
  <c r="I28" i="1" s="1"/>
  <c r="H18" i="1"/>
  <c r="I18" i="1" s="1"/>
  <c r="H8" i="1"/>
  <c r="I8" i="1" s="1"/>
  <c r="H29" i="1"/>
  <c r="G5" i="5"/>
  <c r="C8" i="7"/>
  <c r="B8" i="7"/>
  <c r="F7" i="7"/>
  <c r="F6" i="7"/>
  <c r="F5" i="7"/>
  <c r="F8" i="7" s="1"/>
  <c r="D6" i="5"/>
  <c r="I6" i="5" s="1"/>
  <c r="I12" i="1" l="1"/>
  <c r="F33" i="1"/>
  <c r="I17" i="1"/>
  <c r="I25" i="1"/>
  <c r="I33" i="1" s="1"/>
  <c r="I13" i="1"/>
  <c r="I14" i="1"/>
  <c r="I29" i="1"/>
  <c r="I36" i="1" s="1"/>
  <c r="F20" i="1"/>
  <c r="E6" i="2"/>
  <c r="G6" i="2" s="1"/>
  <c r="F34" i="1" l="1"/>
  <c r="F6" i="2"/>
  <c r="H6" i="2" l="1"/>
  <c r="E5" i="2" l="1"/>
  <c r="F5" i="2" l="1"/>
  <c r="G5" i="2"/>
  <c r="H5" i="2" l="1"/>
  <c r="H7" i="2" s="1"/>
  <c r="E7" i="2"/>
  <c r="M27" i="1" l="1"/>
  <c r="M29" i="1" s="1"/>
  <c r="B2" i="4" s="1"/>
  <c r="B5" i="4" l="1"/>
</calcChain>
</file>

<file path=xl/sharedStrings.xml><?xml version="1.0" encoding="utf-8"?>
<sst xmlns="http://schemas.openxmlformats.org/spreadsheetml/2006/main" count="142" uniqueCount="117">
  <si>
    <t>Burden item</t>
  </si>
  <si>
    <t>N/A</t>
  </si>
  <si>
    <t>4. Reporting Requirements</t>
  </si>
  <si>
    <t>(A) Person hours per occurrence</t>
  </si>
  <si>
    <t>(B) No. of occurrences per respondent per year</t>
  </si>
  <si>
    <t>(C) Person hours per respondent per year (AxB)</t>
  </si>
  <si>
    <r>
      <t xml:space="preserve">(D) Respondents per year  </t>
    </r>
    <r>
      <rPr>
        <b/>
        <vertAlign val="superscript"/>
        <sz val="10"/>
        <rFont val="Times New Roman"/>
        <family val="1"/>
      </rPr>
      <t>a</t>
    </r>
  </si>
  <si>
    <t>(E) Technical person- hours per year (CxD)</t>
  </si>
  <si>
    <t>(F) Management person hours per year (Ex0.05)</t>
  </si>
  <si>
    <t>(G) Clerical person hours per year (Ex0.1)</t>
  </si>
  <si>
    <r>
      <t xml:space="preserve">(H) Total Cost Per year </t>
    </r>
    <r>
      <rPr>
        <b/>
        <vertAlign val="superscript"/>
        <sz val="10"/>
        <rFont val="Times New Roman"/>
        <family val="1"/>
      </rPr>
      <t>b</t>
    </r>
  </si>
  <si>
    <t>1.  Applications</t>
  </si>
  <si>
    <t>2.  Surveys and studies</t>
  </si>
  <si>
    <t>3. Acquisition, Installation, and
Utilization of Technology and
Systems</t>
  </si>
  <si>
    <t>5. Recordkeeping Requirements</t>
  </si>
  <si>
    <t>A. Familiarization with regulatory requirements</t>
  </si>
  <si>
    <t>B. Plan activities</t>
  </si>
  <si>
    <t>D. Record data</t>
  </si>
  <si>
    <t>E. Time to transmit or disclose information</t>
  </si>
  <si>
    <t>1. Record Method 108A analysis results</t>
  </si>
  <si>
    <t>2. Monthly measurements</t>
  </si>
  <si>
    <t>3. Daily log of converter operating mode and daily record of matte charge to converter</t>
  </si>
  <si>
    <t>F. Time to train personnel</t>
  </si>
  <si>
    <t>G. Time for audits</t>
  </si>
  <si>
    <t>See 4E</t>
  </si>
  <si>
    <t>See 4A</t>
  </si>
  <si>
    <t>See 4C</t>
  </si>
  <si>
    <t>Managerial</t>
  </si>
  <si>
    <t>Technical</t>
  </si>
  <si>
    <t>Clerical</t>
  </si>
  <si>
    <t>New Labor Rates</t>
  </si>
  <si>
    <t>Report Review:</t>
  </si>
  <si>
    <t>Review of annual report of feed arsenic content</t>
  </si>
  <si>
    <r>
      <t xml:space="preserve">(C) Facilities per year  </t>
    </r>
    <r>
      <rPr>
        <b/>
        <vertAlign val="superscript"/>
        <sz val="10"/>
        <color theme="1"/>
        <rFont val="Times New Roman"/>
        <family val="1"/>
      </rPr>
      <t>a</t>
    </r>
  </si>
  <si>
    <t>(D) Technical person- hours per year (CxD)</t>
  </si>
  <si>
    <t>(E) Management person hours per year (Ex0.05)</t>
  </si>
  <si>
    <t>(F) Clerical person hours per year (Ex0.1)</t>
  </si>
  <si>
    <t>(G) Cost, $</t>
  </si>
  <si>
    <t xml:space="preserve">Managerial </t>
  </si>
  <si>
    <t>Subtotal for Recordkeeping</t>
  </si>
  <si>
    <t>Subtotal for Reporting</t>
  </si>
  <si>
    <t xml:space="preserve">         i. Grab Samples</t>
  </si>
  <si>
    <t xml:space="preserve">         ii. Method 108 Analysis</t>
  </si>
  <si>
    <t xml:space="preserve">         iii. Monthly Calculation</t>
  </si>
  <si>
    <t>C.  Implement activities</t>
  </si>
  <si>
    <t>E.  Write report</t>
  </si>
  <si>
    <t>D.  Gather existing information</t>
  </si>
  <si>
    <r>
      <t xml:space="preserve">C.  Create information </t>
    </r>
    <r>
      <rPr>
        <vertAlign val="superscript"/>
        <sz val="10"/>
        <rFont val="Times New Roman"/>
        <family val="1"/>
      </rPr>
      <t>c</t>
    </r>
  </si>
  <si>
    <t>B.  Required activities</t>
  </si>
  <si>
    <t>A.  Familiarization with regulatory requirements</t>
  </si>
  <si>
    <t xml:space="preserve">       ii. Annual report of converter charging rate</t>
  </si>
  <si>
    <t>(A)</t>
  </si>
  <si>
    <t>(B)</t>
  </si>
  <si>
    <t>(C)</t>
  </si>
  <si>
    <t>(D)</t>
  </si>
  <si>
    <t>(E)</t>
  </si>
  <si>
    <t>(F)</t>
  </si>
  <si>
    <t>(G)</t>
  </si>
  <si>
    <t>Capital/Startup Cost for One Respondent</t>
  </si>
  <si>
    <t>Annual O&amp;M Costs for One Respondent</t>
  </si>
  <si>
    <t>Method 108A analyses of copper matte samples</t>
  </si>
  <si>
    <t>Total</t>
  </si>
  <si>
    <r>
      <rPr>
        <vertAlign val="superscript"/>
        <sz val="10"/>
        <color theme="1"/>
        <rFont val="Times New Roman"/>
        <family val="1"/>
      </rPr>
      <t>a</t>
    </r>
    <r>
      <rPr>
        <sz val="10"/>
        <color theme="1"/>
        <rFont val="Times New Roman"/>
        <family val="1"/>
      </rPr>
      <t xml:space="preserve"> It is assumed that there are 3 respondents currently operating in the United States.  It is estimated that no additional respondents will become subject to the regulation in the next three years based on information available on the sector.  </t>
    </r>
  </si>
  <si>
    <r>
      <t xml:space="preserve">Review of quarterly excess emissions reports </t>
    </r>
    <r>
      <rPr>
        <vertAlign val="superscript"/>
        <sz val="10"/>
        <color theme="1"/>
        <rFont val="Times New Roman"/>
        <family val="1"/>
      </rPr>
      <t>c</t>
    </r>
  </si>
  <si>
    <r>
      <t xml:space="preserve">TOTAL BURDEN AND COST </t>
    </r>
    <r>
      <rPr>
        <vertAlign val="superscript"/>
        <sz val="10"/>
        <color theme="1"/>
        <rFont val="Times New Roman"/>
        <family val="1"/>
      </rPr>
      <t>d</t>
    </r>
  </si>
  <si>
    <r>
      <rPr>
        <vertAlign val="superscript"/>
        <sz val="10"/>
        <color theme="1"/>
        <rFont val="Times New Roman"/>
        <family val="1"/>
      </rPr>
      <t xml:space="preserve">d </t>
    </r>
    <r>
      <rPr>
        <sz val="10"/>
        <color theme="1"/>
        <rFont val="Times New Roman"/>
        <family val="1"/>
      </rPr>
      <t>Totals have been rounded to 3 significant figures. Figures may not add exactly due to rounding.</t>
    </r>
  </si>
  <si>
    <t>#responses</t>
  </si>
  <si>
    <r>
      <t xml:space="preserve">TOTAL LABOR BURDEN AND COST </t>
    </r>
    <r>
      <rPr>
        <b/>
        <vertAlign val="superscript"/>
        <sz val="10"/>
        <color theme="1"/>
        <rFont val="Times New Roman"/>
        <family val="1"/>
      </rPr>
      <t>e</t>
    </r>
  </si>
  <si>
    <r>
      <t xml:space="preserve">TOTAL ANNUAL COSTS (O&amp;M) </t>
    </r>
    <r>
      <rPr>
        <b/>
        <vertAlign val="superscript"/>
        <sz val="10"/>
        <color theme="1"/>
        <rFont val="Times New Roman"/>
        <family val="1"/>
      </rPr>
      <t>e</t>
    </r>
  </si>
  <si>
    <r>
      <t xml:space="preserve">GRAND TOTAL </t>
    </r>
    <r>
      <rPr>
        <b/>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</si>
  <si>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</si>
  <si>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t>#hrs</t>
  </si>
  <si>
    <t>hrs/response</t>
  </si>
  <si>
    <t>Table 1: Annual Respondent Burden and Cost – NESHAP for Inorganic Arsenic Emissions from Primary Copper Smelters  (40 CFR Part 61, Subpart O) (Renewal)</t>
  </si>
  <si>
    <r>
      <rPr>
        <vertAlign val="superscript"/>
        <sz val="10"/>
        <rFont val="Times New Roman"/>
        <family val="1"/>
      </rPr>
      <t>d</t>
    </r>
    <r>
      <rPr>
        <sz val="10"/>
        <rFont val="Times New Roman"/>
        <family val="1"/>
      </rPr>
      <t xml:space="preserve"> It is assumed that respondents will only need to submit excess opacity or air flow rate reports twice a year.</t>
    </r>
  </si>
  <si>
    <t>Table 2: Average Annual EPA Burden and Cost – NESHAP for Inorganic Arsenic Emissions from Primary Copper Smelters (40 CFR Part 61, Subpart O) (Renewal)</t>
  </si>
  <si>
    <r>
      <rPr>
        <vertAlign val="superscript"/>
        <sz val="10"/>
        <rFont val="Times New Roman"/>
        <family val="1"/>
      </rPr>
      <t>c</t>
    </r>
    <r>
      <rPr>
        <sz val="10"/>
        <rFont val="Times New Roman"/>
        <family val="1"/>
      </rPr>
      <t xml:space="preserve"> It is assumed that respondents will only need to submit excess opacity or air flow rate reports twice a year.</t>
    </r>
  </si>
  <si>
    <t>ICR Summary Information</t>
  </si>
  <si>
    <t>Hours per Response</t>
  </si>
  <si>
    <t>Number of Respondents</t>
  </si>
  <si>
    <t>Total Estimated Burden Hours</t>
  </si>
  <si>
    <t>Total Estimated Costs</t>
  </si>
  <si>
    <t>Annualized Capital O&amp;M</t>
  </si>
  <si>
    <t>Total Annual Responses</t>
  </si>
  <si>
    <r>
      <t>Capital/Startup vs. Operation and Maintenance (O&amp;M) Costs</t>
    </r>
    <r>
      <rPr>
        <sz val="10"/>
        <color theme="1"/>
        <rFont val="Times New Roman"/>
        <family val="1"/>
      </rPr>
      <t> </t>
    </r>
  </si>
  <si>
    <r>
      <t xml:space="preserve">Number of New  Respondents </t>
    </r>
    <r>
      <rPr>
        <b/>
        <vertAlign val="superscript"/>
        <sz val="10"/>
        <color theme="1"/>
        <rFont val="Times New Roman"/>
        <family val="1"/>
      </rPr>
      <t>a</t>
    </r>
  </si>
  <si>
    <t>Total Capital/Startup Cost,  (B X C)</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</si>
  <si>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</si>
  <si>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</si>
  <si>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</si>
  <si>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</si>
  <si>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</si>
  <si>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</si>
  <si>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</si>
  <si>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</si>
  <si>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</si>
  <si>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</si>
  <si>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</si>
  <si>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</si>
  <si>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</si>
  <si>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</si>
  <si>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</si>
  <si>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</si>
  <si>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</si>
  <si>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Monitoring Requirement</t>
  </si>
  <si>
    <r>
      <rPr>
        <vertAlign val="superscript"/>
        <sz val="10"/>
        <color theme="1"/>
        <rFont val="Times New Roman"/>
        <family val="1"/>
      </rPr>
      <t>b</t>
    </r>
    <r>
      <rPr>
        <sz val="10"/>
        <color theme="1"/>
        <rFont val="Times New Roman"/>
        <family val="1"/>
      </rPr>
      <t xml:space="preserve"> This ICR uses the following labor rates: $70.56 per hour for Managerial labor; $52.37 per hour for Technical labor, and $28.34 per hour for Clerical labor.  These rates are from the Office of Personnel Management (OPM), 2022 General Schedule, which excludes locality rates of pay. The rates have been increased by 60% to account for the benefit packages available to government employees. </t>
    </r>
  </si>
  <si>
    <t>Annual report of converter charging rate</t>
  </si>
  <si>
    <t>Quarterly excess opacity and air flow rate reports</t>
  </si>
  <si>
    <r>
      <rPr>
        <vertAlign val="superscript"/>
        <sz val="10"/>
        <rFont val="Times New Roman"/>
        <family val="1"/>
      </rP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the benefit packages available to those employed by private industry. </t>
    </r>
  </si>
  <si>
    <t xml:space="preserve">Note: Totals have been rounded to 3 significant digits. Figures may not add exactly due to rounding. </t>
  </si>
  <si>
    <t>Totals (rounded)</t>
  </si>
  <si>
    <t xml:space="preserve">       iii. Notification of performance test</t>
  </si>
  <si>
    <t>Form Number</t>
  </si>
  <si>
    <t>Not Applicable</t>
  </si>
  <si>
    <r>
      <t xml:space="preserve">      i. Initial Method 5 performance test</t>
    </r>
    <r>
      <rPr>
        <vertAlign val="superscript"/>
        <sz val="10"/>
        <rFont val="Times New Roman"/>
        <family val="1"/>
      </rPr>
      <t>c</t>
    </r>
  </si>
  <si>
    <r>
      <t xml:space="preserve">       i. Quarterly report of excess opacity and flow rates </t>
    </r>
    <r>
      <rPr>
        <vertAlign val="superscript"/>
        <sz val="10"/>
        <rFont val="Times New Roman"/>
        <family val="1"/>
      </rPr>
      <t>d</t>
    </r>
  </si>
  <si>
    <r>
      <rPr>
        <vertAlign val="superscript"/>
        <sz val="10"/>
        <rFont val="Times New Roman"/>
        <family val="1"/>
      </rPr>
      <t xml:space="preserve">c </t>
    </r>
    <r>
      <rPr>
        <sz val="10"/>
        <rFont val="Times New Roman"/>
        <family val="1"/>
      </rPr>
      <t>The burden to report information includes labor to perform Method 108A analysis once a month; obtain a grab sample daily; labor to reduce opacity and air flow data; and labor to perform monthly calculations. The estimated time to collect grab samples is 4 hours and the time for monthly calculations is 2 hours based on data provided by an individual facility subject to the NESHAP. The time to record results is 2 hours based on data provided by an individual facility subject to the NESHAP.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</si>
</sst>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General_)"/>
  </numFmts>
  <fonts count="27" x14ac:knownFonts="1">
    <font>
      <sz val="11"/>
      <color theme="1"/>
      <name val="Calibri"/>
      <family val="2"/>
      <scheme val="minor"/>
    </font>
    <font>
      <b/>
      <sz val="10"/>
      <name val="Times New Roman"/>
      <family val="1"/>
    </font>
    <font>
      <b/>
      <vertAlign val="superscript"/>
      <sz val="10"/>
      <name val="Times New Roman"/>
      <family val="1"/>
    </font>
    <font>
      <sz val="10"/>
      <name val="Times New Roman"/>
      <family val="1"/>
    </font>
    <font>
      <b/>
      <sz val="10"/>
      <color theme="1"/>
      <name val="Times New Roman"/>
      <family val="1"/>
    </font>
    <font>
      <b/>
      <vertAlign val="superscript"/>
      <sz val="10"/>
      <color theme="1"/>
      <name val="Times New Roman"/>
      <family val="1"/>
    </font>
    <font>
      <sz val="11"/>
      <color theme="1"/>
      <name val="Calibri"/>
      <family val="2"/>
      <scheme val="minor"/>
    </font>
    <font>
      <sz val="11"/>
      <color rgb="FFFF0000"/>
      <name val="Calibri"/>
      <family val="2"/>
      <scheme val="minor"/>
    </font>
    <font>
      <sz val="10"/>
      <color theme="1"/>
      <name val="Times New Roman"/>
      <family val="1"/>
    </font>
    <font>
      <vertAlign val="superscript"/>
      <sz val="10"/>
      <color theme="1"/>
      <name val="Times New Roman"/>
      <family val="1"/>
    </font>
    <font>
      <vertAlign val="superscript"/>
      <sz val="10"/>
      <name val="Times New Roman"/>
      <family val="1"/>
    </font>
    <font>
      <b/>
      <i/>
      <sz val="10"/>
      <color theme="1"/>
      <name val="Times New Roman"/>
      <family val="1"/>
    </font>
    <font>
      <b/>
      <i/>
      <sz val="1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11"/>
      <color rgb="FF7030A0"/>
      <name val="Calibri"/>
      <family val="2"/>
      <scheme val="minor"/>
    </font>
    <font>
      <sz val="10"/>
      <color rgb="FF7030A0"/>
      <name val="Times New Roman"/>
      <family val="1"/>
    </font>
    <font>
      <sz val="8"/>
      <name val="Helv"/>
    </font>
    <font>
      <sz val="10"/>
      <color theme="1"/>
      <name val="Calibri"/>
      <family val="2"/>
      <scheme val="minor"/>
    </font>
    <font>
      <sz val="10"/>
      <color rgb="FFFF0000"/>
      <name val="Calibri"/>
      <family val="2"/>
      <scheme val="minor"/>
    </font>
    <font>
      <b/>
      <sz val="10"/>
      <color rgb="FF000000"/>
      <name val="Times New Roman"/>
      <family val="1"/>
    </font>
    <font>
      <b/>
      <vertAlign val="superscript"/>
      <sz val="10"/>
      <color rgb="FF000000"/>
      <name val="Times New Roman"/>
      <family val="1"/>
    </font>
    <font>
      <b/>
      <sz val="9"/>
      <color rgb="FF000000"/>
      <name val="Times New Roman"/>
      <family val="1"/>
    </font>
    <font>
      <b/>
      <sz val="9"/>
      <color theme="1"/>
      <name val="Times New Roman"/>
      <family val="1"/>
    </font>
    <font>
      <sz val="11"/>
      <name val="Calibri"/>
      <family val="2"/>
      <scheme val="minor"/>
    </font>
    <font>
      <b/>
      <sz val="11"/>
      <color rgb="FF7030A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166" fontId="18" fillId="0" borderId="0"/>
  </cellStyleXfs>
  <cellXfs count="100">
    <xf numFmtId="0" fontId="0" fillId="0" borderId="0" xfId="0"/>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indent="1"/>
    </xf>
    <xf numFmtId="0" fontId="1" fillId="0" borderId="1" xfId="0" applyFont="1" applyFill="1" applyBorder="1" applyAlignment="1">
      <alignment horizontal="center" wrapText="1"/>
    </xf>
    <xf numFmtId="0" fontId="0" fillId="0" borderId="1" xfId="0" applyBorder="1"/>
    <xf numFmtId="0" fontId="3" fillId="2" borderId="1" xfId="0" applyFont="1" applyFill="1" applyBorder="1" applyAlignment="1">
      <alignment horizontal="left" vertical="top" wrapText="1" inden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8" fillId="0" borderId="2" xfId="0" applyFont="1" applyFill="1" applyBorder="1"/>
    <xf numFmtId="0" fontId="8" fillId="0" borderId="1" xfId="0" applyFont="1" applyBorder="1"/>
    <xf numFmtId="164" fontId="8" fillId="0" borderId="1" xfId="0" applyNumberFormat="1" applyFont="1" applyBorder="1"/>
    <xf numFmtId="0" fontId="8" fillId="2" borderId="1" xfId="0" applyFont="1" applyFill="1" applyBorder="1"/>
    <xf numFmtId="0" fontId="8" fillId="0" borderId="1" xfId="0" applyFont="1" applyBorder="1" applyAlignment="1">
      <alignment wrapText="1"/>
    </xf>
    <xf numFmtId="0" fontId="7" fillId="0" borderId="0" xfId="0" applyFont="1"/>
    <xf numFmtId="0" fontId="11" fillId="0" borderId="1" xfId="0" applyFont="1" applyBorder="1"/>
    <xf numFmtId="0" fontId="12" fillId="0" borderId="1" xfId="0" applyFont="1" applyFill="1" applyBorder="1" applyAlignment="1">
      <alignment horizontal="left" vertical="top" wrapText="1" indent="1"/>
    </xf>
    <xf numFmtId="0" fontId="8" fillId="0" borderId="1" xfId="0" applyFont="1" applyFill="1" applyBorder="1"/>
    <xf numFmtId="0" fontId="4" fillId="0" borderId="1" xfId="0" applyFont="1" applyBorder="1"/>
    <xf numFmtId="165" fontId="4" fillId="0" borderId="1" xfId="0" applyNumberFormat="1" applyFont="1" applyBorder="1"/>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Alignment="1">
      <alignment horizontal="left" vertical="top" wrapText="1"/>
    </xf>
    <xf numFmtId="0" fontId="16" fillId="0" borderId="0" xfId="0" applyFont="1"/>
    <xf numFmtId="0" fontId="17" fillId="0" borderId="0" xfId="0" applyFont="1" applyAlignment="1">
      <alignment horizontal="left" vertical="top"/>
    </xf>
    <xf numFmtId="164" fontId="8" fillId="0" borderId="1" xfId="0" applyNumberFormat="1" applyFont="1" applyFill="1" applyBorder="1"/>
    <xf numFmtId="165" fontId="11" fillId="0" borderId="1" xfId="0" applyNumberFormat="1" applyFont="1" applyFill="1" applyBorder="1"/>
    <xf numFmtId="165" fontId="4" fillId="0" borderId="1" xfId="0" applyNumberFormat="1" applyFont="1" applyFill="1" applyBorder="1"/>
    <xf numFmtId="0" fontId="1" fillId="0" borderId="0" xfId="0" applyFont="1"/>
    <xf numFmtId="0" fontId="3" fillId="0" borderId="2" xfId="0" applyFont="1" applyFill="1" applyBorder="1"/>
    <xf numFmtId="164" fontId="8" fillId="0" borderId="1" xfId="2" applyNumberFormat="1" applyFont="1" applyFill="1" applyBorder="1"/>
    <xf numFmtId="165" fontId="8" fillId="0" borderId="1" xfId="0" applyNumberFormat="1" applyFont="1" applyFill="1" applyBorder="1"/>
    <xf numFmtId="0" fontId="3" fillId="0" borderId="0" xfId="0" applyFont="1" applyFill="1" applyBorder="1" applyAlignment="1">
      <alignment horizontal="left" vertical="top"/>
    </xf>
    <xf numFmtId="3" fontId="0" fillId="0" borderId="0" xfId="0" applyNumberFormat="1"/>
    <xf numFmtId="1" fontId="0" fillId="0" borderId="0" xfId="0" applyNumberFormat="1"/>
    <xf numFmtId="166" fontId="3" fillId="0" borderId="0" xfId="3" applyFont="1" applyAlignment="1">
      <alignment horizontal="center" vertical="center" wrapText="1"/>
    </xf>
    <xf numFmtId="164" fontId="3" fillId="0" borderId="0" xfId="3" applyNumberFormat="1" applyFont="1" applyAlignment="1">
      <alignment horizontal="right" wrapText="1"/>
    </xf>
    <xf numFmtId="0" fontId="19" fillId="0" borderId="0" xfId="0" applyFont="1"/>
    <xf numFmtId="0" fontId="4" fillId="0" borderId="0" xfId="0" applyFont="1" applyAlignment="1">
      <alignment horizontal="center" vertical="center" wrapText="1"/>
    </xf>
    <xf numFmtId="6" fontId="8" fillId="0" borderId="1" xfId="0" applyNumberFormat="1" applyFont="1" applyBorder="1" applyAlignment="1">
      <alignment horizontal="center" vertical="center" wrapText="1"/>
    </xf>
    <xf numFmtId="6" fontId="8" fillId="0" borderId="0" xfId="0" applyNumberFormat="1" applyFont="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6" fontId="4" fillId="0" borderId="0" xfId="0" applyNumberFormat="1" applyFont="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6" fontId="19" fillId="0" borderId="0" xfId="0" applyNumberFormat="1" applyFont="1"/>
    <xf numFmtId="0" fontId="4" fillId="0" borderId="0" xfId="0" applyFont="1" applyAlignment="1">
      <alignment vertical="center" wrapText="1"/>
    </xf>
    <xf numFmtId="0" fontId="8" fillId="0" borderId="0" xfId="0" applyFont="1" applyAlignment="1">
      <alignment horizontal="center" vertical="center" wrapText="1"/>
    </xf>
    <xf numFmtId="0" fontId="20" fillId="0" borderId="0" xfId="0" applyFont="1" applyAlignment="1">
      <alignment vertical="top" wrapText="1"/>
    </xf>
    <xf numFmtId="0" fontId="14" fillId="0" borderId="1" xfId="0" applyFont="1" applyBorder="1" applyAlignment="1">
      <alignment horizontal="center"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4" fillId="0" borderId="7" xfId="0" applyFont="1" applyBorder="1" applyAlignment="1">
      <alignment horizontal="center" vertical="center" wrapText="1"/>
    </xf>
    <xf numFmtId="1" fontId="4" fillId="0" borderId="7"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15" fillId="0" borderId="0" xfId="0" applyFont="1" applyAlignment="1">
      <alignment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0" xfId="0" applyFont="1"/>
    <xf numFmtId="0" fontId="25" fillId="0" borderId="0" xfId="0" applyFont="1"/>
    <xf numFmtId="3" fontId="25" fillId="0" borderId="0" xfId="0" applyNumberFormat="1" applyFont="1"/>
    <xf numFmtId="1" fontId="25" fillId="0" borderId="0" xfId="0" applyNumberFormat="1" applyFont="1"/>
    <xf numFmtId="0" fontId="3" fillId="0" borderId="1" xfId="0" applyFont="1" applyBorder="1"/>
    <xf numFmtId="0" fontId="3" fillId="0" borderId="1" xfId="0" applyFont="1" applyFill="1" applyBorder="1"/>
    <xf numFmtId="0" fontId="3" fillId="2" borderId="1" xfId="0" applyFont="1" applyFill="1" applyBorder="1"/>
    <xf numFmtId="164" fontId="3" fillId="0" borderId="1" xfId="0" applyNumberFormat="1" applyFont="1" applyFill="1" applyBorder="1"/>
    <xf numFmtId="165" fontId="3" fillId="0" borderId="1" xfId="0" applyNumberFormat="1" applyFont="1" applyFill="1" applyBorder="1"/>
    <xf numFmtId="165" fontId="12" fillId="0" borderId="1" xfId="0" applyNumberFormat="1" applyFont="1" applyBorder="1"/>
    <xf numFmtId="6" fontId="25" fillId="0" borderId="0" xfId="0" applyNumberFormat="1" applyFont="1"/>
    <xf numFmtId="0" fontId="0" fillId="0" borderId="0" xfId="0" applyAlignment="1">
      <alignment horizontal="center"/>
    </xf>
    <xf numFmtId="1" fontId="12" fillId="0" borderId="4" xfId="0" applyNumberFormat="1" applyFont="1" applyBorder="1" applyAlignment="1">
      <alignment horizontal="center"/>
    </xf>
    <xf numFmtId="1" fontId="12" fillId="0" borderId="5" xfId="0" applyNumberFormat="1" applyFont="1" applyBorder="1" applyAlignment="1">
      <alignment horizontal="center"/>
    </xf>
    <xf numFmtId="1" fontId="12" fillId="0" borderId="6" xfId="0" applyNumberFormat="1" applyFont="1" applyBorder="1" applyAlignment="1">
      <alignment horizontal="center"/>
    </xf>
    <xf numFmtId="3" fontId="4" fillId="0" borderId="4" xfId="0" applyNumberFormat="1" applyFont="1" applyFill="1" applyBorder="1" applyAlignment="1">
      <alignment horizontal="center"/>
    </xf>
    <xf numFmtId="3" fontId="4" fillId="0" borderId="5" xfId="0" applyNumberFormat="1" applyFont="1" applyFill="1" applyBorder="1" applyAlignment="1">
      <alignment horizontal="center"/>
    </xf>
    <xf numFmtId="3" fontId="4" fillId="0" borderId="6" xfId="0" applyNumberFormat="1" applyFont="1" applyFill="1" applyBorder="1" applyAlignment="1">
      <alignment horizontal="center"/>
    </xf>
    <xf numFmtId="0" fontId="26" fillId="0" borderId="0" xfId="0" applyFont="1" applyAlignment="1">
      <alignment horizontal="center" wrapText="1"/>
    </xf>
    <xf numFmtId="0" fontId="7" fillId="0" borderId="0" xfId="0" applyFont="1" applyAlignment="1">
      <alignment horizontal="left" wrapText="1"/>
    </xf>
    <xf numFmtId="0" fontId="8" fillId="0" borderId="3" xfId="0" applyFont="1" applyFill="1" applyBorder="1" applyAlignment="1">
      <alignment horizontal="left" vertical="top" wrapText="1"/>
    </xf>
    <xf numFmtId="0" fontId="8" fillId="0" borderId="0" xfId="0" applyFont="1" applyFill="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3" fontId="11" fillId="0" borderId="4" xfId="1" applyNumberFormat="1" applyFont="1" applyFill="1" applyBorder="1" applyAlignment="1">
      <alignment horizontal="center"/>
    </xf>
    <xf numFmtId="3" fontId="11" fillId="0" borderId="5" xfId="1" applyNumberFormat="1" applyFont="1" applyFill="1" applyBorder="1" applyAlignment="1">
      <alignment horizontal="center"/>
    </xf>
    <xf numFmtId="3" fontId="11" fillId="0" borderId="6" xfId="1" applyNumberFormat="1" applyFont="1" applyFill="1" applyBorder="1" applyAlignment="1">
      <alignment horizontal="center"/>
    </xf>
    <xf numFmtId="0" fontId="8" fillId="0" borderId="1" xfId="0" applyFont="1" applyFill="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left" vertical="top" wrapText="1"/>
    </xf>
    <xf numFmtId="0" fontId="13" fillId="0" borderId="1" xfId="0" applyFont="1" applyBorder="1" applyAlignment="1">
      <alignment horizontal="center" vertical="center" wrapText="1"/>
    </xf>
    <xf numFmtId="0" fontId="21" fillId="0" borderId="1" xfId="0" applyFont="1" applyBorder="1" applyAlignment="1">
      <alignment vertical="center" wrapText="1"/>
    </xf>
  </cellXfs>
  <cellStyles count="4">
    <cellStyle name="Comma" xfId="1" builtinId="3"/>
    <cellStyle name="Currency" xfId="2" builtinId="4"/>
    <cellStyle name="Normal" xfId="0" builtinId="0"/>
    <cellStyle name="Normal_SSI Burden Estimate BML 060710" xfId="3" xr:uid="{CCA9D31D-4045-42FB-A8B0-B00C1BEC25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EAC9-8423-46AD-B827-E785ED754485}">
  <dimension ref="A1:B8"/>
  <sheetViews>
    <sheetView workbookViewId="0">
      <selection activeCell="E11" sqref="E11"/>
    </sheetView>
  </sheetViews>
  <sheetFormatPr defaultRowHeight="14.5" x14ac:dyDescent="0.35"/>
  <cols>
    <col min="1" max="1" width="31.81640625" customWidth="1"/>
    <col min="2" max="2" width="10.54296875" bestFit="1" customWidth="1"/>
  </cols>
  <sheetData>
    <row r="1" spans="1:2" x14ac:dyDescent="0.35">
      <c r="A1" s="78" t="s">
        <v>77</v>
      </c>
      <c r="B1" s="78"/>
    </row>
    <row r="2" spans="1:2" x14ac:dyDescent="0.35">
      <c r="A2" t="s">
        <v>78</v>
      </c>
      <c r="B2" s="40">
        <f>'Table 1'!M29</f>
        <v>695.55555555555554</v>
      </c>
    </row>
    <row r="3" spans="1:2" x14ac:dyDescent="0.35">
      <c r="A3" t="s">
        <v>79</v>
      </c>
      <c r="B3">
        <f>Respondents!F8</f>
        <v>3</v>
      </c>
    </row>
    <row r="4" spans="1:2" x14ac:dyDescent="0.35">
      <c r="A4" t="s">
        <v>80</v>
      </c>
      <c r="B4" s="69">
        <f>'Table 1'!K34</f>
        <v>6260</v>
      </c>
    </row>
    <row r="5" spans="1:2" x14ac:dyDescent="0.35">
      <c r="A5" t="s">
        <v>81</v>
      </c>
      <c r="B5" s="77">
        <f>'Table 1'!I36</f>
        <v>753000</v>
      </c>
    </row>
    <row r="6" spans="1:2" x14ac:dyDescent="0.35">
      <c r="A6" t="s">
        <v>82</v>
      </c>
      <c r="B6" s="77">
        <f>'Table 1'!I35</f>
        <v>1500</v>
      </c>
    </row>
    <row r="7" spans="1:2" x14ac:dyDescent="0.35">
      <c r="A7" t="s">
        <v>83</v>
      </c>
      <c r="B7" s="40">
        <f>Responses!E6</f>
        <v>9</v>
      </c>
    </row>
    <row r="8" spans="1:2" x14ac:dyDescent="0.35">
      <c r="A8" t="s">
        <v>112</v>
      </c>
      <c r="B8" t="s">
        <v>113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tabSelected="1" zoomScaleNormal="100" workbookViewId="0">
      <selection activeCell="F34" sqref="F34:H34"/>
    </sheetView>
  </sheetViews>
  <sheetFormatPr defaultRowHeight="14.5" x14ac:dyDescent="0.35"/>
  <cols>
    <col min="1" max="1" width="34.54296875" customWidth="1"/>
    <col min="2" max="3" width="10.81640625" customWidth="1"/>
    <col min="5" max="5" width="10.81640625" customWidth="1"/>
    <col min="9" max="9" width="11.1796875" bestFit="1" customWidth="1"/>
    <col min="12" max="12" width="11.26953125" customWidth="1"/>
    <col min="13" max="13" width="12.54296875" customWidth="1"/>
    <col min="14" max="14" width="11" customWidth="1"/>
  </cols>
  <sheetData>
    <row r="1" spans="1:14" x14ac:dyDescent="0.35">
      <c r="A1" s="34" t="s">
        <v>73</v>
      </c>
    </row>
    <row r="3" spans="1:14" ht="91" x14ac:dyDescent="0.35">
      <c r="A3" s="6" t="s">
        <v>0</v>
      </c>
      <c r="B3" s="1" t="s">
        <v>3</v>
      </c>
      <c r="C3" s="1" t="s">
        <v>4</v>
      </c>
      <c r="D3" s="2" t="s">
        <v>5</v>
      </c>
      <c r="E3" s="1" t="s">
        <v>6</v>
      </c>
      <c r="F3" s="2" t="s">
        <v>7</v>
      </c>
      <c r="G3" s="2" t="s">
        <v>8</v>
      </c>
      <c r="H3" s="2" t="s">
        <v>9</v>
      </c>
      <c r="I3" s="3" t="s">
        <v>10</v>
      </c>
      <c r="M3" s="9" t="s">
        <v>30</v>
      </c>
      <c r="N3" s="9"/>
    </row>
    <row r="4" spans="1:14" x14ac:dyDescent="0.35">
      <c r="A4" s="4" t="s">
        <v>11</v>
      </c>
      <c r="B4" s="16" t="s">
        <v>1</v>
      </c>
      <c r="C4" s="16"/>
      <c r="D4" s="16"/>
      <c r="E4" s="16"/>
      <c r="F4" s="16"/>
      <c r="G4" s="16"/>
      <c r="H4" s="16"/>
      <c r="I4" s="17"/>
      <c r="L4" t="s">
        <v>27</v>
      </c>
      <c r="M4">
        <v>157.61000000000001</v>
      </c>
    </row>
    <row r="5" spans="1:14" x14ac:dyDescent="0.35">
      <c r="A5" s="4" t="s">
        <v>12</v>
      </c>
      <c r="B5" s="16" t="s">
        <v>1</v>
      </c>
      <c r="C5" s="16"/>
      <c r="D5" s="16"/>
      <c r="E5" s="16"/>
      <c r="F5" s="16"/>
      <c r="G5" s="16"/>
      <c r="H5" s="16"/>
      <c r="I5" s="17"/>
      <c r="L5" t="s">
        <v>28</v>
      </c>
      <c r="M5">
        <v>123.94</v>
      </c>
    </row>
    <row r="6" spans="1:14" ht="39" x14ac:dyDescent="0.35">
      <c r="A6" s="4" t="s">
        <v>13</v>
      </c>
      <c r="B6" s="16" t="s">
        <v>1</v>
      </c>
      <c r="C6" s="16"/>
      <c r="D6" s="16"/>
      <c r="E6" s="16"/>
      <c r="F6" s="16"/>
      <c r="G6" s="16"/>
      <c r="H6" s="16"/>
      <c r="I6" s="17"/>
      <c r="L6" t="s">
        <v>29</v>
      </c>
      <c r="M6">
        <v>62.52</v>
      </c>
    </row>
    <row r="7" spans="1:14" x14ac:dyDescent="0.35">
      <c r="A7" s="4" t="s">
        <v>2</v>
      </c>
      <c r="B7" s="16"/>
      <c r="C7" s="16"/>
      <c r="D7" s="16"/>
      <c r="E7" s="16"/>
      <c r="F7" s="16"/>
      <c r="G7" s="16"/>
      <c r="H7" s="16"/>
      <c r="I7" s="17"/>
    </row>
    <row r="8" spans="1:14" ht="26" x14ac:dyDescent="0.35">
      <c r="A8" s="8" t="s">
        <v>49</v>
      </c>
      <c r="B8" s="16">
        <v>1</v>
      </c>
      <c r="C8" s="16">
        <v>1</v>
      </c>
      <c r="D8" s="16">
        <f>B8*C8</f>
        <v>1</v>
      </c>
      <c r="E8" s="16">
        <v>3</v>
      </c>
      <c r="F8" s="16">
        <f>D8*E8</f>
        <v>3</v>
      </c>
      <c r="G8" s="16">
        <f>F8*0.05</f>
        <v>0.15000000000000002</v>
      </c>
      <c r="H8" s="16">
        <f>F8*0.1</f>
        <v>0.30000000000000004</v>
      </c>
      <c r="I8" s="31">
        <f>F8*$M$5+G8*$M$4+H8*$M$6</f>
        <v>414.21750000000003</v>
      </c>
      <c r="J8" s="29"/>
    </row>
    <row r="9" spans="1:14" x14ac:dyDescent="0.35">
      <c r="A9" s="5" t="s">
        <v>48</v>
      </c>
      <c r="B9" s="16" t="s">
        <v>1</v>
      </c>
      <c r="C9" s="16"/>
      <c r="D9" s="16"/>
      <c r="E9" s="16"/>
      <c r="F9" s="16"/>
      <c r="G9" s="16"/>
      <c r="H9" s="16"/>
      <c r="I9" s="31"/>
    </row>
    <row r="10" spans="1:14" ht="15.5" x14ac:dyDescent="0.35">
      <c r="A10" s="5" t="s">
        <v>47</v>
      </c>
      <c r="B10" s="16"/>
      <c r="C10" s="16"/>
      <c r="D10" s="16"/>
      <c r="E10" s="16"/>
      <c r="F10" s="16"/>
      <c r="G10" s="18"/>
      <c r="H10" s="16"/>
      <c r="I10" s="31"/>
      <c r="J10" s="20"/>
    </row>
    <row r="11" spans="1:14" ht="15.5" x14ac:dyDescent="0.35">
      <c r="A11" s="5" t="s">
        <v>114</v>
      </c>
      <c r="B11" s="71">
        <v>40</v>
      </c>
      <c r="C11" s="71">
        <v>1</v>
      </c>
      <c r="D11" s="71">
        <f t="shared" ref="D11:D14" si="0">B11*C11</f>
        <v>40</v>
      </c>
      <c r="E11" s="71">
        <v>0</v>
      </c>
      <c r="F11" s="72">
        <f t="shared" ref="F11" si="1">D11*E11</f>
        <v>0</v>
      </c>
      <c r="G11" s="73">
        <f t="shared" ref="G11" si="2">F11*0.05</f>
        <v>0</v>
      </c>
      <c r="H11" s="71">
        <f t="shared" ref="H11" si="3">F11*0.1</f>
        <v>0</v>
      </c>
      <c r="I11" s="75">
        <f>F11*$M$5+G11*$M$4+H11*$M$6</f>
        <v>0</v>
      </c>
      <c r="J11" s="20"/>
    </row>
    <row r="12" spans="1:14" x14ac:dyDescent="0.35">
      <c r="A12" s="71" t="s">
        <v>41</v>
      </c>
      <c r="B12" s="71">
        <v>4</v>
      </c>
      <c r="C12" s="71">
        <v>365</v>
      </c>
      <c r="D12" s="71">
        <f t="shared" si="0"/>
        <v>1460</v>
      </c>
      <c r="E12" s="71">
        <v>3</v>
      </c>
      <c r="F12" s="72">
        <f t="shared" ref="F12:F14" si="4">D12*E12</f>
        <v>4380</v>
      </c>
      <c r="G12" s="73">
        <f t="shared" ref="G12:G14" si="5">F12*0.05</f>
        <v>219</v>
      </c>
      <c r="H12" s="71">
        <f t="shared" ref="H12:H14" si="6">F12*0.1</f>
        <v>438</v>
      </c>
      <c r="I12" s="74">
        <f>F12*$M$5+G12*$M$4+H12*$M$6</f>
        <v>604757.54999999993</v>
      </c>
      <c r="J12" s="20"/>
    </row>
    <row r="13" spans="1:14" x14ac:dyDescent="0.35">
      <c r="A13" s="71" t="s">
        <v>42</v>
      </c>
      <c r="B13" s="71">
        <v>4</v>
      </c>
      <c r="C13" s="71">
        <v>12</v>
      </c>
      <c r="D13" s="71">
        <f t="shared" si="0"/>
        <v>48</v>
      </c>
      <c r="E13" s="71">
        <v>3</v>
      </c>
      <c r="F13" s="72">
        <f t="shared" si="4"/>
        <v>144</v>
      </c>
      <c r="G13" s="73">
        <f t="shared" si="5"/>
        <v>7.2</v>
      </c>
      <c r="H13" s="71">
        <f t="shared" si="6"/>
        <v>14.4</v>
      </c>
      <c r="I13" s="74">
        <f>F13*$M$5+G13*$M$4+H13*$M$6</f>
        <v>19882.440000000002</v>
      </c>
      <c r="J13" s="20"/>
    </row>
    <row r="14" spans="1:14" x14ac:dyDescent="0.35">
      <c r="A14" s="71" t="s">
        <v>43</v>
      </c>
      <c r="B14" s="71">
        <v>2</v>
      </c>
      <c r="C14" s="71">
        <v>12</v>
      </c>
      <c r="D14" s="71">
        <f t="shared" si="0"/>
        <v>24</v>
      </c>
      <c r="E14" s="71">
        <v>3</v>
      </c>
      <c r="F14" s="72">
        <f t="shared" si="4"/>
        <v>72</v>
      </c>
      <c r="G14" s="73">
        <f t="shared" si="5"/>
        <v>3.6</v>
      </c>
      <c r="H14" s="71">
        <f t="shared" si="6"/>
        <v>7.2</v>
      </c>
      <c r="I14" s="74">
        <f>F14*$M$5+G14*$M$4+H14*$M$6</f>
        <v>9941.2200000000012</v>
      </c>
      <c r="J14" s="20"/>
    </row>
    <row r="15" spans="1:14" x14ac:dyDescent="0.35">
      <c r="A15" s="5" t="s">
        <v>46</v>
      </c>
      <c r="B15" s="71" t="s">
        <v>24</v>
      </c>
      <c r="C15" s="71"/>
      <c r="D15" s="71"/>
      <c r="E15" s="71"/>
      <c r="F15" s="71"/>
      <c r="G15" s="71"/>
      <c r="H15" s="71"/>
      <c r="I15" s="74"/>
    </row>
    <row r="16" spans="1:14" x14ac:dyDescent="0.35">
      <c r="A16" s="5" t="s">
        <v>45</v>
      </c>
      <c r="B16" s="71"/>
      <c r="C16" s="71"/>
      <c r="D16" s="71"/>
      <c r="E16" s="71"/>
      <c r="F16" s="71"/>
      <c r="G16" s="71"/>
      <c r="H16" s="71"/>
      <c r="I16" s="74"/>
    </row>
    <row r="17" spans="1:14" ht="28.5" x14ac:dyDescent="0.35">
      <c r="A17" s="5" t="s">
        <v>115</v>
      </c>
      <c r="B17" s="71">
        <v>16</v>
      </c>
      <c r="C17" s="71">
        <v>2</v>
      </c>
      <c r="D17" s="71">
        <f>B17*C17</f>
        <v>32</v>
      </c>
      <c r="E17" s="72">
        <v>3</v>
      </c>
      <c r="F17" s="71">
        <f>D17*E17</f>
        <v>96</v>
      </c>
      <c r="G17" s="71">
        <f>F17*0.05</f>
        <v>4.8000000000000007</v>
      </c>
      <c r="H17" s="71">
        <f>F17*0.1</f>
        <v>9.6000000000000014</v>
      </c>
      <c r="I17" s="74">
        <f>F17*$M$5+G17*$M$4+H17*$M$6</f>
        <v>13254.960000000001</v>
      </c>
      <c r="J17" s="29"/>
    </row>
    <row r="18" spans="1:14" ht="26" x14ac:dyDescent="0.35">
      <c r="A18" s="5" t="s">
        <v>50</v>
      </c>
      <c r="B18" s="71">
        <v>16</v>
      </c>
      <c r="C18" s="71">
        <v>1</v>
      </c>
      <c r="D18" s="71">
        <f>B18*C18</f>
        <v>16</v>
      </c>
      <c r="E18" s="72">
        <v>3</v>
      </c>
      <c r="F18" s="71">
        <f>D18*E18</f>
        <v>48</v>
      </c>
      <c r="G18" s="71">
        <f>F18*0.05</f>
        <v>2.4000000000000004</v>
      </c>
      <c r="H18" s="71">
        <f>F18*0.1</f>
        <v>4.8000000000000007</v>
      </c>
      <c r="I18" s="74">
        <f>F18*$M$5+G18*$M$4+H18*$M$6</f>
        <v>6627.4800000000005</v>
      </c>
      <c r="J18" s="20"/>
    </row>
    <row r="19" spans="1:14" x14ac:dyDescent="0.35">
      <c r="A19" s="5" t="s">
        <v>111</v>
      </c>
      <c r="B19" s="72">
        <v>1</v>
      </c>
      <c r="C19" s="71">
        <v>1</v>
      </c>
      <c r="D19" s="71">
        <f t="shared" ref="D19" si="7">B19*C19</f>
        <v>1</v>
      </c>
      <c r="E19" s="72">
        <v>0</v>
      </c>
      <c r="F19" s="72">
        <f t="shared" ref="F19" si="8">D19*E19</f>
        <v>0</v>
      </c>
      <c r="G19" s="73">
        <f t="shared" ref="G19" si="9">F19*0.05</f>
        <v>0</v>
      </c>
      <c r="H19" s="71">
        <f t="shared" ref="H19" si="10">F19*0.1</f>
        <v>0</v>
      </c>
      <c r="I19" s="75">
        <f>F19*$M$5+G19*$M$4+H19*$M$6</f>
        <v>0</v>
      </c>
      <c r="J19" s="20"/>
    </row>
    <row r="20" spans="1:14" x14ac:dyDescent="0.35">
      <c r="A20" s="22" t="s">
        <v>40</v>
      </c>
      <c r="B20" s="71"/>
      <c r="C20" s="71"/>
      <c r="D20" s="71"/>
      <c r="E20" s="72"/>
      <c r="F20" s="79">
        <f>SUM(F4:H18)</f>
        <v>5454.45</v>
      </c>
      <c r="G20" s="80"/>
      <c r="H20" s="81"/>
      <c r="I20" s="76">
        <f>SUM(I8:I18)</f>
        <v>654877.86749999993</v>
      </c>
      <c r="J20" s="20"/>
    </row>
    <row r="21" spans="1:14" x14ac:dyDescent="0.35">
      <c r="A21" s="5" t="s">
        <v>14</v>
      </c>
      <c r="B21" s="16"/>
      <c r="C21" s="16"/>
      <c r="D21" s="16"/>
      <c r="E21" s="16"/>
      <c r="F21" s="16"/>
      <c r="G21" s="16"/>
      <c r="H21" s="16"/>
      <c r="I21" s="17"/>
    </row>
    <row r="22" spans="1:14" ht="26" x14ac:dyDescent="0.35">
      <c r="A22" s="5" t="s">
        <v>15</v>
      </c>
      <c r="B22" s="16" t="s">
        <v>25</v>
      </c>
      <c r="C22" s="16"/>
      <c r="D22" s="16"/>
      <c r="E22" s="16"/>
      <c r="F22" s="16"/>
      <c r="G22" s="16"/>
      <c r="H22" s="16"/>
      <c r="I22" s="17"/>
    </row>
    <row r="23" spans="1:14" x14ac:dyDescent="0.35">
      <c r="A23" s="5" t="s">
        <v>16</v>
      </c>
      <c r="B23" s="16" t="s">
        <v>1</v>
      </c>
      <c r="C23" s="16"/>
      <c r="D23" s="16"/>
      <c r="E23" s="16"/>
      <c r="F23" s="16"/>
      <c r="G23" s="16"/>
      <c r="H23" s="16"/>
      <c r="I23" s="17"/>
    </row>
    <row r="24" spans="1:14" x14ac:dyDescent="0.35">
      <c r="A24" s="5" t="s">
        <v>44</v>
      </c>
      <c r="B24" s="16" t="s">
        <v>26</v>
      </c>
      <c r="C24" s="16"/>
      <c r="D24" s="16"/>
      <c r="E24" s="16"/>
      <c r="F24" s="23"/>
      <c r="G24" s="23"/>
      <c r="H24" s="23"/>
      <c r="I24" s="31"/>
    </row>
    <row r="25" spans="1:14" x14ac:dyDescent="0.35">
      <c r="A25" s="5" t="s">
        <v>17</v>
      </c>
      <c r="B25" s="16">
        <v>8</v>
      </c>
      <c r="C25" s="16">
        <v>1</v>
      </c>
      <c r="D25" s="16">
        <f>B25*C25</f>
        <v>8</v>
      </c>
      <c r="E25" s="16">
        <v>3</v>
      </c>
      <c r="F25" s="23">
        <f>D25*E25</f>
        <v>24</v>
      </c>
      <c r="G25" s="23">
        <f>F25*0.05</f>
        <v>1.2000000000000002</v>
      </c>
      <c r="H25" s="23">
        <f>F25*0.1</f>
        <v>2.4000000000000004</v>
      </c>
      <c r="I25" s="31">
        <f>F25*$M$5+G25*$M$4+H25*$M$6</f>
        <v>3313.7400000000002</v>
      </c>
    </row>
    <row r="26" spans="1:14" x14ac:dyDescent="0.35">
      <c r="A26" s="5" t="s">
        <v>18</v>
      </c>
      <c r="B26" s="16"/>
      <c r="C26" s="16"/>
      <c r="D26" s="16"/>
      <c r="E26" s="16"/>
      <c r="F26" s="23"/>
      <c r="G26" s="23"/>
      <c r="H26" s="23"/>
      <c r="I26" s="31"/>
    </row>
    <row r="27" spans="1:14" x14ac:dyDescent="0.35">
      <c r="A27" s="5" t="s">
        <v>19</v>
      </c>
      <c r="B27" s="71">
        <v>2</v>
      </c>
      <c r="C27" s="71">
        <v>12</v>
      </c>
      <c r="D27" s="71">
        <f>B27*C27</f>
        <v>24</v>
      </c>
      <c r="E27" s="71">
        <v>3</v>
      </c>
      <c r="F27" s="72">
        <f>D27*E27</f>
        <v>72</v>
      </c>
      <c r="G27" s="72">
        <f>F27*0.05</f>
        <v>3.6</v>
      </c>
      <c r="H27" s="72">
        <f>F27*0.1</f>
        <v>7.2</v>
      </c>
      <c r="I27" s="74">
        <f>F27*$M$5+G27*$M$4+H27*$M$6</f>
        <v>9941.2200000000012</v>
      </c>
      <c r="L27" s="68" t="s">
        <v>71</v>
      </c>
      <c r="M27" s="69">
        <f>F34</f>
        <v>6260</v>
      </c>
      <c r="N27" s="29"/>
    </row>
    <row r="28" spans="1:14" x14ac:dyDescent="0.35">
      <c r="A28" s="5" t="s">
        <v>20</v>
      </c>
      <c r="B28" s="16">
        <v>1.5</v>
      </c>
      <c r="C28" s="16">
        <v>12</v>
      </c>
      <c r="D28" s="16">
        <f>B28*C28</f>
        <v>18</v>
      </c>
      <c r="E28" s="16">
        <v>3</v>
      </c>
      <c r="F28" s="23">
        <f>D28*E28</f>
        <v>54</v>
      </c>
      <c r="G28" s="23">
        <f>F28*0.05</f>
        <v>2.7</v>
      </c>
      <c r="H28" s="23">
        <f>F28*0.1</f>
        <v>5.4</v>
      </c>
      <c r="I28" s="31">
        <f>F28*$M$5+G28*$M$4+H28*$M$6</f>
        <v>7455.9150000000009</v>
      </c>
      <c r="L28" s="68" t="s">
        <v>66</v>
      </c>
      <c r="M28" s="68">
        <f>Responses!E6</f>
        <v>9</v>
      </c>
    </row>
    <row r="29" spans="1:14" ht="39" x14ac:dyDescent="0.35">
      <c r="A29" s="5" t="s">
        <v>21</v>
      </c>
      <c r="B29" s="16">
        <v>0.5</v>
      </c>
      <c r="C29" s="16">
        <v>365</v>
      </c>
      <c r="D29" s="16">
        <f>B29*C29</f>
        <v>182.5</v>
      </c>
      <c r="E29" s="16">
        <v>3</v>
      </c>
      <c r="F29" s="23">
        <f>D29*E29</f>
        <v>547.5</v>
      </c>
      <c r="G29" s="23">
        <f>F29*0.05</f>
        <v>27.375</v>
      </c>
      <c r="H29" s="23">
        <f>F29*0.1</f>
        <v>54.75</v>
      </c>
      <c r="I29" s="31">
        <f>F29*$M$5+G29*$M$4+H29*$M$6</f>
        <v>75594.693749999991</v>
      </c>
      <c r="L29" s="68" t="s">
        <v>72</v>
      </c>
      <c r="M29" s="70">
        <f>M27/M28</f>
        <v>695.55555555555554</v>
      </c>
    </row>
    <row r="30" spans="1:14" x14ac:dyDescent="0.35">
      <c r="A30" s="5" t="s">
        <v>22</v>
      </c>
      <c r="B30" s="16" t="s">
        <v>1</v>
      </c>
      <c r="C30" s="16"/>
      <c r="D30" s="16"/>
      <c r="E30" s="16"/>
      <c r="F30" s="23"/>
      <c r="G30" s="23"/>
      <c r="H30" s="23"/>
      <c r="I30" s="31"/>
    </row>
    <row r="31" spans="1:14" x14ac:dyDescent="0.35">
      <c r="A31" s="5" t="s">
        <v>23</v>
      </c>
      <c r="B31" s="16" t="s">
        <v>1</v>
      </c>
      <c r="C31" s="16"/>
      <c r="D31" s="16"/>
      <c r="E31" s="16"/>
      <c r="F31" s="23"/>
      <c r="G31" s="23"/>
      <c r="H31" s="23"/>
      <c r="I31" s="31"/>
    </row>
    <row r="32" spans="1:14" x14ac:dyDescent="0.35">
      <c r="A32" s="7"/>
      <c r="B32" s="16"/>
      <c r="C32" s="16"/>
      <c r="D32" s="16"/>
      <c r="E32" s="16"/>
      <c r="F32" s="23"/>
      <c r="G32" s="23"/>
      <c r="H32" s="23"/>
      <c r="I32" s="31"/>
    </row>
    <row r="33" spans="1:20" x14ac:dyDescent="0.35">
      <c r="A33" s="21" t="s">
        <v>39</v>
      </c>
      <c r="B33" s="16"/>
      <c r="C33" s="16"/>
      <c r="D33" s="16"/>
      <c r="E33" s="16"/>
      <c r="F33" s="91">
        <f>SUM(F22:H32)</f>
        <v>802.125</v>
      </c>
      <c r="G33" s="92"/>
      <c r="H33" s="93"/>
      <c r="I33" s="32">
        <f>SUM(I25:I32)</f>
        <v>96305.568749999991</v>
      </c>
      <c r="J33" s="20"/>
    </row>
    <row r="34" spans="1:20" ht="15.5" x14ac:dyDescent="0.35">
      <c r="A34" s="24" t="s">
        <v>67</v>
      </c>
      <c r="B34" s="24"/>
      <c r="C34" s="24"/>
      <c r="D34" s="24"/>
      <c r="E34" s="24"/>
      <c r="F34" s="82">
        <f>ROUND(SUM(F20,F33),-1)</f>
        <v>6260</v>
      </c>
      <c r="G34" s="83"/>
      <c r="H34" s="84"/>
      <c r="I34" s="33">
        <f>ROUND(SUM(I4:I18,I22:I32),-3)</f>
        <v>751000</v>
      </c>
      <c r="J34" s="20"/>
      <c r="K34" s="39">
        <f>F34</f>
        <v>6260</v>
      </c>
    </row>
    <row r="35" spans="1:20" ht="15.5" x14ac:dyDescent="0.35">
      <c r="A35" s="24" t="s">
        <v>68</v>
      </c>
      <c r="B35" s="24"/>
      <c r="C35" s="24"/>
      <c r="D35" s="24"/>
      <c r="E35" s="24"/>
      <c r="F35" s="24"/>
      <c r="G35" s="24"/>
      <c r="H35" s="24"/>
      <c r="I35" s="25">
        <f>'Capital O&amp;M'!G6</f>
        <v>1500</v>
      </c>
    </row>
    <row r="36" spans="1:20" ht="15.5" x14ac:dyDescent="0.35">
      <c r="A36" s="24" t="s">
        <v>69</v>
      </c>
      <c r="B36" s="24"/>
      <c r="C36" s="24"/>
      <c r="D36" s="24"/>
      <c r="E36" s="24"/>
      <c r="F36" s="24"/>
      <c r="G36" s="24"/>
      <c r="H36" s="24"/>
      <c r="I36" s="25">
        <f>ROUND(SUM(I34:I35),-3)</f>
        <v>753000</v>
      </c>
    </row>
    <row r="37" spans="1:20" ht="33.75" customHeight="1" x14ac:dyDescent="0.35">
      <c r="A37" s="87" t="s">
        <v>62</v>
      </c>
      <c r="B37" s="88"/>
      <c r="C37" s="88"/>
      <c r="D37" s="88"/>
      <c r="E37" s="88"/>
      <c r="F37" s="88"/>
      <c r="G37" s="88"/>
      <c r="H37" s="88"/>
      <c r="I37" s="88"/>
      <c r="J37" s="88"/>
      <c r="K37" s="88"/>
      <c r="L37" s="29"/>
    </row>
    <row r="38" spans="1:20" ht="52.5" customHeight="1" x14ac:dyDescent="0.35">
      <c r="A38" s="89" t="s">
        <v>108</v>
      </c>
      <c r="B38" s="89"/>
      <c r="C38" s="89"/>
      <c r="D38" s="89"/>
      <c r="E38" s="89"/>
      <c r="F38" s="89"/>
      <c r="G38" s="89"/>
      <c r="H38" s="89"/>
      <c r="I38" s="89"/>
      <c r="J38" s="89"/>
      <c r="K38" s="89"/>
    </row>
    <row r="39" spans="1:20" ht="50.25" customHeight="1" x14ac:dyDescent="0.35">
      <c r="A39" s="90" t="s">
        <v>116</v>
      </c>
      <c r="B39" s="90"/>
      <c r="C39" s="90"/>
      <c r="D39" s="90"/>
      <c r="E39" s="90"/>
      <c r="F39" s="90"/>
      <c r="G39" s="90"/>
      <c r="H39" s="90"/>
      <c r="I39" s="90"/>
      <c r="J39" s="90"/>
      <c r="K39" s="90"/>
      <c r="L39" s="86"/>
      <c r="M39" s="86"/>
      <c r="N39" s="86"/>
      <c r="O39" s="86"/>
      <c r="P39" s="85"/>
      <c r="Q39" s="85"/>
      <c r="R39" s="85"/>
      <c r="S39" s="85"/>
      <c r="T39" s="85"/>
    </row>
    <row r="40" spans="1:20" ht="16" x14ac:dyDescent="0.35">
      <c r="A40" s="35" t="s">
        <v>74</v>
      </c>
      <c r="B40" s="28"/>
      <c r="C40" s="28"/>
      <c r="D40" s="28"/>
      <c r="E40" s="28"/>
      <c r="F40" s="28"/>
      <c r="G40" s="28"/>
      <c r="H40" s="30"/>
      <c r="I40" s="28"/>
      <c r="J40" s="28"/>
      <c r="K40" s="28"/>
    </row>
    <row r="41" spans="1:20" ht="16" x14ac:dyDescent="0.35">
      <c r="A41" s="15" t="s">
        <v>70</v>
      </c>
    </row>
  </sheetData>
  <mergeCells count="8">
    <mergeCell ref="F20:H20"/>
    <mergeCell ref="F34:H34"/>
    <mergeCell ref="P39:T39"/>
    <mergeCell ref="L39:O39"/>
    <mergeCell ref="A37:K37"/>
    <mergeCell ref="A38:K38"/>
    <mergeCell ref="A39:K39"/>
    <mergeCell ref="F33:H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
  <sheetViews>
    <sheetView zoomScale="94" zoomScaleNormal="94" workbookViewId="0">
      <selection activeCell="A9" sqref="A9:I9"/>
    </sheetView>
  </sheetViews>
  <sheetFormatPr defaultRowHeight="14.5" x14ac:dyDescent="0.35"/>
  <cols>
    <col min="1" max="1" width="14.453125" customWidth="1"/>
    <col min="2" max="2" width="10.54296875" customWidth="1"/>
    <col min="3" max="3" width="11.1796875" customWidth="1"/>
    <col min="4" max="4" width="9.7265625" customWidth="1"/>
    <col min="5" max="5" width="10.453125" customWidth="1"/>
    <col min="6" max="6" width="12.1796875" customWidth="1"/>
    <col min="7" max="7" width="11.1796875" customWidth="1"/>
    <col min="8" max="8" width="11.54296875" customWidth="1"/>
    <col min="11" max="11" width="8.453125" customWidth="1"/>
  </cols>
  <sheetData>
    <row r="1" spans="1:12" x14ac:dyDescent="0.35">
      <c r="A1" s="34" t="s">
        <v>75</v>
      </c>
    </row>
    <row r="3" spans="1:12" ht="65" x14ac:dyDescent="0.35">
      <c r="A3" s="10" t="s">
        <v>0</v>
      </c>
      <c r="B3" s="11" t="s">
        <v>3</v>
      </c>
      <c r="C3" s="11" t="s">
        <v>4</v>
      </c>
      <c r="D3" s="11" t="s">
        <v>33</v>
      </c>
      <c r="E3" s="12" t="s">
        <v>34</v>
      </c>
      <c r="F3" s="12" t="s">
        <v>35</v>
      </c>
      <c r="G3" s="12" t="s">
        <v>36</v>
      </c>
      <c r="H3" s="13" t="s">
        <v>37</v>
      </c>
      <c r="K3" s="14" t="s">
        <v>30</v>
      </c>
      <c r="L3" s="14"/>
    </row>
    <row r="4" spans="1:12" x14ac:dyDescent="0.35">
      <c r="A4" s="19" t="s">
        <v>31</v>
      </c>
      <c r="B4" s="16"/>
      <c r="C4" s="16"/>
      <c r="D4" s="16"/>
      <c r="E4" s="16"/>
      <c r="F4" s="16"/>
      <c r="G4" s="16"/>
      <c r="H4" s="16"/>
      <c r="J4" t="s">
        <v>38</v>
      </c>
      <c r="K4">
        <v>70.56</v>
      </c>
    </row>
    <row r="5" spans="1:12" ht="59.25" customHeight="1" x14ac:dyDescent="0.35">
      <c r="A5" s="19" t="s">
        <v>32</v>
      </c>
      <c r="B5" s="23">
        <v>8</v>
      </c>
      <c r="C5" s="23">
        <v>1</v>
      </c>
      <c r="D5" s="23">
        <v>3</v>
      </c>
      <c r="E5" s="23">
        <f>B5*C5*D5</f>
        <v>24</v>
      </c>
      <c r="F5" s="23">
        <f>0.05*E5</f>
        <v>1.2000000000000002</v>
      </c>
      <c r="G5" s="23">
        <f>0.1*E5</f>
        <v>2.4000000000000004</v>
      </c>
      <c r="H5" s="36">
        <f>E5*$K$5+F5*$K$4+G5*$K$6</f>
        <v>1409.568</v>
      </c>
      <c r="J5" t="s">
        <v>28</v>
      </c>
      <c r="K5">
        <v>52.37</v>
      </c>
    </row>
    <row r="6" spans="1:12" ht="59.25" customHeight="1" x14ac:dyDescent="0.35">
      <c r="A6" s="19" t="s">
        <v>63</v>
      </c>
      <c r="B6" s="23">
        <v>2</v>
      </c>
      <c r="C6" s="23">
        <v>2</v>
      </c>
      <c r="D6" s="23">
        <v>3</v>
      </c>
      <c r="E6" s="23">
        <f>B6*C6*D6</f>
        <v>12</v>
      </c>
      <c r="F6" s="23">
        <f>0.05*E6</f>
        <v>0.60000000000000009</v>
      </c>
      <c r="G6" s="23">
        <f>0.1*E6</f>
        <v>1.2000000000000002</v>
      </c>
      <c r="H6" s="36">
        <f>E6*$K$5+F6*$K$4+G6*$K$6</f>
        <v>704.78399999999999</v>
      </c>
      <c r="J6" t="s">
        <v>29</v>
      </c>
      <c r="K6">
        <v>28.34</v>
      </c>
    </row>
    <row r="7" spans="1:12" ht="29" x14ac:dyDescent="0.35">
      <c r="A7" s="19" t="s">
        <v>64</v>
      </c>
      <c r="B7" s="23"/>
      <c r="C7" s="23"/>
      <c r="D7" s="23"/>
      <c r="E7" s="94">
        <f>ROUND(SUM(E5:G6),0)</f>
        <v>41</v>
      </c>
      <c r="F7" s="94"/>
      <c r="G7" s="94"/>
      <c r="H7" s="37">
        <f>ROUND(H5+H6,-1)</f>
        <v>2110</v>
      </c>
      <c r="I7" s="29"/>
    </row>
    <row r="8" spans="1:12" ht="30.65" customHeight="1" x14ac:dyDescent="0.35">
      <c r="A8" s="87" t="s">
        <v>62</v>
      </c>
      <c r="B8" s="88"/>
      <c r="C8" s="88"/>
      <c r="D8" s="88"/>
      <c r="E8" s="88"/>
      <c r="F8" s="88"/>
      <c r="G8" s="88"/>
      <c r="H8" s="88"/>
      <c r="I8" s="88"/>
      <c r="J8" s="26"/>
      <c r="K8" s="26"/>
    </row>
    <row r="9" spans="1:12" ht="57" customHeight="1" x14ac:dyDescent="0.35">
      <c r="A9" s="88" t="s">
        <v>105</v>
      </c>
      <c r="B9" s="88"/>
      <c r="C9" s="88"/>
      <c r="D9" s="88"/>
      <c r="E9" s="88"/>
      <c r="F9" s="88"/>
      <c r="G9" s="88"/>
      <c r="H9" s="88"/>
      <c r="I9" s="88"/>
      <c r="J9" s="26"/>
      <c r="K9" s="26"/>
    </row>
    <row r="10" spans="1:12" ht="15.5" x14ac:dyDescent="0.35">
      <c r="A10" s="38" t="s">
        <v>76</v>
      </c>
      <c r="B10" s="27"/>
      <c r="C10" s="27"/>
      <c r="D10" s="27"/>
      <c r="E10" s="27"/>
      <c r="F10" s="27"/>
      <c r="G10" s="27"/>
      <c r="H10" s="27"/>
      <c r="I10" s="27"/>
      <c r="J10" s="26"/>
      <c r="K10" s="26"/>
    </row>
    <row r="11" spans="1:12" ht="16" x14ac:dyDescent="0.35">
      <c r="A11" s="15" t="s">
        <v>65</v>
      </c>
    </row>
  </sheetData>
  <mergeCells count="3">
    <mergeCell ref="E7:G7"/>
    <mergeCell ref="A8:I8"/>
    <mergeCell ref="A9:I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8D50-3BAD-4B64-B5D5-1D41CEA5302C}">
  <dimension ref="A1:I9"/>
  <sheetViews>
    <sheetView topLeftCell="A4" zoomScaleNormal="100" workbookViewId="0">
      <selection activeCell="G6" sqref="G6"/>
    </sheetView>
  </sheetViews>
  <sheetFormatPr defaultColWidth="22" defaultRowHeight="13" x14ac:dyDescent="0.3"/>
  <cols>
    <col min="1" max="1" width="22" style="43"/>
    <col min="2" max="2" width="17.54296875" style="43" customWidth="1"/>
    <col min="3" max="3" width="17.26953125" style="43" customWidth="1"/>
    <col min="4" max="4" width="22" style="43"/>
    <col min="5" max="5" width="19.81640625" style="43" customWidth="1"/>
    <col min="6" max="7" width="16.81640625" style="43" customWidth="1"/>
    <col min="8" max="8" width="6" style="43" customWidth="1"/>
    <col min="9" max="16384" width="22" style="43"/>
  </cols>
  <sheetData>
    <row r="1" spans="1:9" x14ac:dyDescent="0.3">
      <c r="A1" s="41"/>
      <c r="B1" s="42"/>
      <c r="C1" s="42"/>
    </row>
    <row r="2" spans="1:9" x14ac:dyDescent="0.3">
      <c r="A2" s="95" t="s">
        <v>84</v>
      </c>
      <c r="B2" s="95"/>
      <c r="C2" s="95"/>
      <c r="D2" s="95"/>
      <c r="E2" s="95"/>
      <c r="F2" s="95"/>
      <c r="G2" s="96"/>
      <c r="H2" s="44"/>
    </row>
    <row r="3" spans="1:9" x14ac:dyDescent="0.3">
      <c r="A3" s="11" t="s">
        <v>51</v>
      </c>
      <c r="B3" s="11" t="s">
        <v>52</v>
      </c>
      <c r="C3" s="11" t="s">
        <v>53</v>
      </c>
      <c r="D3" s="11" t="s">
        <v>54</v>
      </c>
      <c r="E3" s="11" t="s">
        <v>55</v>
      </c>
      <c r="F3" s="11" t="s">
        <v>56</v>
      </c>
      <c r="G3" s="11" t="s">
        <v>57</v>
      </c>
      <c r="H3" s="44"/>
    </row>
    <row r="4" spans="1:9" ht="46.5" customHeight="1" x14ac:dyDescent="0.3">
      <c r="A4" s="11" t="s">
        <v>104</v>
      </c>
      <c r="B4" s="11" t="s">
        <v>58</v>
      </c>
      <c r="C4" s="11" t="s">
        <v>85</v>
      </c>
      <c r="D4" s="11" t="s">
        <v>86</v>
      </c>
      <c r="E4" s="11" t="s">
        <v>59</v>
      </c>
      <c r="F4" s="11" t="s">
        <v>87</v>
      </c>
      <c r="G4" s="11" t="s">
        <v>88</v>
      </c>
      <c r="H4" s="44"/>
    </row>
    <row r="5" spans="1:9" ht="36.75" customHeight="1" x14ac:dyDescent="0.3">
      <c r="A5" s="47" t="s">
        <v>60</v>
      </c>
      <c r="B5" s="45">
        <v>0</v>
      </c>
      <c r="C5" s="48">
        <v>0</v>
      </c>
      <c r="D5" s="45">
        <v>0</v>
      </c>
      <c r="E5" s="45">
        <v>500</v>
      </c>
      <c r="F5" s="48">
        <v>3</v>
      </c>
      <c r="G5" s="45">
        <f>E5*F5</f>
        <v>1500</v>
      </c>
      <c r="H5" s="46"/>
    </row>
    <row r="6" spans="1:9" ht="46.5" customHeight="1" x14ac:dyDescent="0.3">
      <c r="A6" s="50" t="s">
        <v>110</v>
      </c>
      <c r="B6" s="48"/>
      <c r="C6" s="48"/>
      <c r="D6" s="51">
        <f>ROUND(SUM(D5:D5), -3)</f>
        <v>0</v>
      </c>
      <c r="E6" s="48"/>
      <c r="F6" s="48"/>
      <c r="G6" s="51">
        <v>1500</v>
      </c>
      <c r="I6" s="52">
        <f>D6+G6</f>
        <v>1500</v>
      </c>
    </row>
    <row r="7" spans="1:9" ht="11.25" customHeight="1" x14ac:dyDescent="0.3">
      <c r="A7" s="53"/>
      <c r="B7" s="54"/>
      <c r="C7" s="54"/>
      <c r="D7" s="49"/>
      <c r="E7" s="54"/>
      <c r="F7" s="54"/>
      <c r="G7" s="49"/>
    </row>
    <row r="8" spans="1:9" ht="22.5" customHeight="1" x14ac:dyDescent="0.3">
      <c r="A8" s="97" t="s">
        <v>109</v>
      </c>
      <c r="B8" s="97"/>
      <c r="C8" s="97"/>
      <c r="D8" s="97"/>
      <c r="E8" s="97"/>
      <c r="F8" s="97"/>
      <c r="G8" s="97"/>
      <c r="H8" s="67"/>
    </row>
    <row r="9" spans="1:9" x14ac:dyDescent="0.3">
      <c r="A9" s="55"/>
      <c r="B9" s="55"/>
      <c r="C9" s="55"/>
      <c r="D9" s="55"/>
      <c r="E9" s="55"/>
      <c r="F9" s="55"/>
      <c r="G9" s="55"/>
    </row>
  </sheetData>
  <mergeCells count="2">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FC1-0540-482D-A7CC-43D5E47CA013}">
  <dimension ref="A1:E7"/>
  <sheetViews>
    <sheetView workbookViewId="0">
      <selection activeCell="E6" sqref="E6"/>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5" s="43" customFormat="1" ht="15" x14ac:dyDescent="0.3">
      <c r="A1" s="98" t="s">
        <v>83</v>
      </c>
      <c r="B1" s="98"/>
      <c r="C1" s="98"/>
      <c r="D1" s="98"/>
      <c r="E1" s="98"/>
    </row>
    <row r="2" spans="1:5" s="43" customFormat="1" ht="13" x14ac:dyDescent="0.3">
      <c r="A2" s="56" t="s">
        <v>51</v>
      </c>
      <c r="B2" s="56" t="s">
        <v>52</v>
      </c>
      <c r="C2" s="56" t="s">
        <v>53</v>
      </c>
      <c r="D2" s="56" t="s">
        <v>54</v>
      </c>
      <c r="E2" s="56" t="s">
        <v>55</v>
      </c>
    </row>
    <row r="3" spans="1:5" s="43" customFormat="1" ht="104" x14ac:dyDescent="0.3">
      <c r="A3" s="56" t="s">
        <v>89</v>
      </c>
      <c r="B3" s="56" t="s">
        <v>90</v>
      </c>
      <c r="C3" s="56" t="s">
        <v>91</v>
      </c>
      <c r="D3" s="56" t="s">
        <v>92</v>
      </c>
      <c r="E3" s="56" t="s">
        <v>93</v>
      </c>
    </row>
    <row r="4" spans="1:5" s="43" customFormat="1" ht="26" x14ac:dyDescent="0.3">
      <c r="A4" s="47" t="s">
        <v>106</v>
      </c>
      <c r="B4" s="48">
        <v>3</v>
      </c>
      <c r="C4" s="48">
        <v>1</v>
      </c>
      <c r="D4" s="48">
        <v>0</v>
      </c>
      <c r="E4" s="48">
        <v>3</v>
      </c>
    </row>
    <row r="5" spans="1:5" s="43" customFormat="1" ht="26" x14ac:dyDescent="0.3">
      <c r="A5" s="47" t="s">
        <v>107</v>
      </c>
      <c r="B5" s="48">
        <v>3</v>
      </c>
      <c r="C5" s="48">
        <v>2</v>
      </c>
      <c r="D5" s="48">
        <v>0</v>
      </c>
      <c r="E5" s="48">
        <v>6</v>
      </c>
    </row>
    <row r="6" spans="1:5" s="43" customFormat="1" ht="21.65" customHeight="1" x14ac:dyDescent="0.3">
      <c r="A6" s="64"/>
      <c r="B6" s="65"/>
      <c r="C6" s="65"/>
      <c r="D6" s="66" t="s">
        <v>61</v>
      </c>
      <c r="E6" s="66">
        <v>9</v>
      </c>
    </row>
    <row r="7" spans="1:5" s="43" customFormat="1" ht="9.75" customHeight="1" x14ac:dyDescent="0.3">
      <c r="A7" s="57"/>
      <c r="B7" s="58"/>
      <c r="C7" s="58"/>
      <c r="D7" s="59"/>
      <c r="E7" s="60"/>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661F-4F20-4D9A-BDBB-394F190919F9}">
  <dimension ref="A1:F9"/>
  <sheetViews>
    <sheetView zoomScale="80" zoomScaleNormal="80" workbookViewId="0">
      <selection activeCell="C8" sqref="C8"/>
    </sheetView>
  </sheetViews>
  <sheetFormatPr defaultColWidth="17.7265625" defaultRowHeight="31.9" customHeight="1" x14ac:dyDescent="0.35"/>
  <sheetData>
    <row r="1" spans="1:6" s="43" customFormat="1" ht="31.9" customHeight="1" x14ac:dyDescent="0.3">
      <c r="A1" s="98" t="s">
        <v>79</v>
      </c>
      <c r="B1" s="98"/>
      <c r="C1" s="98"/>
      <c r="D1" s="98"/>
      <c r="E1" s="98"/>
      <c r="F1" s="98"/>
    </row>
    <row r="2" spans="1:6" s="43" customFormat="1" ht="42.65" customHeight="1" x14ac:dyDescent="0.3">
      <c r="A2" s="61"/>
      <c r="B2" s="99" t="s">
        <v>94</v>
      </c>
      <c r="C2" s="99"/>
      <c r="D2" s="61" t="s">
        <v>95</v>
      </c>
      <c r="E2" s="99"/>
      <c r="F2" s="99"/>
    </row>
    <row r="3" spans="1:6" s="43" customFormat="1" ht="31.9" customHeight="1" x14ac:dyDescent="0.3">
      <c r="A3" s="61"/>
      <c r="B3" s="62" t="s">
        <v>51</v>
      </c>
      <c r="C3" s="62" t="s">
        <v>52</v>
      </c>
      <c r="D3" s="62" t="s">
        <v>53</v>
      </c>
      <c r="E3" s="62" t="s">
        <v>54</v>
      </c>
      <c r="F3" s="62" t="s">
        <v>55</v>
      </c>
    </row>
    <row r="4" spans="1:6" s="43" customFormat="1" ht="70.900000000000006" customHeight="1" x14ac:dyDescent="0.3">
      <c r="A4" s="62" t="s">
        <v>96</v>
      </c>
      <c r="B4" s="61" t="s">
        <v>97</v>
      </c>
      <c r="C4" s="61" t="s">
        <v>98</v>
      </c>
      <c r="D4" s="61" t="s">
        <v>99</v>
      </c>
      <c r="E4" s="61" t="s">
        <v>100</v>
      </c>
      <c r="F4" s="61" t="s">
        <v>101</v>
      </c>
    </row>
    <row r="5" spans="1:6" s="43" customFormat="1" ht="31.9" customHeight="1" x14ac:dyDescent="0.3">
      <c r="A5" s="56">
        <v>1</v>
      </c>
      <c r="B5" s="48">
        <v>0</v>
      </c>
      <c r="C5" s="48">
        <v>3</v>
      </c>
      <c r="D5" s="48">
        <v>0</v>
      </c>
      <c r="E5" s="48">
        <v>0</v>
      </c>
      <c r="F5" s="48">
        <f>B5+C5+D5-E5</f>
        <v>3</v>
      </c>
    </row>
    <row r="6" spans="1:6" s="43" customFormat="1" ht="31.9" customHeight="1" x14ac:dyDescent="0.3">
      <c r="A6" s="56">
        <v>2</v>
      </c>
      <c r="B6" s="48">
        <v>0</v>
      </c>
      <c r="C6" s="48">
        <v>3</v>
      </c>
      <c r="D6" s="48">
        <v>0</v>
      </c>
      <c r="E6" s="48">
        <v>0</v>
      </c>
      <c r="F6" s="48">
        <f>B6+C6+D6-E6</f>
        <v>3</v>
      </c>
    </row>
    <row r="7" spans="1:6" s="43" customFormat="1" ht="31.9" customHeight="1" x14ac:dyDescent="0.3">
      <c r="A7" s="56">
        <v>3</v>
      </c>
      <c r="B7" s="48">
        <v>0</v>
      </c>
      <c r="C7" s="48">
        <v>3</v>
      </c>
      <c r="D7" s="48">
        <v>0</v>
      </c>
      <c r="E7" s="48">
        <v>0</v>
      </c>
      <c r="F7" s="48">
        <f>B7+C7+D7-E7</f>
        <v>3</v>
      </c>
    </row>
    <row r="8" spans="1:6" s="43" customFormat="1" ht="31.9" customHeight="1" x14ac:dyDescent="0.3">
      <c r="A8" s="56" t="s">
        <v>102</v>
      </c>
      <c r="B8" s="48">
        <f>AVERAGE(B5:B7)</f>
        <v>0</v>
      </c>
      <c r="C8" s="48">
        <f>AVERAGE(C5:C7)</f>
        <v>3</v>
      </c>
      <c r="D8" s="48">
        <v>0</v>
      </c>
      <c r="E8" s="48">
        <v>0</v>
      </c>
      <c r="F8" s="11">
        <f>AVERAGE(F5:F7)</f>
        <v>3</v>
      </c>
    </row>
    <row r="9" spans="1:6" s="43" customFormat="1" ht="20.5" customHeight="1" x14ac:dyDescent="0.3">
      <c r="A9" s="63" t="s">
        <v>103</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Hilliard</dc:creator>
  <cp:lastModifiedBy>Wrigley, William</cp:lastModifiedBy>
  <dcterms:created xsi:type="dcterms:W3CDTF">2018-05-14T17:45:58Z</dcterms:created>
  <dcterms:modified xsi:type="dcterms:W3CDTF">2022-06-16T12:24:56Z</dcterms:modified>
</cp:coreProperties>
</file>