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D0EEDAB-6177-436B-9A31-6871388074C7}" xr6:coauthVersionLast="47" xr6:coauthVersionMax="47" xr10:uidLastSave="{00000000-0000-0000-0000-000000000000}"/>
  <bookViews>
    <workbookView xWindow="-110" yWindow="-110" windowWidth="19420" windowHeight="10420" xr2:uid="{00000000-000D-0000-FFFF-FFFF00000000}"/>
  </bookViews>
  <sheets>
    <sheet name="Summary" sheetId="5" r:id="rId1"/>
    <sheet name="Table 1a" sheetId="1" r:id="rId2"/>
    <sheet name="Table 1b" sheetId="2" r:id="rId3"/>
    <sheet name="Table 2a" sheetId="3" r:id="rId4"/>
    <sheet name="Table 2b" sheetId="4" r:id="rId5"/>
    <sheet name="Capital O&amp;M" sheetId="6" r:id="rId6"/>
    <sheet name="Responses" sheetId="7" r:id="rId7"/>
    <sheet name="Respondent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3" l="1"/>
  <c r="B7" i="5"/>
  <c r="E12" i="7"/>
  <c r="K35" i="1"/>
  <c r="B8" i="8"/>
  <c r="E28" i="1"/>
  <c r="E19" i="1"/>
  <c r="B9" i="7" s="1"/>
  <c r="E9" i="7" s="1"/>
  <c r="E7" i="1"/>
  <c r="E29" i="1" s="1"/>
  <c r="E9" i="1"/>
  <c r="E7" i="7"/>
  <c r="E14" i="3"/>
  <c r="B8" i="7" s="1"/>
  <c r="E8" i="7" s="1"/>
  <c r="C8" i="7"/>
  <c r="C6" i="7"/>
  <c r="C5" i="7"/>
  <c r="E13" i="3"/>
  <c r="E12" i="3"/>
  <c r="E5" i="3"/>
  <c r="D10" i="3"/>
  <c r="E17" i="1"/>
  <c r="E15" i="1"/>
  <c r="E11" i="3" s="1"/>
  <c r="B6" i="7" s="1"/>
  <c r="E6" i="7" s="1"/>
  <c r="E14" i="1"/>
  <c r="E10" i="3" s="1"/>
  <c r="B5" i="7" s="1"/>
  <c r="E5" i="7" s="1"/>
  <c r="E10" i="1"/>
  <c r="E7" i="3" s="1"/>
  <c r="F5" i="8"/>
  <c r="C6" i="8" s="1"/>
  <c r="E11" i="7"/>
  <c r="G6" i="6"/>
  <c r="G13" i="6" s="1"/>
  <c r="E15" i="3" l="1"/>
  <c r="I22" i="4"/>
  <c r="F22" i="4"/>
  <c r="F18" i="4"/>
  <c r="D36" i="2"/>
  <c r="D7" i="2"/>
  <c r="F7" i="2" s="1"/>
  <c r="F7" i="1"/>
  <c r="G7" i="1" s="1"/>
  <c r="D7" i="1"/>
  <c r="E23" i="2"/>
  <c r="E24" i="2"/>
  <c r="G7" i="2" l="1"/>
  <c r="K22" i="4"/>
  <c r="I39" i="2" l="1"/>
  <c r="I34" i="1"/>
  <c r="G12" i="6"/>
  <c r="G11" i="6"/>
  <c r="D12" i="6"/>
  <c r="D11" i="6"/>
  <c r="G10" i="6"/>
  <c r="D10" i="6"/>
  <c r="D9" i="6"/>
  <c r="D8" i="6"/>
  <c r="D6" i="6"/>
  <c r="D13" i="6" s="1"/>
  <c r="F6" i="8"/>
  <c r="G9" i="6"/>
  <c r="G8" i="6"/>
  <c r="C7" i="8" l="1"/>
  <c r="B8" i="5"/>
  <c r="C8" i="8" l="1"/>
  <c r="F7" i="8"/>
  <c r="F8" i="8" s="1"/>
  <c r="B4" i="5" s="1"/>
  <c r="I13" i="6"/>
  <c r="F36" i="2" l="1"/>
  <c r="G36" i="2" s="1"/>
  <c r="D12" i="2"/>
  <c r="F12" i="2" s="1"/>
  <c r="H12" i="2" l="1"/>
  <c r="G12" i="2"/>
  <c r="I12" i="2" s="1"/>
  <c r="H36" i="2"/>
  <c r="I36" i="2" s="1"/>
  <c r="D7" i="4"/>
  <c r="F7" i="4" s="1"/>
  <c r="G7" i="4" s="1"/>
  <c r="D10" i="4"/>
  <c r="F10" i="4" s="1"/>
  <c r="G10" i="4" s="1"/>
  <c r="D11" i="4"/>
  <c r="F11" i="4" s="1"/>
  <c r="G11" i="4" s="1"/>
  <c r="D12" i="4"/>
  <c r="F12" i="4" s="1"/>
  <c r="G12" i="4" s="1"/>
  <c r="D13" i="4"/>
  <c r="F13" i="4" s="1"/>
  <c r="G13" i="4" s="1"/>
  <c r="D14" i="4"/>
  <c r="F14" i="4" s="1"/>
  <c r="G14" i="4" s="1"/>
  <c r="D15" i="4"/>
  <c r="F15" i="4" s="1"/>
  <c r="G15" i="4" s="1"/>
  <c r="D16" i="4"/>
  <c r="F16" i="4" s="1"/>
  <c r="G16" i="4" s="1"/>
  <c r="D17" i="4"/>
  <c r="F17" i="4" s="1"/>
  <c r="G17" i="4" s="1"/>
  <c r="D18" i="4"/>
  <c r="G18" i="4" s="1"/>
  <c r="D19" i="4"/>
  <c r="F19" i="4" s="1"/>
  <c r="G19" i="4" s="1"/>
  <c r="D20" i="4"/>
  <c r="F20" i="4" s="1"/>
  <c r="G20" i="4" s="1"/>
  <c r="D21" i="4"/>
  <c r="F21" i="4" s="1"/>
  <c r="G21" i="4" s="1"/>
  <c r="D5" i="4"/>
  <c r="F5" i="4" s="1"/>
  <c r="D15" i="3"/>
  <c r="F15" i="3" s="1"/>
  <c r="D6" i="3"/>
  <c r="D7" i="3"/>
  <c r="F7" i="3" s="1"/>
  <c r="G7" i="3" s="1"/>
  <c r="F10" i="3"/>
  <c r="D11" i="3"/>
  <c r="F11" i="3" s="1"/>
  <c r="D12" i="3"/>
  <c r="F12" i="3" s="1"/>
  <c r="D13" i="3"/>
  <c r="F13" i="3" s="1"/>
  <c r="G13" i="3" s="1"/>
  <c r="D14" i="3"/>
  <c r="F14" i="3" s="1"/>
  <c r="D5" i="3"/>
  <c r="F5" i="3" s="1"/>
  <c r="D9" i="2"/>
  <c r="F9" i="2" s="1"/>
  <c r="D10" i="2"/>
  <c r="F10" i="2" s="1"/>
  <c r="D11" i="2"/>
  <c r="F11" i="2" s="1"/>
  <c r="H11" i="2" s="1"/>
  <c r="D15" i="2"/>
  <c r="F15" i="2" s="1"/>
  <c r="D16" i="2"/>
  <c r="F16" i="2" s="1"/>
  <c r="H16" i="2" s="1"/>
  <c r="D17" i="2"/>
  <c r="F17" i="2" s="1"/>
  <c r="H17" i="2" s="1"/>
  <c r="D18" i="2"/>
  <c r="F18" i="2" s="1"/>
  <c r="D19" i="2"/>
  <c r="F19" i="2" s="1"/>
  <c r="D20" i="2"/>
  <c r="F20" i="2" s="1"/>
  <c r="D21" i="2"/>
  <c r="F21" i="2" s="1"/>
  <c r="H21" i="2" s="1"/>
  <c r="D23" i="2"/>
  <c r="F23" i="2" s="1"/>
  <c r="H23" i="2" s="1"/>
  <c r="D24" i="2"/>
  <c r="F24" i="2" s="1"/>
  <c r="D25" i="2"/>
  <c r="F25" i="2" s="1"/>
  <c r="H25" i="2" s="1"/>
  <c r="D33" i="2"/>
  <c r="F33" i="2" s="1"/>
  <c r="D9" i="1"/>
  <c r="F9" i="1" s="1"/>
  <c r="D10" i="1"/>
  <c r="F10" i="1" s="1"/>
  <c r="D14" i="1"/>
  <c r="F14" i="1" s="1"/>
  <c r="D15" i="1"/>
  <c r="F15" i="1" s="1"/>
  <c r="D16" i="1"/>
  <c r="F16" i="1" s="1"/>
  <c r="D17" i="1"/>
  <c r="F17" i="1" s="1"/>
  <c r="D19" i="1"/>
  <c r="F19" i="1" s="1"/>
  <c r="D28" i="1"/>
  <c r="F28" i="1" s="1"/>
  <c r="D29" i="1"/>
  <c r="F29" i="1" s="1"/>
  <c r="G28" i="1" l="1"/>
  <c r="G15" i="1"/>
  <c r="H15" i="1"/>
  <c r="H5" i="4"/>
  <c r="G5" i="4"/>
  <c r="G19" i="1"/>
  <c r="H19" i="1"/>
  <c r="G14" i="1"/>
  <c r="H14" i="1"/>
  <c r="G17" i="1"/>
  <c r="H17" i="1"/>
  <c r="G10" i="1"/>
  <c r="H10" i="1"/>
  <c r="H29" i="1"/>
  <c r="G29" i="1"/>
  <c r="G16" i="1"/>
  <c r="H16" i="1"/>
  <c r="G9" i="1"/>
  <c r="I9" i="1" s="1"/>
  <c r="H9" i="1"/>
  <c r="H28" i="1"/>
  <c r="H7" i="3"/>
  <c r="I7" i="3" s="1"/>
  <c r="H20" i="2"/>
  <c r="G20" i="2"/>
  <c r="H10" i="2"/>
  <c r="G10" i="2"/>
  <c r="G16" i="2"/>
  <c r="I16" i="2" s="1"/>
  <c r="H18" i="2"/>
  <c r="G18" i="2"/>
  <c r="H7" i="2"/>
  <c r="H24" i="2"/>
  <c r="G24" i="2"/>
  <c r="H19" i="2"/>
  <c r="G19" i="2"/>
  <c r="H15" i="2"/>
  <c r="G15" i="2"/>
  <c r="H9" i="2"/>
  <c r="G9" i="2"/>
  <c r="G25" i="2"/>
  <c r="I25" i="2" s="1"/>
  <c r="G23" i="2"/>
  <c r="I23" i="2" s="1"/>
  <c r="G21" i="2"/>
  <c r="I21" i="2" s="1"/>
  <c r="G17" i="2"/>
  <c r="I17" i="2" s="1"/>
  <c r="G11" i="2"/>
  <c r="I11" i="2"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7" i="4"/>
  <c r="I7" i="4"/>
  <c r="H10" i="3"/>
  <c r="G10" i="3"/>
  <c r="H14" i="3"/>
  <c r="G14" i="3"/>
  <c r="G12" i="3"/>
  <c r="H12" i="3"/>
  <c r="I12" i="3" s="1"/>
  <c r="G5" i="3"/>
  <c r="H5" i="3"/>
  <c r="H11" i="3"/>
  <c r="G11" i="3"/>
  <c r="H15" i="3"/>
  <c r="G15" i="3"/>
  <c r="H13" i="3"/>
  <c r="I13" i="3" s="1"/>
  <c r="G33" i="2"/>
  <c r="F37" i="2" s="1"/>
  <c r="H33" i="2"/>
  <c r="H7" i="1"/>
  <c r="I28" i="1" l="1"/>
  <c r="F32" i="1"/>
  <c r="F16" i="3"/>
  <c r="K16" i="3" s="1"/>
  <c r="I10" i="1"/>
  <c r="F20" i="1"/>
  <c r="I7" i="2"/>
  <c r="F26" i="2"/>
  <c r="F38" i="2" s="1"/>
  <c r="K40" i="2" s="1"/>
  <c r="B3" i="5" s="1"/>
  <c r="I16" i="1"/>
  <c r="I15" i="1"/>
  <c r="I17" i="1"/>
  <c r="I14" i="1"/>
  <c r="I29" i="1"/>
  <c r="I32" i="1" s="1"/>
  <c r="I19" i="1"/>
  <c r="I15" i="3"/>
  <c r="I5" i="4"/>
  <c r="I7" i="1"/>
  <c r="I5" i="3"/>
  <c r="I11" i="3"/>
  <c r="I10" i="2"/>
  <c r="I20" i="2"/>
  <c r="I19" i="2"/>
  <c r="I24" i="2"/>
  <c r="I18" i="2"/>
  <c r="I9" i="2"/>
  <c r="I15" i="2"/>
  <c r="I33" i="2"/>
  <c r="I37" i="2" s="1"/>
  <c r="I14" i="3"/>
  <c r="I10" i="3"/>
  <c r="F33" i="1" l="1"/>
  <c r="B2" i="5" s="1"/>
  <c r="I16" i="3"/>
  <c r="L17" i="3" s="1"/>
  <c r="I20" i="1"/>
  <c r="I33" i="1" s="1"/>
  <c r="I35" i="1" s="1"/>
  <c r="I26" i="2"/>
  <c r="I38" i="2" s="1"/>
  <c r="I40" i="2" s="1"/>
  <c r="K33" i="1" l="1"/>
  <c r="B6" i="5"/>
  <c r="K38" i="2"/>
  <c r="B5" i="5" s="1"/>
  <c r="O36" i="2"/>
</calcChain>
</file>

<file path=xl/sharedStrings.xml><?xml version="1.0" encoding="utf-8"?>
<sst xmlns="http://schemas.openxmlformats.org/spreadsheetml/2006/main" count="283" uniqueCount="201">
  <si>
    <t>Table 1a: Annual Respondent Burden and Cost – NSPS for Wool Fiberglass Insulation Manufacturing Plants (40 CFR Part 60,  Subpart PPP) (Renewal)</t>
  </si>
  <si>
    <t xml:space="preserve">Burden Items </t>
  </si>
  <si>
    <t>1. Applications</t>
  </si>
  <si>
    <t>N/A</t>
  </si>
  <si>
    <t>2. Survey and Studies</t>
  </si>
  <si>
    <t>3. Reporting Requirements</t>
  </si>
  <si>
    <t>B. Required activities</t>
  </si>
  <si>
    <t>C. Create information</t>
  </si>
  <si>
    <t>D. Gather existing information</t>
  </si>
  <si>
    <t>E. Write Report</t>
  </si>
  <si>
    <t xml:space="preserve">        Report of performance test</t>
  </si>
  <si>
    <t>Subtotal for Reporting Requirements</t>
  </si>
  <si>
    <t>4. Recordkeeping Requirements</t>
  </si>
  <si>
    <t>B. Plan activities</t>
  </si>
  <si>
    <t>C. Implement activities</t>
  </si>
  <si>
    <t>D. Develop record system</t>
  </si>
  <si>
    <t>E. Time to enter information</t>
  </si>
  <si>
    <t>40 CFR Part 60, Subpart PPP</t>
  </si>
  <si>
    <t>F. Train Personnel</t>
  </si>
  <si>
    <t>G. Audits</t>
  </si>
  <si>
    <t>Subtotal for Recordkeeping Requirements</t>
  </si>
  <si>
    <t>(A)
Hours per Occurrence</t>
  </si>
  <si>
    <t>(B) 
Occurrences per Year</t>
  </si>
  <si>
    <t>(C) 
Hours per Year 
(C=AxB)</t>
  </si>
  <si>
    <r>
      <t xml:space="preserve">(D) 
Respondents per Year </t>
    </r>
    <r>
      <rPr>
        <vertAlign val="superscript"/>
        <sz val="10"/>
        <color rgb="FF000000"/>
        <rFont val="Times New Roman"/>
        <family val="1"/>
      </rPr>
      <t>a</t>
    </r>
  </si>
  <si>
    <t>(E) 
Technical Hours per Year 
(E=CxD)</t>
  </si>
  <si>
    <t>(F) 
Managerial Hours per Year 
(F=Ex0.05)</t>
  </si>
  <si>
    <t>(G) 
Clerical Hours per Year 
(G=Ex0.1)</t>
  </si>
  <si>
    <r>
      <t xml:space="preserve">(H)
Cost, $ </t>
    </r>
    <r>
      <rPr>
        <vertAlign val="superscript"/>
        <sz val="10"/>
        <color rgb="FF000000"/>
        <rFont val="Times New Roman"/>
        <family val="1"/>
      </rPr>
      <t>b</t>
    </r>
  </si>
  <si>
    <r>
      <t xml:space="preserve">        Initial performance tests </t>
    </r>
    <r>
      <rPr>
        <vertAlign val="superscript"/>
        <sz val="10"/>
        <color rgb="FF000000"/>
        <rFont val="Times New Roman"/>
        <family val="1"/>
      </rPr>
      <t>d</t>
    </r>
  </si>
  <si>
    <t>Table 1b: Annual Respondent Burden and Cost – NESHAP for Wool Fiberglass Insulation Manufacturing Plants (40 CFR Part  63, Subpart NNN) (Renewal)</t>
  </si>
  <si>
    <t>1. Initial performance tests</t>
  </si>
  <si>
    <r>
      <t xml:space="preserve">A. New or modified plant </t>
    </r>
    <r>
      <rPr>
        <vertAlign val="superscript"/>
        <sz val="10"/>
        <color rgb="FF000000"/>
        <rFont val="Times New Roman"/>
        <family val="1"/>
      </rPr>
      <t>c</t>
    </r>
  </si>
  <si>
    <t>2. Repeat performance tests</t>
  </si>
  <si>
    <r>
      <t xml:space="preserve">A. New or modified plant </t>
    </r>
    <r>
      <rPr>
        <vertAlign val="superscript"/>
        <sz val="10"/>
        <color rgb="FF000000"/>
        <rFont val="Times New Roman"/>
        <family val="1"/>
      </rPr>
      <t>c, d</t>
    </r>
  </si>
  <si>
    <t>3. Report Review</t>
  </si>
  <si>
    <t>A. New or modified plant</t>
  </si>
  <si>
    <t xml:space="preserve">        Notification of construction/reconstruction </t>
  </si>
  <si>
    <t xml:space="preserve">        Notification of actual startup </t>
  </si>
  <si>
    <t xml:space="preserve">        Notification of physical or operational change</t>
  </si>
  <si>
    <t xml:space="preserve">        Notification of initial performance test </t>
  </si>
  <si>
    <r>
      <t xml:space="preserve">        Review performance test results </t>
    </r>
    <r>
      <rPr>
        <vertAlign val="superscript"/>
        <sz val="10"/>
        <color rgb="FF000000"/>
        <rFont val="Times New Roman"/>
        <family val="1"/>
      </rPr>
      <t>e</t>
    </r>
  </si>
  <si>
    <t>Table 2a: Average Annual EPA Burden and Cost – NSPS for Wool Fiberglass Insulation Manufacturing Plants (40 CFR Part 60, Subpart PPP) (Renewal)</t>
  </si>
  <si>
    <t>(A)
EPA Hours per Occurrence</t>
  </si>
  <si>
    <t>(C) 
EPA Hours per Year 
(C=AxB)</t>
  </si>
  <si>
    <r>
      <t xml:space="preserve">(D) 
Plants per Year </t>
    </r>
    <r>
      <rPr>
        <vertAlign val="superscript"/>
        <sz val="10"/>
        <color rgb="FF000000"/>
        <rFont val="Times New Roman"/>
        <family val="1"/>
      </rPr>
      <t>a</t>
    </r>
  </si>
  <si>
    <r>
      <t xml:space="preserve">       Notification of applicability </t>
    </r>
    <r>
      <rPr>
        <vertAlign val="superscript"/>
        <sz val="10"/>
        <color rgb="FF000000"/>
        <rFont val="Times New Roman"/>
        <family val="1"/>
      </rPr>
      <t>e</t>
    </r>
  </si>
  <si>
    <r>
      <t xml:space="preserve">       Notification of construction/reconstruction </t>
    </r>
    <r>
      <rPr>
        <vertAlign val="superscript"/>
        <sz val="10"/>
        <color rgb="FF000000"/>
        <rFont val="Times New Roman"/>
        <family val="1"/>
      </rPr>
      <t>e</t>
    </r>
  </si>
  <si>
    <r>
      <t xml:space="preserve">       Notification of actual startup </t>
    </r>
    <r>
      <rPr>
        <vertAlign val="superscript"/>
        <sz val="10"/>
        <color rgb="FF000000"/>
        <rFont val="Times New Roman"/>
        <family val="1"/>
      </rPr>
      <t>e</t>
    </r>
  </si>
  <si>
    <r>
      <t xml:space="preserve">       Notification of special compliance requirements </t>
    </r>
    <r>
      <rPr>
        <vertAlign val="superscript"/>
        <sz val="10"/>
        <color rgb="FF000000"/>
        <rFont val="Times New Roman"/>
        <family val="1"/>
      </rPr>
      <t>e</t>
    </r>
  </si>
  <si>
    <r>
      <t xml:space="preserve">       Notification of initial performance test </t>
    </r>
    <r>
      <rPr>
        <vertAlign val="superscript"/>
        <sz val="10"/>
        <color rgb="FF000000"/>
        <rFont val="Times New Roman"/>
        <family val="1"/>
      </rPr>
      <t>e</t>
    </r>
  </si>
  <si>
    <r>
      <t xml:space="preserve">       Notification of compliance status </t>
    </r>
    <r>
      <rPr>
        <vertAlign val="superscript"/>
        <sz val="10"/>
        <color rgb="FF000000"/>
        <rFont val="Times New Roman"/>
        <family val="1"/>
      </rPr>
      <t>e</t>
    </r>
  </si>
  <si>
    <t xml:space="preserve">       Report of initial performance test </t>
  </si>
  <si>
    <r>
      <t xml:space="preserve">       Excess emissions report </t>
    </r>
    <r>
      <rPr>
        <vertAlign val="superscript"/>
        <sz val="10"/>
        <color rgb="FF000000"/>
        <rFont val="Times New Roman"/>
        <family val="1"/>
      </rPr>
      <t>g</t>
    </r>
  </si>
  <si>
    <r>
      <t xml:space="preserve">       Report of no excess emissions </t>
    </r>
    <r>
      <rPr>
        <vertAlign val="superscript"/>
        <sz val="10"/>
        <color rgb="FF000000"/>
        <rFont val="Times New Roman"/>
        <family val="1"/>
      </rPr>
      <t>h</t>
    </r>
  </si>
  <si>
    <r>
      <t xml:space="preserve">       Quality improvement plan </t>
    </r>
    <r>
      <rPr>
        <vertAlign val="superscript"/>
        <sz val="10"/>
        <color rgb="FF000000"/>
        <rFont val="Times New Roman"/>
        <family val="1"/>
      </rPr>
      <t>i</t>
    </r>
  </si>
  <si>
    <r>
      <t xml:space="preserve">       Operations, maintenance, and monitoring plan  </t>
    </r>
    <r>
      <rPr>
        <vertAlign val="superscript"/>
        <sz val="10"/>
        <color rgb="FF000000"/>
        <rFont val="Times New Roman"/>
        <family val="1"/>
      </rPr>
      <t>i</t>
    </r>
  </si>
  <si>
    <t>Table 2b: Average Annual EPA Burden and Cost – NESHAP for Wool Fiberglass Insulation Manufacturing Plants (40 CFR Part 63, Subpart NNN) (Renewal)</t>
  </si>
  <si>
    <t>Assumptions:</t>
  </si>
  <si>
    <r>
      <t xml:space="preserve">d </t>
    </r>
    <r>
      <rPr>
        <sz val="10"/>
        <color rgb="FF000000"/>
        <rFont val="Times New Roman"/>
        <family val="1"/>
      </rPr>
      <t xml:space="preserve">  We assume that 20 percent of new or modified plants will have to repeat performance test due to failures.</t>
    </r>
  </si>
  <si>
    <r>
      <t>d</t>
    </r>
    <r>
      <rPr>
        <sz val="10"/>
        <color rgb="FF000000"/>
        <rFont val="Times New Roman"/>
        <family val="1"/>
      </rPr>
      <t xml:space="preserve">  We assume that it will take each respondent 980 hours to complete initial performance tests.</t>
    </r>
  </si>
  <si>
    <t xml:space="preserve">  </t>
  </si>
  <si>
    <t>See 3B</t>
  </si>
  <si>
    <t>See 3A</t>
  </si>
  <si>
    <r>
      <t xml:space="preserve">A. Familiarize with regulatory requirements </t>
    </r>
    <r>
      <rPr>
        <vertAlign val="superscript"/>
        <sz val="10"/>
        <color rgb="FF000000"/>
        <rFont val="Times New Roman"/>
        <family val="1"/>
      </rPr>
      <t>c</t>
    </r>
  </si>
  <si>
    <r>
      <t xml:space="preserve">        Review semiannual exceedance/no exceedance reports </t>
    </r>
    <r>
      <rPr>
        <vertAlign val="superscript"/>
        <sz val="10"/>
        <color rgb="FF000000"/>
        <rFont val="Times New Roman"/>
        <family val="1"/>
      </rPr>
      <t>f</t>
    </r>
  </si>
  <si>
    <r>
      <t xml:space="preserve">       Request for extension of compliance, adjustments to time periods, and changes in information </t>
    </r>
    <r>
      <rPr>
        <vertAlign val="superscript"/>
        <sz val="10"/>
        <color rgb="FF000000"/>
        <rFont val="Times New Roman"/>
        <family val="1"/>
      </rPr>
      <t>f</t>
    </r>
  </si>
  <si>
    <r>
      <t xml:space="preserve">c </t>
    </r>
    <r>
      <rPr>
        <sz val="10"/>
        <color rgb="FF000000"/>
        <rFont val="Times New Roman"/>
        <family val="1"/>
      </rPr>
      <t xml:space="preserve"> We have assumed that all existing respondents will each take one hour to re-familiarize with the regulatory requirements each year.</t>
    </r>
  </si>
  <si>
    <r>
      <t>e</t>
    </r>
    <r>
      <rPr>
        <sz val="10"/>
        <color rgb="FF000000"/>
        <rFont val="Times New Roman"/>
        <family val="1"/>
      </rPr>
      <t xml:space="preserve">  We assume that 20 percent of respondents will have to repeat the initial performance tests due to failures.</t>
    </r>
  </si>
  <si>
    <r>
      <rPr>
        <vertAlign val="superscript"/>
        <sz val="10"/>
        <color rgb="FF000000"/>
        <rFont val="Times New Roman"/>
        <family val="1"/>
      </rPr>
      <t>g</t>
    </r>
    <r>
      <rPr>
        <sz val="10"/>
        <color rgb="FF000000"/>
        <rFont val="Times New Roman"/>
        <family val="1"/>
      </rPr>
      <t xml:space="preserve">  Totals have been rounded to 3 significant figures. Figures may not add exactly due to rounding. </t>
    </r>
  </si>
  <si>
    <r>
      <t xml:space="preserve">        Repeat initial performance tests </t>
    </r>
    <r>
      <rPr>
        <vertAlign val="superscript"/>
        <sz val="10"/>
        <color rgb="FF000000"/>
        <rFont val="Times New Roman"/>
        <family val="1"/>
      </rPr>
      <t>e</t>
    </r>
  </si>
  <si>
    <t>hours per response</t>
  </si>
  <si>
    <r>
      <t xml:space="preserve">TOTAL COST (rounded) </t>
    </r>
    <r>
      <rPr>
        <b/>
        <vertAlign val="superscript"/>
        <sz val="10"/>
        <color rgb="FF000000"/>
        <rFont val="Times New Roman"/>
        <family val="1"/>
      </rPr>
      <t>g</t>
    </r>
  </si>
  <si>
    <r>
      <t xml:space="preserve">i </t>
    </r>
    <r>
      <rPr>
        <sz val="10"/>
        <color rgb="FF000000"/>
        <rFont val="Times New Roman"/>
        <family val="1"/>
      </rPr>
      <t xml:space="preserve"> We assume that it will take each respondent 16 hours to prepare excess emissions reports.</t>
    </r>
  </si>
  <si>
    <r>
      <t xml:space="preserve">m </t>
    </r>
    <r>
      <rPr>
        <sz val="10"/>
        <color rgb="FF000000"/>
        <rFont val="Times New Roman"/>
        <family val="1"/>
      </rPr>
      <t xml:space="preserve"> We assume that 40 percent of respondents are required to prepare the quality improvement plan.</t>
    </r>
  </si>
  <si>
    <r>
      <rPr>
        <vertAlign val="superscript"/>
        <sz val="10"/>
        <color rgb="FF000000"/>
        <rFont val="Times New Roman"/>
        <family val="1"/>
      </rPr>
      <t>f</t>
    </r>
    <r>
      <rPr>
        <sz val="10"/>
        <color rgb="FF000000"/>
        <rFont val="Times New Roman"/>
        <family val="1"/>
      </rPr>
      <t xml:space="preserve">  We assume that each respondent will take 40 hours to prepare the operations, maintenance, and monitoring plan.</t>
    </r>
  </si>
  <si>
    <r>
      <rPr>
        <vertAlign val="superscript"/>
        <sz val="10"/>
        <color rgb="FF000000"/>
        <rFont val="Times New Roman"/>
        <family val="1"/>
      </rPr>
      <t>g</t>
    </r>
    <r>
      <rPr>
        <sz val="10"/>
        <color rgb="FF000000"/>
        <rFont val="Times New Roman"/>
        <family val="1"/>
      </rPr>
      <t xml:space="preserve">  We assume that it will take each respondent two hours to prepare each of the notifications.</t>
    </r>
  </si>
  <si>
    <r>
      <rPr>
        <vertAlign val="superscript"/>
        <sz val="10"/>
        <color rgb="FF000000"/>
        <rFont val="Times New Roman"/>
        <family val="1"/>
      </rPr>
      <t>h</t>
    </r>
    <r>
      <rPr>
        <sz val="10"/>
        <color rgb="FF000000"/>
        <rFont val="Times New Roman"/>
        <family val="1"/>
      </rPr>
      <t xml:space="preserve">  We assume that it will take each respondent one hour to write the extension of compliance; adjustments to time periods, and changes in information reports.</t>
    </r>
  </si>
  <si>
    <r>
      <rPr>
        <vertAlign val="superscript"/>
        <sz val="10"/>
        <color rgb="FF000000"/>
        <rFont val="Times New Roman"/>
        <family val="1"/>
      </rPr>
      <t>j</t>
    </r>
    <r>
      <rPr>
        <sz val="10"/>
        <color rgb="FF000000"/>
        <rFont val="Times New Roman"/>
        <family val="1"/>
      </rPr>
      <t xml:space="preserve">  We assume that 20 percent of respondents are required to prepare excess emissions reports.</t>
    </r>
  </si>
  <si>
    <r>
      <rPr>
        <vertAlign val="superscript"/>
        <sz val="10"/>
        <color rgb="FF000000"/>
        <rFont val="Times New Roman"/>
        <family val="1"/>
      </rPr>
      <t xml:space="preserve">l </t>
    </r>
    <r>
      <rPr>
        <sz val="10"/>
        <color rgb="FF000000"/>
        <rFont val="Times New Roman"/>
        <family val="1"/>
      </rPr>
      <t xml:space="preserve"> We assume that 80 percent of respondents will submit the no excess emissions reports.</t>
    </r>
  </si>
  <si>
    <r>
      <rPr>
        <vertAlign val="superscript"/>
        <sz val="10"/>
        <color rgb="FF000000"/>
        <rFont val="Times New Roman"/>
        <family val="1"/>
      </rPr>
      <t>n</t>
    </r>
    <r>
      <rPr>
        <sz val="10"/>
        <color rgb="FF000000"/>
        <rFont val="Times New Roman"/>
        <family val="1"/>
      </rPr>
      <t xml:space="preserve">  We assume that it will take each respondent nine hours each week to record records of operating parameters and emissions.</t>
    </r>
  </si>
  <si>
    <r>
      <t xml:space="preserve">        Notification of applicability </t>
    </r>
    <r>
      <rPr>
        <vertAlign val="superscript"/>
        <sz val="10"/>
        <color rgb="FF000000"/>
        <rFont val="Times New Roman"/>
        <family val="1"/>
      </rPr>
      <t>g</t>
    </r>
  </si>
  <si>
    <r>
      <t xml:space="preserve">        Notification of construction/reconstruction </t>
    </r>
    <r>
      <rPr>
        <vertAlign val="superscript"/>
        <sz val="10"/>
        <color rgb="FF000000"/>
        <rFont val="Times New Roman"/>
        <family val="1"/>
      </rPr>
      <t>g</t>
    </r>
  </si>
  <si>
    <r>
      <t xml:space="preserve">        Notification of actual startup </t>
    </r>
    <r>
      <rPr>
        <vertAlign val="superscript"/>
        <sz val="10"/>
        <color rgb="FF000000"/>
        <rFont val="Times New Roman"/>
        <family val="1"/>
      </rPr>
      <t>g</t>
    </r>
  </si>
  <si>
    <r>
      <t xml:space="preserve">        Notification of special compliance requirements </t>
    </r>
    <r>
      <rPr>
        <vertAlign val="superscript"/>
        <sz val="10"/>
        <color rgb="FF000000"/>
        <rFont val="Times New Roman"/>
        <family val="1"/>
      </rPr>
      <t>g</t>
    </r>
  </si>
  <si>
    <r>
      <t xml:space="preserve">        Notification of initial performance test </t>
    </r>
    <r>
      <rPr>
        <vertAlign val="superscript"/>
        <sz val="10"/>
        <color rgb="FF000000"/>
        <rFont val="Times New Roman"/>
        <family val="1"/>
      </rPr>
      <t>g</t>
    </r>
  </si>
  <si>
    <r>
      <t xml:space="preserve">        Notification of compliance status </t>
    </r>
    <r>
      <rPr>
        <vertAlign val="superscript"/>
        <sz val="10"/>
        <color rgb="FF000000"/>
        <rFont val="Times New Roman"/>
        <family val="1"/>
      </rPr>
      <t>g</t>
    </r>
  </si>
  <si>
    <r>
      <t xml:space="preserve">        Operations, maintenance, and monitoring plan </t>
    </r>
    <r>
      <rPr>
        <vertAlign val="superscript"/>
        <sz val="10"/>
        <color rgb="FF000000"/>
        <rFont val="Times New Roman"/>
        <family val="1"/>
      </rPr>
      <t>f</t>
    </r>
  </si>
  <si>
    <r>
      <t xml:space="preserve">        Request for extension of compliance, adjustments to time periods, and changes in information </t>
    </r>
    <r>
      <rPr>
        <vertAlign val="superscript"/>
        <sz val="10"/>
        <color rgb="FF000000"/>
        <rFont val="Times New Roman"/>
        <family val="1"/>
      </rPr>
      <t>g, h</t>
    </r>
  </si>
  <si>
    <r>
      <t xml:space="preserve">        Excess emissions report </t>
    </r>
    <r>
      <rPr>
        <vertAlign val="superscript"/>
        <sz val="10"/>
        <color rgb="FF000000"/>
        <rFont val="Times New Roman"/>
        <family val="1"/>
      </rPr>
      <t>h,</t>
    </r>
    <r>
      <rPr>
        <sz val="10"/>
        <color rgb="FF000000"/>
        <rFont val="Times New Roman"/>
        <family val="1"/>
      </rPr>
      <t xml:space="preserve"> </t>
    </r>
    <r>
      <rPr>
        <vertAlign val="superscript"/>
        <sz val="10"/>
        <color rgb="FF000000"/>
        <rFont val="Times New Roman"/>
        <family val="1"/>
      </rPr>
      <t>n</t>
    </r>
  </si>
  <si>
    <r>
      <rPr>
        <vertAlign val="superscript"/>
        <sz val="10"/>
        <color rgb="FF000000"/>
        <rFont val="Times New Roman"/>
        <family val="1"/>
      </rPr>
      <t>k</t>
    </r>
    <r>
      <rPr>
        <sz val="10"/>
        <color rgb="FF000000"/>
        <rFont val="Times New Roman"/>
        <family val="1"/>
      </rPr>
      <t xml:space="preserve">  We assume that each respondent will take one hour to prepare no excess emissions reports.</t>
    </r>
  </si>
  <si>
    <r>
      <t xml:space="preserve">        Report of no excess emissions </t>
    </r>
    <r>
      <rPr>
        <vertAlign val="superscript"/>
        <sz val="10"/>
        <color rgb="FF000000"/>
        <rFont val="Times New Roman"/>
        <family val="1"/>
      </rPr>
      <t>n, l</t>
    </r>
  </si>
  <si>
    <r>
      <t xml:space="preserve">         Records of operating parameters and emissions </t>
    </r>
    <r>
      <rPr>
        <vertAlign val="superscript"/>
        <sz val="10"/>
        <color rgb="FF000000"/>
        <rFont val="Times New Roman"/>
        <family val="1"/>
      </rPr>
      <t>n</t>
    </r>
  </si>
  <si>
    <r>
      <t xml:space="preserve">GRAND TOTAL (rounded) </t>
    </r>
    <r>
      <rPr>
        <b/>
        <vertAlign val="superscript"/>
        <sz val="10"/>
        <color rgb="FF000000"/>
        <rFont val="Times New Roman"/>
        <family val="1"/>
      </rPr>
      <t>o</t>
    </r>
  </si>
  <si>
    <r>
      <t xml:space="preserve">TOTAL LABOR BURDEN AND COST (rounded) </t>
    </r>
    <r>
      <rPr>
        <b/>
        <vertAlign val="superscript"/>
        <sz val="10"/>
        <rFont val="Times New Roman"/>
        <family val="1"/>
      </rPr>
      <t>k</t>
    </r>
  </si>
  <si>
    <r>
      <t xml:space="preserve">TOTAL CAPITAL AND O&amp;M COSTS (rounded) </t>
    </r>
    <r>
      <rPr>
        <b/>
        <vertAlign val="superscript"/>
        <sz val="10"/>
        <rFont val="Times New Roman"/>
        <family val="1"/>
      </rPr>
      <t>k</t>
    </r>
    <r>
      <rPr>
        <b/>
        <sz val="10"/>
        <rFont val="Times New Roman"/>
        <family val="1"/>
      </rPr>
      <t xml:space="preserve"> </t>
    </r>
  </si>
  <si>
    <r>
      <t>TOTAL COST (rounded)</t>
    </r>
    <r>
      <rPr>
        <b/>
        <vertAlign val="superscript"/>
        <sz val="10"/>
        <color rgb="FF000000"/>
        <rFont val="Times New Roman"/>
        <family val="1"/>
      </rPr>
      <t xml:space="preserve"> j</t>
    </r>
  </si>
  <si>
    <t>ICR Summary Information</t>
  </si>
  <si>
    <t>Number of Respondents</t>
  </si>
  <si>
    <t>Total Estimated Burden Hours</t>
  </si>
  <si>
    <t>Total Estimated Costs</t>
  </si>
  <si>
    <t>Annualized Capital O&amp;M</t>
  </si>
  <si>
    <t>Total Annual Responses</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</si>
  <si>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</si>
  <si>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</si>
  <si>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</si>
  <si>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</si>
  <si>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</si>
  <si>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</si>
  <si>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</si>
  <si>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</si>
  <si>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</si>
  <si>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</si>
  <si>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</si>
  <si>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</si>
  <si>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</si>
  <si>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</si>
  <si>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</si>
  <si>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</si>
  <si>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</si>
  <si>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</si>
  <si>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</si>
  <si>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</si>
  <si>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</si>
  <si>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</si>
  <si>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</si>
  <si>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</si>
  <si>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</si>
  <si>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</si>
  <si>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NSPS for Wool Fiberglass Insulation Manufacturing Plants (40 CFR Part 60, Subpart PPP)</t>
  </si>
  <si>
    <t>Particulate Matter Monitoring</t>
  </si>
  <si>
    <t>NESHAP for Wool Fiberglass Manufacturing Plants (40 CFR Part 63, Subpart NNN)</t>
  </si>
  <si>
    <t>Baghouse Leak Detection</t>
  </si>
  <si>
    <t>Furnace Temperature Monitoring</t>
  </si>
  <si>
    <t>Formaldehyde Emission Monitoring</t>
  </si>
  <si>
    <t>Number of New  Respondents</t>
  </si>
  <si>
    <r>
      <t>Number of Respondents with O&amp;M</t>
    </r>
    <r>
      <rPr>
        <b/>
        <vertAlign val="superscript"/>
        <sz val="10"/>
        <color theme="1"/>
        <rFont val="Times New Roman"/>
        <family val="1"/>
      </rPr>
      <t xml:space="preserve"> a</t>
    </r>
  </si>
  <si>
    <r>
      <t>Chromium Compound Testing</t>
    </r>
    <r>
      <rPr>
        <vertAlign val="superscript"/>
        <sz val="10"/>
        <color theme="1"/>
        <rFont val="Times New Roman"/>
        <family val="1"/>
      </rPr>
      <t>b</t>
    </r>
  </si>
  <si>
    <r>
      <t>Phenol, Methanol and Formaldehyde Testing</t>
    </r>
    <r>
      <rPr>
        <vertAlign val="superscript"/>
        <sz val="10"/>
        <color theme="1"/>
        <rFont val="Times New Roman"/>
        <family val="1"/>
      </rPr>
      <t>c</t>
    </r>
  </si>
  <si>
    <r>
      <rPr>
        <vertAlign val="superscript"/>
        <sz val="10"/>
        <color theme="1"/>
        <rFont val="Times New Roman"/>
        <family val="1"/>
      </rPr>
      <t>a</t>
    </r>
    <r>
      <rPr>
        <sz val="10"/>
        <color theme="1"/>
        <rFont val="Times New Roman"/>
        <family val="1"/>
      </rPr>
      <t xml:space="preserve">  In order to calculate O&amp;M costs for 40 CFR Part 63, Subpart NNN, the estimates provided in column F were not based on the number of respondents but, instead, based on the total number of continuous monitoring devices that exist within the industry; some respondents may have more than one continuous monitoring device located at their facility. We assumed the number of continuous monitoring devices decreased proportionally with the number of sources. </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</si>
  <si>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</si>
  <si>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r>
      <rPr>
        <vertAlign val="superscript"/>
        <sz val="10"/>
        <color rgb="FF000000"/>
        <rFont val="Times New Roman"/>
        <family val="1"/>
      </rPr>
      <t>d</t>
    </r>
    <r>
      <rPr>
        <sz val="10"/>
        <color rgb="FF000000"/>
        <rFont val="Times New Roman"/>
        <family val="1"/>
      </rPr>
      <t xml:space="preserve">  We assume that 20 percent of new or modified plants will have to repeat performance test due to failures.</t>
    </r>
  </si>
  <si>
    <r>
      <rPr>
        <vertAlign val="superscript"/>
        <sz val="10"/>
        <color rgb="FF000000"/>
        <rFont val="Times New Roman"/>
        <family val="1"/>
      </rPr>
      <t>g</t>
    </r>
    <r>
      <rPr>
        <sz val="10"/>
        <color rgb="FF000000"/>
        <rFont val="Times New Roman"/>
        <family val="1"/>
      </rPr>
      <t xml:space="preserve">  We assume that 20 percent of plants will submit excess emissions reports twice per year.</t>
    </r>
  </si>
  <si>
    <r>
      <rPr>
        <vertAlign val="superscript"/>
        <sz val="10"/>
        <color rgb="FF000000"/>
        <rFont val="Times New Roman"/>
        <family val="1"/>
      </rPr>
      <t>h</t>
    </r>
    <r>
      <rPr>
        <sz val="10"/>
        <color rgb="FF000000"/>
        <rFont val="Times New Roman"/>
        <family val="1"/>
      </rPr>
      <t xml:space="preserve">  We assume that 80 percent of plants will submit the no excess emissions report twice per year.</t>
    </r>
  </si>
  <si>
    <r>
      <rPr>
        <vertAlign val="superscript"/>
        <sz val="10"/>
        <color rgb="FF000000"/>
        <rFont val="Times New Roman"/>
        <family val="1"/>
      </rPr>
      <t xml:space="preserve">i </t>
    </r>
    <r>
      <rPr>
        <sz val="10"/>
        <color rgb="FF000000"/>
        <rFont val="Times New Roman"/>
        <family val="1"/>
      </rPr>
      <t xml:space="preserve">  We assume that it will take 40 hours once per year to review plans.</t>
    </r>
  </si>
  <si>
    <r>
      <rPr>
        <vertAlign val="superscript"/>
        <sz val="10"/>
        <color rgb="FF000000"/>
        <rFont val="Times New Roman"/>
        <family val="1"/>
      </rPr>
      <t>j</t>
    </r>
    <r>
      <rPr>
        <sz val="10"/>
        <color rgb="FF000000"/>
        <rFont val="Times New Roman"/>
        <family val="1"/>
      </rPr>
      <t xml:space="preserve">  Totals have been rounded to 3 significant figures. Figures may not add exactly due to rounding. </t>
    </r>
  </si>
  <si>
    <r>
      <rPr>
        <vertAlign val="superscript"/>
        <sz val="10"/>
        <color rgb="FF000000"/>
        <rFont val="Times New Roman"/>
        <family val="1"/>
      </rPr>
      <t>a</t>
    </r>
    <r>
      <rPr>
        <sz val="10"/>
        <color rgb="FF000000"/>
        <rFont val="Times New Roman"/>
        <family val="1"/>
      </rPr>
      <t xml:space="preserve"> We have assumed that there are approximately 5 respondents, with no additional new or reconstructed sources becoming subject to the rule over the next three years.</t>
    </r>
  </si>
  <si>
    <t>Semiannual Exceedance Report</t>
  </si>
  <si>
    <t>40 CFR Part 63, Subpart NNN</t>
  </si>
  <si>
    <t>Hours per Response 40 CFR Part 60, Subpart PPP</t>
  </si>
  <si>
    <t>Hours per Response 40 CFR Part 63, Subpart NNN</t>
  </si>
  <si>
    <r>
      <t xml:space="preserve">Total (rounded) </t>
    </r>
    <r>
      <rPr>
        <b/>
        <vertAlign val="superscript"/>
        <sz val="10"/>
        <color theme="1"/>
        <rFont val="Times New Roman"/>
        <family val="1"/>
      </rPr>
      <t>d</t>
    </r>
  </si>
  <si>
    <r>
      <t>b</t>
    </r>
    <r>
      <rPr>
        <sz val="10"/>
        <color rgb="FF00000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</si>
  <si>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        Quality improvement plan</t>
    </r>
    <r>
      <rPr>
        <vertAlign val="superscript"/>
        <sz val="10"/>
        <color rgb="FF000000"/>
        <rFont val="Times New Roman"/>
        <family val="1"/>
      </rPr>
      <t xml:space="preserve"> m</t>
    </r>
  </si>
  <si>
    <r>
      <t xml:space="preserve">a </t>
    </r>
    <r>
      <rPr>
        <sz val="10"/>
        <color rgb="FF000000"/>
        <rFont val="Times New Roman"/>
        <family val="1"/>
      </rPr>
      <t xml:space="preserve"> We have assumed that there are approximately 5 respondents, w</t>
    </r>
    <r>
      <rPr>
        <sz val="10"/>
        <rFont val="Times New Roman"/>
        <family val="1"/>
      </rPr>
      <t xml:space="preserve">ith no new or reconstructed sources </t>
    </r>
    <r>
      <rPr>
        <sz val="10"/>
        <color rgb="FF000000"/>
        <rFont val="Times New Roman"/>
        <family val="1"/>
      </rPr>
      <t>becoming subject to the rule over the next three years.</t>
    </r>
  </si>
  <si>
    <r>
      <rPr>
        <vertAlign val="superscript"/>
        <sz val="10"/>
        <rFont val="Times New Roman"/>
        <family val="1"/>
      </rPr>
      <t>c</t>
    </r>
    <r>
      <rPr>
        <sz val="10"/>
        <rFont val="Times New Roman"/>
        <family val="1"/>
      </rPr>
      <t xml:space="preserve">  We have assumed that it will take 40 hours to observe the performance testing for each new plant.</t>
    </r>
  </si>
  <si>
    <r>
      <rPr>
        <vertAlign val="superscript"/>
        <sz val="10"/>
        <rFont val="Times New Roman"/>
        <family val="1"/>
      </rPr>
      <t>e</t>
    </r>
    <r>
      <rPr>
        <sz val="10"/>
        <rFont val="Times New Roman"/>
        <family val="1"/>
      </rPr>
      <t xml:space="preserve">  We assume that EPA will take two hour once per year to review the notification reports for each new or modified plant.</t>
    </r>
  </si>
  <si>
    <r>
      <rPr>
        <vertAlign val="superscript"/>
        <sz val="10"/>
        <rFont val="Times New Roman"/>
        <family val="1"/>
      </rPr>
      <t>f</t>
    </r>
    <r>
      <rPr>
        <sz val="10"/>
        <rFont val="Times New Roman"/>
        <family val="1"/>
      </rPr>
      <t xml:space="preserve">  We assume that EPA will take two hours once per year to review the request for each new or modified plant.</t>
    </r>
  </si>
  <si>
    <t>Excess or No Excess Emissions Reports</t>
  </si>
  <si>
    <r>
      <rPr>
        <vertAlign val="superscript"/>
        <sz val="10"/>
        <rFont val="Times New Roman"/>
        <family val="1"/>
      </rPr>
      <t>c</t>
    </r>
    <r>
      <rPr>
        <sz val="10"/>
        <rFont val="Times New Roman"/>
        <family val="1"/>
      </rPr>
      <t xml:space="preserve">  We have assumed that it will take 24 hours to observe the performance testing for each new plant.</t>
    </r>
  </si>
  <si>
    <r>
      <t>f</t>
    </r>
    <r>
      <rPr>
        <sz val="10"/>
        <rFont val="Times New Roman"/>
        <family val="1"/>
      </rPr>
      <t xml:space="preserve">  We have assumed that EPA will take two hours two times per year per plant to review the semiannual exceedance/no exceedance reports</t>
    </r>
    <r>
      <rPr>
        <vertAlign val="superscript"/>
        <sz val="10"/>
        <rFont val="Times New Roman"/>
        <family val="1"/>
      </rPr>
      <t>.</t>
    </r>
  </si>
  <si>
    <r>
      <t xml:space="preserve">H. Time to transmit or disclose information </t>
    </r>
    <r>
      <rPr>
        <vertAlign val="superscript"/>
        <sz val="10"/>
        <rFont val="Times New Roman"/>
        <family val="1"/>
      </rPr>
      <t>o</t>
    </r>
  </si>
  <si>
    <r>
      <t xml:space="preserve">TOTAL LABOR BURDEN AND COST (rounded) </t>
    </r>
    <r>
      <rPr>
        <b/>
        <vertAlign val="superscript"/>
        <sz val="10"/>
        <rFont val="Times New Roman"/>
        <family val="1"/>
      </rPr>
      <t>p</t>
    </r>
  </si>
  <si>
    <r>
      <t xml:space="preserve">TOTAL CAPITAL AND O&amp;M COSTS (rounded) </t>
    </r>
    <r>
      <rPr>
        <b/>
        <vertAlign val="superscript"/>
        <sz val="10"/>
        <rFont val="Times New Roman"/>
        <family val="1"/>
      </rPr>
      <t>p</t>
    </r>
  </si>
  <si>
    <r>
      <rPr>
        <vertAlign val="superscript"/>
        <sz val="10"/>
        <rFont val="Times New Roman"/>
        <family val="1"/>
      </rPr>
      <t>p</t>
    </r>
    <r>
      <rPr>
        <sz val="10"/>
        <rFont val="Times New Roman"/>
        <family val="1"/>
      </rPr>
      <t xml:space="preserve">  Totals have been rounded to 3 significant figures. Figures may not add exactly due to rounding. </t>
    </r>
  </si>
  <si>
    <r>
      <rPr>
        <vertAlign val="superscript"/>
        <sz val="10"/>
        <rFont val="Times New Roman"/>
        <family val="1"/>
      </rPr>
      <t xml:space="preserve">b  </t>
    </r>
    <r>
      <rPr>
        <sz val="10"/>
        <rFont val="Times New Roman"/>
        <family val="1"/>
      </rPr>
      <t>It is assumed there are approximately 4 gas-fired furnaces at 3 facilities. Chromium compound testing is required annually with an estimated cost of $10,000 per test. The 2015 Residual Risk and Technology Review (RTR) assumed 8 gas-fired furnaces at 5 facilities, and this ICR assumes these estimates decreased proportionally with the number of sources.</t>
    </r>
  </si>
  <si>
    <r>
      <rPr>
        <vertAlign val="superscript"/>
        <sz val="10"/>
        <rFont val="Times New Roman"/>
        <family val="1"/>
      </rPr>
      <t xml:space="preserve">c </t>
    </r>
    <r>
      <rPr>
        <sz val="10"/>
        <rFont val="Times New Roman"/>
        <family val="1"/>
      </rPr>
      <t xml:space="preserve"> It is assumed that one facility has approximately 6.5 flame attenuation lines. Phenol, methanol, and formaldehyde testing is required once every 5 years with an estimated cost of $4,000 per test. ($4,000 per test x (1 test / 5 years) = $800/yr). The 2015 RTR assumed 13 flame attenuation lines at 2 facilities, and this ICR assumes these estimates decreased proportionally with the number of sources.</t>
    </r>
  </si>
  <si>
    <r>
      <rPr>
        <vertAlign val="superscript"/>
        <sz val="10"/>
        <rFont val="Times New Roman"/>
        <family val="1"/>
      </rPr>
      <t>o</t>
    </r>
    <r>
      <rPr>
        <sz val="10"/>
        <rFont val="Times New Roman"/>
        <family val="1"/>
      </rPr>
      <t xml:space="preserve">  It is assumed there are approximately 6.5 flame attenuation lines for which respondents are required to transmit information. The 2015 RTR assumed the burden for 13 flame attenuation lines at 2 facilities, and this ICR assumes these estimates decreased proportionally with the number of sources.</t>
    </r>
  </si>
  <si>
    <t>Notification of construction/reconstruction</t>
  </si>
  <si>
    <t>Notification of initial performance test</t>
  </si>
  <si>
    <t>Notification of actual startup</t>
  </si>
  <si>
    <t>Notification of physical or operational change</t>
  </si>
  <si>
    <t>Total (rounded)</t>
  </si>
  <si>
    <r>
      <t xml:space="preserve">a </t>
    </r>
    <r>
      <rPr>
        <sz val="10"/>
        <rFont val="Times New Roman"/>
        <family val="1"/>
      </rPr>
      <t xml:space="preserve"> We have assumed that there are approximately 32 respondents, with 1 additional new or reconstructed source becoming subject to the rule in the next three years (an average of 0.33 new respondents per year).</t>
    </r>
  </si>
  <si>
    <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</si>
  <si>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rFont val="Times New Roman"/>
        <family val="1"/>
      </rPr>
      <t xml:space="preserve"> We have assumed that all existing respondents will each take one hour to re-familiarize with the regulatory requirements each year.</t>
    </r>
  </si>
  <si>
    <r>
      <t>d</t>
    </r>
    <r>
      <rPr>
        <sz val="10"/>
        <rFont val="Times New Roman"/>
        <family val="1"/>
      </rPr>
      <t xml:space="preserve">  We assume that it will take each respondent 72 hours to complete initial performance tests.</t>
    </r>
  </si>
  <si>
    <r>
      <t>e</t>
    </r>
    <r>
      <rPr>
        <sz val="10"/>
        <rFont val="Times New Roman"/>
        <family val="1"/>
      </rPr>
      <t xml:space="preserve">  We assume that 20 percent of respondents will have to repeat the initial performance tests due to failures.</t>
    </r>
  </si>
  <si>
    <r>
      <t xml:space="preserve">f  </t>
    </r>
    <r>
      <rPr>
        <sz val="10"/>
        <rFont val="Times New Roman"/>
        <family val="1"/>
      </rPr>
      <t xml:space="preserve"> We assume that each respondent will take two hours to prepare notification reports.</t>
    </r>
  </si>
  <si>
    <r>
      <t xml:space="preserve">g </t>
    </r>
    <r>
      <rPr>
        <sz val="10"/>
        <rFont val="Times New Roman"/>
        <family val="1"/>
      </rPr>
      <t xml:space="preserve"> We assume that each respondent will take four hours to prepare semiannual report.</t>
    </r>
  </si>
  <si>
    <r>
      <t>h</t>
    </r>
    <r>
      <rPr>
        <sz val="10"/>
        <rFont val="Times New Roman"/>
        <family val="1"/>
      </rPr>
      <t xml:space="preserve">  We assume that 0.25 hours is required to record operating parameters.</t>
    </r>
  </si>
  <si>
    <r>
      <t>i</t>
    </r>
    <r>
      <rPr>
        <sz val="10"/>
        <rFont val="Times New Roman"/>
        <family val="1"/>
      </rPr>
      <t xml:space="preserve">  We assume that each respondent will enter operating parameters and emissions records 250 days per year.</t>
    </r>
  </si>
  <si>
    <r>
      <t>j</t>
    </r>
    <r>
      <rPr>
        <sz val="10"/>
        <rFont val="Times New Roman"/>
        <family val="1"/>
      </rPr>
      <t xml:space="preserve">  We assume that it will take one hour per year for each respondent to record startups, shutdowns, malfunctions.etc.</t>
    </r>
  </si>
  <si>
    <r>
      <rPr>
        <vertAlign val="superscript"/>
        <sz val="10"/>
        <rFont val="Times New Roman"/>
        <family val="1"/>
      </rPr>
      <t>k</t>
    </r>
    <r>
      <rPr>
        <sz val="10"/>
        <rFont val="Times New Roman"/>
        <family val="1"/>
      </rPr>
      <t xml:space="preserve">  Totals have been rounded to 3 significant figures. Figures may not add exactly due to rounding. </t>
    </r>
  </si>
  <si>
    <r>
      <t xml:space="preserve">(D) 
Respondents per Year </t>
    </r>
    <r>
      <rPr>
        <vertAlign val="superscript"/>
        <sz val="10"/>
        <rFont val="Times New Roman"/>
        <family val="1"/>
      </rPr>
      <t>a</t>
    </r>
  </si>
  <si>
    <r>
      <t xml:space="preserve">(H)
Cost, $ </t>
    </r>
    <r>
      <rPr>
        <vertAlign val="superscript"/>
        <sz val="10"/>
        <rFont val="Times New Roman"/>
        <family val="1"/>
      </rPr>
      <t>b</t>
    </r>
  </si>
  <si>
    <r>
      <t xml:space="preserve">A. Familiarize with regulatory requirements </t>
    </r>
    <r>
      <rPr>
        <vertAlign val="superscript"/>
        <sz val="10"/>
        <rFont val="Times New Roman"/>
        <family val="1"/>
      </rPr>
      <t>c</t>
    </r>
  </si>
  <si>
    <r>
      <t xml:space="preserve">         Initial performance tests</t>
    </r>
    <r>
      <rPr>
        <vertAlign val="superscript"/>
        <sz val="10"/>
        <rFont val="Times New Roman"/>
        <family val="1"/>
      </rPr>
      <t xml:space="preserve"> d</t>
    </r>
  </si>
  <si>
    <r>
      <t xml:space="preserve">         Repeat performance tests </t>
    </r>
    <r>
      <rPr>
        <vertAlign val="superscript"/>
        <sz val="10"/>
        <rFont val="Times New Roman"/>
        <family val="1"/>
      </rPr>
      <t>e</t>
    </r>
  </si>
  <si>
    <r>
      <t xml:space="preserve">        Notification of construction/reconstruction </t>
    </r>
    <r>
      <rPr>
        <vertAlign val="superscript"/>
        <sz val="10"/>
        <rFont val="Times New Roman"/>
        <family val="1"/>
      </rPr>
      <t>f</t>
    </r>
  </si>
  <si>
    <r>
      <t xml:space="preserve">        Notification of actual startup</t>
    </r>
    <r>
      <rPr>
        <vertAlign val="superscript"/>
        <sz val="10"/>
        <rFont val="Times New Roman"/>
        <family val="1"/>
      </rPr>
      <t xml:space="preserve"> f</t>
    </r>
  </si>
  <si>
    <r>
      <t xml:space="preserve">        Notification of physical or operational change </t>
    </r>
    <r>
      <rPr>
        <vertAlign val="superscript"/>
        <sz val="10"/>
        <rFont val="Times New Roman"/>
        <family val="1"/>
      </rPr>
      <t>f</t>
    </r>
  </si>
  <si>
    <r>
      <t xml:space="preserve">        Notification of initial performance test </t>
    </r>
    <r>
      <rPr>
        <vertAlign val="superscript"/>
        <sz val="10"/>
        <rFont val="Times New Roman"/>
        <family val="1"/>
      </rPr>
      <t>f</t>
    </r>
  </si>
  <si>
    <r>
      <t xml:space="preserve">        Semiannual exceedance report </t>
    </r>
    <r>
      <rPr>
        <vertAlign val="superscript"/>
        <sz val="10"/>
        <rFont val="Times New Roman"/>
        <family val="1"/>
      </rPr>
      <t>g</t>
    </r>
  </si>
  <si>
    <r>
      <t xml:space="preserve">        Records of operating parameters and emissions </t>
    </r>
    <r>
      <rPr>
        <vertAlign val="superscript"/>
        <sz val="10"/>
        <rFont val="Times New Roman"/>
        <family val="1"/>
      </rPr>
      <t>h, i</t>
    </r>
  </si>
  <si>
    <r>
      <t xml:space="preserve">        Records of startups, shutdowns, and malfunctions </t>
    </r>
    <r>
      <rPr>
        <vertAlign val="superscript"/>
        <sz val="10"/>
        <rFont val="Times New Roman"/>
        <family val="1"/>
      </rPr>
      <t>j</t>
    </r>
  </si>
  <si>
    <r>
      <t xml:space="preserve">GRAND TOTAL (rounded) </t>
    </r>
    <r>
      <rPr>
        <b/>
        <vertAlign val="superscript"/>
        <sz val="10"/>
        <rFont val="Times New Roman"/>
        <family val="1"/>
      </rPr>
      <t>k</t>
    </r>
  </si>
  <si>
    <t>a  We have assumed that there are approximately 32 respondents, with 1 additional new or reconstructed source becoming subject to the rule in the next three years (an average of 0.33 new respondents per year).</t>
  </si>
  <si>
    <r>
      <t xml:space="preserve">a </t>
    </r>
    <r>
      <rPr>
        <sz val="10"/>
        <rFont val="Times New Roman"/>
        <family val="1"/>
      </rPr>
      <t xml:space="preserve">  New respondents include sources with constructed and reconstructed affected facilities. We anticipate 1 additional new or reconstructed source becoming subject to the rule in the next three years (an average of 0.33 new respondents per year).</t>
    </r>
  </si>
  <si>
    <r>
      <t>e</t>
    </r>
    <r>
      <rPr>
        <sz val="10"/>
        <rFont val="Times New Roman"/>
        <family val="1"/>
      </rPr>
      <t xml:space="preserve">   We assume that EPA will take 8 hours 1.2 times per year to review the performance test results reports for each new or modified plant.</t>
    </r>
  </si>
  <si>
    <r>
      <rPr>
        <vertAlign val="superscript"/>
        <sz val="10"/>
        <color rgb="FF000000"/>
        <rFont val="Times New Roman"/>
        <family val="1"/>
      </rPr>
      <t>b</t>
    </r>
    <r>
      <rPr>
        <sz val="10"/>
        <color rgb="FF000000"/>
        <rFont val="Times New Roman"/>
        <family val="1"/>
      </rPr>
      <t xml:space="preserve">  This ICR uses the following labor rates: $70.56 per hour for Managerial labor; $52.37 per hour for Technical labor, and $28.34 per hour for Clerical labor.  These rates are from the Office of Personnel Management (OPM), 2022 General Schedule, which excludes locality rates of pay. The rates have been increased by 60%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</si>
</sst>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0.0"/>
    <numFmt numFmtId="165" formatCode="General_)"/>
    <numFmt numFmtId="166" formatCode="&quot;$&quot;#,##0.00"/>
  </numFmts>
  <fonts count="22" x14ac:knownFonts="1">
    <font>
      <sz val="11"/>
      <color theme="1"/>
      <name val="Calibri"/>
      <family val="2"/>
      <scheme val="minor"/>
    </font>
    <font>
      <b/>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sz val="8"/>
      <name val="Helv"/>
    </font>
    <font>
      <sz val="10"/>
      <name val="Times New Roman"/>
      <family val="1"/>
    </font>
    <font>
      <sz val="10"/>
      <color theme="1"/>
      <name val="Calibri"/>
      <family val="2"/>
      <scheme val="minor"/>
    </font>
    <font>
      <b/>
      <sz val="10"/>
      <color theme="1"/>
      <name val="Times New Roman"/>
      <family val="1"/>
    </font>
    <font>
      <sz val="10"/>
      <color theme="1"/>
      <name val="Times New Roman"/>
      <family val="1"/>
    </font>
    <font>
      <b/>
      <vertAlign val="superscript"/>
      <sz val="10"/>
      <color theme="1"/>
      <name val="Times New Roman"/>
      <family val="1"/>
    </font>
    <font>
      <vertAlign val="superscript"/>
      <sz val="10"/>
      <color theme="1"/>
      <name val="Times New Roman"/>
      <family val="1"/>
    </font>
    <font>
      <sz val="10"/>
      <color rgb="FFFF0000"/>
      <name val="Calibri"/>
      <family val="2"/>
      <scheme val="minor"/>
    </font>
    <font>
      <b/>
      <sz val="12"/>
      <color rgb="FF000000"/>
      <name val="Times New Roman"/>
      <family val="1"/>
    </font>
    <font>
      <sz val="10"/>
      <name val="Calibri"/>
      <family val="2"/>
      <scheme val="minor"/>
    </font>
    <font>
      <vertAlign val="superscript"/>
      <sz val="10"/>
      <name val="Times New Roman"/>
      <family val="1"/>
    </font>
    <font>
      <sz val="11"/>
      <name val="Calibri"/>
      <family val="2"/>
      <scheme val="minor"/>
    </font>
    <font>
      <b/>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165" fontId="9" fillId="0" borderId="0"/>
  </cellStyleXfs>
  <cellXfs count="121">
    <xf numFmtId="0" fontId="0" fillId="0" borderId="0" xfId="0"/>
    <xf numFmtId="0" fontId="1" fillId="0" borderId="0" xfId="0" applyFont="1"/>
    <xf numFmtId="6" fontId="0" fillId="0" borderId="0" xfId="0" applyNumberFormat="1"/>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left" vertical="center" indent="1"/>
    </xf>
    <xf numFmtId="6"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3"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6" fontId="3" fillId="0" borderId="1" xfId="0" applyNumberFormat="1" applyFont="1" applyFill="1" applyBorder="1" applyAlignment="1">
      <alignment horizontal="right" vertical="center"/>
    </xf>
    <xf numFmtId="3" fontId="0" fillId="0" borderId="0" xfId="0" applyNumberFormat="1"/>
    <xf numFmtId="1" fontId="0" fillId="0" borderId="0" xfId="0" applyNumberFormat="1"/>
    <xf numFmtId="0" fontId="3" fillId="0" borderId="0" xfId="0" applyFont="1" applyAlignment="1">
      <alignment vertical="center"/>
    </xf>
    <xf numFmtId="0" fontId="7" fillId="0" borderId="1" xfId="0" applyFont="1" applyBorder="1" applyAlignment="1">
      <alignment vertical="center"/>
    </xf>
    <xf numFmtId="41" fontId="0" fillId="0" borderId="0" xfId="0" applyNumberFormat="1"/>
    <xf numFmtId="165" fontId="10" fillId="0" borderId="0" xfId="1" applyFont="1" applyAlignment="1">
      <alignment horizontal="center" vertical="center" wrapText="1"/>
    </xf>
    <xf numFmtId="166" fontId="10" fillId="0" borderId="0" xfId="1" applyNumberFormat="1" applyFont="1" applyAlignment="1">
      <alignment horizontal="right" wrapText="1"/>
    </xf>
    <xf numFmtId="0" fontId="11" fillId="0" borderId="0" xfId="0" applyFont="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6" fontId="13" fillId="0" borderId="1" xfId="0" applyNumberFormat="1" applyFont="1" applyBorder="1" applyAlignment="1">
      <alignment horizontal="center" vertical="center" wrapText="1"/>
    </xf>
    <xf numFmtId="6" fontId="13" fillId="0" borderId="0" xfId="0" applyNumberFormat="1" applyFont="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6" fontId="12" fillId="0" borderId="0" xfId="0" applyNumberFormat="1" applyFont="1" applyAlignment="1">
      <alignment horizontal="center" vertical="center" wrapText="1"/>
    </xf>
    <xf numFmtId="0" fontId="11" fillId="0" borderId="0" xfId="0" applyFont="1" applyAlignment="1">
      <alignment wrapText="1"/>
    </xf>
    <xf numFmtId="0" fontId="12" fillId="0" borderId="1" xfId="0" applyFont="1" applyBorder="1" applyAlignment="1">
      <alignment vertical="center" wrapText="1"/>
    </xf>
    <xf numFmtId="6" fontId="12" fillId="0" borderId="1" xfId="0" applyNumberFormat="1" applyFont="1" applyBorder="1" applyAlignment="1">
      <alignment horizontal="center" vertical="center" wrapText="1"/>
    </xf>
    <xf numFmtId="6" fontId="11" fillId="0" borderId="0" xfId="0" applyNumberFormat="1" applyFont="1"/>
    <xf numFmtId="0" fontId="12" fillId="0" borderId="0" xfId="0" applyFont="1" applyAlignment="1">
      <alignment vertical="center" wrapText="1"/>
    </xf>
    <xf numFmtId="0" fontId="13" fillId="0" borderId="0" xfId="0" applyFont="1" applyAlignment="1">
      <alignment horizontal="center" vertical="center" wrapText="1"/>
    </xf>
    <xf numFmtId="0" fontId="16" fillId="0" borderId="0" xfId="0" applyFont="1" applyAlignment="1">
      <alignment vertical="top" wrapText="1"/>
    </xf>
    <xf numFmtId="1" fontId="12" fillId="0" borderId="1" xfId="0" applyNumberFormat="1" applyFont="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12" fillId="0" borderId="4" xfId="0" applyFont="1" applyBorder="1" applyAlignment="1">
      <alignment horizontal="center" vertical="center" wrapText="1"/>
    </xf>
    <xf numFmtId="1" fontId="12" fillId="0" borderId="4"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0" fillId="0" borderId="0" xfId="0" applyFill="1"/>
    <xf numFmtId="0" fontId="0" fillId="0" borderId="0" xfId="0" applyFill="1" applyAlignment="1">
      <alignment vertical="top"/>
    </xf>
    <xf numFmtId="0" fontId="4" fillId="0" borderId="0" xfId="0" applyFont="1" applyFill="1" applyAlignment="1">
      <alignment vertical="center"/>
    </xf>
    <xf numFmtId="0" fontId="10" fillId="0" borderId="0" xfId="0" applyFont="1" applyFill="1" applyAlignment="1">
      <alignment vertical="center"/>
    </xf>
    <xf numFmtId="0" fontId="20" fillId="0" borderId="0" xfId="0" applyFont="1" applyFill="1"/>
    <xf numFmtId="0" fontId="10" fillId="0" borderId="1" xfId="0" applyFont="1" applyFill="1" applyBorder="1" applyAlignment="1">
      <alignment vertical="center" wrapText="1"/>
    </xf>
    <xf numFmtId="0" fontId="11" fillId="0" borderId="0" xfId="0" applyFont="1" applyFill="1"/>
    <xf numFmtId="0" fontId="19" fillId="0" borderId="0" xfId="0" applyFont="1" applyFill="1" applyAlignment="1">
      <alignment vertical="center"/>
    </xf>
    <xf numFmtId="0" fontId="19" fillId="0" borderId="0" xfId="0" applyFont="1" applyFill="1"/>
    <xf numFmtId="0" fontId="0" fillId="0" borderId="7" xfId="0" applyFill="1" applyBorder="1" applyAlignment="1">
      <alignment horizontal="center" vertical="top" wrapText="1"/>
    </xf>
    <xf numFmtId="0" fontId="0" fillId="0" borderId="0" xfId="0" applyFill="1" applyAlignment="1">
      <alignment horizontal="center" vertical="top" wrapText="1"/>
    </xf>
    <xf numFmtId="0" fontId="10" fillId="0" borderId="1" xfId="0" applyFont="1" applyBorder="1" applyAlignment="1">
      <alignment horizontal="left" vertical="center" indent="1"/>
    </xf>
    <xf numFmtId="0" fontId="10" fillId="0" borderId="0" xfId="0" applyFont="1" applyAlignment="1">
      <alignment vertical="center"/>
    </xf>
    <xf numFmtId="0" fontId="0" fillId="0" borderId="0" xfId="0" applyFill="1" applyAlignment="1">
      <alignment vertical="top" wrapText="1"/>
    </xf>
    <xf numFmtId="0" fontId="13" fillId="0" borderId="1" xfId="0" applyFont="1" applyFill="1" applyBorder="1" applyAlignment="1">
      <alignment horizontal="center" vertical="center" wrapText="1"/>
    </xf>
    <xf numFmtId="0" fontId="0" fillId="0" borderId="0" xfId="0" quotePrefix="1" applyFill="1"/>
    <xf numFmtId="0" fontId="3" fillId="0" borderId="0" xfId="0" applyFont="1" applyBorder="1" applyAlignment="1">
      <alignment vertical="center"/>
    </xf>
    <xf numFmtId="0" fontId="11" fillId="0" borderId="0" xfId="0" applyFont="1" applyFill="1" applyBorder="1"/>
    <xf numFmtId="0" fontId="0" fillId="0" borderId="0" xfId="0" quotePrefix="1"/>
    <xf numFmtId="2" fontId="3" fillId="0" borderId="1" xfId="0" applyNumberFormat="1" applyFont="1" applyFill="1" applyBorder="1" applyAlignment="1">
      <alignment horizontal="center" vertical="center"/>
    </xf>
    <xf numFmtId="0" fontId="7" fillId="0" borderId="0" xfId="0" applyFont="1" applyFill="1" applyAlignment="1">
      <alignment vertical="center"/>
    </xf>
    <xf numFmtId="0" fontId="19" fillId="0" borderId="0" xfId="0" applyFont="1" applyAlignment="1">
      <alignment vertical="center"/>
    </xf>
    <xf numFmtId="0" fontId="20" fillId="0" borderId="0" xfId="0" applyFont="1"/>
    <xf numFmtId="0" fontId="21" fillId="0" borderId="0" xfId="0" applyFont="1"/>
    <xf numFmtId="0" fontId="10" fillId="0" borderId="1" xfId="0"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8" fontId="10" fillId="0" borderId="1" xfId="0" applyNumberFormat="1" applyFont="1" applyBorder="1" applyAlignment="1">
      <alignment horizontal="right" vertical="center"/>
    </xf>
    <xf numFmtId="6" fontId="10" fillId="0" borderId="1" xfId="0" applyNumberFormat="1" applyFont="1" applyBorder="1" applyAlignment="1">
      <alignment horizontal="right" vertical="center"/>
    </xf>
    <xf numFmtId="0" fontId="7" fillId="0" borderId="1" xfId="0" applyFont="1" applyBorder="1" applyAlignment="1">
      <alignment horizontal="center" vertical="center"/>
    </xf>
    <xf numFmtId="6" fontId="7" fillId="0" borderId="1" xfId="0" applyNumberFormat="1" applyFont="1" applyBorder="1" applyAlignment="1">
      <alignment horizontal="right" vertical="center"/>
    </xf>
    <xf numFmtId="0" fontId="10" fillId="0" borderId="1" xfId="0" applyFont="1" applyBorder="1" applyAlignment="1">
      <alignment horizontal="left" vertical="center" indent="2"/>
    </xf>
    <xf numFmtId="0" fontId="10" fillId="0" borderId="2" xfId="0" applyFont="1" applyBorder="1" applyAlignment="1">
      <alignment horizontal="center" vertical="center"/>
    </xf>
    <xf numFmtId="3" fontId="10" fillId="0" borderId="1" xfId="0" applyNumberFormat="1" applyFont="1" applyBorder="1" applyAlignment="1">
      <alignment horizontal="center" vertical="center"/>
    </xf>
    <xf numFmtId="3" fontId="20" fillId="0" borderId="0" xfId="0" applyNumberFormat="1" applyFont="1"/>
    <xf numFmtId="3" fontId="7" fillId="0" borderId="1" xfId="0" applyNumberFormat="1" applyFont="1" applyBorder="1" applyAlignment="1">
      <alignment horizontal="center" vertical="center"/>
    </xf>
    <xf numFmtId="1" fontId="20" fillId="0" borderId="0" xfId="0" applyNumberFormat="1" applyFont="1"/>
    <xf numFmtId="2" fontId="10" fillId="0" borderId="1" xfId="0" applyNumberFormat="1" applyFont="1" applyBorder="1" applyAlignment="1">
      <alignment horizontal="center" vertical="center"/>
    </xf>
    <xf numFmtId="6" fontId="10" fillId="0" borderId="0" xfId="0" applyNumberFormat="1" applyFont="1" applyAlignment="1">
      <alignment horizontal="center" vertical="center" wrapText="1"/>
    </xf>
    <xf numFmtId="2"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0" xfId="0" applyAlignment="1">
      <alignment horizontal="center"/>
    </xf>
    <xf numFmtId="3"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9" fillId="0" borderId="0" xfId="0" applyFont="1" applyFill="1" applyAlignment="1">
      <alignment horizontal="left" vertical="center" wrapText="1"/>
    </xf>
    <xf numFmtId="3" fontId="5" fillId="0" borderId="1" xfId="0" applyNumberFormat="1" applyFont="1" applyBorder="1" applyAlignment="1">
      <alignment horizontal="center" vertical="center"/>
    </xf>
    <xf numFmtId="0" fontId="4" fillId="0" borderId="0" xfId="0" applyFont="1" applyFill="1" applyAlignment="1">
      <alignment horizontal="left" vertical="center" wrapText="1"/>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horizontal="left" vertical="center" wrapText="1"/>
    </xf>
    <xf numFmtId="1" fontId="5" fillId="0" borderId="1" xfId="0" applyNumberFormat="1" applyFont="1" applyBorder="1" applyAlignment="1">
      <alignment horizontal="center" vertical="center"/>
    </xf>
    <xf numFmtId="0" fontId="3"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0" xfId="0" applyFont="1" applyAlignment="1">
      <alignment vertical="center" wrapText="1"/>
    </xf>
    <xf numFmtId="0" fontId="11" fillId="0" borderId="0" xfId="0" applyFont="1" applyAlignment="1">
      <alignment wrapText="1"/>
    </xf>
    <xf numFmtId="0" fontId="10" fillId="0" borderId="0" xfId="0" applyFont="1" applyFill="1" applyAlignment="1">
      <alignment vertical="center" wrapText="1"/>
    </xf>
    <xf numFmtId="0" fontId="18" fillId="0" borderId="0" xfId="0" applyFont="1" applyFill="1" applyAlignment="1">
      <alignment wrapText="1"/>
    </xf>
    <xf numFmtId="0" fontId="13" fillId="0" borderId="0" xfId="0" applyFont="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vertical="center" wrapText="1"/>
    </xf>
    <xf numFmtId="0" fontId="19" fillId="0" borderId="4" xfId="0" applyFont="1" applyBorder="1" applyAlignment="1">
      <alignment horizontal="left" vertical="center" wrapText="1"/>
    </xf>
  </cellXfs>
  <cellStyles count="2">
    <cellStyle name="Normal" xfId="0" builtinId="0"/>
    <cellStyle name="Normal_SSI Burden Estimate BML 060710" xfId="1" xr:uid="{C911484E-4401-46A9-807F-9A39EE5284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95E6C-DE0A-4B79-AB43-960C3BF81282}">
  <dimension ref="A1:D8"/>
  <sheetViews>
    <sheetView tabSelected="1" workbookViewId="0">
      <selection activeCell="D1" sqref="D1:D8"/>
    </sheetView>
  </sheetViews>
  <sheetFormatPr defaultRowHeight="14.5" x14ac:dyDescent="0.35"/>
  <cols>
    <col min="1" max="1" width="44.81640625" bestFit="1" customWidth="1"/>
    <col min="2" max="2" width="10.81640625" bestFit="1" customWidth="1"/>
    <col min="4" max="4" width="12.54296875" customWidth="1"/>
  </cols>
  <sheetData>
    <row r="1" spans="1:4" x14ac:dyDescent="0.35">
      <c r="A1" s="98" t="s">
        <v>97</v>
      </c>
      <c r="B1" s="98"/>
      <c r="D1" s="74"/>
    </row>
    <row r="2" spans="1:4" x14ac:dyDescent="0.35">
      <c r="A2" t="s">
        <v>149</v>
      </c>
      <c r="B2" s="28">
        <f>'Table 1a'!K35</f>
        <v>41.531440162271807</v>
      </c>
      <c r="D2" s="28"/>
    </row>
    <row r="3" spans="1:4" x14ac:dyDescent="0.35">
      <c r="A3" t="s">
        <v>150</v>
      </c>
      <c r="B3" s="28">
        <f>'Table 1b'!K40</f>
        <v>285</v>
      </c>
      <c r="D3" s="28"/>
    </row>
    <row r="4" spans="1:4" x14ac:dyDescent="0.35">
      <c r="A4" t="s">
        <v>98</v>
      </c>
      <c r="B4" s="28">
        <f>Respondents!F8</f>
        <v>38</v>
      </c>
      <c r="D4" s="28"/>
    </row>
    <row r="5" spans="1:4" x14ac:dyDescent="0.35">
      <c r="A5" t="s">
        <v>99</v>
      </c>
      <c r="B5" s="28">
        <f>'Table 1a'!K33+'Table 1b'!K38</f>
        <v>5580</v>
      </c>
      <c r="D5" s="28"/>
    </row>
    <row r="6" spans="1:4" x14ac:dyDescent="0.35">
      <c r="A6" t="s">
        <v>100</v>
      </c>
      <c r="B6" s="2">
        <f>ROUND('Table 1a'!I35+'Table 1b'!I40,-4)</f>
        <v>1250000</v>
      </c>
      <c r="D6" s="2"/>
    </row>
    <row r="7" spans="1:4" x14ac:dyDescent="0.35">
      <c r="A7" t="s">
        <v>101</v>
      </c>
      <c r="B7" s="2">
        <f>ROUND('Capital O&amp;M'!D13+'Capital O&amp;M'!G13,-3)</f>
        <v>585000</v>
      </c>
      <c r="D7" s="2"/>
    </row>
    <row r="8" spans="1:4" x14ac:dyDescent="0.35">
      <c r="A8" t="s">
        <v>102</v>
      </c>
      <c r="B8" s="28">
        <f>Responses!E12</f>
        <v>75.733333333333334</v>
      </c>
      <c r="D8" s="28"/>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topLeftCell="A31" zoomScaleNormal="100" workbookViewId="0">
      <selection activeCell="B44" sqref="B44"/>
    </sheetView>
  </sheetViews>
  <sheetFormatPr defaultColWidth="8.81640625" defaultRowHeight="14.5" x14ac:dyDescent="0.35"/>
  <cols>
    <col min="1" max="1" width="44.7265625" style="78" customWidth="1"/>
    <col min="2" max="2" width="9.453125" style="78" customWidth="1"/>
    <col min="3" max="3" width="10.7265625" style="78" customWidth="1"/>
    <col min="4" max="4" width="8" style="78" customWidth="1"/>
    <col min="5" max="5" width="11.26953125" style="78" customWidth="1"/>
    <col min="6" max="6" width="8.7265625" style="78" customWidth="1"/>
    <col min="7" max="7" width="10.453125" style="78" customWidth="1"/>
    <col min="8" max="8" width="11.54296875" style="78" customWidth="1"/>
    <col min="9" max="9" width="11.453125" style="78" bestFit="1" customWidth="1"/>
    <col min="10" max="10" width="8.81640625" style="78"/>
    <col min="11" max="11" width="10.81640625" style="78" bestFit="1" customWidth="1"/>
    <col min="12" max="16384" width="8.81640625" style="78"/>
  </cols>
  <sheetData>
    <row r="1" spans="1:9" x14ac:dyDescent="0.35">
      <c r="A1" s="79" t="s">
        <v>0</v>
      </c>
    </row>
    <row r="2" spans="1:9" x14ac:dyDescent="0.35">
      <c r="F2" s="78">
        <v>123.94</v>
      </c>
      <c r="G2" s="78">
        <v>157.61000000000001</v>
      </c>
      <c r="H2" s="78">
        <v>62.52</v>
      </c>
    </row>
    <row r="3" spans="1:9" ht="65" x14ac:dyDescent="0.35">
      <c r="A3" s="80" t="s">
        <v>1</v>
      </c>
      <c r="B3" s="80" t="s">
        <v>21</v>
      </c>
      <c r="C3" s="80" t="s">
        <v>22</v>
      </c>
      <c r="D3" s="80" t="s">
        <v>23</v>
      </c>
      <c r="E3" s="80" t="s">
        <v>184</v>
      </c>
      <c r="F3" s="80" t="s">
        <v>25</v>
      </c>
      <c r="G3" s="80" t="s">
        <v>26</v>
      </c>
      <c r="H3" s="80" t="s">
        <v>27</v>
      </c>
      <c r="I3" s="80" t="s">
        <v>185</v>
      </c>
    </row>
    <row r="4" spans="1:9" x14ac:dyDescent="0.35">
      <c r="A4" s="81" t="s">
        <v>2</v>
      </c>
      <c r="B4" s="82" t="s">
        <v>3</v>
      </c>
      <c r="C4" s="81"/>
      <c r="D4" s="81"/>
      <c r="E4" s="81"/>
      <c r="F4" s="81"/>
      <c r="G4" s="81"/>
      <c r="H4" s="81"/>
      <c r="I4" s="81"/>
    </row>
    <row r="5" spans="1:9" x14ac:dyDescent="0.35">
      <c r="A5" s="81" t="s">
        <v>4</v>
      </c>
      <c r="B5" s="82" t="s">
        <v>3</v>
      </c>
      <c r="C5" s="81"/>
      <c r="D5" s="81"/>
      <c r="E5" s="81"/>
      <c r="F5" s="81"/>
      <c r="G5" s="81"/>
      <c r="H5" s="81"/>
      <c r="I5" s="81"/>
    </row>
    <row r="6" spans="1:9" x14ac:dyDescent="0.35">
      <c r="A6" s="81" t="s">
        <v>5</v>
      </c>
      <c r="B6" s="82"/>
      <c r="C6" s="82"/>
      <c r="D6" s="82"/>
      <c r="E6" s="82"/>
      <c r="F6" s="82"/>
      <c r="G6" s="82"/>
      <c r="H6" s="82"/>
      <c r="I6" s="81"/>
    </row>
    <row r="7" spans="1:9" ht="15.5" x14ac:dyDescent="0.35">
      <c r="A7" s="67" t="s">
        <v>186</v>
      </c>
      <c r="B7" s="82">
        <v>1</v>
      </c>
      <c r="C7" s="82">
        <v>1</v>
      </c>
      <c r="D7" s="82">
        <f>B7*C7</f>
        <v>1</v>
      </c>
      <c r="E7" s="93">
        <f>32+Respondents!B8</f>
        <v>32.333333333333336</v>
      </c>
      <c r="F7" s="93">
        <f>+D7*E7</f>
        <v>32.333333333333336</v>
      </c>
      <c r="G7" s="93">
        <f>+F7*0.05</f>
        <v>1.6166666666666669</v>
      </c>
      <c r="H7" s="93">
        <f>+F7*0.1</f>
        <v>3.2333333333333338</v>
      </c>
      <c r="I7" s="83">
        <f>+$F$2*F7+$G$2*G7+$H$2*H7</f>
        <v>4464.3441666666668</v>
      </c>
    </row>
    <row r="8" spans="1:9" x14ac:dyDescent="0.35">
      <c r="A8" s="67" t="s">
        <v>6</v>
      </c>
      <c r="B8" s="82"/>
      <c r="C8" s="82"/>
      <c r="D8" s="82"/>
      <c r="E8" s="82"/>
      <c r="F8" s="93"/>
      <c r="G8" s="93"/>
      <c r="H8" s="93"/>
      <c r="I8" s="84"/>
    </row>
    <row r="9" spans="1:9" ht="15.5" x14ac:dyDescent="0.35">
      <c r="A9" s="81" t="s">
        <v>187</v>
      </c>
      <c r="B9" s="82">
        <v>72</v>
      </c>
      <c r="C9" s="82">
        <v>1</v>
      </c>
      <c r="D9" s="82">
        <f t="shared" ref="D9:D29" si="0">B9*C9</f>
        <v>72</v>
      </c>
      <c r="E9" s="93">
        <f>Respondents!B8</f>
        <v>0.33333333333333331</v>
      </c>
      <c r="F9" s="93">
        <f t="shared" ref="F9:F19" si="1">+D9*E9</f>
        <v>24</v>
      </c>
      <c r="G9" s="93">
        <f t="shared" ref="G9:G19" si="2">+F9*0.05</f>
        <v>1.2000000000000002</v>
      </c>
      <c r="H9" s="93">
        <f t="shared" ref="H9:H19" si="3">+F9*0.1</f>
        <v>2.4000000000000004</v>
      </c>
      <c r="I9" s="84">
        <f t="shared" ref="I9:I19" si="4">+$F$2*F9+$G$2*G9+$H$2*H9</f>
        <v>3313.7400000000002</v>
      </c>
    </row>
    <row r="10" spans="1:9" ht="15.5" x14ac:dyDescent="0.35">
      <c r="A10" s="81" t="s">
        <v>188</v>
      </c>
      <c r="B10" s="82">
        <v>72</v>
      </c>
      <c r="C10" s="82">
        <v>0.2</v>
      </c>
      <c r="D10" s="82">
        <f t="shared" si="0"/>
        <v>14.4</v>
      </c>
      <c r="E10" s="93">
        <f>E9*0.2</f>
        <v>6.6666666666666666E-2</v>
      </c>
      <c r="F10" s="93">
        <f t="shared" si="1"/>
        <v>0.96</v>
      </c>
      <c r="G10" s="93">
        <f t="shared" si="2"/>
        <v>4.8000000000000001E-2</v>
      </c>
      <c r="H10" s="93">
        <f t="shared" si="3"/>
        <v>9.6000000000000002E-2</v>
      </c>
      <c r="I10" s="84">
        <f t="shared" si="4"/>
        <v>132.5496</v>
      </c>
    </row>
    <row r="11" spans="1:9" x14ac:dyDescent="0.35">
      <c r="A11" s="67" t="s">
        <v>7</v>
      </c>
      <c r="B11" s="82"/>
      <c r="C11" s="82"/>
      <c r="D11" s="82"/>
      <c r="E11" s="82"/>
      <c r="F11" s="93"/>
      <c r="G11" s="93"/>
      <c r="H11" s="93"/>
      <c r="I11" s="84"/>
    </row>
    <row r="12" spans="1:9" x14ac:dyDescent="0.35">
      <c r="A12" s="67" t="s">
        <v>8</v>
      </c>
      <c r="B12" s="82"/>
      <c r="C12" s="82"/>
      <c r="D12" s="82"/>
      <c r="E12" s="82"/>
      <c r="F12" s="93"/>
      <c r="G12" s="93"/>
      <c r="H12" s="93"/>
      <c r="I12" s="84"/>
    </row>
    <row r="13" spans="1:9" x14ac:dyDescent="0.35">
      <c r="A13" s="67" t="s">
        <v>9</v>
      </c>
      <c r="B13" s="82"/>
      <c r="C13" s="82"/>
      <c r="D13" s="82"/>
      <c r="E13" s="82"/>
      <c r="F13" s="93"/>
      <c r="G13" s="93"/>
      <c r="H13" s="93"/>
      <c r="I13" s="84"/>
    </row>
    <row r="14" spans="1:9" ht="15.5" x14ac:dyDescent="0.35">
      <c r="A14" s="81" t="s">
        <v>189</v>
      </c>
      <c r="B14" s="82">
        <v>2</v>
      </c>
      <c r="C14" s="82">
        <v>1</v>
      </c>
      <c r="D14" s="82">
        <f t="shared" si="0"/>
        <v>2</v>
      </c>
      <c r="E14" s="93">
        <f>E9</f>
        <v>0.33333333333333331</v>
      </c>
      <c r="F14" s="93">
        <f t="shared" si="1"/>
        <v>0.66666666666666663</v>
      </c>
      <c r="G14" s="93">
        <f t="shared" si="2"/>
        <v>3.3333333333333333E-2</v>
      </c>
      <c r="H14" s="93">
        <f t="shared" si="3"/>
        <v>6.6666666666666666E-2</v>
      </c>
      <c r="I14" s="84">
        <f t="shared" si="4"/>
        <v>92.048333333333332</v>
      </c>
    </row>
    <row r="15" spans="1:9" ht="15.5" x14ac:dyDescent="0.35">
      <c r="A15" s="81" t="s">
        <v>190</v>
      </c>
      <c r="B15" s="82">
        <v>2</v>
      </c>
      <c r="C15" s="82">
        <v>1</v>
      </c>
      <c r="D15" s="82">
        <f t="shared" si="0"/>
        <v>2</v>
      </c>
      <c r="E15" s="93">
        <f>E9</f>
        <v>0.33333333333333331</v>
      </c>
      <c r="F15" s="93">
        <f t="shared" si="1"/>
        <v>0.66666666666666663</v>
      </c>
      <c r="G15" s="93">
        <f t="shared" si="2"/>
        <v>3.3333333333333333E-2</v>
      </c>
      <c r="H15" s="93">
        <f t="shared" si="3"/>
        <v>6.6666666666666666E-2</v>
      </c>
      <c r="I15" s="84">
        <f t="shared" si="4"/>
        <v>92.048333333333332</v>
      </c>
    </row>
    <row r="16" spans="1:9" ht="15.5" x14ac:dyDescent="0.35">
      <c r="A16" s="81" t="s">
        <v>191</v>
      </c>
      <c r="B16" s="82">
        <v>2</v>
      </c>
      <c r="C16" s="82">
        <v>1</v>
      </c>
      <c r="D16" s="82">
        <f t="shared" si="0"/>
        <v>2</v>
      </c>
      <c r="E16" s="82">
        <v>0</v>
      </c>
      <c r="F16" s="93">
        <f t="shared" si="1"/>
        <v>0</v>
      </c>
      <c r="G16" s="93">
        <f t="shared" si="2"/>
        <v>0</v>
      </c>
      <c r="H16" s="93">
        <f t="shared" si="3"/>
        <v>0</v>
      </c>
      <c r="I16" s="84">
        <f t="shared" si="4"/>
        <v>0</v>
      </c>
    </row>
    <row r="17" spans="1:15" ht="15.5" x14ac:dyDescent="0.35">
      <c r="A17" s="81" t="s">
        <v>192</v>
      </c>
      <c r="B17" s="82">
        <v>2</v>
      </c>
      <c r="C17" s="82">
        <v>1</v>
      </c>
      <c r="D17" s="82">
        <f t="shared" si="0"/>
        <v>2</v>
      </c>
      <c r="E17" s="93">
        <f>E9</f>
        <v>0.33333333333333331</v>
      </c>
      <c r="F17" s="93">
        <f t="shared" si="1"/>
        <v>0.66666666666666663</v>
      </c>
      <c r="G17" s="93">
        <f t="shared" si="2"/>
        <v>3.3333333333333333E-2</v>
      </c>
      <c r="H17" s="93">
        <f t="shared" si="3"/>
        <v>6.6666666666666666E-2</v>
      </c>
      <c r="I17" s="84">
        <f t="shared" si="4"/>
        <v>92.048333333333332</v>
      </c>
    </row>
    <row r="18" spans="1:15" x14ac:dyDescent="0.35">
      <c r="A18" s="81" t="s">
        <v>10</v>
      </c>
      <c r="B18" s="82" t="s">
        <v>62</v>
      </c>
      <c r="C18" s="82"/>
      <c r="D18" s="82"/>
      <c r="E18" s="82"/>
      <c r="F18" s="93"/>
      <c r="G18" s="93"/>
      <c r="H18" s="93"/>
      <c r="I18" s="84"/>
    </row>
    <row r="19" spans="1:15" ht="15.5" x14ac:dyDescent="0.35">
      <c r="A19" s="81" t="s">
        <v>193</v>
      </c>
      <c r="B19" s="82">
        <v>4</v>
      </c>
      <c r="C19" s="82">
        <v>2</v>
      </c>
      <c r="D19" s="82">
        <f t="shared" si="0"/>
        <v>8</v>
      </c>
      <c r="E19" s="93">
        <f>E7</f>
        <v>32.333333333333336</v>
      </c>
      <c r="F19" s="93">
        <f t="shared" si="1"/>
        <v>258.66666666666669</v>
      </c>
      <c r="G19" s="93">
        <f t="shared" si="2"/>
        <v>12.933333333333335</v>
      </c>
      <c r="H19" s="93">
        <f t="shared" si="3"/>
        <v>25.866666666666671</v>
      </c>
      <c r="I19" s="83">
        <f t="shared" si="4"/>
        <v>35714.753333333334</v>
      </c>
    </row>
    <row r="20" spans="1:15" x14ac:dyDescent="0.35">
      <c r="A20" s="27" t="s">
        <v>11</v>
      </c>
      <c r="B20" s="85"/>
      <c r="C20" s="85"/>
      <c r="D20" s="82"/>
      <c r="E20" s="85"/>
      <c r="F20" s="100">
        <f>+SUM(F4:H19)</f>
        <v>365.65400000000005</v>
      </c>
      <c r="G20" s="100"/>
      <c r="H20" s="100"/>
      <c r="I20" s="86">
        <f>+SUM(I4:I19)</f>
        <v>43901.532100000004</v>
      </c>
    </row>
    <row r="21" spans="1:15" x14ac:dyDescent="0.35">
      <c r="A21" s="81" t="s">
        <v>12</v>
      </c>
      <c r="B21" s="82"/>
      <c r="C21" s="82"/>
      <c r="D21" s="82"/>
      <c r="E21" s="82"/>
      <c r="F21" s="82"/>
      <c r="G21" s="82"/>
      <c r="H21" s="82"/>
      <c r="I21" s="81"/>
    </row>
    <row r="22" spans="1:15" ht="15.5" x14ac:dyDescent="0.35">
      <c r="A22" s="67" t="s">
        <v>186</v>
      </c>
      <c r="B22" s="82" t="s">
        <v>63</v>
      </c>
      <c r="C22" s="82"/>
      <c r="D22" s="82"/>
      <c r="E22" s="82"/>
      <c r="F22" s="82"/>
      <c r="G22" s="82"/>
      <c r="H22" s="82"/>
      <c r="I22" s="81"/>
    </row>
    <row r="23" spans="1:15" x14ac:dyDescent="0.35">
      <c r="A23" s="67" t="s">
        <v>13</v>
      </c>
      <c r="B23" s="82" t="s">
        <v>62</v>
      </c>
      <c r="C23" s="82"/>
      <c r="D23" s="82"/>
      <c r="E23" s="82"/>
      <c r="F23" s="82"/>
      <c r="G23" s="82"/>
      <c r="H23" s="82"/>
      <c r="I23" s="81"/>
    </row>
    <row r="24" spans="1:15" x14ac:dyDescent="0.35">
      <c r="A24" s="67" t="s">
        <v>14</v>
      </c>
      <c r="B24" s="82" t="s">
        <v>62</v>
      </c>
      <c r="C24" s="82"/>
      <c r="D24" s="82"/>
      <c r="E24" s="82"/>
      <c r="F24" s="82"/>
      <c r="G24" s="82"/>
      <c r="H24" s="82"/>
      <c r="I24" s="81"/>
    </row>
    <row r="25" spans="1:15" x14ac:dyDescent="0.35">
      <c r="A25" s="67" t="s">
        <v>15</v>
      </c>
      <c r="B25" s="82" t="s">
        <v>3</v>
      </c>
      <c r="C25" s="82"/>
      <c r="D25" s="82"/>
      <c r="E25" s="82"/>
      <c r="F25" s="82"/>
      <c r="G25" s="82"/>
      <c r="H25" s="82"/>
      <c r="I25" s="81"/>
    </row>
    <row r="26" spans="1:15" x14ac:dyDescent="0.35">
      <c r="A26" s="67" t="s">
        <v>16</v>
      </c>
      <c r="B26" s="82"/>
      <c r="C26" s="82"/>
      <c r="D26" s="82"/>
      <c r="E26" s="82"/>
      <c r="F26" s="82"/>
      <c r="G26" s="82"/>
      <c r="H26" s="82"/>
      <c r="I26" s="81"/>
    </row>
    <row r="27" spans="1:15" x14ac:dyDescent="0.35">
      <c r="A27" s="87" t="s">
        <v>17</v>
      </c>
      <c r="B27" s="82"/>
      <c r="C27" s="82"/>
      <c r="D27" s="82"/>
      <c r="E27" s="82"/>
      <c r="F27" s="82"/>
      <c r="G27" s="82"/>
      <c r="H27" s="82"/>
      <c r="I27" s="81"/>
    </row>
    <row r="28" spans="1:15" ht="15.75" customHeight="1" x14ac:dyDescent="0.35">
      <c r="A28" s="81" t="s">
        <v>194</v>
      </c>
      <c r="B28" s="88">
        <v>0.25</v>
      </c>
      <c r="C28" s="88">
        <v>250</v>
      </c>
      <c r="D28" s="82">
        <f t="shared" si="0"/>
        <v>62.5</v>
      </c>
      <c r="E28" s="93">
        <f>E7</f>
        <v>32.333333333333336</v>
      </c>
      <c r="F28" s="89">
        <f t="shared" ref="F28" si="5">+D28*E28</f>
        <v>2020.8333333333335</v>
      </c>
      <c r="G28" s="93">
        <f t="shared" ref="G28:G29" si="6">+F28*0.05</f>
        <v>101.04166666666669</v>
      </c>
      <c r="H28" s="93">
        <f t="shared" ref="H28" si="7">+F28*0.1</f>
        <v>202.08333333333337</v>
      </c>
      <c r="I28" s="84">
        <f t="shared" ref="I28" si="8">+$F$2*F28+$G$2*G28+$H$2*H28</f>
        <v>279021.51041666669</v>
      </c>
    </row>
    <row r="29" spans="1:15" ht="15.5" x14ac:dyDescent="0.35">
      <c r="A29" s="81" t="s">
        <v>195</v>
      </c>
      <c r="B29" s="88">
        <v>1</v>
      </c>
      <c r="C29" s="88">
        <v>1</v>
      </c>
      <c r="D29" s="82">
        <f t="shared" si="0"/>
        <v>1</v>
      </c>
      <c r="E29" s="93">
        <f>E7</f>
        <v>32.333333333333336</v>
      </c>
      <c r="F29" s="93">
        <f t="shared" ref="F29" si="9">+D29*E29</f>
        <v>32.333333333333336</v>
      </c>
      <c r="G29" s="93">
        <f t="shared" si="6"/>
        <v>1.6166666666666669</v>
      </c>
      <c r="H29" s="93">
        <f t="shared" ref="H29" si="10">+F29*0.1</f>
        <v>3.2333333333333338</v>
      </c>
      <c r="I29" s="83">
        <f t="shared" ref="I29" si="11">+$F$2*F29+$G$2*G29+$H$2*H29</f>
        <v>4464.3441666666668</v>
      </c>
    </row>
    <row r="30" spans="1:15" x14ac:dyDescent="0.35">
      <c r="A30" s="67" t="s">
        <v>18</v>
      </c>
      <c r="B30" s="82" t="s">
        <v>3</v>
      </c>
      <c r="C30" s="81"/>
      <c r="D30" s="81"/>
      <c r="E30" s="81"/>
      <c r="F30" s="81"/>
      <c r="G30" s="81"/>
      <c r="H30" s="81"/>
      <c r="I30" s="81"/>
      <c r="O30" s="90"/>
    </row>
    <row r="31" spans="1:15" x14ac:dyDescent="0.35">
      <c r="A31" s="67" t="s">
        <v>19</v>
      </c>
      <c r="B31" s="82" t="s">
        <v>3</v>
      </c>
      <c r="C31" s="81"/>
      <c r="D31" s="81"/>
      <c r="E31" s="81"/>
      <c r="F31" s="81"/>
      <c r="G31" s="81"/>
      <c r="H31" s="81"/>
      <c r="I31" s="81"/>
    </row>
    <row r="32" spans="1:15" x14ac:dyDescent="0.35">
      <c r="A32" s="27" t="s">
        <v>20</v>
      </c>
      <c r="B32" s="85"/>
      <c r="C32" s="85"/>
      <c r="D32" s="85"/>
      <c r="E32" s="85"/>
      <c r="F32" s="99">
        <f>+SUM(F22:H31)</f>
        <v>2361.1416666666669</v>
      </c>
      <c r="G32" s="99"/>
      <c r="H32" s="99"/>
      <c r="I32" s="86">
        <f>+SUM(I21:I31)</f>
        <v>283485.85458333336</v>
      </c>
    </row>
    <row r="33" spans="1:21" ht="15" x14ac:dyDescent="0.35">
      <c r="A33" s="27" t="s">
        <v>94</v>
      </c>
      <c r="B33" s="85"/>
      <c r="C33" s="85"/>
      <c r="D33" s="85"/>
      <c r="E33" s="85"/>
      <c r="F33" s="99">
        <f>+ROUND(F20+F32,-1)</f>
        <v>2730</v>
      </c>
      <c r="G33" s="99"/>
      <c r="H33" s="99"/>
      <c r="I33" s="86">
        <f>+ROUND(I20+I32,-3)</f>
        <v>327000</v>
      </c>
      <c r="K33" s="90">
        <f>F33</f>
        <v>2730</v>
      </c>
    </row>
    <row r="34" spans="1:21" ht="15" x14ac:dyDescent="0.35">
      <c r="A34" s="27" t="s">
        <v>95</v>
      </c>
      <c r="B34" s="85"/>
      <c r="C34" s="85"/>
      <c r="D34" s="85"/>
      <c r="E34" s="85"/>
      <c r="F34" s="91"/>
      <c r="G34" s="91"/>
      <c r="H34" s="91"/>
      <c r="I34" s="86">
        <f>'Capital O&amp;M'!G6</f>
        <v>533445</v>
      </c>
    </row>
    <row r="35" spans="1:21" ht="15" x14ac:dyDescent="0.35">
      <c r="A35" s="27" t="s">
        <v>196</v>
      </c>
      <c r="B35" s="85"/>
      <c r="C35" s="85"/>
      <c r="D35" s="85"/>
      <c r="E35" s="85"/>
      <c r="F35" s="91"/>
      <c r="G35" s="91"/>
      <c r="H35" s="91"/>
      <c r="I35" s="86">
        <f>+ROUND(I33+I34,-3)</f>
        <v>860000</v>
      </c>
      <c r="K35" s="92">
        <f>F33/(SUM(Responses!E5:E9))</f>
        <v>41.531440162271807</v>
      </c>
      <c r="L35" s="78" t="s">
        <v>71</v>
      </c>
    </row>
    <row r="37" spans="1:21" x14ac:dyDescent="0.35">
      <c r="A37" s="76" t="s">
        <v>58</v>
      </c>
      <c r="B37" s="60"/>
      <c r="C37" s="60"/>
      <c r="D37" s="60"/>
      <c r="E37" s="60"/>
      <c r="F37" s="60"/>
      <c r="G37" s="60"/>
      <c r="H37" s="60"/>
      <c r="I37" s="60"/>
      <c r="J37" s="60"/>
      <c r="K37" s="60"/>
      <c r="L37" s="60"/>
      <c r="M37" s="60"/>
      <c r="N37" s="60"/>
      <c r="O37" s="60"/>
      <c r="P37" s="60"/>
      <c r="Q37" s="60"/>
      <c r="R37" s="60"/>
      <c r="S37" s="60"/>
      <c r="T37" s="60"/>
      <c r="U37" s="60"/>
    </row>
    <row r="38" spans="1:21" ht="31.15" customHeight="1" x14ac:dyDescent="0.35">
      <c r="A38" s="101" t="s">
        <v>173</v>
      </c>
      <c r="B38" s="101"/>
      <c r="C38" s="101"/>
      <c r="D38" s="101"/>
      <c r="E38" s="101"/>
      <c r="F38" s="101"/>
      <c r="G38" s="101"/>
      <c r="H38" s="101"/>
      <c r="I38" s="101"/>
      <c r="J38" s="60"/>
      <c r="K38" s="60"/>
      <c r="L38" s="60"/>
      <c r="M38" s="60"/>
      <c r="N38" s="60"/>
      <c r="O38" s="60"/>
      <c r="P38" s="60"/>
      <c r="Q38" s="60"/>
      <c r="R38" s="60"/>
      <c r="S38" s="60"/>
      <c r="T38" s="60"/>
      <c r="U38" s="60"/>
    </row>
    <row r="39" spans="1:21" ht="70.5" customHeight="1" x14ac:dyDescent="0.35">
      <c r="A39" s="101" t="s">
        <v>174</v>
      </c>
      <c r="B39" s="101"/>
      <c r="C39" s="101"/>
      <c r="D39" s="101"/>
      <c r="E39" s="101"/>
      <c r="F39" s="101"/>
      <c r="G39" s="101"/>
      <c r="H39" s="101"/>
      <c r="I39" s="101"/>
      <c r="J39" s="60"/>
      <c r="K39" s="60"/>
      <c r="L39" s="60"/>
      <c r="M39" s="60"/>
      <c r="N39" s="60"/>
      <c r="O39" s="60"/>
      <c r="P39" s="60"/>
      <c r="Q39" s="60"/>
      <c r="R39" s="60"/>
      <c r="S39" s="60"/>
      <c r="T39" s="60"/>
      <c r="U39" s="60"/>
    </row>
    <row r="40" spans="1:21" ht="15.5" x14ac:dyDescent="0.35">
      <c r="A40" s="77" t="s">
        <v>175</v>
      </c>
      <c r="J40" s="60"/>
      <c r="K40" s="60"/>
      <c r="L40" s="60"/>
      <c r="M40" s="60"/>
      <c r="N40" s="60"/>
      <c r="O40" s="60"/>
      <c r="P40" s="60"/>
      <c r="Q40" s="60"/>
      <c r="R40" s="60"/>
      <c r="S40" s="60"/>
      <c r="T40" s="60"/>
      <c r="U40" s="60"/>
    </row>
    <row r="41" spans="1:21" ht="15.5" x14ac:dyDescent="0.35">
      <c r="A41" s="77" t="s">
        <v>176</v>
      </c>
    </row>
    <row r="42" spans="1:21" ht="15.5" x14ac:dyDescent="0.35">
      <c r="A42" s="77" t="s">
        <v>177</v>
      </c>
    </row>
    <row r="43" spans="1:21" ht="15.5" x14ac:dyDescent="0.35">
      <c r="A43" s="77" t="s">
        <v>178</v>
      </c>
    </row>
    <row r="44" spans="1:21" ht="15.5" x14ac:dyDescent="0.35">
      <c r="A44" s="77" t="s">
        <v>179</v>
      </c>
    </row>
    <row r="45" spans="1:21" ht="15.5" x14ac:dyDescent="0.35">
      <c r="A45" s="77" t="s">
        <v>180</v>
      </c>
    </row>
    <row r="46" spans="1:21" ht="15.5" x14ac:dyDescent="0.35">
      <c r="A46" s="77" t="s">
        <v>181</v>
      </c>
    </row>
    <row r="47" spans="1:21" ht="15.5" x14ac:dyDescent="0.35">
      <c r="A47" s="77" t="s">
        <v>182</v>
      </c>
    </row>
    <row r="48" spans="1:21" ht="15.5" x14ac:dyDescent="0.35">
      <c r="A48" s="68" t="s">
        <v>183</v>
      </c>
    </row>
    <row r="49" spans="1:1" x14ac:dyDescent="0.35">
      <c r="A49" s="68"/>
    </row>
    <row r="50" spans="1:1" x14ac:dyDescent="0.35">
      <c r="A50" s="68"/>
    </row>
  </sheetData>
  <mergeCells count="5">
    <mergeCell ref="F32:H32"/>
    <mergeCell ref="F33:H33"/>
    <mergeCell ref="F20:H20"/>
    <mergeCell ref="A39:I39"/>
    <mergeCell ref="A38:I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topLeftCell="A46" zoomScaleNormal="100" workbookViewId="0">
      <selection activeCell="A42" sqref="A42:I58"/>
    </sheetView>
  </sheetViews>
  <sheetFormatPr defaultRowHeight="14.5" x14ac:dyDescent="0.35"/>
  <cols>
    <col min="1" max="1" width="43.54296875" customWidth="1"/>
    <col min="2" max="2" width="10" customWidth="1"/>
    <col min="3" max="3" width="10.54296875" customWidth="1"/>
    <col min="5" max="5" width="10.81640625" customWidth="1"/>
    <col min="7" max="7" width="10" customWidth="1"/>
    <col min="8" max="8" width="10.7265625" customWidth="1"/>
    <col min="9" max="9" width="11.81640625" bestFit="1" customWidth="1"/>
    <col min="10" max="10" width="10.1796875" customWidth="1"/>
    <col min="11" max="11" width="13.1796875" customWidth="1"/>
  </cols>
  <sheetData>
    <row r="1" spans="1:32" x14ac:dyDescent="0.35">
      <c r="A1" s="1" t="s">
        <v>30</v>
      </c>
    </row>
    <row r="2" spans="1:32" x14ac:dyDescent="0.35">
      <c r="F2">
        <v>123.94</v>
      </c>
      <c r="G2">
        <v>157.61000000000001</v>
      </c>
      <c r="H2">
        <v>62.52</v>
      </c>
    </row>
    <row r="3" spans="1:32" ht="65" x14ac:dyDescent="0.35">
      <c r="A3" s="5" t="s">
        <v>1</v>
      </c>
      <c r="B3" s="5" t="s">
        <v>21</v>
      </c>
      <c r="C3" s="5" t="s">
        <v>22</v>
      </c>
      <c r="D3" s="5" t="s">
        <v>23</v>
      </c>
      <c r="E3" s="5" t="s">
        <v>24</v>
      </c>
      <c r="F3" s="5" t="s">
        <v>25</v>
      </c>
      <c r="G3" s="5" t="s">
        <v>26</v>
      </c>
      <c r="H3" s="5" t="s">
        <v>27</v>
      </c>
      <c r="I3" s="5" t="s">
        <v>28</v>
      </c>
    </row>
    <row r="4" spans="1:32" x14ac:dyDescent="0.35">
      <c r="A4" s="6" t="s">
        <v>2</v>
      </c>
      <c r="B4" s="12" t="s">
        <v>3</v>
      </c>
      <c r="C4" s="12"/>
      <c r="D4" s="12"/>
      <c r="E4" s="12"/>
      <c r="F4" s="12"/>
      <c r="G4" s="12"/>
      <c r="H4" s="12"/>
      <c r="I4" s="6"/>
    </row>
    <row r="5" spans="1:32" x14ac:dyDescent="0.35">
      <c r="A5" s="6" t="s">
        <v>4</v>
      </c>
      <c r="B5" s="12" t="s">
        <v>3</v>
      </c>
      <c r="C5" s="12"/>
      <c r="D5" s="12"/>
      <c r="E5" s="12"/>
      <c r="F5" s="12"/>
      <c r="G5" s="12"/>
      <c r="H5" s="12"/>
      <c r="I5" s="6"/>
    </row>
    <row r="6" spans="1:32" x14ac:dyDescent="0.35">
      <c r="A6" s="6" t="s">
        <v>5</v>
      </c>
      <c r="B6" s="12"/>
      <c r="C6" s="12"/>
      <c r="D6" s="12"/>
      <c r="E6" s="12"/>
      <c r="F6" s="12"/>
      <c r="G6" s="12"/>
      <c r="H6" s="12"/>
      <c r="I6" s="6"/>
      <c r="J6" s="56"/>
      <c r="K6" s="56"/>
      <c r="L6" s="56"/>
      <c r="M6" s="56"/>
      <c r="N6" s="56"/>
      <c r="O6" s="56"/>
      <c r="P6" s="56"/>
      <c r="Q6" s="56"/>
      <c r="R6" s="56"/>
      <c r="S6" s="56"/>
      <c r="T6" s="56"/>
      <c r="U6" s="56"/>
      <c r="V6" s="56"/>
      <c r="W6" s="56"/>
      <c r="X6" s="56"/>
      <c r="Y6" s="56"/>
      <c r="Z6" s="56"/>
      <c r="AA6" s="56"/>
      <c r="AB6" s="56"/>
      <c r="AC6" s="56"/>
      <c r="AD6" s="56"/>
      <c r="AE6" s="56"/>
      <c r="AF6" s="56"/>
    </row>
    <row r="7" spans="1:32" ht="15.5" x14ac:dyDescent="0.35">
      <c r="A7" s="7" t="s">
        <v>64</v>
      </c>
      <c r="B7" s="22">
        <v>1</v>
      </c>
      <c r="C7" s="12">
        <v>1</v>
      </c>
      <c r="D7" s="12">
        <f>+B7*C7</f>
        <v>1</v>
      </c>
      <c r="E7" s="12">
        <v>5</v>
      </c>
      <c r="F7" s="12">
        <f>+D7*E7</f>
        <v>5</v>
      </c>
      <c r="G7" s="12">
        <f>+F7*0.05</f>
        <v>0.25</v>
      </c>
      <c r="H7" s="12">
        <f>+F7*0.1</f>
        <v>0.5</v>
      </c>
      <c r="I7" s="9">
        <f>+$F$2*F7+$G$2*G7+$H$2*H7</f>
        <v>690.36250000000007</v>
      </c>
      <c r="J7" s="56"/>
      <c r="K7" s="56"/>
      <c r="L7" s="56"/>
      <c r="M7" s="56"/>
      <c r="N7" s="56"/>
      <c r="O7" s="56"/>
      <c r="P7" s="56"/>
      <c r="Q7" s="56"/>
      <c r="R7" s="56"/>
      <c r="S7" s="56"/>
      <c r="T7" s="56"/>
      <c r="U7" s="56"/>
      <c r="V7" s="56"/>
      <c r="W7" s="56"/>
      <c r="X7" s="56"/>
      <c r="Y7" s="56"/>
      <c r="Z7" s="56"/>
      <c r="AA7" s="56"/>
      <c r="AB7" s="56"/>
      <c r="AC7" s="56"/>
      <c r="AD7" s="56"/>
      <c r="AE7" s="56"/>
      <c r="AF7" s="56"/>
    </row>
    <row r="8" spans="1:32" x14ac:dyDescent="0.35">
      <c r="A8" s="7" t="s">
        <v>6</v>
      </c>
      <c r="B8" s="12"/>
      <c r="C8" s="12"/>
      <c r="D8" s="12"/>
      <c r="E8" s="12"/>
      <c r="F8" s="12"/>
      <c r="G8" s="12"/>
      <c r="H8" s="12"/>
      <c r="I8" s="8"/>
      <c r="J8" s="56"/>
      <c r="K8" s="71"/>
      <c r="L8" s="56"/>
      <c r="M8" s="56"/>
      <c r="N8" s="56"/>
      <c r="O8" s="56"/>
      <c r="P8" s="56"/>
      <c r="Q8" s="56"/>
      <c r="R8" s="56"/>
      <c r="S8" s="56"/>
      <c r="T8" s="56"/>
      <c r="U8" s="56"/>
      <c r="V8" s="56"/>
      <c r="W8" s="56"/>
      <c r="X8" s="56"/>
      <c r="Y8" s="56"/>
      <c r="Z8" s="56"/>
      <c r="AA8" s="56"/>
      <c r="AB8" s="56"/>
      <c r="AC8" s="56"/>
      <c r="AD8" s="56"/>
      <c r="AE8" s="56"/>
      <c r="AF8" s="56"/>
    </row>
    <row r="9" spans="1:32" ht="15.5" x14ac:dyDescent="0.35">
      <c r="A9" s="6" t="s">
        <v>29</v>
      </c>
      <c r="B9" s="12">
        <v>980</v>
      </c>
      <c r="C9" s="12">
        <v>1</v>
      </c>
      <c r="D9" s="12">
        <f t="shared" ref="D9:D33" si="0">+B9*C9</f>
        <v>980</v>
      </c>
      <c r="E9" s="12">
        <v>0</v>
      </c>
      <c r="F9" s="12">
        <f t="shared" ref="F9:F25" si="1">+D9*E9</f>
        <v>0</v>
      </c>
      <c r="G9" s="12">
        <f t="shared" ref="G9:G25" si="2">+F9*0.05</f>
        <v>0</v>
      </c>
      <c r="H9" s="12">
        <f t="shared" ref="H9:H25" si="3">+F9*0.1</f>
        <v>0</v>
      </c>
      <c r="I9" s="8">
        <f t="shared" ref="I9:I25" si="4">+$F$2*F9+$G$2*G9+$H$2*H9</f>
        <v>0</v>
      </c>
      <c r="J9" s="56"/>
      <c r="K9" s="56"/>
      <c r="L9" s="56"/>
      <c r="M9" s="56"/>
      <c r="N9" s="56"/>
      <c r="O9" s="56"/>
      <c r="P9" s="56"/>
      <c r="Q9" s="56"/>
      <c r="R9" s="56"/>
      <c r="S9" s="56"/>
      <c r="T9" s="56"/>
      <c r="U9" s="56"/>
      <c r="V9" s="56"/>
      <c r="W9" s="56"/>
      <c r="X9" s="56"/>
      <c r="Y9" s="56"/>
      <c r="Z9" s="56"/>
      <c r="AA9" s="56"/>
      <c r="AB9" s="56"/>
      <c r="AC9" s="56"/>
      <c r="AD9" s="56"/>
      <c r="AE9" s="56"/>
      <c r="AF9" s="56"/>
    </row>
    <row r="10" spans="1:32" ht="15.5" x14ac:dyDescent="0.35">
      <c r="A10" s="6" t="s">
        <v>70</v>
      </c>
      <c r="B10" s="12">
        <v>980</v>
      </c>
      <c r="C10" s="12">
        <v>0.2</v>
      </c>
      <c r="D10" s="12">
        <f t="shared" si="0"/>
        <v>196</v>
      </c>
      <c r="E10" s="12">
        <v>0</v>
      </c>
      <c r="F10" s="12">
        <f t="shared" si="1"/>
        <v>0</v>
      </c>
      <c r="G10" s="12">
        <f t="shared" si="2"/>
        <v>0</v>
      </c>
      <c r="H10" s="12">
        <f t="shared" si="3"/>
        <v>0</v>
      </c>
      <c r="I10" s="8">
        <f t="shared" si="4"/>
        <v>0</v>
      </c>
      <c r="J10" s="56"/>
      <c r="K10" s="56"/>
      <c r="L10" s="56"/>
      <c r="M10" s="56"/>
      <c r="N10" s="56"/>
      <c r="O10" s="56"/>
      <c r="P10" s="56"/>
      <c r="Q10" s="56"/>
      <c r="R10" s="56"/>
      <c r="S10" s="56"/>
      <c r="T10" s="56"/>
      <c r="U10" s="56"/>
      <c r="V10" s="56"/>
      <c r="W10" s="56"/>
      <c r="X10" s="56"/>
      <c r="Y10" s="56"/>
      <c r="Z10" s="56"/>
      <c r="AA10" s="56"/>
      <c r="AB10" s="56"/>
      <c r="AC10" s="56"/>
      <c r="AD10" s="56"/>
      <c r="AE10" s="56"/>
      <c r="AF10" s="56"/>
    </row>
    <row r="11" spans="1:32" ht="15.5" x14ac:dyDescent="0.35">
      <c r="A11" s="6" t="s">
        <v>87</v>
      </c>
      <c r="B11" s="12">
        <v>40</v>
      </c>
      <c r="C11" s="12">
        <v>1</v>
      </c>
      <c r="D11" s="12">
        <f t="shared" si="0"/>
        <v>40</v>
      </c>
      <c r="E11" s="12">
        <v>0</v>
      </c>
      <c r="F11" s="12">
        <f t="shared" si="1"/>
        <v>0</v>
      </c>
      <c r="G11" s="12">
        <f t="shared" si="2"/>
        <v>0</v>
      </c>
      <c r="H11" s="12">
        <f t="shared" si="3"/>
        <v>0</v>
      </c>
      <c r="I11" s="8">
        <f t="shared" si="4"/>
        <v>0</v>
      </c>
      <c r="J11" s="56"/>
      <c r="K11" s="56"/>
      <c r="L11" s="56"/>
      <c r="M11" s="56"/>
      <c r="N11" s="56"/>
      <c r="O11" s="56"/>
      <c r="P11" s="56"/>
      <c r="Q11" s="56"/>
      <c r="R11" s="56"/>
      <c r="S11" s="56"/>
      <c r="T11" s="56"/>
      <c r="U11" s="56"/>
      <c r="V11" s="56"/>
      <c r="W11" s="56"/>
      <c r="X11" s="56"/>
      <c r="Y11" s="56"/>
      <c r="Z11" s="56"/>
      <c r="AA11" s="56"/>
      <c r="AB11" s="56"/>
      <c r="AC11" s="56"/>
      <c r="AD11" s="56"/>
      <c r="AE11" s="56"/>
      <c r="AF11" s="56"/>
    </row>
    <row r="12" spans="1:32" x14ac:dyDescent="0.35">
      <c r="A12" s="7" t="s">
        <v>7</v>
      </c>
      <c r="B12" s="12">
        <v>8</v>
      </c>
      <c r="C12" s="12">
        <v>1</v>
      </c>
      <c r="D12" s="12">
        <f t="shared" ref="D12" si="5">+B12*C12</f>
        <v>8</v>
      </c>
      <c r="E12" s="12">
        <v>5</v>
      </c>
      <c r="F12" s="12">
        <f t="shared" ref="F12" si="6">+D12*E12</f>
        <v>40</v>
      </c>
      <c r="G12" s="12">
        <f t="shared" ref="G12" si="7">+F12*0.05</f>
        <v>2</v>
      </c>
      <c r="H12" s="12">
        <f t="shared" ref="H12" si="8">+F12*0.1</f>
        <v>4</v>
      </c>
      <c r="I12" s="9">
        <f t="shared" ref="I12" si="9">+$F$2*F12+$G$2*G12+$H$2*H12</f>
        <v>5522.9000000000005</v>
      </c>
      <c r="J12" s="56"/>
      <c r="K12" s="56"/>
      <c r="L12" s="56"/>
      <c r="M12" s="56"/>
      <c r="N12" s="56"/>
      <c r="O12" s="56"/>
      <c r="P12" s="56"/>
      <c r="Q12" s="56"/>
      <c r="R12" s="56"/>
      <c r="S12" s="56"/>
      <c r="T12" s="56"/>
      <c r="U12" s="56"/>
      <c r="V12" s="56"/>
      <c r="W12" s="56"/>
      <c r="X12" s="56"/>
      <c r="Y12" s="56"/>
      <c r="Z12" s="56"/>
      <c r="AA12" s="56"/>
      <c r="AB12" s="56"/>
      <c r="AC12" s="56"/>
      <c r="AD12" s="56"/>
      <c r="AE12" s="56"/>
      <c r="AF12" s="56"/>
    </row>
    <row r="13" spans="1:32" x14ac:dyDescent="0.35">
      <c r="A13" s="7" t="s">
        <v>8</v>
      </c>
      <c r="B13" s="12"/>
      <c r="C13" s="12"/>
      <c r="D13" s="12"/>
      <c r="E13" s="12"/>
      <c r="F13" s="12"/>
      <c r="G13" s="12"/>
      <c r="H13" s="12"/>
      <c r="I13" s="8"/>
      <c r="J13" s="56"/>
      <c r="K13" s="56"/>
      <c r="L13" s="56"/>
      <c r="M13" s="56"/>
      <c r="N13" s="56"/>
      <c r="O13" s="56"/>
      <c r="P13" s="56"/>
      <c r="Q13" s="56"/>
      <c r="R13" s="56"/>
      <c r="S13" s="56"/>
      <c r="T13" s="56"/>
      <c r="U13" s="56"/>
      <c r="V13" s="56"/>
      <c r="W13" s="56"/>
      <c r="X13" s="56"/>
      <c r="Y13" s="56"/>
      <c r="Z13" s="56"/>
      <c r="AA13" s="56"/>
      <c r="AB13" s="56"/>
      <c r="AC13" s="56"/>
      <c r="AD13" s="56"/>
      <c r="AE13" s="56"/>
      <c r="AF13" s="56"/>
    </row>
    <row r="14" spans="1:32" x14ac:dyDescent="0.35">
      <c r="A14" s="7" t="s">
        <v>9</v>
      </c>
      <c r="B14" s="12"/>
      <c r="C14" s="12"/>
      <c r="D14" s="12"/>
      <c r="E14" s="12"/>
      <c r="F14" s="12"/>
      <c r="G14" s="12"/>
      <c r="H14" s="12"/>
      <c r="I14" s="8"/>
      <c r="J14" s="56"/>
      <c r="K14" s="56"/>
      <c r="L14" s="56"/>
      <c r="M14" s="56"/>
      <c r="N14" s="56"/>
      <c r="O14" s="56"/>
      <c r="P14" s="56"/>
      <c r="Q14" s="56"/>
      <c r="R14" s="56"/>
      <c r="S14" s="56"/>
      <c r="T14" s="56"/>
      <c r="U14" s="56"/>
      <c r="V14" s="56"/>
      <c r="W14" s="56"/>
      <c r="X14" s="56"/>
      <c r="Y14" s="56"/>
      <c r="Z14" s="56"/>
      <c r="AA14" s="56"/>
      <c r="AB14" s="56"/>
      <c r="AC14" s="56"/>
      <c r="AD14" s="56"/>
      <c r="AE14" s="56"/>
      <c r="AF14" s="56"/>
    </row>
    <row r="15" spans="1:32" ht="15.5" x14ac:dyDescent="0.35">
      <c r="A15" s="6" t="s">
        <v>81</v>
      </c>
      <c r="B15" s="12">
        <v>2</v>
      </c>
      <c r="C15" s="12">
        <v>1</v>
      </c>
      <c r="D15" s="12">
        <f t="shared" si="0"/>
        <v>2</v>
      </c>
      <c r="E15" s="12">
        <v>0</v>
      </c>
      <c r="F15" s="12">
        <f t="shared" si="1"/>
        <v>0</v>
      </c>
      <c r="G15" s="12">
        <f t="shared" si="2"/>
        <v>0</v>
      </c>
      <c r="H15" s="12">
        <f t="shared" si="3"/>
        <v>0</v>
      </c>
      <c r="I15" s="8">
        <f t="shared" si="4"/>
        <v>0</v>
      </c>
    </row>
    <row r="16" spans="1:32" ht="15.5" x14ac:dyDescent="0.35">
      <c r="A16" s="6" t="s">
        <v>82</v>
      </c>
      <c r="B16" s="12">
        <v>2</v>
      </c>
      <c r="C16" s="12">
        <v>1</v>
      </c>
      <c r="D16" s="12">
        <f t="shared" si="0"/>
        <v>2</v>
      </c>
      <c r="E16" s="12">
        <v>0</v>
      </c>
      <c r="F16" s="12">
        <f t="shared" si="1"/>
        <v>0</v>
      </c>
      <c r="G16" s="12">
        <f t="shared" si="2"/>
        <v>0</v>
      </c>
      <c r="H16" s="12">
        <f t="shared" si="3"/>
        <v>0</v>
      </c>
      <c r="I16" s="8">
        <f t="shared" si="4"/>
        <v>0</v>
      </c>
    </row>
    <row r="17" spans="1:9" ht="15.5" x14ac:dyDescent="0.35">
      <c r="A17" s="6" t="s">
        <v>83</v>
      </c>
      <c r="B17" s="12">
        <v>2</v>
      </c>
      <c r="C17" s="12">
        <v>1</v>
      </c>
      <c r="D17" s="12">
        <f t="shared" si="0"/>
        <v>2</v>
      </c>
      <c r="E17" s="12">
        <v>0</v>
      </c>
      <c r="F17" s="12">
        <f t="shared" si="1"/>
        <v>0</v>
      </c>
      <c r="G17" s="12">
        <f t="shared" si="2"/>
        <v>0</v>
      </c>
      <c r="H17" s="12">
        <f t="shared" si="3"/>
        <v>0</v>
      </c>
      <c r="I17" s="8">
        <f t="shared" si="4"/>
        <v>0</v>
      </c>
    </row>
    <row r="18" spans="1:9" ht="15.5" x14ac:dyDescent="0.35">
      <c r="A18" s="6" t="s">
        <v>84</v>
      </c>
      <c r="B18" s="12">
        <v>2</v>
      </c>
      <c r="C18" s="12">
        <v>1</v>
      </c>
      <c r="D18" s="12">
        <f t="shared" si="0"/>
        <v>2</v>
      </c>
      <c r="E18" s="12">
        <v>0</v>
      </c>
      <c r="F18" s="12">
        <f t="shared" si="1"/>
        <v>0</v>
      </c>
      <c r="G18" s="12">
        <f t="shared" si="2"/>
        <v>0</v>
      </c>
      <c r="H18" s="12">
        <f t="shared" si="3"/>
        <v>0</v>
      </c>
      <c r="I18" s="8">
        <f t="shared" si="4"/>
        <v>0</v>
      </c>
    </row>
    <row r="19" spans="1:9" ht="15.5" x14ac:dyDescent="0.35">
      <c r="A19" s="21" t="s">
        <v>85</v>
      </c>
      <c r="B19" s="22">
        <v>2</v>
      </c>
      <c r="C19" s="22">
        <v>1</v>
      </c>
      <c r="D19" s="22">
        <f t="shared" si="0"/>
        <v>2</v>
      </c>
      <c r="E19" s="22">
        <v>0</v>
      </c>
      <c r="F19" s="22">
        <f t="shared" si="1"/>
        <v>0</v>
      </c>
      <c r="G19" s="22">
        <f t="shared" si="2"/>
        <v>0</v>
      </c>
      <c r="H19" s="22">
        <f t="shared" si="3"/>
        <v>0</v>
      </c>
      <c r="I19" s="23">
        <f t="shared" si="4"/>
        <v>0</v>
      </c>
    </row>
    <row r="20" spans="1:9" ht="15.5" x14ac:dyDescent="0.35">
      <c r="A20" s="6" t="s">
        <v>86</v>
      </c>
      <c r="B20" s="12">
        <v>2</v>
      </c>
      <c r="C20" s="12">
        <v>1</v>
      </c>
      <c r="D20" s="12">
        <f t="shared" si="0"/>
        <v>2</v>
      </c>
      <c r="E20" s="12">
        <v>0</v>
      </c>
      <c r="F20" s="12">
        <f t="shared" si="1"/>
        <v>0</v>
      </c>
      <c r="G20" s="12">
        <f t="shared" si="2"/>
        <v>0</v>
      </c>
      <c r="H20" s="12">
        <f t="shared" si="3"/>
        <v>0</v>
      </c>
      <c r="I20" s="8">
        <f t="shared" si="4"/>
        <v>0</v>
      </c>
    </row>
    <row r="21" spans="1:9" ht="28.5" x14ac:dyDescent="0.35">
      <c r="A21" s="4" t="s">
        <v>88</v>
      </c>
      <c r="B21" s="12">
        <v>2</v>
      </c>
      <c r="C21" s="12">
        <v>1</v>
      </c>
      <c r="D21" s="12">
        <f t="shared" si="0"/>
        <v>2</v>
      </c>
      <c r="E21" s="12">
        <v>0</v>
      </c>
      <c r="F21" s="12">
        <f t="shared" si="1"/>
        <v>0</v>
      </c>
      <c r="G21" s="12">
        <f t="shared" si="2"/>
        <v>0</v>
      </c>
      <c r="H21" s="12">
        <f t="shared" si="3"/>
        <v>0</v>
      </c>
      <c r="I21" s="8">
        <f t="shared" si="4"/>
        <v>0</v>
      </c>
    </row>
    <row r="22" spans="1:9" x14ac:dyDescent="0.35">
      <c r="A22" s="6" t="s">
        <v>10</v>
      </c>
      <c r="B22" s="12" t="s">
        <v>62</v>
      </c>
      <c r="C22" s="12"/>
      <c r="D22" s="12"/>
      <c r="E22" s="22"/>
      <c r="F22" s="12"/>
      <c r="G22" s="12"/>
      <c r="H22" s="12"/>
      <c r="I22" s="8"/>
    </row>
    <row r="23" spans="1:9" ht="15.5" x14ac:dyDescent="0.35">
      <c r="A23" s="6" t="s">
        <v>89</v>
      </c>
      <c r="B23" s="12">
        <v>16</v>
      </c>
      <c r="C23" s="12">
        <v>2</v>
      </c>
      <c r="D23" s="12">
        <f t="shared" si="0"/>
        <v>32</v>
      </c>
      <c r="E23" s="22">
        <f>0.2*E7</f>
        <v>1</v>
      </c>
      <c r="F23" s="19">
        <f t="shared" si="1"/>
        <v>32</v>
      </c>
      <c r="G23" s="12">
        <f t="shared" si="2"/>
        <v>1.6</v>
      </c>
      <c r="H23" s="12">
        <f t="shared" si="3"/>
        <v>3.2</v>
      </c>
      <c r="I23" s="9">
        <f t="shared" si="4"/>
        <v>4418.3200000000006</v>
      </c>
    </row>
    <row r="24" spans="1:9" ht="15.5" x14ac:dyDescent="0.35">
      <c r="A24" s="6" t="s">
        <v>91</v>
      </c>
      <c r="B24" s="12">
        <v>1</v>
      </c>
      <c r="C24" s="12">
        <v>2</v>
      </c>
      <c r="D24" s="12">
        <f t="shared" si="0"/>
        <v>2</v>
      </c>
      <c r="E24" s="22">
        <f>0.8*E7</f>
        <v>4</v>
      </c>
      <c r="F24" s="12">
        <f t="shared" si="1"/>
        <v>8</v>
      </c>
      <c r="G24" s="12">
        <f t="shared" si="2"/>
        <v>0.4</v>
      </c>
      <c r="H24" s="12">
        <f t="shared" si="3"/>
        <v>0.8</v>
      </c>
      <c r="I24" s="9">
        <f t="shared" si="4"/>
        <v>1104.5800000000002</v>
      </c>
    </row>
    <row r="25" spans="1:9" ht="15.5" x14ac:dyDescent="0.35">
      <c r="A25" s="21" t="s">
        <v>153</v>
      </c>
      <c r="B25" s="12">
        <v>40</v>
      </c>
      <c r="C25" s="12">
        <v>1</v>
      </c>
      <c r="D25" s="12">
        <f t="shared" si="0"/>
        <v>40</v>
      </c>
      <c r="E25" s="22">
        <v>0</v>
      </c>
      <c r="F25" s="12">
        <f t="shared" si="1"/>
        <v>0</v>
      </c>
      <c r="G25" s="12">
        <f t="shared" si="2"/>
        <v>0</v>
      </c>
      <c r="H25" s="12">
        <f t="shared" si="3"/>
        <v>0</v>
      </c>
      <c r="I25" s="8">
        <f t="shared" si="4"/>
        <v>0</v>
      </c>
    </row>
    <row r="26" spans="1:9" x14ac:dyDescent="0.35">
      <c r="A26" s="10" t="s">
        <v>11</v>
      </c>
      <c r="B26" s="13"/>
      <c r="C26" s="13"/>
      <c r="D26" s="12"/>
      <c r="E26" s="13"/>
      <c r="F26" s="102">
        <f>+SUM(F7:H25)</f>
        <v>97.75</v>
      </c>
      <c r="G26" s="102"/>
      <c r="H26" s="102"/>
      <c r="I26" s="11">
        <f>+SUM(I7:I25)</f>
        <v>11736.1625</v>
      </c>
    </row>
    <row r="27" spans="1:9" x14ac:dyDescent="0.35">
      <c r="A27" s="6" t="s">
        <v>12</v>
      </c>
      <c r="B27" s="12"/>
      <c r="C27" s="12"/>
      <c r="D27" s="12"/>
      <c r="E27" s="12"/>
      <c r="F27" s="12"/>
      <c r="G27" s="12"/>
      <c r="H27" s="12"/>
      <c r="I27" s="6"/>
    </row>
    <row r="28" spans="1:9" ht="15.5" x14ac:dyDescent="0.35">
      <c r="A28" s="7" t="s">
        <v>64</v>
      </c>
      <c r="B28" s="12" t="s">
        <v>63</v>
      </c>
      <c r="C28" s="12"/>
      <c r="D28" s="12"/>
      <c r="E28" s="12"/>
      <c r="F28" s="12"/>
      <c r="G28" s="12"/>
      <c r="H28" s="12"/>
      <c r="I28" s="6"/>
    </row>
    <row r="29" spans="1:9" x14ac:dyDescent="0.35">
      <c r="A29" s="7" t="s">
        <v>13</v>
      </c>
      <c r="B29" s="12" t="s">
        <v>62</v>
      </c>
      <c r="C29" s="12"/>
      <c r="D29" s="12"/>
      <c r="E29" s="12"/>
      <c r="F29" s="12"/>
      <c r="G29" s="12"/>
      <c r="H29" s="12"/>
      <c r="I29" s="6"/>
    </row>
    <row r="30" spans="1:9" x14ac:dyDescent="0.35">
      <c r="A30" s="7" t="s">
        <v>14</v>
      </c>
      <c r="B30" s="12" t="s">
        <v>62</v>
      </c>
      <c r="C30" s="12"/>
      <c r="D30" s="12"/>
      <c r="E30" s="12"/>
      <c r="F30" s="12"/>
      <c r="G30" s="12"/>
      <c r="H30" s="12"/>
      <c r="I30" s="6"/>
    </row>
    <row r="31" spans="1:9" x14ac:dyDescent="0.35">
      <c r="A31" s="7" t="s">
        <v>15</v>
      </c>
      <c r="B31" s="12" t="s">
        <v>3</v>
      </c>
      <c r="C31" s="12"/>
      <c r="D31" s="12"/>
      <c r="E31" s="12"/>
      <c r="F31" s="12"/>
      <c r="G31" s="12"/>
      <c r="H31" s="12"/>
      <c r="I31" s="6"/>
    </row>
    <row r="32" spans="1:9" x14ac:dyDescent="0.35">
      <c r="A32" s="7" t="s">
        <v>16</v>
      </c>
      <c r="B32" s="12"/>
      <c r="C32" s="12"/>
      <c r="D32" s="12"/>
      <c r="E32" s="12"/>
      <c r="F32" s="12"/>
      <c r="G32" s="12"/>
      <c r="H32" s="12"/>
      <c r="I32" s="6"/>
    </row>
    <row r="33" spans="1:18" ht="15.5" x14ac:dyDescent="0.35">
      <c r="A33" s="6" t="s">
        <v>92</v>
      </c>
      <c r="B33" s="12">
        <v>9</v>
      </c>
      <c r="C33" s="12">
        <v>52</v>
      </c>
      <c r="D33" s="12">
        <f t="shared" si="0"/>
        <v>468</v>
      </c>
      <c r="E33" s="12">
        <v>5</v>
      </c>
      <c r="F33" s="17">
        <f>+D33*E33</f>
        <v>2340</v>
      </c>
      <c r="G33" s="18">
        <f t="shared" ref="G33" si="10">+F33*0.05</f>
        <v>117</v>
      </c>
      <c r="H33" s="12">
        <f t="shared" ref="H33" si="11">+F33*0.1</f>
        <v>234</v>
      </c>
      <c r="I33" s="9">
        <f t="shared" ref="I33" si="12">+$F$2*F33+$G$2*G33+$H$2*H33</f>
        <v>323089.64999999997</v>
      </c>
    </row>
    <row r="34" spans="1:18" x14ac:dyDescent="0.35">
      <c r="A34" s="7" t="s">
        <v>18</v>
      </c>
      <c r="B34" s="12" t="s">
        <v>3</v>
      </c>
      <c r="C34" s="12"/>
      <c r="D34" s="12"/>
      <c r="E34" s="12"/>
      <c r="F34" s="17"/>
      <c r="G34" s="18"/>
      <c r="H34" s="12"/>
      <c r="I34" s="9"/>
    </row>
    <row r="35" spans="1:18" x14ac:dyDescent="0.35">
      <c r="A35" s="7" t="s">
        <v>19</v>
      </c>
      <c r="B35" s="12" t="s">
        <v>3</v>
      </c>
      <c r="C35" s="12"/>
      <c r="D35" s="12"/>
      <c r="E35" s="12"/>
      <c r="F35" s="17"/>
      <c r="G35" s="18"/>
      <c r="H35" s="12"/>
      <c r="I35" s="9"/>
    </row>
    <row r="36" spans="1:18" ht="15.5" x14ac:dyDescent="0.35">
      <c r="A36" s="67" t="s">
        <v>161</v>
      </c>
      <c r="B36" s="12">
        <v>8</v>
      </c>
      <c r="C36" s="12">
        <v>1</v>
      </c>
      <c r="D36" s="12">
        <f>B36*C36</f>
        <v>8</v>
      </c>
      <c r="E36" s="22">
        <v>6.5</v>
      </c>
      <c r="F36" s="17">
        <f t="shared" ref="F36" si="13">+D36*E36</f>
        <v>52</v>
      </c>
      <c r="G36" s="18">
        <f t="shared" ref="G36" si="14">+F36*0.05</f>
        <v>2.6</v>
      </c>
      <c r="H36" s="12">
        <f t="shared" ref="H36" si="15">+F36*0.1</f>
        <v>5.2</v>
      </c>
      <c r="I36" s="9">
        <f t="shared" ref="I36" si="16">+$F$2*F36+$G$2*G36+$H$2*H36</f>
        <v>7179.77</v>
      </c>
      <c r="J36" s="65"/>
      <c r="K36" s="66"/>
      <c r="L36" s="66"/>
      <c r="M36" s="66"/>
      <c r="N36" s="66"/>
      <c r="O36" s="25">
        <f>F38/20</f>
        <v>142.5</v>
      </c>
      <c r="P36" t="s">
        <v>71</v>
      </c>
    </row>
    <row r="37" spans="1:18" x14ac:dyDescent="0.35">
      <c r="A37" s="27" t="s">
        <v>20</v>
      </c>
      <c r="B37" s="13"/>
      <c r="C37" s="13"/>
      <c r="D37" s="13"/>
      <c r="E37" s="13"/>
      <c r="F37" s="102">
        <f>+SUM(F28:H36)</f>
        <v>2750.7999999999997</v>
      </c>
      <c r="G37" s="102"/>
      <c r="H37" s="102"/>
      <c r="I37" s="11">
        <f>+SUM(I27:I36)</f>
        <v>330269.42</v>
      </c>
      <c r="J37" s="65"/>
      <c r="K37" s="66"/>
      <c r="L37" s="66"/>
      <c r="M37" s="66"/>
      <c r="N37" s="66"/>
    </row>
    <row r="38" spans="1:18" ht="15" x14ac:dyDescent="0.35">
      <c r="A38" s="27" t="s">
        <v>162</v>
      </c>
      <c r="B38" s="13"/>
      <c r="C38" s="13"/>
      <c r="D38" s="13"/>
      <c r="E38" s="13"/>
      <c r="F38" s="102">
        <f>+ROUND(F26+F37,-1)</f>
        <v>2850</v>
      </c>
      <c r="G38" s="102"/>
      <c r="H38" s="102"/>
      <c r="I38" s="11">
        <f>+ROUND(I26+I37,-3)</f>
        <v>342000</v>
      </c>
      <c r="J38" s="24"/>
      <c r="K38" s="24">
        <f>F38</f>
        <v>2850</v>
      </c>
    </row>
    <row r="39" spans="1:18" ht="15" x14ac:dyDescent="0.35">
      <c r="A39" s="27" t="s">
        <v>163</v>
      </c>
      <c r="B39" s="13"/>
      <c r="C39" s="13"/>
      <c r="D39" s="13"/>
      <c r="E39" s="13"/>
      <c r="F39" s="20"/>
      <c r="G39" s="20"/>
      <c r="H39" s="20"/>
      <c r="I39" s="11">
        <f>ROUND(SUM('Capital O&amp;M'!G8:G12),-2)</f>
        <v>47000</v>
      </c>
      <c r="J39" s="2"/>
    </row>
    <row r="40" spans="1:18" ht="15" x14ac:dyDescent="0.35">
      <c r="A40" s="10" t="s">
        <v>93</v>
      </c>
      <c r="B40" s="13"/>
      <c r="C40" s="13"/>
      <c r="D40" s="13"/>
      <c r="E40" s="13"/>
      <c r="F40" s="20"/>
      <c r="G40" s="20"/>
      <c r="H40" s="20"/>
      <c r="I40" s="11">
        <f>+ROUND(I38+I39,-3)</f>
        <v>389000</v>
      </c>
      <c r="K40">
        <f>F38/Responses!E11</f>
        <v>285</v>
      </c>
      <c r="L40" t="s">
        <v>71</v>
      </c>
    </row>
    <row r="42" spans="1:18" ht="15.5" x14ac:dyDescent="0.35">
      <c r="A42" s="105" t="s">
        <v>58</v>
      </c>
      <c r="B42" s="105"/>
      <c r="C42" s="16"/>
      <c r="J42" s="56"/>
      <c r="K42" s="56"/>
      <c r="L42" s="56"/>
      <c r="M42" s="56"/>
      <c r="N42" s="56"/>
      <c r="O42" s="56"/>
      <c r="P42" s="56"/>
      <c r="Q42" s="56"/>
      <c r="R42" s="56"/>
    </row>
    <row r="43" spans="1:18" ht="15.5" x14ac:dyDescent="0.35">
      <c r="A43" s="58" t="s">
        <v>154</v>
      </c>
      <c r="B43" s="58"/>
      <c r="C43" s="56"/>
      <c r="D43" s="56"/>
      <c r="E43" s="56"/>
      <c r="F43" s="56"/>
      <c r="G43" s="56"/>
      <c r="H43" s="56"/>
      <c r="I43" s="56"/>
      <c r="J43" s="56"/>
      <c r="K43" s="56"/>
      <c r="L43" s="56"/>
      <c r="M43" s="56"/>
      <c r="N43" s="56"/>
      <c r="O43" s="56"/>
      <c r="P43" s="56"/>
      <c r="Q43" s="56"/>
      <c r="R43" s="56"/>
    </row>
    <row r="44" spans="1:18" ht="69.75" customHeight="1" x14ac:dyDescent="0.35">
      <c r="A44" s="103" t="s">
        <v>152</v>
      </c>
      <c r="B44" s="103"/>
      <c r="C44" s="103"/>
      <c r="D44" s="103"/>
      <c r="E44" s="103"/>
      <c r="F44" s="103"/>
      <c r="G44" s="103"/>
      <c r="H44" s="103"/>
      <c r="I44" s="103"/>
      <c r="J44" s="57"/>
      <c r="K44" s="56"/>
      <c r="L44" s="56"/>
      <c r="M44" s="56"/>
      <c r="N44" s="56"/>
      <c r="O44" s="56"/>
      <c r="P44" s="56"/>
      <c r="Q44" s="56"/>
      <c r="R44" s="56"/>
    </row>
    <row r="45" spans="1:18" ht="15.5" x14ac:dyDescent="0.35">
      <c r="A45" s="15" t="s">
        <v>67</v>
      </c>
      <c r="B45" s="15"/>
      <c r="J45" s="56"/>
      <c r="K45" s="56"/>
      <c r="L45" s="56"/>
      <c r="M45" s="56"/>
      <c r="N45" s="56"/>
      <c r="O45" s="56"/>
      <c r="P45" s="56"/>
      <c r="Q45" s="56"/>
      <c r="R45" s="56"/>
    </row>
    <row r="46" spans="1:18" ht="15.5" x14ac:dyDescent="0.35">
      <c r="A46" s="15" t="s">
        <v>60</v>
      </c>
      <c r="B46" s="15"/>
    </row>
    <row r="47" spans="1:18" ht="15.5" x14ac:dyDescent="0.35">
      <c r="A47" s="15" t="s">
        <v>68</v>
      </c>
      <c r="B47" s="15"/>
    </row>
    <row r="48" spans="1:18" ht="15.5" x14ac:dyDescent="0.35">
      <c r="A48" s="26" t="s">
        <v>75</v>
      </c>
      <c r="B48" s="15"/>
    </row>
    <row r="49" spans="1:9" ht="15.5" x14ac:dyDescent="0.35">
      <c r="A49" s="26" t="s">
        <v>76</v>
      </c>
      <c r="B49" s="15"/>
    </row>
    <row r="50" spans="1:9" ht="15.5" x14ac:dyDescent="0.35">
      <c r="A50" s="26" t="s">
        <v>77</v>
      </c>
      <c r="B50" s="15"/>
    </row>
    <row r="51" spans="1:9" ht="15.5" x14ac:dyDescent="0.35">
      <c r="A51" s="15" t="s">
        <v>73</v>
      </c>
      <c r="B51" s="15"/>
    </row>
    <row r="52" spans="1:9" ht="15.5" x14ac:dyDescent="0.35">
      <c r="A52" s="26" t="s">
        <v>78</v>
      </c>
      <c r="B52" s="15"/>
    </row>
    <row r="53" spans="1:9" ht="15.5" x14ac:dyDescent="0.35">
      <c r="A53" s="26" t="s">
        <v>90</v>
      </c>
      <c r="B53" s="15"/>
    </row>
    <row r="54" spans="1:9" ht="15.5" x14ac:dyDescent="0.35">
      <c r="A54" s="26" t="s">
        <v>79</v>
      </c>
      <c r="B54" s="15"/>
    </row>
    <row r="55" spans="1:9" ht="15.5" x14ac:dyDescent="0.35">
      <c r="A55" s="15" t="s">
        <v>74</v>
      </c>
      <c r="B55" s="15"/>
    </row>
    <row r="56" spans="1:9" ht="15" customHeight="1" x14ac:dyDescent="0.35">
      <c r="A56" s="26" t="s">
        <v>80</v>
      </c>
      <c r="B56" s="15"/>
    </row>
    <row r="57" spans="1:9" ht="33" customHeight="1" x14ac:dyDescent="0.35">
      <c r="A57" s="106" t="s">
        <v>167</v>
      </c>
      <c r="B57" s="106"/>
      <c r="C57" s="106"/>
      <c r="D57" s="106"/>
      <c r="E57" s="106"/>
      <c r="F57" s="106"/>
      <c r="G57" s="106"/>
      <c r="H57" s="106"/>
      <c r="I57" s="106"/>
    </row>
    <row r="58" spans="1:9" ht="15.5" x14ac:dyDescent="0.35">
      <c r="A58" s="68" t="s">
        <v>164</v>
      </c>
      <c r="B58" s="3"/>
      <c r="C58" s="3"/>
    </row>
    <row r="59" spans="1:9" ht="15.5" x14ac:dyDescent="0.35">
      <c r="A59" s="16"/>
      <c r="B59" s="104" t="s">
        <v>61</v>
      </c>
      <c r="C59" s="104"/>
    </row>
  </sheetData>
  <mergeCells count="7">
    <mergeCell ref="F26:H26"/>
    <mergeCell ref="A44:I44"/>
    <mergeCell ref="B59:C59"/>
    <mergeCell ref="F38:H38"/>
    <mergeCell ref="A42:B42"/>
    <mergeCell ref="F37:H37"/>
    <mergeCell ref="A57:I5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topLeftCell="A8" zoomScaleNormal="100" workbookViewId="0">
      <selection activeCell="G26" sqref="G26"/>
    </sheetView>
  </sheetViews>
  <sheetFormatPr defaultRowHeight="14.5" x14ac:dyDescent="0.35"/>
  <cols>
    <col min="1" max="1" width="40.1796875" customWidth="1"/>
    <col min="2" max="2" width="10.81640625" customWidth="1"/>
    <col min="3" max="3" width="10.7265625" customWidth="1"/>
    <col min="5" max="5" width="9.81640625" customWidth="1"/>
    <col min="6" max="6" width="9.7265625" customWidth="1"/>
    <col min="7" max="7" width="9.453125" customWidth="1"/>
    <col min="8" max="8" width="9.7265625" customWidth="1"/>
    <col min="9" max="9" width="12.54296875" customWidth="1"/>
  </cols>
  <sheetData>
    <row r="1" spans="1:14" x14ac:dyDescent="0.35">
      <c r="A1" s="1" t="s">
        <v>42</v>
      </c>
    </row>
    <row r="2" spans="1:14" x14ac:dyDescent="0.35">
      <c r="F2">
        <v>52.37</v>
      </c>
      <c r="G2">
        <v>70.56</v>
      </c>
      <c r="H2">
        <v>28.34</v>
      </c>
    </row>
    <row r="3" spans="1:14" ht="79.900000000000006" customHeight="1" x14ac:dyDescent="0.35">
      <c r="A3" s="5" t="s">
        <v>1</v>
      </c>
      <c r="B3" s="5" t="s">
        <v>43</v>
      </c>
      <c r="C3" s="5" t="s">
        <v>22</v>
      </c>
      <c r="D3" s="5" t="s">
        <v>44</v>
      </c>
      <c r="E3" s="5" t="s">
        <v>45</v>
      </c>
      <c r="F3" s="5" t="s">
        <v>25</v>
      </c>
      <c r="G3" s="5" t="s">
        <v>26</v>
      </c>
      <c r="H3" s="5" t="s">
        <v>27</v>
      </c>
      <c r="I3" s="5" t="s">
        <v>28</v>
      </c>
    </row>
    <row r="4" spans="1:14" x14ac:dyDescent="0.35">
      <c r="A4" s="6" t="s">
        <v>31</v>
      </c>
      <c r="B4" s="6"/>
      <c r="C4" s="6"/>
      <c r="D4" s="6"/>
      <c r="E4" s="81"/>
      <c r="F4" s="6"/>
      <c r="G4" s="6"/>
      <c r="H4" s="6"/>
      <c r="I4" s="6"/>
    </row>
    <row r="5" spans="1:14" ht="15.5" x14ac:dyDescent="0.35">
      <c r="A5" s="7" t="s">
        <v>32</v>
      </c>
      <c r="B5" s="12">
        <v>24</v>
      </c>
      <c r="C5" s="12">
        <v>1</v>
      </c>
      <c r="D5" s="12">
        <f>+B5*C5</f>
        <v>24</v>
      </c>
      <c r="E5" s="93">
        <f>'Table 1a'!E9</f>
        <v>0.33333333333333331</v>
      </c>
      <c r="F5" s="12">
        <f>+D5*E5</f>
        <v>8</v>
      </c>
      <c r="G5" s="12">
        <f>+F5*0.05</f>
        <v>0.4</v>
      </c>
      <c r="H5" s="12">
        <f>+F5*0.1</f>
        <v>0.8</v>
      </c>
      <c r="I5" s="8">
        <f>+$F$2*F5+$G$2*G5+$H$2*H5</f>
        <v>469.85599999999999</v>
      </c>
    </row>
    <row r="6" spans="1:14" x14ac:dyDescent="0.35">
      <c r="A6" s="6" t="s">
        <v>33</v>
      </c>
      <c r="B6" s="12"/>
      <c r="C6" s="12"/>
      <c r="D6" s="12">
        <f t="shared" ref="D6:D15" si="0">+B6*C6</f>
        <v>0</v>
      </c>
      <c r="E6" s="82"/>
      <c r="F6" s="12"/>
      <c r="G6" s="12"/>
      <c r="H6" s="12"/>
      <c r="I6" s="8"/>
    </row>
    <row r="7" spans="1:14" ht="15.5" x14ac:dyDescent="0.35">
      <c r="A7" s="7" t="s">
        <v>34</v>
      </c>
      <c r="B7" s="12">
        <v>24</v>
      </c>
      <c r="C7" s="12">
        <v>0.2</v>
      </c>
      <c r="D7" s="12">
        <f t="shared" si="0"/>
        <v>4.8000000000000007</v>
      </c>
      <c r="E7" s="93">
        <f>'Table 1a'!E10</f>
        <v>6.6666666666666666E-2</v>
      </c>
      <c r="F7" s="12">
        <f t="shared" ref="F7:F15" si="1">+D7*E7</f>
        <v>0.32000000000000006</v>
      </c>
      <c r="G7" s="12">
        <f t="shared" ref="G7:G15" si="2">+F7*0.05</f>
        <v>1.6000000000000004E-2</v>
      </c>
      <c r="H7" s="12">
        <f t="shared" ref="H7:H15" si="3">+F7*0.1</f>
        <v>3.2000000000000008E-2</v>
      </c>
      <c r="I7" s="8">
        <f t="shared" ref="I7:I15" si="4">+$F$2*F7+$G$2*G7+$H$2*H7</f>
        <v>18.794240000000002</v>
      </c>
    </row>
    <row r="8" spans="1:14" x14ac:dyDescent="0.35">
      <c r="A8" s="6" t="s">
        <v>35</v>
      </c>
      <c r="B8" s="12"/>
      <c r="C8" s="12"/>
      <c r="D8" s="12"/>
      <c r="E8" s="82"/>
      <c r="F8" s="12"/>
      <c r="G8" s="12"/>
      <c r="H8" s="12"/>
      <c r="I8" s="8"/>
    </row>
    <row r="9" spans="1:14" x14ac:dyDescent="0.35">
      <c r="A9" s="7" t="s">
        <v>36</v>
      </c>
      <c r="B9" s="12"/>
      <c r="C9" s="12"/>
      <c r="D9" s="12"/>
      <c r="E9" s="82"/>
      <c r="F9" s="12"/>
      <c r="G9" s="12"/>
      <c r="H9" s="12"/>
      <c r="I9" s="8"/>
    </row>
    <row r="10" spans="1:14" x14ac:dyDescent="0.35">
      <c r="A10" s="6" t="s">
        <v>37</v>
      </c>
      <c r="B10" s="12">
        <v>2</v>
      </c>
      <c r="C10" s="12">
        <v>1</v>
      </c>
      <c r="D10" s="12">
        <f t="shared" si="0"/>
        <v>2</v>
      </c>
      <c r="E10" s="93">
        <f>'Table 1a'!E14</f>
        <v>0.33333333333333331</v>
      </c>
      <c r="F10" s="75">
        <f t="shared" si="1"/>
        <v>0.66666666666666663</v>
      </c>
      <c r="G10" s="75">
        <f t="shared" si="2"/>
        <v>3.3333333333333333E-2</v>
      </c>
      <c r="H10" s="75">
        <f t="shared" si="3"/>
        <v>6.6666666666666666E-2</v>
      </c>
      <c r="I10" s="8">
        <f t="shared" si="4"/>
        <v>39.154666666666657</v>
      </c>
    </row>
    <row r="11" spans="1:14" x14ac:dyDescent="0.35">
      <c r="A11" s="6" t="s">
        <v>38</v>
      </c>
      <c r="B11" s="12">
        <v>1</v>
      </c>
      <c r="C11" s="12">
        <v>1</v>
      </c>
      <c r="D11" s="12">
        <f t="shared" si="0"/>
        <v>1</v>
      </c>
      <c r="E11" s="93">
        <f>'Table 1a'!E15</f>
        <v>0.33333333333333331</v>
      </c>
      <c r="F11" s="75">
        <f t="shared" si="1"/>
        <v>0.33333333333333331</v>
      </c>
      <c r="G11" s="75">
        <f t="shared" si="2"/>
        <v>1.6666666666666666E-2</v>
      </c>
      <c r="H11" s="75">
        <f t="shared" si="3"/>
        <v>3.3333333333333333E-2</v>
      </c>
      <c r="I11" s="8">
        <f t="shared" si="4"/>
        <v>19.577333333333328</v>
      </c>
    </row>
    <row r="12" spans="1:14" x14ac:dyDescent="0.35">
      <c r="A12" s="6" t="s">
        <v>39</v>
      </c>
      <c r="B12" s="12">
        <v>2</v>
      </c>
      <c r="C12" s="12">
        <v>1</v>
      </c>
      <c r="D12" s="12">
        <f t="shared" si="0"/>
        <v>2</v>
      </c>
      <c r="E12" s="82">
        <f>'Table 1a'!E16</f>
        <v>0</v>
      </c>
      <c r="F12" s="75">
        <f t="shared" si="1"/>
        <v>0</v>
      </c>
      <c r="G12" s="75">
        <f t="shared" si="2"/>
        <v>0</v>
      </c>
      <c r="H12" s="75">
        <f t="shared" si="3"/>
        <v>0</v>
      </c>
      <c r="I12" s="8">
        <f t="shared" si="4"/>
        <v>0</v>
      </c>
    </row>
    <row r="13" spans="1:14" x14ac:dyDescent="0.35">
      <c r="A13" s="6" t="s">
        <v>40</v>
      </c>
      <c r="B13" s="12">
        <v>1</v>
      </c>
      <c r="C13" s="12">
        <v>1.2</v>
      </c>
      <c r="D13" s="12">
        <f t="shared" si="0"/>
        <v>1.2</v>
      </c>
      <c r="E13" s="93">
        <f>'Table 1a'!E17</f>
        <v>0.33333333333333331</v>
      </c>
      <c r="F13" s="75">
        <f t="shared" si="1"/>
        <v>0.39999999999999997</v>
      </c>
      <c r="G13" s="75">
        <f t="shared" si="2"/>
        <v>0.02</v>
      </c>
      <c r="H13" s="75">
        <f t="shared" si="3"/>
        <v>0.04</v>
      </c>
      <c r="I13" s="8">
        <f t="shared" si="4"/>
        <v>23.492799999999999</v>
      </c>
    </row>
    <row r="14" spans="1:14" ht="15.5" x14ac:dyDescent="0.35">
      <c r="A14" s="6" t="s">
        <v>41</v>
      </c>
      <c r="B14" s="12">
        <v>8</v>
      </c>
      <c r="C14" s="12">
        <v>1.2</v>
      </c>
      <c r="D14" s="12">
        <f t="shared" si="0"/>
        <v>9.6</v>
      </c>
      <c r="E14" s="93">
        <f>E5</f>
        <v>0.33333333333333331</v>
      </c>
      <c r="F14" s="75">
        <f t="shared" si="1"/>
        <v>3.1999999999999997</v>
      </c>
      <c r="G14" s="75">
        <f t="shared" si="2"/>
        <v>0.16</v>
      </c>
      <c r="H14" s="75">
        <f t="shared" si="3"/>
        <v>0.32</v>
      </c>
      <c r="I14" s="8">
        <f t="shared" si="4"/>
        <v>187.94239999999999</v>
      </c>
    </row>
    <row r="15" spans="1:14" ht="28.5" x14ac:dyDescent="0.35">
      <c r="A15" s="4" t="s">
        <v>65</v>
      </c>
      <c r="B15" s="12">
        <v>2</v>
      </c>
      <c r="C15" s="12">
        <v>2</v>
      </c>
      <c r="D15" s="12">
        <f t="shared" si="0"/>
        <v>4</v>
      </c>
      <c r="E15" s="93">
        <f>'Table 1a'!E19</f>
        <v>32.333333333333336</v>
      </c>
      <c r="F15" s="75">
        <f t="shared" si="1"/>
        <v>129.33333333333334</v>
      </c>
      <c r="G15" s="75">
        <f t="shared" si="2"/>
        <v>6.4666666666666677</v>
      </c>
      <c r="H15" s="75">
        <f t="shared" si="3"/>
        <v>12.933333333333335</v>
      </c>
      <c r="I15" s="9">
        <f t="shared" si="4"/>
        <v>7596.0053333333335</v>
      </c>
      <c r="N15" s="11"/>
    </row>
    <row r="16" spans="1:14" ht="15" x14ac:dyDescent="0.35">
      <c r="A16" s="10" t="s">
        <v>72</v>
      </c>
      <c r="B16" s="10"/>
      <c r="C16" s="10"/>
      <c r="D16" s="10"/>
      <c r="E16" s="10"/>
      <c r="F16" s="107">
        <f>+SUM(F5:H15)</f>
        <v>163.59133333333335</v>
      </c>
      <c r="G16" s="107"/>
      <c r="H16" s="107"/>
      <c r="I16" s="11">
        <f>ROUND(+SUM(I5:I15),-1)</f>
        <v>8350</v>
      </c>
      <c r="K16" s="25">
        <f>F16</f>
        <v>163.59133333333335</v>
      </c>
      <c r="L16" s="25">
        <f>+K16+'Table 2b'!K22</f>
        <v>227.99133333333333</v>
      </c>
    </row>
    <row r="17" spans="1:20" x14ac:dyDescent="0.35">
      <c r="L17" s="2">
        <f>ROUND(+I16+'Table 2b'!I22,-2)</f>
        <v>11600</v>
      </c>
    </row>
    <row r="18" spans="1:20" x14ac:dyDescent="0.35">
      <c r="A18" s="14" t="s">
        <v>58</v>
      </c>
    </row>
    <row r="19" spans="1:20" ht="28.9" customHeight="1" x14ac:dyDescent="0.35">
      <c r="A19" s="106" t="s">
        <v>197</v>
      </c>
      <c r="B19" s="106"/>
      <c r="C19" s="106"/>
      <c r="D19" s="106"/>
      <c r="E19" s="106"/>
      <c r="F19" s="106"/>
      <c r="G19" s="106"/>
      <c r="H19" s="106"/>
      <c r="I19" s="106"/>
    </row>
    <row r="20" spans="1:20" ht="43.9" customHeight="1" x14ac:dyDescent="0.35">
      <c r="A20" s="108" t="s">
        <v>200</v>
      </c>
      <c r="B20" s="108"/>
      <c r="C20" s="108"/>
      <c r="D20" s="108"/>
      <c r="E20" s="108"/>
      <c r="F20" s="108"/>
      <c r="G20" s="108"/>
      <c r="H20" s="108"/>
      <c r="I20" s="108"/>
    </row>
    <row r="21" spans="1:20" ht="15.65" customHeight="1" x14ac:dyDescent="0.35">
      <c r="A21" s="59" t="s">
        <v>159</v>
      </c>
      <c r="B21" s="59"/>
      <c r="C21" s="60"/>
      <c r="D21" s="60"/>
      <c r="E21" s="60"/>
      <c r="F21" s="60"/>
      <c r="G21" s="60"/>
      <c r="H21" s="60"/>
      <c r="I21" s="60"/>
      <c r="J21" s="69"/>
      <c r="K21" s="69"/>
      <c r="L21" s="69"/>
      <c r="M21" s="69"/>
      <c r="N21" s="69"/>
      <c r="O21" s="69"/>
      <c r="P21" s="69"/>
      <c r="Q21" s="69"/>
      <c r="R21" s="69"/>
      <c r="S21" s="69"/>
      <c r="T21" s="69"/>
    </row>
    <row r="22" spans="1:20" ht="15.5" x14ac:dyDescent="0.35">
      <c r="A22" s="15" t="s">
        <v>59</v>
      </c>
      <c r="J22" s="69"/>
      <c r="K22" s="69"/>
      <c r="L22" s="69"/>
      <c r="M22" s="69"/>
      <c r="N22" s="69"/>
      <c r="O22" s="69"/>
      <c r="P22" s="69"/>
      <c r="Q22" s="69"/>
      <c r="R22" s="69"/>
      <c r="S22" s="69"/>
      <c r="T22" s="69"/>
    </row>
    <row r="23" spans="1:20" ht="15.5" x14ac:dyDescent="0.35">
      <c r="A23" s="63" t="s">
        <v>199</v>
      </c>
      <c r="B23" s="60"/>
      <c r="C23" s="60"/>
      <c r="D23" s="60"/>
      <c r="E23" s="60"/>
      <c r="F23" s="60"/>
      <c r="G23" s="60"/>
      <c r="H23" s="60"/>
      <c r="I23" s="60"/>
      <c r="J23" s="60"/>
    </row>
    <row r="24" spans="1:20" ht="16" x14ac:dyDescent="0.35">
      <c r="A24" s="64" t="s">
        <v>160</v>
      </c>
      <c r="B24" s="60"/>
      <c r="C24" s="60"/>
      <c r="D24" s="60"/>
      <c r="E24" s="60"/>
      <c r="F24" s="60"/>
      <c r="G24" s="60"/>
      <c r="H24" s="60"/>
      <c r="I24" s="60"/>
    </row>
    <row r="25" spans="1:20" ht="15.5" x14ac:dyDescent="0.35">
      <c r="A25" s="3" t="s">
        <v>69</v>
      </c>
    </row>
    <row r="31" spans="1:20" x14ac:dyDescent="0.35">
      <c r="A31" s="55"/>
    </row>
  </sheetData>
  <mergeCells count="3">
    <mergeCell ref="F16:H16"/>
    <mergeCell ref="A20:I20"/>
    <mergeCell ref="A19:I19"/>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zoomScale="90" zoomScaleNormal="90" workbookViewId="0">
      <selection activeCell="A27" sqref="A27"/>
    </sheetView>
  </sheetViews>
  <sheetFormatPr defaultRowHeight="14.5" x14ac:dyDescent="0.35"/>
  <cols>
    <col min="1" max="1" width="41.81640625" customWidth="1"/>
    <col min="2" max="2" width="9.81640625" customWidth="1"/>
    <col min="3" max="3" width="11.54296875" customWidth="1"/>
    <col min="7" max="7" width="9.7265625" customWidth="1"/>
    <col min="9" max="9" width="13.81640625" customWidth="1"/>
  </cols>
  <sheetData>
    <row r="1" spans="1:9" x14ac:dyDescent="0.35">
      <c r="A1" s="1" t="s">
        <v>57</v>
      </c>
    </row>
    <row r="2" spans="1:9" x14ac:dyDescent="0.35">
      <c r="F2">
        <v>52.37</v>
      </c>
      <c r="G2">
        <v>70.56</v>
      </c>
      <c r="H2">
        <v>28.34</v>
      </c>
    </row>
    <row r="3" spans="1:9" ht="68.25" customHeight="1" x14ac:dyDescent="0.35">
      <c r="A3" s="5" t="s">
        <v>1</v>
      </c>
      <c r="B3" s="5" t="s">
        <v>43</v>
      </c>
      <c r="C3" s="5" t="s">
        <v>22</v>
      </c>
      <c r="D3" s="5" t="s">
        <v>44</v>
      </c>
      <c r="E3" s="5" t="s">
        <v>45</v>
      </c>
      <c r="F3" s="5" t="s">
        <v>25</v>
      </c>
      <c r="G3" s="5" t="s">
        <v>26</v>
      </c>
      <c r="H3" s="5" t="s">
        <v>27</v>
      </c>
      <c r="I3" s="5" t="s">
        <v>28</v>
      </c>
    </row>
    <row r="4" spans="1:9" x14ac:dyDescent="0.35">
      <c r="A4" s="6" t="s">
        <v>31</v>
      </c>
      <c r="B4" s="12"/>
      <c r="C4" s="12"/>
      <c r="D4" s="12"/>
      <c r="E4" s="12"/>
      <c r="F4" s="12"/>
      <c r="G4" s="12"/>
      <c r="H4" s="12"/>
      <c r="I4" s="6"/>
    </row>
    <row r="5" spans="1:9" ht="15.5" x14ac:dyDescent="0.35">
      <c r="A5" s="7" t="s">
        <v>32</v>
      </c>
      <c r="B5" s="12">
        <v>40</v>
      </c>
      <c r="C5" s="12">
        <v>1</v>
      </c>
      <c r="D5" s="12">
        <f>+B5*C5</f>
        <v>40</v>
      </c>
      <c r="E5" s="12">
        <v>0</v>
      </c>
      <c r="F5" s="12">
        <f>+D5*E5</f>
        <v>0</v>
      </c>
      <c r="G5" s="12">
        <f>+F5*0.05</f>
        <v>0</v>
      </c>
      <c r="H5" s="12">
        <f>+F5*0.1</f>
        <v>0</v>
      </c>
      <c r="I5" s="8">
        <f>+$F$2*F5+$G$2*G5+$H$2*H5</f>
        <v>0</v>
      </c>
    </row>
    <row r="6" spans="1:9" x14ac:dyDescent="0.35">
      <c r="A6" s="6" t="s">
        <v>33</v>
      </c>
      <c r="B6" s="12"/>
      <c r="C6" s="12"/>
      <c r="D6" s="12"/>
      <c r="E6" s="12"/>
      <c r="F6" s="12"/>
      <c r="G6" s="12"/>
      <c r="H6" s="12"/>
      <c r="I6" s="8"/>
    </row>
    <row r="7" spans="1:9" ht="15.5" x14ac:dyDescent="0.35">
      <c r="A7" s="7" t="s">
        <v>34</v>
      </c>
      <c r="B7" s="12">
        <v>40</v>
      </c>
      <c r="C7" s="12">
        <v>0.2</v>
      </c>
      <c r="D7" s="12">
        <f t="shared" ref="D7:D21" si="0">+B7*C7</f>
        <v>8</v>
      </c>
      <c r="E7" s="12">
        <v>0</v>
      </c>
      <c r="F7" s="12">
        <f t="shared" ref="F7:F21" si="1">+D7*E7</f>
        <v>0</v>
      </c>
      <c r="G7" s="12">
        <f t="shared" ref="G7:G21" si="2">+F7*0.05</f>
        <v>0</v>
      </c>
      <c r="H7" s="12">
        <f t="shared" ref="H7:H21" si="3">+F7*0.1</f>
        <v>0</v>
      </c>
      <c r="I7" s="8">
        <f t="shared" ref="I7:I21" si="4">+$F$2*F7+$G$2*G7+$H$2*H7</f>
        <v>0</v>
      </c>
    </row>
    <row r="8" spans="1:9" x14ac:dyDescent="0.35">
      <c r="A8" s="6" t="s">
        <v>35</v>
      </c>
      <c r="B8" s="12"/>
      <c r="C8" s="12"/>
      <c r="D8" s="12"/>
      <c r="E8" s="12"/>
      <c r="F8" s="12"/>
      <c r="G8" s="12"/>
      <c r="H8" s="12"/>
      <c r="I8" s="8"/>
    </row>
    <row r="9" spans="1:9" x14ac:dyDescent="0.35">
      <c r="A9" s="7" t="s">
        <v>36</v>
      </c>
      <c r="B9" s="12"/>
      <c r="C9" s="12"/>
      <c r="D9" s="12"/>
      <c r="E9" s="12"/>
      <c r="F9" s="12"/>
      <c r="G9" s="12"/>
      <c r="H9" s="12"/>
      <c r="I9" s="8"/>
    </row>
    <row r="10" spans="1:9" ht="15.5" x14ac:dyDescent="0.35">
      <c r="A10" s="6" t="s">
        <v>46</v>
      </c>
      <c r="B10" s="12">
        <v>2</v>
      </c>
      <c r="C10" s="12">
        <v>1</v>
      </c>
      <c r="D10" s="12">
        <f t="shared" si="0"/>
        <v>2</v>
      </c>
      <c r="E10" s="12">
        <v>0</v>
      </c>
      <c r="F10" s="12">
        <f t="shared" si="1"/>
        <v>0</v>
      </c>
      <c r="G10" s="12">
        <f t="shared" si="2"/>
        <v>0</v>
      </c>
      <c r="H10" s="12">
        <f t="shared" si="3"/>
        <v>0</v>
      </c>
      <c r="I10" s="8">
        <f t="shared" si="4"/>
        <v>0</v>
      </c>
    </row>
    <row r="11" spans="1:9" ht="15.5" x14ac:dyDescent="0.35">
      <c r="A11" s="6" t="s">
        <v>47</v>
      </c>
      <c r="B11" s="12">
        <v>2</v>
      </c>
      <c r="C11" s="12">
        <v>1</v>
      </c>
      <c r="D11" s="12">
        <f t="shared" si="0"/>
        <v>2</v>
      </c>
      <c r="E11" s="12">
        <v>0</v>
      </c>
      <c r="F11" s="12">
        <f t="shared" si="1"/>
        <v>0</v>
      </c>
      <c r="G11" s="12">
        <f t="shared" si="2"/>
        <v>0</v>
      </c>
      <c r="H11" s="12">
        <f t="shared" si="3"/>
        <v>0</v>
      </c>
      <c r="I11" s="8">
        <f t="shared" si="4"/>
        <v>0</v>
      </c>
    </row>
    <row r="12" spans="1:9" ht="15.5" x14ac:dyDescent="0.35">
      <c r="A12" s="6" t="s">
        <v>48</v>
      </c>
      <c r="B12" s="12">
        <v>2</v>
      </c>
      <c r="C12" s="12">
        <v>1</v>
      </c>
      <c r="D12" s="12">
        <f t="shared" si="0"/>
        <v>2</v>
      </c>
      <c r="E12" s="12">
        <v>0</v>
      </c>
      <c r="F12" s="12">
        <f t="shared" si="1"/>
        <v>0</v>
      </c>
      <c r="G12" s="12">
        <f t="shared" si="2"/>
        <v>0</v>
      </c>
      <c r="H12" s="12">
        <f t="shared" si="3"/>
        <v>0</v>
      </c>
      <c r="I12" s="8">
        <f t="shared" si="4"/>
        <v>0</v>
      </c>
    </row>
    <row r="13" spans="1:9" ht="15.5" x14ac:dyDescent="0.35">
      <c r="A13" s="6" t="s">
        <v>49</v>
      </c>
      <c r="B13" s="12">
        <v>1</v>
      </c>
      <c r="C13" s="12">
        <v>1</v>
      </c>
      <c r="D13" s="12">
        <f t="shared" si="0"/>
        <v>1</v>
      </c>
      <c r="E13" s="12">
        <v>0</v>
      </c>
      <c r="F13" s="12">
        <f t="shared" si="1"/>
        <v>0</v>
      </c>
      <c r="G13" s="12">
        <f t="shared" si="2"/>
        <v>0</v>
      </c>
      <c r="H13" s="12">
        <f t="shared" si="3"/>
        <v>0</v>
      </c>
      <c r="I13" s="8">
        <f t="shared" si="4"/>
        <v>0</v>
      </c>
    </row>
    <row r="14" spans="1:9" ht="15.5" x14ac:dyDescent="0.35">
      <c r="A14" s="6" t="s">
        <v>50</v>
      </c>
      <c r="B14" s="12">
        <v>2</v>
      </c>
      <c r="C14" s="12">
        <v>1</v>
      </c>
      <c r="D14" s="12">
        <f t="shared" si="0"/>
        <v>2</v>
      </c>
      <c r="E14" s="12">
        <v>0</v>
      </c>
      <c r="F14" s="12">
        <f t="shared" si="1"/>
        <v>0</v>
      </c>
      <c r="G14" s="12">
        <f t="shared" si="2"/>
        <v>0</v>
      </c>
      <c r="H14" s="12">
        <f t="shared" si="3"/>
        <v>0</v>
      </c>
      <c r="I14" s="8">
        <f t="shared" si="4"/>
        <v>0</v>
      </c>
    </row>
    <row r="15" spans="1:9" ht="15.5" x14ac:dyDescent="0.35">
      <c r="A15" s="6" t="s">
        <v>51</v>
      </c>
      <c r="B15" s="12">
        <v>2</v>
      </c>
      <c r="C15" s="12">
        <v>1</v>
      </c>
      <c r="D15" s="12">
        <f t="shared" si="0"/>
        <v>2</v>
      </c>
      <c r="E15" s="12">
        <v>0</v>
      </c>
      <c r="F15" s="12">
        <f t="shared" si="1"/>
        <v>0</v>
      </c>
      <c r="G15" s="12">
        <f t="shared" si="2"/>
        <v>0</v>
      </c>
      <c r="H15" s="12">
        <f t="shared" si="3"/>
        <v>0</v>
      </c>
      <c r="I15" s="8">
        <f t="shared" si="4"/>
        <v>0</v>
      </c>
    </row>
    <row r="16" spans="1:9" ht="30" customHeight="1" x14ac:dyDescent="0.35">
      <c r="A16" s="4" t="s">
        <v>66</v>
      </c>
      <c r="B16" s="12">
        <v>2</v>
      </c>
      <c r="C16" s="12">
        <v>1</v>
      </c>
      <c r="D16" s="12">
        <f t="shared" si="0"/>
        <v>2</v>
      </c>
      <c r="E16" s="12">
        <v>0</v>
      </c>
      <c r="F16" s="12">
        <f t="shared" si="1"/>
        <v>0</v>
      </c>
      <c r="G16" s="12">
        <f t="shared" si="2"/>
        <v>0</v>
      </c>
      <c r="H16" s="12">
        <f t="shared" si="3"/>
        <v>0</v>
      </c>
      <c r="I16" s="8">
        <f t="shared" si="4"/>
        <v>0</v>
      </c>
    </row>
    <row r="17" spans="1:14" x14ac:dyDescent="0.35">
      <c r="A17" s="6" t="s">
        <v>52</v>
      </c>
      <c r="B17" s="12">
        <v>40</v>
      </c>
      <c r="C17" s="12">
        <v>1</v>
      </c>
      <c r="D17" s="12">
        <f t="shared" si="0"/>
        <v>40</v>
      </c>
      <c r="E17" s="12">
        <v>0</v>
      </c>
      <c r="F17" s="12">
        <f t="shared" si="1"/>
        <v>0</v>
      </c>
      <c r="G17" s="12">
        <f t="shared" si="2"/>
        <v>0</v>
      </c>
      <c r="H17" s="12">
        <f t="shared" si="3"/>
        <v>0</v>
      </c>
      <c r="I17" s="8">
        <f t="shared" si="4"/>
        <v>0</v>
      </c>
    </row>
    <row r="18" spans="1:14" ht="15.5" x14ac:dyDescent="0.35">
      <c r="A18" s="6" t="s">
        <v>53</v>
      </c>
      <c r="B18" s="12">
        <v>20</v>
      </c>
      <c r="C18" s="12">
        <v>2</v>
      </c>
      <c r="D18" s="12">
        <f t="shared" si="0"/>
        <v>40</v>
      </c>
      <c r="E18" s="12">
        <v>1</v>
      </c>
      <c r="F18" s="12">
        <f>+D18*E18</f>
        <v>40</v>
      </c>
      <c r="G18" s="19">
        <f t="shared" si="2"/>
        <v>2</v>
      </c>
      <c r="H18" s="12">
        <f t="shared" si="3"/>
        <v>4</v>
      </c>
      <c r="I18" s="9">
        <f t="shared" si="4"/>
        <v>2349.2799999999997</v>
      </c>
    </row>
    <row r="19" spans="1:14" ht="15.5" x14ac:dyDescent="0.35">
      <c r="A19" s="6" t="s">
        <v>54</v>
      </c>
      <c r="B19" s="12">
        <v>2</v>
      </c>
      <c r="C19" s="12">
        <v>2</v>
      </c>
      <c r="D19" s="12">
        <f t="shared" si="0"/>
        <v>4</v>
      </c>
      <c r="E19" s="12">
        <v>4</v>
      </c>
      <c r="F19" s="12">
        <f t="shared" si="1"/>
        <v>16</v>
      </c>
      <c r="G19" s="12">
        <f t="shared" si="2"/>
        <v>0.8</v>
      </c>
      <c r="H19" s="12">
        <f t="shared" si="3"/>
        <v>1.6</v>
      </c>
      <c r="I19" s="9">
        <f t="shared" si="4"/>
        <v>939.71199999999999</v>
      </c>
    </row>
    <row r="20" spans="1:14" ht="15.5" x14ac:dyDescent="0.35">
      <c r="A20" s="6" t="s">
        <v>55</v>
      </c>
      <c r="B20" s="12">
        <v>40</v>
      </c>
      <c r="C20" s="12">
        <v>1</v>
      </c>
      <c r="D20" s="12">
        <f t="shared" si="0"/>
        <v>40</v>
      </c>
      <c r="E20" s="12">
        <v>0</v>
      </c>
      <c r="F20" s="12">
        <f t="shared" si="1"/>
        <v>0</v>
      </c>
      <c r="G20" s="12">
        <f t="shared" si="2"/>
        <v>0</v>
      </c>
      <c r="H20" s="12">
        <f t="shared" si="3"/>
        <v>0</v>
      </c>
      <c r="I20" s="8">
        <f t="shared" si="4"/>
        <v>0</v>
      </c>
    </row>
    <row r="21" spans="1:14" ht="15.5" x14ac:dyDescent="0.35">
      <c r="A21" s="6" t="s">
        <v>56</v>
      </c>
      <c r="B21" s="12">
        <v>40</v>
      </c>
      <c r="C21" s="12">
        <v>1</v>
      </c>
      <c r="D21" s="12">
        <f t="shared" si="0"/>
        <v>40</v>
      </c>
      <c r="E21" s="12">
        <v>0</v>
      </c>
      <c r="F21" s="12">
        <f t="shared" si="1"/>
        <v>0</v>
      </c>
      <c r="G21" s="12">
        <f t="shared" si="2"/>
        <v>0</v>
      </c>
      <c r="H21" s="12">
        <f t="shared" si="3"/>
        <v>0</v>
      </c>
      <c r="I21" s="8">
        <f t="shared" si="4"/>
        <v>0</v>
      </c>
    </row>
    <row r="22" spans="1:14" ht="15" x14ac:dyDescent="0.35">
      <c r="A22" s="10" t="s">
        <v>96</v>
      </c>
      <c r="B22" s="10"/>
      <c r="C22" s="10"/>
      <c r="D22" s="10"/>
      <c r="E22" s="10"/>
      <c r="F22" s="107">
        <f>+SUM(F5:H21)</f>
        <v>64.399999999999991</v>
      </c>
      <c r="G22" s="107"/>
      <c r="H22" s="107"/>
      <c r="I22" s="11">
        <f>+ROUND(SUM(I4:I21),-1)</f>
        <v>3290</v>
      </c>
      <c r="J22" s="2"/>
      <c r="K22" s="25">
        <f>F22</f>
        <v>64.399999999999991</v>
      </c>
      <c r="N22" s="25"/>
    </row>
    <row r="24" spans="1:14" x14ac:dyDescent="0.35">
      <c r="A24" s="14" t="s">
        <v>58</v>
      </c>
    </row>
    <row r="25" spans="1:14" ht="30" customHeight="1" x14ac:dyDescent="0.35">
      <c r="A25" s="108" t="s">
        <v>146</v>
      </c>
      <c r="B25" s="108"/>
      <c r="C25" s="108"/>
      <c r="D25" s="108"/>
      <c r="E25" s="108"/>
      <c r="F25" s="108"/>
      <c r="G25" s="108"/>
      <c r="H25" s="108"/>
      <c r="I25" s="108"/>
    </row>
    <row r="26" spans="1:14" ht="46.15" customHeight="1" x14ac:dyDescent="0.35">
      <c r="A26" s="108" t="s">
        <v>200</v>
      </c>
      <c r="B26" s="108"/>
      <c r="C26" s="108"/>
      <c r="D26" s="108"/>
      <c r="E26" s="108"/>
      <c r="F26" s="108"/>
      <c r="G26" s="108"/>
      <c r="H26" s="108"/>
      <c r="I26" s="108"/>
    </row>
    <row r="27" spans="1:14" ht="15.5" x14ac:dyDescent="0.35">
      <c r="A27" s="59" t="s">
        <v>155</v>
      </c>
      <c r="B27" s="56"/>
      <c r="C27" s="56"/>
      <c r="D27" s="56"/>
      <c r="E27" s="56"/>
      <c r="F27" s="56"/>
      <c r="G27" s="56"/>
      <c r="H27" s="56"/>
      <c r="I27" s="56"/>
    </row>
    <row r="28" spans="1:14" ht="15.5" x14ac:dyDescent="0.35">
      <c r="A28" s="3" t="s">
        <v>141</v>
      </c>
    </row>
    <row r="29" spans="1:14" ht="15.5" x14ac:dyDescent="0.35">
      <c r="A29" s="59" t="s">
        <v>156</v>
      </c>
      <c r="B29" s="60"/>
      <c r="C29" s="60"/>
      <c r="D29" s="60"/>
      <c r="E29" s="60"/>
      <c r="F29" s="60"/>
      <c r="G29" s="60"/>
      <c r="H29" s="60"/>
      <c r="I29" s="60"/>
    </row>
    <row r="30" spans="1:14" ht="15.5" x14ac:dyDescent="0.35">
      <c r="A30" s="59" t="s">
        <v>157</v>
      </c>
      <c r="B30" s="60"/>
      <c r="C30" s="60"/>
      <c r="D30" s="60"/>
      <c r="E30" s="60"/>
      <c r="F30" s="60"/>
      <c r="G30" s="60"/>
      <c r="H30" s="60"/>
      <c r="I30" s="60"/>
    </row>
    <row r="31" spans="1:14" ht="15.5" x14ac:dyDescent="0.35">
      <c r="A31" s="3" t="s">
        <v>142</v>
      </c>
    </row>
    <row r="32" spans="1:14" ht="15.5" x14ac:dyDescent="0.35">
      <c r="A32" s="3" t="s">
        <v>143</v>
      </c>
    </row>
    <row r="33" spans="1:1" ht="15.5" x14ac:dyDescent="0.35">
      <c r="A33" s="3" t="s">
        <v>144</v>
      </c>
    </row>
    <row r="34" spans="1:1" ht="15.5" x14ac:dyDescent="0.35">
      <c r="A34" s="3" t="s">
        <v>145</v>
      </c>
    </row>
  </sheetData>
  <mergeCells count="3">
    <mergeCell ref="F22:H22"/>
    <mergeCell ref="A26:I26"/>
    <mergeCell ref="A25:I25"/>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18CBE-909B-4030-B6A7-3E6A9781AC2C}">
  <dimension ref="A1:O19"/>
  <sheetViews>
    <sheetView topLeftCell="A10" zoomScale="90" zoomScaleNormal="90" workbookViewId="0">
      <selection activeCell="E8" sqref="E8"/>
    </sheetView>
  </sheetViews>
  <sheetFormatPr defaultColWidth="22" defaultRowHeight="13" x14ac:dyDescent="0.3"/>
  <cols>
    <col min="1" max="1" width="22" style="31"/>
    <col min="2" max="2" width="17.54296875" style="31" customWidth="1"/>
    <col min="3" max="3" width="17.26953125" style="31" customWidth="1"/>
    <col min="4" max="4" width="22" style="31"/>
    <col min="5" max="5" width="19.81640625" style="31" customWidth="1"/>
    <col min="6" max="7" width="16.81640625" style="31" customWidth="1"/>
    <col min="8" max="8" width="6" style="31" customWidth="1"/>
    <col min="9" max="16384" width="22" style="31"/>
  </cols>
  <sheetData>
    <row r="1" spans="1:15" x14ac:dyDescent="0.3">
      <c r="A1" s="29"/>
      <c r="B1" s="30"/>
      <c r="C1" s="30"/>
    </row>
    <row r="2" spans="1:15" x14ac:dyDescent="0.3">
      <c r="A2" s="109" t="s">
        <v>103</v>
      </c>
      <c r="B2" s="109"/>
      <c r="C2" s="109"/>
      <c r="D2" s="109"/>
      <c r="E2" s="109"/>
      <c r="F2" s="109"/>
      <c r="G2" s="110"/>
      <c r="H2" s="32"/>
    </row>
    <row r="3" spans="1:15" x14ac:dyDescent="0.3">
      <c r="A3" s="33" t="s">
        <v>104</v>
      </c>
      <c r="B3" s="33" t="s">
        <v>105</v>
      </c>
      <c r="C3" s="33" t="s">
        <v>106</v>
      </c>
      <c r="D3" s="33" t="s">
        <v>107</v>
      </c>
      <c r="E3" s="33" t="s">
        <v>108</v>
      </c>
      <c r="F3" s="33" t="s">
        <v>109</v>
      </c>
      <c r="G3" s="33" t="s">
        <v>110</v>
      </c>
      <c r="H3" s="32"/>
    </row>
    <row r="4" spans="1:15" ht="46.5" customHeight="1" x14ac:dyDescent="0.3">
      <c r="A4" s="33" t="s">
        <v>111</v>
      </c>
      <c r="B4" s="33" t="s">
        <v>112</v>
      </c>
      <c r="C4" s="33" t="s">
        <v>135</v>
      </c>
      <c r="D4" s="33" t="s">
        <v>113</v>
      </c>
      <c r="E4" s="33" t="s">
        <v>114</v>
      </c>
      <c r="F4" s="33" t="s">
        <v>136</v>
      </c>
      <c r="G4" s="33" t="s">
        <v>115</v>
      </c>
      <c r="H4" s="32"/>
    </row>
    <row r="5" spans="1:15" x14ac:dyDescent="0.3">
      <c r="A5" s="110" t="s">
        <v>129</v>
      </c>
      <c r="B5" s="116"/>
      <c r="C5" s="116"/>
      <c r="D5" s="116"/>
      <c r="E5" s="116"/>
      <c r="F5" s="116"/>
      <c r="G5" s="117"/>
      <c r="H5" s="32"/>
    </row>
    <row r="6" spans="1:15" ht="36.75" customHeight="1" x14ac:dyDescent="0.3">
      <c r="A6" s="34" t="s">
        <v>130</v>
      </c>
      <c r="B6" s="35">
        <v>15000</v>
      </c>
      <c r="C6" s="80">
        <v>0.33</v>
      </c>
      <c r="D6" s="35">
        <f>B6*C6</f>
        <v>4950</v>
      </c>
      <c r="E6" s="94">
        <v>16500</v>
      </c>
      <c r="F6" s="80">
        <v>32.33</v>
      </c>
      <c r="G6" s="36">
        <f>F6*E6</f>
        <v>533445</v>
      </c>
      <c r="H6" s="37"/>
    </row>
    <row r="7" spans="1:15" x14ac:dyDescent="0.3">
      <c r="A7" s="110" t="s">
        <v>131</v>
      </c>
      <c r="B7" s="116"/>
      <c r="C7" s="116"/>
      <c r="D7" s="116"/>
      <c r="E7" s="116"/>
      <c r="F7" s="116"/>
      <c r="G7" s="117"/>
      <c r="H7" s="32"/>
    </row>
    <row r="8" spans="1:15" ht="36.75" customHeight="1" x14ac:dyDescent="0.3">
      <c r="A8" s="38" t="s">
        <v>132</v>
      </c>
      <c r="B8" s="36">
        <v>9100</v>
      </c>
      <c r="C8" s="39">
        <v>0</v>
      </c>
      <c r="D8" s="36">
        <f>B8*C8</f>
        <v>0</v>
      </c>
      <c r="E8" s="36">
        <v>500</v>
      </c>
      <c r="F8" s="39">
        <v>3.5</v>
      </c>
      <c r="G8" s="36">
        <f>F8*E8</f>
        <v>1750</v>
      </c>
      <c r="H8" s="37"/>
    </row>
    <row r="9" spans="1:15" ht="36.75" customHeight="1" x14ac:dyDescent="0.3">
      <c r="A9" s="38" t="s">
        <v>133</v>
      </c>
      <c r="B9" s="36">
        <v>1500</v>
      </c>
      <c r="C9" s="39">
        <v>0</v>
      </c>
      <c r="D9" s="36">
        <f>B9*C9</f>
        <v>0</v>
      </c>
      <c r="E9" s="36">
        <v>0</v>
      </c>
      <c r="F9" s="39">
        <v>2.5</v>
      </c>
      <c r="G9" s="36">
        <f>F9*E9</f>
        <v>0</v>
      </c>
      <c r="H9" s="40"/>
    </row>
    <row r="10" spans="1:15" ht="36.75" customHeight="1" x14ac:dyDescent="0.3">
      <c r="A10" s="38" t="s">
        <v>134</v>
      </c>
      <c r="B10" s="36">
        <v>15000</v>
      </c>
      <c r="C10" s="39">
        <v>0</v>
      </c>
      <c r="D10" s="36">
        <f>B10*C10</f>
        <v>0</v>
      </c>
      <c r="E10" s="36">
        <v>0</v>
      </c>
      <c r="F10" s="39">
        <v>8.5</v>
      </c>
      <c r="G10" s="36">
        <f>F10*E10</f>
        <v>0</v>
      </c>
      <c r="H10" s="41"/>
    </row>
    <row r="11" spans="1:15" ht="36.75" customHeight="1" x14ac:dyDescent="0.3">
      <c r="A11" s="38" t="s">
        <v>137</v>
      </c>
      <c r="B11" s="36">
        <v>0</v>
      </c>
      <c r="C11" s="39">
        <v>0</v>
      </c>
      <c r="D11" s="36">
        <f>B11*C11</f>
        <v>0</v>
      </c>
      <c r="E11" s="36">
        <v>10000</v>
      </c>
      <c r="F11" s="39">
        <v>4</v>
      </c>
      <c r="G11" s="36">
        <f>F11*E11</f>
        <v>40000</v>
      </c>
      <c r="H11" s="41"/>
    </row>
    <row r="12" spans="1:15" ht="36.75" customHeight="1" x14ac:dyDescent="0.3">
      <c r="A12" s="38" t="s">
        <v>138</v>
      </c>
      <c r="B12" s="36">
        <v>0</v>
      </c>
      <c r="C12" s="39">
        <v>0</v>
      </c>
      <c r="D12" s="36">
        <f>B12*C12</f>
        <v>0</v>
      </c>
      <c r="E12" s="36">
        <v>800</v>
      </c>
      <c r="F12" s="70">
        <v>6.5</v>
      </c>
      <c r="G12" s="36">
        <f>F12*E12</f>
        <v>5200</v>
      </c>
      <c r="H12" s="62"/>
      <c r="I12" s="62"/>
      <c r="J12" s="62"/>
      <c r="K12" s="62"/>
      <c r="L12" s="62"/>
      <c r="M12" s="62"/>
      <c r="N12" s="62"/>
      <c r="O12" s="62"/>
    </row>
    <row r="13" spans="1:15" ht="46.5" customHeight="1" x14ac:dyDescent="0.3">
      <c r="A13" s="42" t="s">
        <v>151</v>
      </c>
      <c r="B13" s="39"/>
      <c r="C13" s="39"/>
      <c r="D13" s="43">
        <f>ROUND(SUM(D6:D12), -3)</f>
        <v>5000</v>
      </c>
      <c r="E13" s="39"/>
      <c r="F13" s="39"/>
      <c r="G13" s="43">
        <f>G6+ROUND(SUM(G8:G12), -3)</f>
        <v>580445</v>
      </c>
      <c r="I13" s="44">
        <f>D13+G13</f>
        <v>585445</v>
      </c>
    </row>
    <row r="14" spans="1:15" ht="11.25" customHeight="1" x14ac:dyDescent="0.3">
      <c r="A14" s="45"/>
      <c r="B14" s="46"/>
      <c r="C14" s="46"/>
      <c r="D14" s="40"/>
      <c r="E14" s="46"/>
      <c r="F14" s="46"/>
      <c r="G14" s="40"/>
    </row>
    <row r="15" spans="1:15" ht="51.65" customHeight="1" x14ac:dyDescent="0.3">
      <c r="A15" s="111" t="s">
        <v>139</v>
      </c>
      <c r="B15" s="112"/>
      <c r="C15" s="112"/>
      <c r="D15" s="112"/>
      <c r="E15" s="112"/>
      <c r="F15" s="112"/>
      <c r="G15" s="112"/>
    </row>
    <row r="16" spans="1:15" ht="42.75" customHeight="1" x14ac:dyDescent="0.3">
      <c r="A16" s="113" t="s">
        <v>165</v>
      </c>
      <c r="B16" s="114"/>
      <c r="C16" s="114"/>
      <c r="D16" s="114"/>
      <c r="E16" s="114"/>
      <c r="F16" s="114"/>
      <c r="G16" s="114"/>
    </row>
    <row r="17" spans="1:7" ht="42.75" customHeight="1" x14ac:dyDescent="0.3">
      <c r="A17" s="113" t="s">
        <v>166</v>
      </c>
      <c r="B17" s="114"/>
      <c r="C17" s="114"/>
      <c r="D17" s="114"/>
      <c r="E17" s="114"/>
      <c r="F17" s="114"/>
      <c r="G17" s="114"/>
    </row>
    <row r="18" spans="1:7" ht="18" customHeight="1" x14ac:dyDescent="0.3">
      <c r="A18" s="115" t="s">
        <v>140</v>
      </c>
      <c r="B18" s="115"/>
      <c r="C18" s="115"/>
      <c r="D18" s="115"/>
      <c r="E18" s="115"/>
      <c r="F18" s="115"/>
      <c r="G18" s="115"/>
    </row>
    <row r="19" spans="1:7" x14ac:dyDescent="0.3">
      <c r="A19" s="47"/>
      <c r="B19" s="47"/>
      <c r="C19" s="47"/>
      <c r="D19" s="47"/>
      <c r="E19" s="47"/>
      <c r="F19" s="47"/>
      <c r="G19" s="47"/>
    </row>
  </sheetData>
  <mergeCells count="7">
    <mergeCell ref="A2:G2"/>
    <mergeCell ref="A15:G15"/>
    <mergeCell ref="A16:G16"/>
    <mergeCell ref="A18:G18"/>
    <mergeCell ref="A5:G5"/>
    <mergeCell ref="A7:G7"/>
    <mergeCell ref="A17:G17"/>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FF8DF-7383-4F67-862E-E09A0BE6D1D7}">
  <dimension ref="A1:V13"/>
  <sheetViews>
    <sheetView workbookViewId="0">
      <selection activeCell="A4" sqref="A4:E4"/>
    </sheetView>
  </sheetViews>
  <sheetFormatPr defaultRowHeight="14.5" x14ac:dyDescent="0.35"/>
  <cols>
    <col min="1" max="1" width="37" customWidth="1"/>
    <col min="2" max="2" width="11.81640625" customWidth="1"/>
    <col min="3" max="3" width="12.7265625" customWidth="1"/>
    <col min="4" max="4" width="11.453125" customWidth="1"/>
    <col min="5" max="5" width="14.7265625" customWidth="1"/>
    <col min="6" max="22" width="8.81640625" style="56"/>
  </cols>
  <sheetData>
    <row r="1" spans="1:22" s="31" customFormat="1" ht="15" x14ac:dyDescent="0.3">
      <c r="A1" s="118" t="s">
        <v>102</v>
      </c>
      <c r="B1" s="118"/>
      <c r="C1" s="118"/>
      <c r="D1" s="118"/>
      <c r="E1" s="118"/>
      <c r="F1" s="62"/>
      <c r="G1" s="62"/>
      <c r="H1" s="62"/>
      <c r="I1" s="62"/>
      <c r="J1" s="62"/>
      <c r="K1" s="62"/>
      <c r="L1" s="62"/>
      <c r="M1" s="62"/>
      <c r="N1" s="62"/>
      <c r="O1" s="62"/>
      <c r="P1" s="62"/>
      <c r="Q1" s="62"/>
      <c r="R1" s="62"/>
      <c r="S1" s="62"/>
      <c r="T1" s="62"/>
      <c r="U1" s="62"/>
      <c r="V1" s="62"/>
    </row>
    <row r="2" spans="1:22" s="31" customFormat="1" ht="13" x14ac:dyDescent="0.3">
      <c r="A2" s="5" t="s">
        <v>104</v>
      </c>
      <c r="B2" s="5" t="s">
        <v>105</v>
      </c>
      <c r="C2" s="5" t="s">
        <v>106</v>
      </c>
      <c r="D2" s="5" t="s">
        <v>107</v>
      </c>
      <c r="E2" s="5" t="s">
        <v>108</v>
      </c>
      <c r="F2" s="62"/>
      <c r="G2" s="62"/>
      <c r="H2" s="62"/>
      <c r="I2" s="62"/>
      <c r="J2" s="62"/>
      <c r="K2" s="62"/>
      <c r="L2" s="62"/>
      <c r="M2" s="62"/>
      <c r="N2" s="62"/>
      <c r="O2" s="62"/>
      <c r="P2" s="62"/>
      <c r="Q2" s="62"/>
      <c r="R2" s="62"/>
      <c r="S2" s="62"/>
      <c r="T2" s="62"/>
      <c r="U2" s="62"/>
      <c r="V2" s="62"/>
    </row>
    <row r="3" spans="1:22" s="31" customFormat="1" ht="104" x14ac:dyDescent="0.3">
      <c r="A3" s="5" t="s">
        <v>116</v>
      </c>
      <c r="B3" s="5" t="s">
        <v>98</v>
      </c>
      <c r="C3" s="5" t="s">
        <v>117</v>
      </c>
      <c r="D3" s="5" t="s">
        <v>118</v>
      </c>
      <c r="E3" s="5" t="s">
        <v>119</v>
      </c>
      <c r="F3" s="62"/>
      <c r="G3" s="62"/>
      <c r="H3" s="62"/>
      <c r="I3" s="62"/>
      <c r="J3" s="62"/>
      <c r="K3" s="62"/>
      <c r="L3" s="62"/>
      <c r="M3" s="62"/>
      <c r="N3" s="62"/>
      <c r="O3" s="62"/>
      <c r="P3" s="62"/>
      <c r="Q3" s="62"/>
      <c r="R3" s="62"/>
      <c r="S3" s="62"/>
      <c r="T3" s="62"/>
      <c r="U3" s="62"/>
      <c r="V3" s="62"/>
    </row>
    <row r="4" spans="1:22" s="31" customFormat="1" ht="17.25" customHeight="1" x14ac:dyDescent="0.3">
      <c r="A4" s="109" t="s">
        <v>17</v>
      </c>
      <c r="B4" s="109"/>
      <c r="C4" s="109"/>
      <c r="D4" s="109"/>
      <c r="E4" s="109"/>
      <c r="F4" s="62"/>
      <c r="G4" s="62"/>
      <c r="H4" s="62"/>
      <c r="I4" s="62"/>
      <c r="J4" s="62"/>
      <c r="K4" s="62"/>
      <c r="L4" s="62"/>
      <c r="M4" s="62"/>
      <c r="N4" s="62"/>
      <c r="O4" s="62"/>
      <c r="P4" s="62"/>
      <c r="Q4" s="62"/>
      <c r="R4" s="62"/>
      <c r="S4" s="62"/>
      <c r="T4" s="62"/>
      <c r="U4" s="62"/>
      <c r="V4" s="62"/>
    </row>
    <row r="5" spans="1:22" s="31" customFormat="1" ht="17.25" customHeight="1" x14ac:dyDescent="0.3">
      <c r="A5" s="81" t="s">
        <v>168</v>
      </c>
      <c r="B5" s="95">
        <f>'Table 2a'!E10</f>
        <v>0.33333333333333331</v>
      </c>
      <c r="C5" s="80">
        <f>'Table 2a'!C10</f>
        <v>1</v>
      </c>
      <c r="D5" s="80">
        <v>0</v>
      </c>
      <c r="E5" s="95">
        <f t="shared" ref="E5:E8" si="0">B5*C5+D5</f>
        <v>0.33333333333333331</v>
      </c>
      <c r="F5" s="62"/>
      <c r="G5" s="62"/>
      <c r="H5" s="62"/>
      <c r="I5" s="62"/>
      <c r="J5" s="62"/>
      <c r="K5" s="62"/>
      <c r="L5" s="62"/>
      <c r="M5" s="62"/>
      <c r="N5" s="62"/>
      <c r="O5" s="62"/>
      <c r="P5" s="62"/>
      <c r="Q5" s="62"/>
      <c r="R5" s="62"/>
      <c r="S5" s="62"/>
      <c r="T5" s="62"/>
      <c r="U5" s="62"/>
      <c r="V5" s="62"/>
    </row>
    <row r="6" spans="1:22" s="31" customFormat="1" ht="22.5" customHeight="1" x14ac:dyDescent="0.3">
      <c r="A6" s="81" t="s">
        <v>170</v>
      </c>
      <c r="B6" s="95">
        <f>'Table 2a'!E11</f>
        <v>0.33333333333333331</v>
      </c>
      <c r="C6" s="80">
        <f>'Table 2a'!C11</f>
        <v>1</v>
      </c>
      <c r="D6" s="80">
        <v>0</v>
      </c>
      <c r="E6" s="95">
        <f t="shared" si="0"/>
        <v>0.33333333333333331</v>
      </c>
      <c r="F6" s="62"/>
      <c r="G6" s="62"/>
      <c r="H6" s="62"/>
      <c r="I6" s="62"/>
      <c r="J6" s="62"/>
      <c r="K6" s="62"/>
      <c r="L6" s="62"/>
      <c r="M6" s="62"/>
      <c r="N6" s="62"/>
      <c r="O6" s="62"/>
      <c r="P6" s="62"/>
      <c r="Q6" s="62"/>
      <c r="R6" s="62"/>
      <c r="S6" s="62"/>
      <c r="T6" s="62"/>
      <c r="U6" s="62"/>
      <c r="V6" s="62"/>
    </row>
    <row r="7" spans="1:22" s="31" customFormat="1" ht="22.5" customHeight="1" x14ac:dyDescent="0.3">
      <c r="A7" s="81" t="s">
        <v>171</v>
      </c>
      <c r="B7" s="80">
        <v>0</v>
      </c>
      <c r="C7" s="80">
        <v>1</v>
      </c>
      <c r="D7" s="80">
        <v>0</v>
      </c>
      <c r="E7" s="80">
        <f t="shared" si="0"/>
        <v>0</v>
      </c>
      <c r="F7" s="62"/>
      <c r="G7" s="62"/>
      <c r="H7" s="62"/>
      <c r="I7" s="62"/>
      <c r="J7" s="62"/>
      <c r="K7" s="62"/>
      <c r="L7" s="62"/>
      <c r="M7" s="62"/>
      <c r="N7" s="62"/>
      <c r="O7" s="62"/>
      <c r="P7" s="62"/>
      <c r="Q7" s="62"/>
      <c r="R7" s="62"/>
      <c r="S7" s="62"/>
      <c r="T7" s="62"/>
      <c r="U7" s="62"/>
      <c r="V7" s="62"/>
    </row>
    <row r="8" spans="1:22" s="31" customFormat="1" ht="17.25" customHeight="1" x14ac:dyDescent="0.3">
      <c r="A8" s="81" t="s">
        <v>169</v>
      </c>
      <c r="B8" s="95">
        <f>'Table 2a'!E14</f>
        <v>0.33333333333333331</v>
      </c>
      <c r="C8" s="80">
        <f>'Table 2a'!C13</f>
        <v>1.2</v>
      </c>
      <c r="D8" s="80">
        <v>0</v>
      </c>
      <c r="E8" s="95">
        <f t="shared" si="0"/>
        <v>0.39999999999999997</v>
      </c>
      <c r="F8" s="62"/>
      <c r="G8" s="62"/>
      <c r="H8" s="62"/>
      <c r="I8" s="62"/>
      <c r="J8" s="62"/>
      <c r="K8" s="62"/>
      <c r="L8" s="62"/>
      <c r="M8" s="62"/>
      <c r="N8" s="62"/>
      <c r="O8" s="62"/>
      <c r="P8" s="62"/>
      <c r="Q8" s="62"/>
      <c r="R8" s="62"/>
      <c r="S8" s="62"/>
      <c r="T8" s="62"/>
      <c r="U8" s="62"/>
      <c r="V8" s="62"/>
    </row>
    <row r="9" spans="1:22" s="31" customFormat="1" ht="13" x14ac:dyDescent="0.3">
      <c r="A9" s="96" t="s">
        <v>147</v>
      </c>
      <c r="B9" s="95">
        <f>'Table 1a'!E19</f>
        <v>32.333333333333336</v>
      </c>
      <c r="C9" s="80">
        <v>2</v>
      </c>
      <c r="D9" s="80">
        <v>0</v>
      </c>
      <c r="E9" s="95">
        <f>B9*C9+D9</f>
        <v>64.666666666666671</v>
      </c>
      <c r="F9" s="62"/>
      <c r="G9" s="62"/>
      <c r="I9" s="62"/>
      <c r="J9" s="62"/>
      <c r="K9" s="62"/>
      <c r="L9" s="62"/>
      <c r="M9" s="62"/>
      <c r="N9" s="62"/>
      <c r="O9" s="62"/>
      <c r="P9" s="62"/>
      <c r="Q9" s="62"/>
      <c r="R9" s="62"/>
      <c r="S9" s="62"/>
      <c r="T9" s="62"/>
      <c r="U9" s="62"/>
      <c r="V9" s="62"/>
    </row>
    <row r="10" spans="1:22" s="31" customFormat="1" ht="13" x14ac:dyDescent="0.3">
      <c r="A10" s="109" t="s">
        <v>148</v>
      </c>
      <c r="B10" s="109"/>
      <c r="C10" s="109"/>
      <c r="D10" s="109"/>
      <c r="E10" s="109"/>
      <c r="F10" s="62"/>
      <c r="G10" s="62"/>
      <c r="H10" s="72"/>
      <c r="I10" s="73"/>
      <c r="J10" s="62"/>
      <c r="K10" s="62"/>
      <c r="L10" s="62"/>
      <c r="M10" s="62"/>
      <c r="N10" s="62"/>
      <c r="O10" s="62"/>
      <c r="P10" s="62"/>
      <c r="Q10" s="62"/>
      <c r="R10" s="62"/>
      <c r="S10" s="62"/>
      <c r="T10" s="62"/>
      <c r="U10" s="62"/>
      <c r="V10" s="62"/>
    </row>
    <row r="11" spans="1:22" s="31" customFormat="1" ht="13" x14ac:dyDescent="0.3">
      <c r="A11" s="61" t="s">
        <v>158</v>
      </c>
      <c r="B11" s="39">
        <v>5</v>
      </c>
      <c r="C11" s="39">
        <v>2</v>
      </c>
      <c r="D11" s="39">
        <v>0</v>
      </c>
      <c r="E11" s="39">
        <f>B11*C11+D11</f>
        <v>10</v>
      </c>
      <c r="F11" s="62"/>
      <c r="G11" s="62"/>
      <c r="H11" s="72"/>
      <c r="I11" s="73"/>
      <c r="J11" s="62"/>
      <c r="K11" s="62"/>
      <c r="L11" s="62"/>
      <c r="M11" s="62"/>
      <c r="N11" s="62"/>
      <c r="O11" s="62"/>
      <c r="P11" s="62"/>
      <c r="Q11" s="62"/>
      <c r="R11" s="62"/>
      <c r="S11" s="62"/>
      <c r="T11" s="62"/>
      <c r="U11" s="62"/>
      <c r="V11" s="62"/>
    </row>
    <row r="12" spans="1:22" s="31" customFormat="1" ht="26" x14ac:dyDescent="0.3">
      <c r="A12" s="38"/>
      <c r="B12" s="39"/>
      <c r="C12" s="39"/>
      <c r="D12" s="33" t="s">
        <v>172</v>
      </c>
      <c r="E12" s="48">
        <f>SUM(E4:E11)</f>
        <v>75.733333333333334</v>
      </c>
      <c r="F12" s="62"/>
      <c r="G12" s="62"/>
      <c r="H12" s="72"/>
      <c r="I12" s="73"/>
      <c r="J12" s="62"/>
      <c r="K12" s="62"/>
      <c r="L12" s="62"/>
      <c r="M12" s="62"/>
      <c r="N12" s="62"/>
      <c r="O12" s="62"/>
      <c r="P12" s="62"/>
      <c r="Q12" s="62"/>
      <c r="R12" s="62"/>
      <c r="S12" s="62"/>
      <c r="T12" s="62"/>
      <c r="U12" s="62"/>
      <c r="V12" s="62"/>
    </row>
    <row r="13" spans="1:22" s="31" customFormat="1" ht="9.75" customHeight="1" x14ac:dyDescent="0.3">
      <c r="A13" s="49"/>
      <c r="B13" s="50"/>
      <c r="C13" s="50"/>
      <c r="D13" s="51"/>
      <c r="E13" s="52"/>
      <c r="F13" s="62"/>
      <c r="G13" s="62"/>
      <c r="H13" s="73"/>
      <c r="I13" s="73"/>
      <c r="J13" s="62"/>
      <c r="K13" s="62"/>
      <c r="L13" s="62"/>
      <c r="M13" s="62"/>
      <c r="N13" s="62"/>
      <c r="O13" s="62"/>
      <c r="P13" s="62"/>
      <c r="Q13" s="62"/>
      <c r="R13" s="62"/>
      <c r="S13" s="62"/>
      <c r="T13" s="62"/>
      <c r="U13" s="62"/>
      <c r="V13" s="62"/>
    </row>
  </sheetData>
  <mergeCells count="3">
    <mergeCell ref="A1:E1"/>
    <mergeCell ref="A4:E4"/>
    <mergeCell ref="A10:E10"/>
  </mergeCells>
  <pageMargins left="0.7" right="0.7" top="0.75" bottom="0.75" header="0.3" footer="0.3"/>
  <pageSetup orientation="portrait"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D8A4-AAFA-4D6B-A0F0-B3E66F76B05E}">
  <dimension ref="A1:F9"/>
  <sheetViews>
    <sheetView workbookViewId="0">
      <selection activeCell="F8" sqref="F8"/>
    </sheetView>
  </sheetViews>
  <sheetFormatPr defaultColWidth="17.7265625" defaultRowHeight="31.9" customHeight="1" x14ac:dyDescent="0.35"/>
  <sheetData>
    <row r="1" spans="1:6" s="31" customFormat="1" ht="15" x14ac:dyDescent="0.3">
      <c r="A1" s="118" t="s">
        <v>98</v>
      </c>
      <c r="B1" s="118"/>
      <c r="C1" s="118"/>
      <c r="D1" s="118"/>
      <c r="E1" s="118"/>
      <c r="F1" s="118"/>
    </row>
    <row r="2" spans="1:6" s="31" customFormat="1" ht="43.15" customHeight="1" x14ac:dyDescent="0.3">
      <c r="A2" s="53"/>
      <c r="B2" s="119" t="s">
        <v>120</v>
      </c>
      <c r="C2" s="119"/>
      <c r="D2" s="53" t="s">
        <v>121</v>
      </c>
      <c r="E2" s="119"/>
      <c r="F2" s="119"/>
    </row>
    <row r="3" spans="1:6" s="31" customFormat="1" ht="31.9" customHeight="1" x14ac:dyDescent="0.3">
      <c r="A3" s="53"/>
      <c r="B3" s="54" t="s">
        <v>104</v>
      </c>
      <c r="C3" s="54" t="s">
        <v>105</v>
      </c>
      <c r="D3" s="54" t="s">
        <v>106</v>
      </c>
      <c r="E3" s="54" t="s">
        <v>107</v>
      </c>
      <c r="F3" s="54" t="s">
        <v>108</v>
      </c>
    </row>
    <row r="4" spans="1:6" s="31" customFormat="1" ht="59.5" customHeight="1" x14ac:dyDescent="0.3">
      <c r="A4" s="54" t="s">
        <v>122</v>
      </c>
      <c r="B4" s="53" t="s">
        <v>123</v>
      </c>
      <c r="C4" s="53" t="s">
        <v>124</v>
      </c>
      <c r="D4" s="53" t="s">
        <v>125</v>
      </c>
      <c r="E4" s="53" t="s">
        <v>126</v>
      </c>
      <c r="F4" s="53" t="s">
        <v>127</v>
      </c>
    </row>
    <row r="5" spans="1:6" s="31" customFormat="1" ht="31.9" customHeight="1" x14ac:dyDescent="0.3">
      <c r="A5" s="5">
        <v>1</v>
      </c>
      <c r="B5" s="80">
        <v>1</v>
      </c>
      <c r="C5" s="80">
        <v>37</v>
      </c>
      <c r="D5" s="39">
        <v>0</v>
      </c>
      <c r="E5" s="39">
        <v>0</v>
      </c>
      <c r="F5" s="39">
        <f>B5+C5+D5-E5</f>
        <v>38</v>
      </c>
    </row>
    <row r="6" spans="1:6" s="31" customFormat="1" ht="31.9" customHeight="1" x14ac:dyDescent="0.3">
      <c r="A6" s="5">
        <v>2</v>
      </c>
      <c r="B6" s="80">
        <v>0</v>
      </c>
      <c r="C6" s="80">
        <f>F5</f>
        <v>38</v>
      </c>
      <c r="D6" s="39">
        <v>0</v>
      </c>
      <c r="E6" s="39">
        <v>0</v>
      </c>
      <c r="F6" s="39">
        <f>B6+C6+D6-E6</f>
        <v>38</v>
      </c>
    </row>
    <row r="7" spans="1:6" s="31" customFormat="1" ht="31.9" customHeight="1" x14ac:dyDescent="0.3">
      <c r="A7" s="5">
        <v>3</v>
      </c>
      <c r="B7" s="80">
        <v>0</v>
      </c>
      <c r="C7" s="80">
        <f>F6</f>
        <v>38</v>
      </c>
      <c r="D7" s="39">
        <v>0</v>
      </c>
      <c r="E7" s="39">
        <v>0</v>
      </c>
      <c r="F7" s="39">
        <f>B7+C7+D7-E7</f>
        <v>38</v>
      </c>
    </row>
    <row r="8" spans="1:6" s="31" customFormat="1" ht="31.9" customHeight="1" x14ac:dyDescent="0.3">
      <c r="A8" s="5" t="s">
        <v>128</v>
      </c>
      <c r="B8" s="95">
        <f>AVERAGE(B5:B7)</f>
        <v>0.33333333333333331</v>
      </c>
      <c r="C8" s="95">
        <f>AVERAGE(C5:C7)</f>
        <v>37.666666666666664</v>
      </c>
      <c r="D8" s="39">
        <v>0</v>
      </c>
      <c r="E8" s="39">
        <v>0</v>
      </c>
      <c r="F8" s="97">
        <f>AVERAGE(F5:F7)</f>
        <v>38</v>
      </c>
    </row>
    <row r="9" spans="1:6" s="31" customFormat="1" ht="42.65" customHeight="1" x14ac:dyDescent="0.3">
      <c r="A9" s="120" t="s">
        <v>198</v>
      </c>
      <c r="B9" s="120"/>
      <c r="C9" s="120"/>
      <c r="D9" s="120"/>
      <c r="E9" s="120"/>
      <c r="F9" s="120"/>
    </row>
  </sheetData>
  <mergeCells count="4">
    <mergeCell ref="A1:F1"/>
    <mergeCell ref="B2:C2"/>
    <mergeCell ref="E2:F2"/>
    <mergeCell ref="A9:F9"/>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1a</vt:lpstr>
      <vt:lpstr>Table 1b</vt:lpstr>
      <vt:lpstr>Table 2a</vt:lpstr>
      <vt:lpstr>Table 2b</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2016-02-03T14:55:59Z</dcterms:created>
  <dcterms:modified xsi:type="dcterms:W3CDTF">2022-08-16T19:01:38Z</dcterms:modified>
</cp:coreProperties>
</file>